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0" yWindow="-110" windowWidth="19420" windowHeight="11500" tabRatio="600" firstSheet="2"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OFFSET('履歴書'!$A$1,(MAX(1,MIN(40,N(設定!$B$9)))-1)*91,0,(MAX(MAX(1,MIN(40,N(設定!$B$9))),MIN(40,N(設定!$B$10)))-MAX(1,MIN(40,N(設定!$B$9)))+1)*91,133)</definedName>
  </definedNames>
  <calcPr calcId="191028" fullCalcOnLoad="1"/>
</workbook>
</file>

<file path=xl/styles.xml><?xml version="1.0" encoding="utf-8"?>
<styleSheet xmlns="http://schemas.openxmlformats.org/spreadsheetml/2006/main">
  <numFmts count="3">
    <numFmt numFmtId="164" formatCode="yyyy-mm-dd"/>
    <numFmt numFmtId="165" formatCode="yyyy/mm/dd"/>
    <numFmt numFmtId="166" formatCode="000-0000"/>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b val="1"/>
      <color rgb="001F3864"/>
      <sz val="16"/>
    </font>
    <font>
      <sz val="11"/>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4">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5" fillId="0" borderId="0"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7" fillId="0" borderId="1" applyAlignment="1" pivotButton="0" quotePrefix="0" xfId="0">
      <alignment horizontal="center" vertical="center"/>
    </xf>
    <xf numFmtId="0" fontId="7" fillId="0" borderId="2" applyAlignment="1" pivotButton="0" quotePrefix="0" xfId="0">
      <alignment horizontal="center" vertical="center"/>
    </xf>
    <xf numFmtId="0" fontId="7" fillId="0" borderId="3" applyAlignment="1" pivotButton="0" quotePrefix="0" xfId="0">
      <alignment horizontal="center" vertical="center"/>
    </xf>
    <xf numFmtId="0" fontId="7" fillId="0" borderId="4" applyAlignment="1" pivotButton="0" quotePrefix="0" xfId="0">
      <alignment horizontal="center"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6"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3"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0"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3" applyAlignment="1" pivotButton="0" quotePrefix="0" xfId="0">
      <alignment horizontal="center" vertical="center"/>
    </xf>
    <xf numFmtId="0" fontId="6" fillId="0" borderId="4" applyAlignment="1" pivotButton="0" quotePrefix="0" xfId="0">
      <alignment horizontal="center" vertical="center"/>
    </xf>
    <xf numFmtId="0" fontId="6" fillId="0" borderId="5"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6" fillId="0" borderId="8"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7" fillId="0" borderId="0" applyAlignment="1" pivotButton="0" quotePrefix="0" xfId="0">
      <alignment horizontal="center" vertical="distributed"/>
    </xf>
    <xf numFmtId="0" fontId="7" fillId="0" borderId="0" applyAlignment="1" pivotButton="0" quotePrefix="0" xfId="0">
      <alignment horizontal="right" vertical="center"/>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5"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7"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8"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5" fontId="0" fillId="6" borderId="25" applyAlignment="1" pivotButton="0" quotePrefix="0" xfId="0">
      <alignment vertical="top" wrapText="1"/>
    </xf>
    <xf numFmtId="166"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5" fontId="0" fillId="0" borderId="0" pivotButton="0" quotePrefix="0" xfId="0"/>
    <xf numFmtId="165"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9"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9"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21"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17" applyAlignment="1" pivotButton="0" quotePrefix="0" xfId="0">
      <alignment horizontal="center" vertical="center" shrinkToFit="1"/>
    </xf>
    <xf numFmtId="0" fontId="6" fillId="0" borderId="19" applyAlignment="1" pivotButton="0" quotePrefix="0" xfId="0">
      <alignment horizontal="center" vertical="center"/>
    </xf>
    <xf numFmtId="0" fontId="10" fillId="0" borderId="19" applyAlignment="1" pivotButton="0" quotePrefix="0" xfId="0">
      <alignment horizontal="center" vertical="center" shrinkToFit="1"/>
    </xf>
    <xf numFmtId="0" fontId="7" fillId="0" borderId="20"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1" fillId="0" borderId="12" applyAlignment="1" pivotButton="0" quotePrefix="0" xfId="0">
      <alignment horizontal="center" vertical="center"/>
    </xf>
    <xf numFmtId="0" fontId="7" fillId="0" borderId="17" applyAlignment="1" pivotButton="0" quotePrefix="0" xfId="0">
      <alignment horizontal="center" vertical="center"/>
    </xf>
    <xf numFmtId="0" fontId="7" fillId="0" borderId="18" applyAlignment="1" pivotButton="0" quotePrefix="0" xfId="0">
      <alignment horizontal="center" vertical="center"/>
    </xf>
    <xf numFmtId="0" fontId="14" fillId="0" borderId="23" applyAlignment="1" pivotButton="0" quotePrefix="0" xfId="0">
      <alignment horizontal="left" vertical="center" indent="1"/>
    </xf>
    <xf numFmtId="0" fontId="0" fillId="0" borderId="9" pivotButton="0" quotePrefix="0" xfId="0"/>
    <xf numFmtId="0" fontId="0" fillId="0" borderId="10" pivotButton="0" quotePrefix="0" xfId="0"/>
    <xf numFmtId="0" fontId="0" fillId="0" borderId="11" pivotButton="0" quotePrefix="0" xfId="0"/>
    <xf numFmtId="0" fontId="6" fillId="0" borderId="16"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22"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21"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left" vertical="center" wrapText="1" indent="1"/>
    </xf>
    <xf numFmtId="0" fontId="6" fillId="0" borderId="20"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17" applyAlignment="1" pivotButton="0" quotePrefix="0" xfId="0">
      <alignment horizontal="left" vertical="top" wrapText="1" indent="1"/>
    </xf>
    <xf numFmtId="0" fontId="6" fillId="0" borderId="19"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6" fillId="0" borderId="21" applyAlignment="1" pivotButton="0" quotePrefix="0" xfId="0">
      <alignment horizontal="center" vertical="center" textRotation="255" wrapText="1"/>
    </xf>
    <xf numFmtId="0" fontId="11" fillId="0" borderId="0" applyAlignment="1" pivotButton="0" quotePrefix="0" xfId="0">
      <alignment horizontal="center" vertical="center"/>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5F5F5"/>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1"/>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・連絡先は、記入がなければ空欄のままでOK</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19">
      <c r="A19" s="120" t="inlineStr">
        <is>
          <t xml:space="preserve">　　※ 1人＝1ページ・枠は公式様式と同じ大きさ（拡大縮小97%）です。</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9">
      <c r="A29" s="124" t="inlineStr">
        <is>
          <t>■ シートの役割</t>
        </is>
      </c>
    </row>
    <row r="30">
      <c r="A30" s="126" t="inlineStr">
        <is>
          <t xml:space="preserve">　入力</t>
        </is>
      </c>
      <c r="B30" s="123" t="inlineStr">
        <is>
          <t>生徒の情報を打ち込む（1行＝1生徒・40人分）</t>
        </is>
      </c>
    </row>
    <row r="31">
      <c r="A31" s="126" t="inlineStr">
        <is>
          <t xml:space="preserve">　履歴書</t>
        </is>
      </c>
      <c r="B31" s="123" t="inlineStr">
        <is>
          <t>印刷する用紙。さわらなくて大丈夫です</t>
        </is>
      </c>
    </row>
    <row r="32">
      <c r="A32" s="126" t="inlineStr">
        <is>
          <t xml:space="preserve">　設定</t>
        </is>
      </c>
      <c r="B32" s="123" t="inlineStr">
        <is>
          <t>印刷する範囲・学校名・基準日・卒業年月</t>
        </is>
      </c>
    </row>
    <row r="33">
      <c r="A33" s="126" t="inlineStr">
        <is>
          <t xml:space="preserve">　資格取込</t>
        </is>
      </c>
      <c r="B33" s="123" t="inlineStr">
        <is>
          <t>資格の一覧を貼り付けて自動で振り分ける</t>
        </is>
      </c>
    </row>
    <row r="34">
      <c r="A34" s="126" t="inlineStr">
        <is>
          <t xml:space="preserve">　反映項目</t>
        </is>
      </c>
      <c r="B34" s="123" t="inlineStr">
        <is>
          <t>履歴書に出す項目を○×で選ぶ</t>
        </is>
      </c>
    </row>
    <row r="35">
      <c r="A35" s="126" t="inlineStr">
        <is>
          <t xml:space="preserve">　学科マスタ</t>
        </is>
      </c>
      <c r="B35" s="123" t="inlineStr">
        <is>
          <t>学科の一覧（6種類・書き換え可）</t>
        </is>
      </c>
    </row>
    <row r="36">
      <c r="A36" s="126" t="inlineStr">
        <is>
          <t xml:space="preserve">　資格マスタ</t>
        </is>
      </c>
      <c r="B36" s="123" t="inlineStr">
        <is>
          <t>資格名を正式名称に直す変換表</t>
        </is>
      </c>
    </row>
    <row r="37">
      <c r="A37" s="126" t="inlineStr">
        <is>
          <t xml:space="preserve">　マクロ</t>
        </is>
      </c>
      <c r="B37" s="123" t="inlineStr">
        <is>
          <t>文字の大きさをそろえる仕組みの入れかた</t>
        </is>
      </c>
    </row>
    <row r="39">
      <c r="A39" s="124" t="inlineStr">
        <is>
          <t>■ 印刷したあとに手で書き足すところ</t>
        </is>
      </c>
    </row>
    <row r="40">
      <c r="A40" s="123" t="inlineStr">
        <is>
          <t xml:space="preserve">　・写真を貼る</t>
        </is>
      </c>
    </row>
    <row r="41">
      <c r="A41"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H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14"/>
    <col outlineLevel="1" width="12" customWidth="1" style="118" min="15" max="15"/>
    <col outlineLevel="1" width="22" customWidth="1" style="118" min="16" max="16"/>
    <col outlineLevel="1" width="12" customWidth="1" style="118" min="17" max="17"/>
    <col outlineLevel="1" width="22" customWidth="1" style="118" min="18" max="18"/>
    <col outlineLevel="1" width="12" customWidth="1" style="118" min="19" max="19"/>
    <col outlineLevel="1" width="22" customWidth="1" style="118" min="20" max="20"/>
    <col outlineLevel="1" width="12" customWidth="1" style="118" min="21" max="21"/>
    <col outlineLevel="1" width="22" customWidth="1" style="118" min="22" max="22"/>
    <col outlineLevel="1" width="12" customWidth="1" style="118" min="23" max="23"/>
    <col outlineLevel="1" width="22" customWidth="1" style="118" min="24" max="24"/>
    <col outlineLevel="1" width="12" customWidth="1" style="118" min="25" max="25"/>
    <col width="34" customWidth="1" style="118" min="26" max="26"/>
    <col width="64" customWidth="1" style="118" min="27" max="27"/>
    <col hidden="1" outlineLevel="1" width="11" customWidth="1" style="118" min="28" max="28"/>
    <col hidden="1" outlineLevel="1" width="26" customWidth="1" style="118" min="29" max="29"/>
    <col hidden="1" outlineLevel="1" width="11" customWidth="1" style="118" min="30" max="30"/>
    <col hidden="1" outlineLevel="1" width="26" customWidth="1" style="118" min="31" max="31"/>
    <col collapsed="1" width="26" customWidth="1" style="118" min="32" max="32"/>
    <col hidden="1" width="13" customWidth="1" style="118" min="34" max="34"/>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名前が空の行はグレーになります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t>
        </is>
      </c>
      <c r="AB2" s="128" t="inlineStr">
        <is>
          <t>職歴</t>
        </is>
      </c>
      <c r="AC2" s="129" t="n"/>
      <c r="AD2" s="129" t="n"/>
      <c r="AE2" s="129" t="n"/>
      <c r="AF2" s="128" t="inlineStr">
        <is>
          <t>備考</t>
        </is>
      </c>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志望の動機・希望の職種・アピールポイント</t>
        </is>
      </c>
      <c r="AB3" s="130" t="inlineStr">
        <is>
          <t>職歴1 年月</t>
        </is>
      </c>
      <c r="AC3" s="130" t="inlineStr">
        <is>
          <t>職歴1 内容</t>
        </is>
      </c>
      <c r="AD3" s="130" t="inlineStr">
        <is>
          <t>職歴2 年月</t>
        </is>
      </c>
      <c r="AE3" s="130" t="inlineStr">
        <is>
          <t>職歴2 内容</t>
        </is>
      </c>
      <c r="AF3" s="130" t="inlineStr">
        <is>
          <t>備考</t>
        </is>
      </c>
      <c r="AH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job.1.ym</t>
        </is>
      </c>
      <c r="AC4" t="inlineStr">
        <is>
          <t>job.1.text</t>
        </is>
      </c>
      <c r="AD4" t="inlineStr">
        <is>
          <t>job.2.ym</t>
        </is>
      </c>
      <c r="AE4" t="inlineStr">
        <is>
          <t>job.2.text</t>
        </is>
      </c>
      <c r="AF4" t="inlineStr">
        <is>
          <t>remarks</t>
        </is>
      </c>
    </row>
    <row r="5" ht="28" customHeight="1" s="118">
      <c r="A5" s="132" t="n">
        <v>1</v>
      </c>
      <c r="B5" s="132" t="inlineStr">
        <is>
          <t>3年2組</t>
        </is>
      </c>
      <c r="C5" s="132" t="n">
        <v>1</v>
      </c>
      <c r="D5" s="133" t="inlineStr">
        <is>
          <t>佐野 太郎</t>
        </is>
      </c>
      <c r="E5" s="133" t="inlineStr">
        <is>
          <t>さの たろう</t>
        </is>
      </c>
      <c r="F5" s="134" t="n">
        <v>39580</v>
      </c>
      <c r="G5" s="135" t="inlineStr">
        <is>
          <t>5980001</t>
        </is>
      </c>
      <c r="H5" s="133" t="inlineStr">
        <is>
          <t>大阪府泉佐野市市場東1丁目2-3 サンプルハイツ101</t>
        </is>
      </c>
      <c r="I5" s="136">
        <f>IF(G5="","",IFERROR(VLOOKUP(TEXT(VALUE(SUBSTITUTE(G5,"-","")),"0000000"),郵便番号!$A:$C,3,FALSE),""))</f>
        <v/>
      </c>
      <c r="J5" s="135" t="n"/>
      <c r="K5" s="133" t="n"/>
      <c r="L5" s="136">
        <f>IF(J5="","",IFERROR(VLOOKUP(TEXT(VALUE(SUBSTITUTE(J5,"-","")),"0000000"),郵便番号!$A:$C,3,FALSE),""))</f>
        <v/>
      </c>
      <c r="M5" s="133" t="inlineStr">
        <is>
          <t>機械系機械技術科（専科）</t>
        </is>
      </c>
      <c r="N5" s="133" t="inlineStr">
        <is>
          <t>電気工事士第二種</t>
        </is>
      </c>
      <c r="O5" s="134" t="n">
        <v>45444</v>
      </c>
      <c r="P5" s="133" t="inlineStr">
        <is>
          <t>危険物取扱者乙4</t>
        </is>
      </c>
      <c r="Q5" s="134" t="n">
        <v>45717</v>
      </c>
      <c r="R5" s="133" t="inlineStr">
        <is>
          <t>技能検定　機械加工（普通旋盤作業）3級</t>
        </is>
      </c>
      <c r="S5" s="134" t="n">
        <v>45962</v>
      </c>
      <c r="T5" s="133" t="n"/>
      <c r="U5" s="134" t="n"/>
      <c r="V5" s="133" t="n"/>
      <c r="W5" s="134" t="n"/>
      <c r="X5" s="133" t="n"/>
      <c r="Y5" s="134" t="n"/>
      <c r="Z5" s="133" t="inlineStr">
        <is>
          <t>・1年〜3年 機械研究部に所属（3年次は副部長）
・2年 ものづくりコンテスト旋盤作業部門 校内代表
・3年 体育大会 応援団リーダー</t>
        </is>
      </c>
      <c r="AA5" s="133" t="inlineStr">
        <is>
          <t>実習で金属を削って形にする面白さを知り、ものづくりの現場で働きたいと考えるようになりました。貴社は多品種少量の精密加工に強みがあり、若いうちから幅広い機械に触れられると伺っています。学校で学んだ機械加工の基礎を早く現場で活かし、確かな技術を身につけて長く貢献したいと思い志望しました。
機械加工・生産技術
旋盤とフライス盤の実習で、寸法公差を守る段取りと確認を身につけました。分からないことはその場で質問し、最後まで丁寧にやり切ることを大切にしています。</t>
        </is>
      </c>
      <c r="AB5" s="134" t="n"/>
      <c r="AC5" s="133" t="n"/>
      <c r="AD5" s="134" t="n"/>
      <c r="AE5" s="133" t="n"/>
      <c r="AF5" s="133" t="inlineStr">
        <is>
          <t>普通自動車免許は卒業後に取得予定です。</t>
        </is>
      </c>
      <c r="AH5">
        <f>SUBSTITUTE(SUBSTITUTE(D5," ",""),"　","")</f>
        <v/>
      </c>
    </row>
    <row r="6" ht="28" customHeight="1" s="118">
      <c r="A6" s="132" t="n">
        <v>2</v>
      </c>
      <c r="B6" s="132" t="inlineStr">
        <is>
          <t>3年2組</t>
        </is>
      </c>
      <c r="C6" s="132" t="n">
        <v>2</v>
      </c>
      <c r="D6" s="133" t="inlineStr">
        <is>
          <t>近畿 花子</t>
        </is>
      </c>
      <c r="E6" s="133" t="inlineStr">
        <is>
          <t>きんき はなこ</t>
        </is>
      </c>
      <c r="F6" s="134" t="n">
        <v>39755</v>
      </c>
      <c r="G6" s="135" t="inlineStr">
        <is>
          <t>5900001</t>
        </is>
      </c>
      <c r="H6" s="133" t="inlineStr">
        <is>
          <t>大阪府堺市堺区南瓦町3-1 テストレジデンス2201号室</t>
        </is>
      </c>
      <c r="I6" s="136">
        <f>IF(G6="","",IFERROR(VLOOKUP(TEXT(VALUE(SUBSTITUTE(G6,"-","")),"0000000"),郵便番号!$A:$C,3,FALSE),""))</f>
        <v/>
      </c>
      <c r="J6" s="135" t="inlineStr">
        <is>
          <t>5980048</t>
        </is>
      </c>
      <c r="K6" s="133" t="inlineStr">
        <is>
          <t>大阪府泉佐野市りんくう往来北1-1 保護者 近畿一郎方</t>
        </is>
      </c>
      <c r="L6" s="136">
        <f>IF(J6="","",IFERROR(VLOOKUP(TEXT(VALUE(SUBSTITUTE(J6,"-","")),"0000000"),郵便番号!$A:$C,3,FALSE),""))</f>
        <v/>
      </c>
      <c r="M6" s="133" t="inlineStr">
        <is>
          <t>産業創造系製品開発科（専科）</t>
        </is>
      </c>
      <c r="N6" s="133" t="inlineStr">
        <is>
          <t>計算技術検定3級</t>
        </is>
      </c>
      <c r="O6" s="134" t="n">
        <v>45597</v>
      </c>
      <c r="P6" s="133" t="inlineStr">
        <is>
          <t>基礎製図検定</t>
        </is>
      </c>
      <c r="Q6" s="134" t="n">
        <v>45413</v>
      </c>
      <c r="R6" s="133" t="n"/>
      <c r="S6" s="134" t="n"/>
      <c r="T6" s="133" t="n"/>
      <c r="U6" s="134" t="n"/>
      <c r="V6" s="133" t="n"/>
      <c r="W6" s="134" t="n"/>
      <c r="X6" s="133" t="n"/>
      <c r="Y6" s="134" t="n"/>
      <c r="Z6" s="133" t="inlineStr">
        <is>
          <t>・生徒会 会計（2年）
・吹奏楽部 パートリーダー（3年）
・海岸清掃活動に参加（1年〜3年）</t>
        </is>
      </c>
      <c r="AA6" s="133" t="inlineStr">
        <is>
          <t>工場見学で、たくさんの部品が計画どおりに動いて製品になる仕組みに興味を持ちました。簿記と情報の授業で学んだことを活かして、現場を支える仕事に就きたいと考え志望しました。
生産管理・事務
3年間、無遅刻無欠席で続けてきました。人と話すことが好きで、部活動では初心者の後輩の指導を担当しました。</t>
        </is>
      </c>
      <c r="AB6" s="134" t="n"/>
      <c r="AC6" s="133" t="n"/>
      <c r="AD6" s="134" t="n"/>
      <c r="AE6" s="133" t="n"/>
      <c r="AF6" s="133" t="n"/>
      <c r="AH6">
        <f>SUBSTITUTE(SUBSTITUTE(D6," ",""),"　","")</f>
        <v/>
      </c>
    </row>
    <row r="7" ht="28" customHeight="1" s="118">
      <c r="A7" s="132" t="n">
        <v>3</v>
      </c>
      <c r="B7" s="132" t="inlineStr">
        <is>
          <t>3年2組</t>
        </is>
      </c>
      <c r="C7" s="132" t="n">
        <v>3</v>
      </c>
      <c r="D7" s="133" t="inlineStr">
        <is>
          <t>泉州 一郎</t>
        </is>
      </c>
      <c r="E7" s="133" t="inlineStr">
        <is>
          <t>せんしゅう いちろう</t>
        </is>
      </c>
      <c r="F7" s="134" t="n">
        <v>39467</v>
      </c>
      <c r="G7" s="135" t="inlineStr">
        <is>
          <t>5960076</t>
        </is>
      </c>
      <c r="H7" s="133" t="inlineStr">
        <is>
          <t>大阪府岸和田市野田町1-1-1</t>
        </is>
      </c>
      <c r="I7" s="136">
        <f>IF(G7="","",IFERROR(VLOOKUP(TEXT(VALUE(SUBSTITUTE(G7,"-","")),"0000000"),郵便番号!$A:$C,3,FALSE),""))</f>
        <v/>
      </c>
      <c r="J7" s="135" t="n"/>
      <c r="K7" s="133" t="n"/>
      <c r="L7" s="136">
        <f>IF(J7="","",IFERROR(VLOOKUP(TEXT(VALUE(SUBSTITUTE(J7,"-","")),"0000000"),郵便番号!$A:$C,3,FALSE),""))</f>
        <v/>
      </c>
      <c r="M7" s="133" t="inlineStr">
        <is>
          <t>電気系電気技術科（専科）</t>
        </is>
      </c>
      <c r="N7" s="133" t="inlineStr">
        <is>
          <t>小型フォークリフト運転特別教育講習修了</t>
        </is>
      </c>
      <c r="O7" s="134" t="n">
        <v>45870</v>
      </c>
      <c r="P7" s="133" t="n"/>
      <c r="Q7" s="134" t="n"/>
      <c r="R7" s="133" t="n"/>
      <c r="S7" s="134" t="n"/>
      <c r="T7" s="133" t="n"/>
      <c r="U7" s="134" t="n"/>
      <c r="V7" s="133" t="n"/>
      <c r="W7" s="134" t="n"/>
      <c r="X7" s="133" t="n"/>
      <c r="Y7" s="134" t="n"/>
      <c r="Z7" s="133" t="inlineStr">
        <is>
          <t>・ソフトテニス部 主将（3年）
・泉州オープンファクトリー参加（2年）</t>
        </is>
      </c>
      <c r="AA7" s="133" t="inlineStr">
        <is>
          <t>インターンシップで貴社の現場を見学し、機械を扱う正確さに憧れました。基礎から学んで一人前になりたいと思い志望しました。
機械オペレーター
部活動で主将を務め、練習メニューを考えて部員をまとめました。体力に自信があります。</t>
        </is>
      </c>
      <c r="AB7" s="134" t="n"/>
      <c r="AC7" s="133" t="n"/>
      <c r="AD7" s="134" t="n"/>
      <c r="AE7" s="133" t="n"/>
      <c r="AF7" s="133" t="n"/>
      <c r="AH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4" t="n"/>
      <c r="AC8" s="133" t="n"/>
      <c r="AD8" s="134" t="n"/>
      <c r="AE8" s="133" t="n"/>
      <c r="AF8" s="133" t="n"/>
      <c r="AH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4" t="n"/>
      <c r="AC9" s="133" t="n"/>
      <c r="AD9" s="134" t="n"/>
      <c r="AE9" s="133" t="n"/>
      <c r="AF9" s="133" t="n"/>
      <c r="AH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4" t="n"/>
      <c r="AC10" s="133" t="n"/>
      <c r="AD10" s="134" t="n"/>
      <c r="AE10" s="133" t="n"/>
      <c r="AF10" s="133" t="n"/>
      <c r="AH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4" t="n"/>
      <c r="AC11" s="133" t="n"/>
      <c r="AD11" s="134" t="n"/>
      <c r="AE11" s="133" t="n"/>
      <c r="AF11" s="133" t="n"/>
      <c r="AH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4" t="n"/>
      <c r="AC12" s="133" t="n"/>
      <c r="AD12" s="134" t="n"/>
      <c r="AE12" s="133" t="n"/>
      <c r="AF12" s="133" t="n"/>
      <c r="AH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4" t="n"/>
      <c r="AC13" s="133" t="n"/>
      <c r="AD13" s="134" t="n"/>
      <c r="AE13" s="133" t="n"/>
      <c r="AF13" s="133" t="n"/>
      <c r="AH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4" t="n"/>
      <c r="AC14" s="133" t="n"/>
      <c r="AD14" s="134" t="n"/>
      <c r="AE14" s="133" t="n"/>
      <c r="AF14" s="133" t="n"/>
      <c r="AH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4" t="n"/>
      <c r="AC15" s="133" t="n"/>
      <c r="AD15" s="134" t="n"/>
      <c r="AE15" s="133" t="n"/>
      <c r="AF15" s="133" t="n"/>
      <c r="AH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4" t="n"/>
      <c r="AC16" s="133" t="n"/>
      <c r="AD16" s="134" t="n"/>
      <c r="AE16" s="133" t="n"/>
      <c r="AF16" s="133" t="n"/>
      <c r="AH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4" t="n"/>
      <c r="AC17" s="133" t="n"/>
      <c r="AD17" s="134" t="n"/>
      <c r="AE17" s="133" t="n"/>
      <c r="AF17" s="133" t="n"/>
      <c r="AH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4" t="n"/>
      <c r="AC18" s="133" t="n"/>
      <c r="AD18" s="134" t="n"/>
      <c r="AE18" s="133" t="n"/>
      <c r="AF18" s="133" t="n"/>
      <c r="AH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4" t="n"/>
      <c r="AC19" s="133" t="n"/>
      <c r="AD19" s="134" t="n"/>
      <c r="AE19" s="133" t="n"/>
      <c r="AF19" s="133" t="n"/>
      <c r="AH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4" t="n"/>
      <c r="AC20" s="133" t="n"/>
      <c r="AD20" s="134" t="n"/>
      <c r="AE20" s="133" t="n"/>
      <c r="AF20" s="133" t="n"/>
      <c r="AH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4" t="n"/>
      <c r="AC21" s="133" t="n"/>
      <c r="AD21" s="134" t="n"/>
      <c r="AE21" s="133" t="n"/>
      <c r="AF21" s="133" t="n"/>
      <c r="AH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4" t="n"/>
      <c r="AC22" s="133" t="n"/>
      <c r="AD22" s="134" t="n"/>
      <c r="AE22" s="133" t="n"/>
      <c r="AF22" s="133" t="n"/>
      <c r="AH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4" t="n"/>
      <c r="AC23" s="133" t="n"/>
      <c r="AD23" s="134" t="n"/>
      <c r="AE23" s="133" t="n"/>
      <c r="AF23" s="133" t="n"/>
      <c r="AH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4" t="n"/>
      <c r="AC24" s="133" t="n"/>
      <c r="AD24" s="134" t="n"/>
      <c r="AE24" s="133" t="n"/>
      <c r="AF24" s="133" t="n"/>
      <c r="AH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4" t="n"/>
      <c r="AC25" s="133" t="n"/>
      <c r="AD25" s="134" t="n"/>
      <c r="AE25" s="133" t="n"/>
      <c r="AF25" s="133" t="n"/>
      <c r="AH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4" t="n"/>
      <c r="AC26" s="133" t="n"/>
      <c r="AD26" s="134" t="n"/>
      <c r="AE26" s="133" t="n"/>
      <c r="AF26" s="133" t="n"/>
      <c r="AH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4" t="n"/>
      <c r="AC27" s="133" t="n"/>
      <c r="AD27" s="134" t="n"/>
      <c r="AE27" s="133" t="n"/>
      <c r="AF27" s="133" t="n"/>
      <c r="AH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4" t="n"/>
      <c r="AC28" s="133" t="n"/>
      <c r="AD28" s="134" t="n"/>
      <c r="AE28" s="133" t="n"/>
      <c r="AF28" s="133" t="n"/>
      <c r="AH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4" t="n"/>
      <c r="AC29" s="133" t="n"/>
      <c r="AD29" s="134" t="n"/>
      <c r="AE29" s="133" t="n"/>
      <c r="AF29" s="133" t="n"/>
      <c r="AH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4" t="n"/>
      <c r="AC30" s="133" t="n"/>
      <c r="AD30" s="134" t="n"/>
      <c r="AE30" s="133" t="n"/>
      <c r="AF30" s="133" t="n"/>
      <c r="AH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4" t="n"/>
      <c r="AC31" s="133" t="n"/>
      <c r="AD31" s="134" t="n"/>
      <c r="AE31" s="133" t="n"/>
      <c r="AF31" s="133" t="n"/>
      <c r="AH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4" t="n"/>
      <c r="AC32" s="133" t="n"/>
      <c r="AD32" s="134" t="n"/>
      <c r="AE32" s="133" t="n"/>
      <c r="AF32" s="133" t="n"/>
      <c r="AH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4" t="n"/>
      <c r="AC33" s="133" t="n"/>
      <c r="AD33" s="134" t="n"/>
      <c r="AE33" s="133" t="n"/>
      <c r="AF33" s="133" t="n"/>
      <c r="AH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4" t="n"/>
      <c r="AC34" s="133" t="n"/>
      <c r="AD34" s="134" t="n"/>
      <c r="AE34" s="133" t="n"/>
      <c r="AF34" s="133" t="n"/>
      <c r="AH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4" t="n"/>
      <c r="AC35" s="133" t="n"/>
      <c r="AD35" s="134" t="n"/>
      <c r="AE35" s="133" t="n"/>
      <c r="AF35" s="133" t="n"/>
      <c r="AH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4" t="n"/>
      <c r="AC36" s="133" t="n"/>
      <c r="AD36" s="134" t="n"/>
      <c r="AE36" s="133" t="n"/>
      <c r="AF36" s="133" t="n"/>
      <c r="AH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4" t="n"/>
      <c r="AC37" s="133" t="n"/>
      <c r="AD37" s="134" t="n"/>
      <c r="AE37" s="133" t="n"/>
      <c r="AF37" s="133" t="n"/>
      <c r="AH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4" t="n"/>
      <c r="AC38" s="133" t="n"/>
      <c r="AD38" s="134" t="n"/>
      <c r="AE38" s="133" t="n"/>
      <c r="AF38" s="133" t="n"/>
      <c r="AH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4" t="n"/>
      <c r="AC39" s="133" t="n"/>
      <c r="AD39" s="134" t="n"/>
      <c r="AE39" s="133" t="n"/>
      <c r="AF39" s="133" t="n"/>
      <c r="AH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4" t="n"/>
      <c r="AC40" s="133" t="n"/>
      <c r="AD40" s="134" t="n"/>
      <c r="AE40" s="133" t="n"/>
      <c r="AF40" s="133" t="n"/>
      <c r="AH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4" t="n"/>
      <c r="AC41" s="133" t="n"/>
      <c r="AD41" s="134" t="n"/>
      <c r="AE41" s="133" t="n"/>
      <c r="AF41" s="133" t="n"/>
      <c r="AH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4" t="n"/>
      <c r="AC42" s="133" t="n"/>
      <c r="AD42" s="134" t="n"/>
      <c r="AE42" s="133" t="n"/>
      <c r="AF42" s="133" t="n"/>
      <c r="AH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4" t="n"/>
      <c r="AC43" s="133" t="n"/>
      <c r="AD43" s="134" t="n"/>
      <c r="AE43" s="133" t="n"/>
      <c r="AF43" s="133" t="n"/>
      <c r="AH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4" t="n"/>
      <c r="AC44" s="133" t="n"/>
      <c r="AD44" s="134" t="n"/>
      <c r="AE44" s="133" t="n"/>
      <c r="AF44" s="133" t="n"/>
      <c r="AH44">
        <f>SUBSTITUTE(SUBSTITUTE(D44," ",""),"　","")</f>
        <v/>
      </c>
    </row>
  </sheetData>
  <mergeCells count="6">
    <mergeCell ref="A2:F2"/>
    <mergeCell ref="G2:I2"/>
    <mergeCell ref="J2:L2"/>
    <mergeCell ref="N2:Y2"/>
    <mergeCell ref="A1:B1"/>
    <mergeCell ref="AB2:AE2"/>
  </mergeCells>
  <conditionalFormatting sqref="A5:AF44">
    <cfRule type="expression" priority="1" dxfId="0" stopIfTrue="1">
      <formula>$D5=""</formula>
    </cfRule>
  </conditionalFormatting>
  <dataValidations count="7">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現住所と違うときだけ入れてください。無記入なら空欄で印刷され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 sqref="AA5:AA44" showDropDown="0" showInputMessage="1" showErrorMessage="0" allowBlank="1" promptTitle="志望の動機・希望の職種・アピールポイント" prompt="志望の動機・希望の職種・アピールポイントを続けて書きます。改行は Alt+Enter。用紙には見出しなしでそのまま印字され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E4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hidden="1" width="13"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 width="34" customWidth="1" style="118" min="31" max="31"/>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　1人あたりの取込は20件までです（「入力」シートの手入力6件と合わせて最大26件）。</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判定</t>
        </is>
      </c>
      <c r="W5" s="137" t="inlineStr">
        <is>
          <t>有効</t>
        </is>
      </c>
      <c r="X5" s="137" t="inlineStr">
        <is>
          <t>行</t>
        </is>
      </c>
      <c r="Y5" s="137" t="inlineStr">
        <is>
          <t>順位</t>
        </is>
      </c>
      <c r="Z5" s="137" t="inlineStr">
        <is>
          <t>キー</t>
        </is>
      </c>
      <c r="AE5" s="137" t="inlineStr">
        <is>
          <t>状態</t>
        </is>
      </c>
    </row>
    <row r="6">
      <c r="A6" s="138" t="inlineStr">
        <is>
          <t>3-2-1	佐野 太郎	計算技術検定3級	令和6年11月15日</t>
        </is>
      </c>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",""),入力!$AH$5:$AH$44,0),"")))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$405,T6,$R$6:$R$405,R6,$X$6:$X$405,"&lt;"&amp;X6))&gt;0,"重複","反映")))))</f>
        <v/>
      </c>
      <c r="W6">
        <f>IF(V6="反映",1,0)</f>
        <v/>
      </c>
      <c r="X6" t="n">
        <v>6</v>
      </c>
      <c r="Y6">
        <f>IF(W6=0,"",COUNTIFS($T$6:$T$405,T6,$W$6:$W$405,1,$S$6:$S$405,"&lt;"&amp;S6)+COUNTIFS($T$6:$T$405,T6,$W$6:$W$405,1,$S$6:$S$405,S6,$X$6:$X$405,"&lt;"&amp;X6)+1)</f>
        <v/>
      </c>
      <c r="Z6">
        <f>IF(Y6="","",T6&amp;"_"&amp;Y6)</f>
        <v/>
      </c>
      <c r="AA6">
        <f>SUBSTITUTE(SUBSTITUTE(SUBSTITUTE(SUBSTITUTE(SUBSTITUTE(INDEX(D6:K6,MIN(8,MAX(1,C6))),"年","/"),"月","/"),"日",""),"-","/"),".","/")</f>
        <v/>
      </c>
      <c r="AB6">
        <f>IFERROR(MATCH(O6,入力!$C$5:$C$44,0),"")</f>
        <v/>
      </c>
      <c r="AC6">
        <f>IF(AB6="","",INDEX(入力!$AH$5:$AH$44,AB6))</f>
        <v/>
      </c>
      <c r="AD6">
        <f>IF(INDEX($D6:$K6,IF(M6=1,2,1))=AC6,1,IF(INDEX($D6:$K6,IF(M6=1,2,1))&amp;INDEX($D6:$K6,IF(M6=1,2,1)+1)=AC6,2,IF(INDEX($D6:$K6,IF(M6=1,2,1))&amp;INDEX($D6:$K6,IF(M6=1,2,1)+1)&amp;INDEX($D6:$K6,IF(M6=1,2,1)+2)=AC6,3,IF(AB6&lt;&gt;"",2,IF(ISNUMBER(MATCH(INDEX($D6:$K6,IF(M6=1,2,1)),入力!$AH$5:$AH$44,0)),1,IF(ISNUMBER(MATCH(INDEX($D6:$K6,IF(M6=1,2,1))&amp;INDEX($D6:$K6,IF(M6=1,2,1)+1),入力!$AH$5:$AH$44,0)),2,IF(ISNUMBER(MATCH(INDEX($D6:$K6,IF(M6=1,2,1))&amp;INDEX($D6:$K6,IF(M6=1,2,1)+1)&amp;INDEX($D6:$K6,IF(M6=1,2,1)+2),入力!$AH$5:$AH$44,0)),3,2)))))))</f>
        <v/>
      </c>
      <c r="AE6">
        <f>IF(V6="","",IF(AND(V6="反映",N(Y6)&gt;20),"要確認（この生徒の取込が20件を超えました）",V6))</f>
        <v/>
      </c>
    </row>
    <row r="7">
      <c r="A7" s="138" t="inlineStr">
        <is>
          <t>3-2-2 近畿 花子 実用英語検定2級 2025/6/8</t>
        </is>
      </c>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",""),入力!$AH$5:$AH$44,0),"")))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$405,T7,$R$6:$R$405,R7,$X$6:$X$405,"&lt;"&amp;X7))&gt;0,"重複","反映")))))</f>
        <v/>
      </c>
      <c r="W7">
        <f>IF(V7="反映",1,0)</f>
        <v/>
      </c>
      <c r="X7" t="n">
        <v>7</v>
      </c>
      <c r="Y7">
        <f>IF(W7=0,"",COUNTIFS($T$6:$T$405,T7,$W$6:$W$405,1,$S$6:$S$405,"&lt;"&amp;S7)+COUNTIFS($T$6:$T$405,T7,$W$6:$W$405,1,$S$6:$S$405,S7,$X$6:$X$405,"&lt;"&amp;X7)+1)</f>
        <v/>
      </c>
      <c r="Z7">
        <f>IF(Y7="","",T7&amp;"_"&amp;Y7)</f>
        <v/>
      </c>
      <c r="AA7">
        <f>SUBSTITUTE(SUBSTITUTE(SUBSTITUTE(SUBSTITUTE(SUBSTITUTE(INDEX(D7:K7,MIN(8,MAX(1,C7))),"年","/"),"月","/"),"日",""),"-","/"),".","/")</f>
        <v/>
      </c>
      <c r="AB7">
        <f>IFERROR(MATCH(O7,入力!$C$5:$C$44,0),"")</f>
        <v/>
      </c>
      <c r="AC7">
        <f>IF(AB7="","",INDEX(入力!$AH$5:$AH$44,AB7))</f>
        <v/>
      </c>
      <c r="AD7">
        <f>IF(INDEX($D7:$K7,IF(M7=1,2,1))=AC7,1,IF(INDEX($D7:$K7,IF(M7=1,2,1))&amp;INDEX($D7:$K7,IF(M7=1,2,1)+1)=AC7,2,IF(INDEX($D7:$K7,IF(M7=1,2,1))&amp;INDEX($D7:$K7,IF(M7=1,2,1)+1)&amp;INDEX($D7:$K7,IF(M7=1,2,1)+2)=AC7,3,IF(AB7&lt;&gt;"",2,IF(ISNUMBER(MATCH(INDEX($D7:$K7,IF(M7=1,2,1)),入力!$AH$5:$AH$44,0)),1,IF(ISNUMBER(MATCH(INDEX($D7:$K7,IF(M7=1,2,1))&amp;INDEX($D7:$K7,IF(M7=1,2,1)+1),入力!$AH$5:$AH$44,0)),2,IF(ISNUMBER(MATCH(INDEX($D7:$K7,IF(M7=1,2,1))&amp;INDEX($D7:$K7,IF(M7=1,2,1)+1)&amp;INDEX($D7:$K7,IF(M7=1,2,1)+2),入力!$AH$5:$AH$44,0)),3,2)))))))</f>
        <v/>
      </c>
      <c r="AE7">
        <f>IF(V7="","",IF(AND(V7="反映",N(Y7)&gt;20),"要確認（この生徒の取込が20件を超えました）",V7))</f>
        <v/>
      </c>
    </row>
    <row r="8">
      <c r="A8" s="138" t="inlineStr">
        <is>
          <t>3-2-3　泉州 一郎	危険物取扱者乙4	令和7年3月14日</t>
        </is>
      </c>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",""),入力!$AH$5:$AH$44,0),"")))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$405,T8,$R$6:$R$405,R8,$X$6:$X$405,"&lt;"&amp;X8))&gt;0,"重複","反映")))))</f>
        <v/>
      </c>
      <c r="W8">
        <f>IF(V8="反映",1,0)</f>
        <v/>
      </c>
      <c r="X8" t="n">
        <v>8</v>
      </c>
      <c r="Y8">
        <f>IF(W8=0,"",COUNTIFS($T$6:$T$405,T8,$W$6:$W$405,1,$S$6:$S$405,"&lt;"&amp;S8)+COUNTIFS($T$6:$T$405,T8,$W$6:$W$405,1,$S$6:$S$405,S8,$X$6:$X$405,"&lt;"&amp;X8)+1)</f>
        <v/>
      </c>
      <c r="Z8">
        <f>IF(Y8="","",T8&amp;"_"&amp;Y8)</f>
        <v/>
      </c>
      <c r="AA8">
        <f>SUBSTITUTE(SUBSTITUTE(SUBSTITUTE(SUBSTITUTE(SUBSTITUTE(INDEX(D8:K8,MIN(8,MAX(1,C8))),"年","/"),"月","/"),"日",""),"-","/"),".","/")</f>
        <v/>
      </c>
      <c r="AB8">
        <f>IFERROR(MATCH(O8,入力!$C$5:$C$44,0),"")</f>
        <v/>
      </c>
      <c r="AC8">
        <f>IF(AB8="","",INDEX(入力!$AH$5:$AH$44,AB8))</f>
        <v/>
      </c>
      <c r="AD8">
        <f>IF(INDEX($D8:$K8,IF(M8=1,2,1))=AC8,1,IF(INDEX($D8:$K8,IF(M8=1,2,1))&amp;INDEX($D8:$K8,IF(M8=1,2,1)+1)=AC8,2,IF(INDEX($D8:$K8,IF(M8=1,2,1))&amp;INDEX($D8:$K8,IF(M8=1,2,1)+1)&amp;INDEX($D8:$K8,IF(M8=1,2,1)+2)=AC8,3,IF(AB8&lt;&gt;"",2,IF(ISNUMBER(MATCH(INDEX($D8:$K8,IF(M8=1,2,1)),入力!$AH$5:$AH$44,0)),1,IF(ISNUMBER(MATCH(INDEX($D8:$K8,IF(M8=1,2,1))&amp;INDEX($D8:$K8,IF(M8=1,2,1)+1),入力!$AH$5:$AH$44,0)),2,IF(ISNUMBER(MATCH(INDEX($D8:$K8,IF(M8=1,2,1))&amp;INDEX($D8:$K8,IF(M8=1,2,1)+1)&amp;INDEX($D8:$K8,IF(M8=1,2,1)+2),入力!$AH$5:$AH$44,0)),3,2)))))))</f>
        <v/>
      </c>
      <c r="AE8">
        <f>IF(V8="","",IF(AND(V8="反映",N(Y8)&gt;20),"要確認（この生徒の取込が20件を超えました）",V8))</f>
        <v/>
      </c>
    </row>
    <row r="9">
      <c r="A9" s="138" t="inlineStr">
        <is>
          <t>3-2-2 近畿 花子 技能検定　機械加工（普通旋盤作業）3級 令和7年7月13日</t>
        </is>
      </c>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",""),入力!$AH$5:$AH$44,0),"")))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$405,T9,$R$6:$R$405,R9,$X$6:$X$405,"&lt;"&amp;X9))&gt;0,"重複","反映")))))</f>
        <v/>
      </c>
      <c r="W9">
        <f>IF(V9="反映",1,0)</f>
        <v/>
      </c>
      <c r="X9" t="n">
        <v>9</v>
      </c>
      <c r="Y9">
        <f>IF(W9=0,"",COUNTIFS($T$6:$T$405,T9,$W$6:$W$405,1,$S$6:$S$405,"&lt;"&amp;S9)+COUNTIFS($T$6:$T$405,T9,$W$6:$W$405,1,$S$6:$S$405,S9,$X$6:$X$405,"&lt;"&amp;X9)+1)</f>
        <v/>
      </c>
      <c r="Z9">
        <f>IF(Y9="","",T9&amp;"_"&amp;Y9)</f>
        <v/>
      </c>
      <c r="AA9">
        <f>SUBSTITUTE(SUBSTITUTE(SUBSTITUTE(SUBSTITUTE(SUBSTITUTE(INDEX(D9:K9,MIN(8,MAX(1,C9))),"年","/"),"月","/"),"日",""),"-","/"),".","/")</f>
        <v/>
      </c>
      <c r="AB9">
        <f>IFERROR(MATCH(O9,入力!$C$5:$C$44,0),"")</f>
        <v/>
      </c>
      <c r="AC9">
        <f>IF(AB9="","",INDEX(入力!$AH$5:$AH$44,AB9))</f>
        <v/>
      </c>
      <c r="AD9">
        <f>IF(INDEX($D9:$K9,IF(M9=1,2,1))=AC9,1,IF(INDEX($D9:$K9,IF(M9=1,2,1))&amp;INDEX($D9:$K9,IF(M9=1,2,1)+1)=AC9,2,IF(INDEX($D9:$K9,IF(M9=1,2,1))&amp;INDEX($D9:$K9,IF(M9=1,2,1)+1)&amp;INDEX($D9:$K9,IF(M9=1,2,1)+2)=AC9,3,IF(AB9&lt;&gt;"",2,IF(ISNUMBER(MATCH(INDEX($D9:$K9,IF(M9=1,2,1)),入力!$AH$5:$AH$44,0)),1,IF(ISNUMBER(MATCH(INDEX($D9:$K9,IF(M9=1,2,1))&amp;INDEX($D9:$K9,IF(M9=1,2,1)+1),入力!$AH$5:$AH$44,0)),2,IF(ISNUMBER(MATCH(INDEX($D9:$K9,IF(M9=1,2,1))&amp;INDEX($D9:$K9,IF(M9=1,2,1)+1)&amp;INDEX($D9:$K9,IF(M9=1,2,1)+2),入力!$AH$5:$AH$44,0)),3,2)))))))</f>
        <v/>
      </c>
      <c r="AE9">
        <f>IF(V9="","",IF(AND(V9="反映",N(Y9)&gt;20),"要確認（この生徒の取込が20件を超えました）",V9))</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",""),入力!$AH$5:$AH$44,0),"")))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$405,T10,$R$6:$R$405,R10,$X$6:$X$405,"&lt;"&amp;X10))&gt;0,"重複","反映")))))</f>
        <v/>
      </c>
      <c r="W10">
        <f>IF(V10="反映",1,0)</f>
        <v/>
      </c>
      <c r="X10" t="n">
        <v>10</v>
      </c>
      <c r="Y10">
        <f>IF(W10=0,"",COUNTIFS($T$6:$T$405,T10,$W$6:$W$405,1,$S$6:$S$405,"&lt;"&amp;S10)+COUNTIFS($T$6:$T$405,T10,$W$6:$W$405,1,$S$6:$S$405,S10,$X$6:$X$405,"&lt;"&amp;X10)+1)</f>
        <v/>
      </c>
      <c r="Z10">
        <f>IF(Y10="","",T10&amp;"_"&amp;Y10)</f>
        <v/>
      </c>
      <c r="AA10">
        <f>SUBSTITUTE(SUBSTITUTE(SUBSTITUTE(SUBSTITUTE(SUBSTITUTE(INDEX(D10:K10,MIN(8,MAX(1,C10))),"年","/"),"月","/"),"日",""),"-","/"),".","/")</f>
        <v/>
      </c>
      <c r="AB10">
        <f>IFERROR(MATCH(O10,入力!$C$5:$C$44,0),"")</f>
        <v/>
      </c>
      <c r="AC10">
        <f>IF(AB10="","",INDEX(入力!$AH$5:$AH$44,AB10))</f>
        <v/>
      </c>
      <c r="AD10">
        <f>IF(INDEX($D10:$K10,IF(M10=1,2,1))=AC10,1,IF(INDEX($D10:$K10,IF(M10=1,2,1))&amp;INDEX($D10:$K10,IF(M10=1,2,1)+1)=AC10,2,IF(INDEX($D10:$K10,IF(M10=1,2,1))&amp;INDEX($D10:$K10,IF(M10=1,2,1)+1)&amp;INDEX($D10:$K10,IF(M10=1,2,1)+2)=AC10,3,IF(AB10&lt;&gt;"",2,IF(ISNUMBER(MATCH(INDEX($D10:$K10,IF(M10=1,2,1)),入力!$AH$5:$AH$44,0)),1,IF(ISNUMBER(MATCH(INDEX($D10:$K10,IF(M10=1,2,1))&amp;INDEX($D10:$K10,IF(M10=1,2,1)+1),入力!$AH$5:$AH$44,0)),2,IF(ISNUMBER(MATCH(INDEX($D10:$K10,IF(M10=1,2,1))&amp;INDEX($D10:$K10,IF(M10=1,2,1)+1)&amp;INDEX($D10:$K10,IF(M10=1,2,1)+2),入力!$AH$5:$AH$44,0)),3,2)))))))</f>
        <v/>
      </c>
      <c r="AE10">
        <f>IF(V10="","",IF(AND(V10="反映",N(Y10)&gt;20),"要確認（この生徒の取込が20件を超えました）",V10))</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",""),入力!$AH$5:$AH$44,0),"")))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$405,T11,$R$6:$R$405,R11,$X$6:$X$405,"&lt;"&amp;X11))&gt;0,"重複","反映")))))</f>
        <v/>
      </c>
      <c r="W11">
        <f>IF(V11="反映",1,0)</f>
        <v/>
      </c>
      <c r="X11" t="n">
        <v>11</v>
      </c>
      <c r="Y11">
        <f>IF(W11=0,"",COUNTIFS($T$6:$T$405,T11,$W$6:$W$405,1,$S$6:$S$405,"&lt;"&amp;S11)+COUNTIFS($T$6:$T$405,T11,$W$6:$W$405,1,$S$6:$S$405,S11,$X$6:$X$405,"&lt;"&amp;X11)+1)</f>
        <v/>
      </c>
      <c r="Z11">
        <f>IF(Y11="","",T11&amp;"_"&amp;Y11)</f>
        <v/>
      </c>
      <c r="AA11">
        <f>SUBSTITUTE(SUBSTITUTE(SUBSTITUTE(SUBSTITUTE(SUBSTITUTE(INDEX(D11:K11,MIN(8,MAX(1,C11))),"年","/"),"月","/"),"日",""),"-","/"),".","/")</f>
        <v/>
      </c>
      <c r="AB11">
        <f>IFERROR(MATCH(O11,入力!$C$5:$C$44,0),"")</f>
        <v/>
      </c>
      <c r="AC11">
        <f>IF(AB11="","",INDEX(入力!$AH$5:$AH$44,AB11))</f>
        <v/>
      </c>
      <c r="AD11">
        <f>IF(INDEX($D11:$K11,IF(M11=1,2,1))=AC11,1,IF(INDEX($D11:$K11,IF(M11=1,2,1))&amp;INDEX($D11:$K11,IF(M11=1,2,1)+1)=AC11,2,IF(INDEX($D11:$K11,IF(M11=1,2,1))&amp;INDEX($D11:$K11,IF(M11=1,2,1)+1)&amp;INDEX($D11:$K11,IF(M11=1,2,1)+2)=AC11,3,IF(AB11&lt;&gt;"",2,IF(ISNUMBER(MATCH(INDEX($D11:$K11,IF(M11=1,2,1)),入力!$AH$5:$AH$44,0)),1,IF(ISNUMBER(MATCH(INDEX($D11:$K11,IF(M11=1,2,1))&amp;INDEX($D11:$K11,IF(M11=1,2,1)+1),入力!$AH$5:$AH$44,0)),2,IF(ISNUMBER(MATCH(INDEX($D11:$K11,IF(M11=1,2,1))&amp;INDEX($D11:$K11,IF(M11=1,2,1)+1)&amp;INDEX($D11:$K11,IF(M11=1,2,1)+2),入力!$AH$5:$AH$44,0)),3,2)))))))</f>
        <v/>
      </c>
      <c r="AE11">
        <f>IF(V11="","",IF(AND(V11="反映",N(Y11)&gt;20),"要確認（この生徒の取込が20件を超えました）",V11))</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",""),入力!$AH$5:$AH$44,0),"")))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$405,T12,$R$6:$R$405,R12,$X$6:$X$405,"&lt;"&amp;X12))&gt;0,"重複","反映")))))</f>
        <v/>
      </c>
      <c r="W12">
        <f>IF(V12="反映",1,0)</f>
        <v/>
      </c>
      <c r="X12" t="n">
        <v>12</v>
      </c>
      <c r="Y12">
        <f>IF(W12=0,"",COUNTIFS($T$6:$T$405,T12,$W$6:$W$405,1,$S$6:$S$405,"&lt;"&amp;S12)+COUNTIFS($T$6:$T$405,T12,$W$6:$W$405,1,$S$6:$S$405,S12,$X$6:$X$405,"&lt;"&amp;X12)+1)</f>
        <v/>
      </c>
      <c r="Z12">
        <f>IF(Y12="","",T12&amp;"_"&amp;Y12)</f>
        <v/>
      </c>
      <c r="AA12">
        <f>SUBSTITUTE(SUBSTITUTE(SUBSTITUTE(SUBSTITUTE(SUBSTITUTE(INDEX(D12:K12,MIN(8,MAX(1,C12))),"年","/"),"月","/"),"日",""),"-","/"),".","/")</f>
        <v/>
      </c>
      <c r="AB12">
        <f>IFERROR(MATCH(O12,入力!$C$5:$C$44,0),"")</f>
        <v/>
      </c>
      <c r="AC12">
        <f>IF(AB12="","",INDEX(入力!$AH$5:$AH$44,AB12))</f>
        <v/>
      </c>
      <c r="AD12">
        <f>IF(INDEX($D12:$K12,IF(M12=1,2,1))=AC12,1,IF(INDEX($D12:$K12,IF(M12=1,2,1))&amp;INDEX($D12:$K12,IF(M12=1,2,1)+1)=AC12,2,IF(INDEX($D12:$K12,IF(M12=1,2,1))&amp;INDEX($D12:$K12,IF(M12=1,2,1)+1)&amp;INDEX($D12:$K12,IF(M12=1,2,1)+2)=AC12,3,IF(AB12&lt;&gt;"",2,IF(ISNUMBER(MATCH(INDEX($D12:$K12,IF(M12=1,2,1)),入力!$AH$5:$AH$44,0)),1,IF(ISNUMBER(MATCH(INDEX($D12:$K12,IF(M12=1,2,1))&amp;INDEX($D12:$K12,IF(M12=1,2,1)+1),入力!$AH$5:$AH$44,0)),2,IF(ISNUMBER(MATCH(INDEX($D12:$K12,IF(M12=1,2,1))&amp;INDEX($D12:$K12,IF(M12=1,2,1)+1)&amp;INDEX($D12:$K12,IF(M12=1,2,1)+2),入力!$AH$5:$AH$44,0)),3,2)))))))</f>
        <v/>
      </c>
      <c r="AE12">
        <f>IF(V12="","",IF(AND(V12="反映",N(Y12)&gt;20),"要確認（この生徒の取込が20件を超えました）",V12))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",""),入力!$AH$5:$AH$44,0),"")))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$405,T13,$R$6:$R$405,R13,$X$6:$X$405,"&lt;"&amp;X13))&gt;0,"重複","反映")))))</f>
        <v/>
      </c>
      <c r="W13">
        <f>IF(V13="反映",1,0)</f>
        <v/>
      </c>
      <c r="X13" t="n">
        <v>13</v>
      </c>
      <c r="Y13">
        <f>IF(W13=0,"",COUNTIFS($T$6:$T$405,T13,$W$6:$W$405,1,$S$6:$S$405,"&lt;"&amp;S13)+COUNTIFS($T$6:$T$405,T13,$W$6:$W$405,1,$S$6:$S$405,S13,$X$6:$X$405,"&lt;"&amp;X13)+1)</f>
        <v/>
      </c>
      <c r="Z13">
        <f>IF(Y13="","",T13&amp;"_"&amp;Y13)</f>
        <v/>
      </c>
      <c r="AA13">
        <f>SUBSTITUTE(SUBSTITUTE(SUBSTITUTE(SUBSTITUTE(SUBSTITUTE(INDEX(D13:K13,MIN(8,MAX(1,C13))),"年","/"),"月","/"),"日",""),"-","/"),".","/")</f>
        <v/>
      </c>
      <c r="AB13">
        <f>IFERROR(MATCH(O13,入力!$C$5:$C$44,0),"")</f>
        <v/>
      </c>
      <c r="AC13">
        <f>IF(AB13="","",INDEX(入力!$AH$5:$AH$44,AB13))</f>
        <v/>
      </c>
      <c r="AD13">
        <f>IF(INDEX($D13:$K13,IF(M13=1,2,1))=AC13,1,IF(INDEX($D13:$K13,IF(M13=1,2,1))&amp;INDEX($D13:$K13,IF(M13=1,2,1)+1)=AC13,2,IF(INDEX($D13:$K13,IF(M13=1,2,1))&amp;INDEX($D13:$K13,IF(M13=1,2,1)+1)&amp;INDEX($D13:$K13,IF(M13=1,2,1)+2)=AC13,3,IF(AB13&lt;&gt;"",2,IF(ISNUMBER(MATCH(INDEX($D13:$K13,IF(M13=1,2,1)),入力!$AH$5:$AH$44,0)),1,IF(ISNUMBER(MATCH(INDEX($D13:$K13,IF(M13=1,2,1))&amp;INDEX($D13:$K13,IF(M13=1,2,1)+1),入力!$AH$5:$AH$44,0)),2,IF(ISNUMBER(MATCH(INDEX($D13:$K13,IF(M13=1,2,1))&amp;INDEX($D13:$K13,IF(M13=1,2,1)+1)&amp;INDEX($D13:$K13,IF(M13=1,2,1)+2),入力!$AH$5:$AH$44,0)),3,2)))))))</f>
        <v/>
      </c>
      <c r="AE13">
        <f>IF(V13="","",IF(AND(V13="反映",N(Y13)&gt;20),"要確認（この生徒の取込が20件を超えました）",V13))</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",""),入力!$AH$5:$AH$44,0),"")))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$405,T14,$R$6:$R$405,R14,$X$6:$X$405,"&lt;"&amp;X14))&gt;0,"重複","反映")))))</f>
        <v/>
      </c>
      <c r="W14">
        <f>IF(V14="反映",1,0)</f>
        <v/>
      </c>
      <c r="X14" t="n">
        <v>14</v>
      </c>
      <c r="Y14">
        <f>IF(W14=0,"",COUNTIFS($T$6:$T$405,T14,$W$6:$W$405,1,$S$6:$S$405,"&lt;"&amp;S14)+COUNTIFS($T$6:$T$405,T14,$W$6:$W$405,1,$S$6:$S$405,S14,$X$6:$X$405,"&lt;"&amp;X14)+1)</f>
        <v/>
      </c>
      <c r="Z14">
        <f>IF(Y14="","",T14&amp;"_"&amp;Y14)</f>
        <v/>
      </c>
      <c r="AA14">
        <f>SUBSTITUTE(SUBSTITUTE(SUBSTITUTE(SUBSTITUTE(SUBSTITUTE(INDEX(D14:K14,MIN(8,MAX(1,C14))),"年","/"),"月","/"),"日",""),"-","/"),".","/")</f>
        <v/>
      </c>
      <c r="AB14">
        <f>IFERROR(MATCH(O14,入力!$C$5:$C$44,0),"")</f>
        <v/>
      </c>
      <c r="AC14">
        <f>IF(AB14="","",INDEX(入力!$AH$5:$AH$44,AB14))</f>
        <v/>
      </c>
      <c r="AD14">
        <f>IF(INDEX($D14:$K14,IF(M14=1,2,1))=AC14,1,IF(INDEX($D14:$K14,IF(M14=1,2,1))&amp;INDEX($D14:$K14,IF(M14=1,2,1)+1)=AC14,2,IF(INDEX($D14:$K14,IF(M14=1,2,1))&amp;INDEX($D14:$K14,IF(M14=1,2,1)+1)&amp;INDEX($D14:$K14,IF(M14=1,2,1)+2)=AC14,3,IF(AB14&lt;&gt;"",2,IF(ISNUMBER(MATCH(INDEX($D14:$K14,IF(M14=1,2,1)),入力!$AH$5:$AH$44,0)),1,IF(ISNUMBER(MATCH(INDEX($D14:$K14,IF(M14=1,2,1))&amp;INDEX($D14:$K14,IF(M14=1,2,1)+1),入力!$AH$5:$AH$44,0)),2,IF(ISNUMBER(MATCH(INDEX($D14:$K14,IF(M14=1,2,1))&amp;INDEX($D14:$K14,IF(M14=1,2,1)+1)&amp;INDEX($D14:$K14,IF(M14=1,2,1)+2),入力!$AH$5:$AH$44,0)),3,2)))))))</f>
        <v/>
      </c>
      <c r="AE14">
        <f>IF(V14="","",IF(AND(V14="反映",N(Y14)&gt;20),"要確認（この生徒の取込が20件を超えました）",V14))</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",""),入力!$AH$5:$AH$44,0),"")))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$405,T15,$R$6:$R$405,R15,$X$6:$X$405,"&lt;"&amp;X15))&gt;0,"重複","反映")))))</f>
        <v/>
      </c>
      <c r="W15">
        <f>IF(V15="反映",1,0)</f>
        <v/>
      </c>
      <c r="X15" t="n">
        <v>15</v>
      </c>
      <c r="Y15">
        <f>IF(W15=0,"",COUNTIFS($T$6:$T$405,T15,$W$6:$W$405,1,$S$6:$S$405,"&lt;"&amp;S15)+COUNTIFS($T$6:$T$405,T15,$W$6:$W$405,1,$S$6:$S$405,S15,$X$6:$X$405,"&lt;"&amp;X15)+1)</f>
        <v/>
      </c>
      <c r="Z15">
        <f>IF(Y15="","",T15&amp;"_"&amp;Y15)</f>
        <v/>
      </c>
      <c r="AA15">
        <f>SUBSTITUTE(SUBSTITUTE(SUBSTITUTE(SUBSTITUTE(SUBSTITUTE(INDEX(D15:K15,MIN(8,MAX(1,C15))),"年","/"),"月","/"),"日",""),"-","/"),".","/")</f>
        <v/>
      </c>
      <c r="AB15">
        <f>IFERROR(MATCH(O15,入力!$C$5:$C$44,0),"")</f>
        <v/>
      </c>
      <c r="AC15">
        <f>IF(AB15="","",INDEX(入力!$AH$5:$AH$44,AB15))</f>
        <v/>
      </c>
      <c r="AD15">
        <f>IF(INDEX($D15:$K15,IF(M15=1,2,1))=AC15,1,IF(INDEX($D15:$K15,IF(M15=1,2,1))&amp;INDEX($D15:$K15,IF(M15=1,2,1)+1)=AC15,2,IF(INDEX($D15:$K15,IF(M15=1,2,1))&amp;INDEX($D15:$K15,IF(M15=1,2,1)+1)&amp;INDEX($D15:$K15,IF(M15=1,2,1)+2)=AC15,3,IF(AB15&lt;&gt;"",2,IF(ISNUMBER(MATCH(INDEX($D15:$K15,IF(M15=1,2,1)),入力!$AH$5:$AH$44,0)),1,IF(ISNUMBER(MATCH(INDEX($D15:$K15,IF(M15=1,2,1))&amp;INDEX($D15:$K15,IF(M15=1,2,1)+1),入力!$AH$5:$AH$44,0)),2,IF(ISNUMBER(MATCH(INDEX($D15:$K15,IF(M15=1,2,1))&amp;INDEX($D15:$K15,IF(M15=1,2,1)+1)&amp;INDEX($D15:$K15,IF(M15=1,2,1)+2),入力!$AH$5:$AH$44,0)),3,2)))))))</f>
        <v/>
      </c>
      <c r="AE15">
        <f>IF(V15="","",IF(AND(V15="反映",N(Y15)&gt;20),"要確認（この生徒の取込が20件を超えました）",V15))</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",""),入力!$AH$5:$AH$44,0),"")))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$405,T16,$R$6:$R$405,R16,$X$6:$X$405,"&lt;"&amp;X16))&gt;0,"重複","反映")))))</f>
        <v/>
      </c>
      <c r="W16">
        <f>IF(V16="反映",1,0)</f>
        <v/>
      </c>
      <c r="X16" t="n">
        <v>16</v>
      </c>
      <c r="Y16">
        <f>IF(W16=0,"",COUNTIFS($T$6:$T$405,T16,$W$6:$W$405,1,$S$6:$S$405,"&lt;"&amp;S16)+COUNTIFS($T$6:$T$405,T16,$W$6:$W$405,1,$S$6:$S$405,S16,$X$6:$X$405,"&lt;"&amp;X16)+1)</f>
        <v/>
      </c>
      <c r="Z16">
        <f>IF(Y16="","",T16&amp;"_"&amp;Y16)</f>
        <v/>
      </c>
      <c r="AA16">
        <f>SUBSTITUTE(SUBSTITUTE(SUBSTITUTE(SUBSTITUTE(SUBSTITUTE(INDEX(D16:K16,MIN(8,MAX(1,C16))),"年","/"),"月","/"),"日",""),"-","/"),".","/")</f>
        <v/>
      </c>
      <c r="AB16">
        <f>IFERROR(MATCH(O16,入力!$C$5:$C$44,0),"")</f>
        <v/>
      </c>
      <c r="AC16">
        <f>IF(AB16="","",INDEX(入力!$AH$5:$AH$44,AB16))</f>
        <v/>
      </c>
      <c r="AD16">
        <f>IF(INDEX($D16:$K16,IF(M16=1,2,1))=AC16,1,IF(INDEX($D16:$K16,IF(M16=1,2,1))&amp;INDEX($D16:$K16,IF(M16=1,2,1)+1)=AC16,2,IF(INDEX($D16:$K16,IF(M16=1,2,1))&amp;INDEX($D16:$K16,IF(M16=1,2,1)+1)&amp;INDEX($D16:$K16,IF(M16=1,2,1)+2)=AC16,3,IF(AB16&lt;&gt;"",2,IF(ISNUMBER(MATCH(INDEX($D16:$K16,IF(M16=1,2,1)),入力!$AH$5:$AH$44,0)),1,IF(ISNUMBER(MATCH(INDEX($D16:$K16,IF(M16=1,2,1))&amp;INDEX($D16:$K16,IF(M16=1,2,1)+1),入力!$AH$5:$AH$44,0)),2,IF(ISNUMBER(MATCH(INDEX($D16:$K16,IF(M16=1,2,1))&amp;INDEX($D16:$K16,IF(M16=1,2,1)+1)&amp;INDEX($D16:$K16,IF(M16=1,2,1)+2),入力!$AH$5:$AH$44,0)),3,2)))))))</f>
        <v/>
      </c>
      <c r="AE16">
        <f>IF(V16="","",IF(AND(V16="反映",N(Y16)&gt;20),"要確認（この生徒の取込が20件を超えました）",V16))</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",""),入力!$AH$5:$AH$44,0),"")))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$405,T17,$R$6:$R$405,R17,$X$6:$X$405,"&lt;"&amp;X17))&gt;0,"重複","反映")))))</f>
        <v/>
      </c>
      <c r="W17">
        <f>IF(V17="反映",1,0)</f>
        <v/>
      </c>
      <c r="X17" t="n">
        <v>17</v>
      </c>
      <c r="Y17">
        <f>IF(W17=0,"",COUNTIFS($T$6:$T$405,T17,$W$6:$W$405,1,$S$6:$S$405,"&lt;"&amp;S17)+COUNTIFS($T$6:$T$405,T17,$W$6:$W$405,1,$S$6:$S$405,S17,$X$6:$X$405,"&lt;"&amp;X17)+1)</f>
        <v/>
      </c>
      <c r="Z17">
        <f>IF(Y17="","",T17&amp;"_"&amp;Y17)</f>
        <v/>
      </c>
      <c r="AA17">
        <f>SUBSTITUTE(SUBSTITUTE(SUBSTITUTE(SUBSTITUTE(SUBSTITUTE(INDEX(D17:K17,MIN(8,MAX(1,C17))),"年","/"),"月","/"),"日",""),"-","/"),".","/")</f>
        <v/>
      </c>
      <c r="AB17">
        <f>IFERROR(MATCH(O17,入力!$C$5:$C$44,0),"")</f>
        <v/>
      </c>
      <c r="AC17">
        <f>IF(AB17="","",INDEX(入力!$AH$5:$AH$44,AB17))</f>
        <v/>
      </c>
      <c r="AD17">
        <f>IF(INDEX($D17:$K17,IF(M17=1,2,1))=AC17,1,IF(INDEX($D17:$K17,IF(M17=1,2,1))&amp;INDEX($D17:$K17,IF(M17=1,2,1)+1)=AC17,2,IF(INDEX($D17:$K17,IF(M17=1,2,1))&amp;INDEX($D17:$K17,IF(M17=1,2,1)+1)&amp;INDEX($D17:$K17,IF(M17=1,2,1)+2)=AC17,3,IF(AB17&lt;&gt;"",2,IF(ISNUMBER(MATCH(INDEX($D17:$K17,IF(M17=1,2,1)),入力!$AH$5:$AH$44,0)),1,IF(ISNUMBER(MATCH(INDEX($D17:$K17,IF(M17=1,2,1))&amp;INDEX($D17:$K17,IF(M17=1,2,1)+1),入力!$AH$5:$AH$44,0)),2,IF(ISNUMBER(MATCH(INDEX($D17:$K17,IF(M17=1,2,1))&amp;INDEX($D17:$K17,IF(M17=1,2,1)+1)&amp;INDEX($D17:$K17,IF(M17=1,2,1)+2),入力!$AH$5:$AH$44,0)),3,2)))))))</f>
        <v/>
      </c>
      <c r="AE17">
        <f>IF(V17="","",IF(AND(V17="反映",N(Y17)&gt;20),"要確認（この生徒の取込が20件を超えました）",V17))</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",""),入力!$AH$5:$AH$44,0),"")))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$405,T18,$R$6:$R$405,R18,$X$6:$X$405,"&lt;"&amp;X18))&gt;0,"重複","反映")))))</f>
        <v/>
      </c>
      <c r="W18">
        <f>IF(V18="反映",1,0)</f>
        <v/>
      </c>
      <c r="X18" t="n">
        <v>18</v>
      </c>
      <c r="Y18">
        <f>IF(W18=0,"",COUNTIFS($T$6:$T$405,T18,$W$6:$W$405,1,$S$6:$S$405,"&lt;"&amp;S18)+COUNTIFS($T$6:$T$405,T18,$W$6:$W$405,1,$S$6:$S$405,S18,$X$6:$X$405,"&lt;"&amp;X18)+1)</f>
        <v/>
      </c>
      <c r="Z18">
        <f>IF(Y18="","",T18&amp;"_"&amp;Y18)</f>
        <v/>
      </c>
      <c r="AA18">
        <f>SUBSTITUTE(SUBSTITUTE(SUBSTITUTE(SUBSTITUTE(SUBSTITUTE(INDEX(D18:K18,MIN(8,MAX(1,C18))),"年","/"),"月","/"),"日",""),"-","/"),".","/")</f>
        <v/>
      </c>
      <c r="AB18">
        <f>IFERROR(MATCH(O18,入力!$C$5:$C$44,0),"")</f>
        <v/>
      </c>
      <c r="AC18">
        <f>IF(AB18="","",INDEX(入力!$AH$5:$AH$44,AB18))</f>
        <v/>
      </c>
      <c r="AD18">
        <f>IF(INDEX($D18:$K18,IF(M18=1,2,1))=AC18,1,IF(INDEX($D18:$K18,IF(M18=1,2,1))&amp;INDEX($D18:$K18,IF(M18=1,2,1)+1)=AC18,2,IF(INDEX($D18:$K18,IF(M18=1,2,1))&amp;INDEX($D18:$K18,IF(M18=1,2,1)+1)&amp;INDEX($D18:$K18,IF(M18=1,2,1)+2)=AC18,3,IF(AB18&lt;&gt;"",2,IF(ISNUMBER(MATCH(INDEX($D18:$K18,IF(M18=1,2,1)),入力!$AH$5:$AH$44,0)),1,IF(ISNUMBER(MATCH(INDEX($D18:$K18,IF(M18=1,2,1))&amp;INDEX($D18:$K18,IF(M18=1,2,1)+1),入力!$AH$5:$AH$44,0)),2,IF(ISNUMBER(MATCH(INDEX($D18:$K18,IF(M18=1,2,1))&amp;INDEX($D18:$K18,IF(M18=1,2,1)+1)&amp;INDEX($D18:$K18,IF(M18=1,2,1)+2),入力!$AH$5:$AH$44,0)),3,2)))))))</f>
        <v/>
      </c>
      <c r="AE18">
        <f>IF(V18="","",IF(AND(V18="反映",N(Y18)&gt;20),"要確認（この生徒の取込が20件を超えました）",V18))</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",""),入力!$AH$5:$AH$44,0),"")))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$405,T19,$R$6:$R$405,R19,$X$6:$X$405,"&lt;"&amp;X19))&gt;0,"重複","反映")))))</f>
        <v/>
      </c>
      <c r="W19">
        <f>IF(V19="反映",1,0)</f>
        <v/>
      </c>
      <c r="X19" t="n">
        <v>19</v>
      </c>
      <c r="Y19">
        <f>IF(W19=0,"",COUNTIFS($T$6:$T$405,T19,$W$6:$W$405,1,$S$6:$S$405,"&lt;"&amp;S19)+COUNTIFS($T$6:$T$405,T19,$W$6:$W$405,1,$S$6:$S$405,S19,$X$6:$X$405,"&lt;"&amp;X19)+1)</f>
        <v/>
      </c>
      <c r="Z19">
        <f>IF(Y19="","",T19&amp;"_"&amp;Y19)</f>
        <v/>
      </c>
      <c r="AA19">
        <f>SUBSTITUTE(SUBSTITUTE(SUBSTITUTE(SUBSTITUTE(SUBSTITUTE(INDEX(D19:K19,MIN(8,MAX(1,C19))),"年","/"),"月","/"),"日",""),"-","/"),".","/")</f>
        <v/>
      </c>
      <c r="AB19">
        <f>IFERROR(MATCH(O19,入力!$C$5:$C$44,0),"")</f>
        <v/>
      </c>
      <c r="AC19">
        <f>IF(AB19="","",INDEX(入力!$AH$5:$AH$44,AB19))</f>
        <v/>
      </c>
      <c r="AD19">
        <f>IF(INDEX($D19:$K19,IF(M19=1,2,1))=AC19,1,IF(INDEX($D19:$K19,IF(M19=1,2,1))&amp;INDEX($D19:$K19,IF(M19=1,2,1)+1)=AC19,2,IF(INDEX($D19:$K19,IF(M19=1,2,1))&amp;INDEX($D19:$K19,IF(M19=1,2,1)+1)&amp;INDEX($D19:$K19,IF(M19=1,2,1)+2)=AC19,3,IF(AB19&lt;&gt;"",2,IF(ISNUMBER(MATCH(INDEX($D19:$K19,IF(M19=1,2,1)),入力!$AH$5:$AH$44,0)),1,IF(ISNUMBER(MATCH(INDEX($D19:$K19,IF(M19=1,2,1))&amp;INDEX($D19:$K19,IF(M19=1,2,1)+1),入力!$AH$5:$AH$44,0)),2,IF(ISNUMBER(MATCH(INDEX($D19:$K19,IF(M19=1,2,1))&amp;INDEX($D19:$K19,IF(M19=1,2,1)+1)&amp;INDEX($D19:$K19,IF(M19=1,2,1)+2),入力!$AH$5:$AH$44,0)),3,2)))))))</f>
        <v/>
      </c>
      <c r="AE19">
        <f>IF(V19="","",IF(AND(V19="反映",N(Y19)&gt;20),"要確認（この生徒の取込が20件を超えました）",V19))</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",""),入力!$AH$5:$AH$44,0),"")))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$405,T20,$R$6:$R$405,R20,$X$6:$X$405,"&lt;"&amp;X20))&gt;0,"重複","反映")))))</f>
        <v/>
      </c>
      <c r="W20">
        <f>IF(V20="反映",1,0)</f>
        <v/>
      </c>
      <c r="X20" t="n">
        <v>20</v>
      </c>
      <c r="Y20">
        <f>IF(W20=0,"",COUNTIFS($T$6:$T$405,T20,$W$6:$W$405,1,$S$6:$S$405,"&lt;"&amp;S20)+COUNTIFS($T$6:$T$405,T20,$W$6:$W$405,1,$S$6:$S$405,S20,$X$6:$X$405,"&lt;"&amp;X20)+1)</f>
        <v/>
      </c>
      <c r="Z20">
        <f>IF(Y20="","",T20&amp;"_"&amp;Y20)</f>
        <v/>
      </c>
      <c r="AA20">
        <f>SUBSTITUTE(SUBSTITUTE(SUBSTITUTE(SUBSTITUTE(SUBSTITUTE(INDEX(D20:K20,MIN(8,MAX(1,C20))),"年","/"),"月","/"),"日",""),"-","/"),".","/")</f>
        <v/>
      </c>
      <c r="AB20">
        <f>IFERROR(MATCH(O20,入力!$C$5:$C$44,0),"")</f>
        <v/>
      </c>
      <c r="AC20">
        <f>IF(AB20="","",INDEX(入力!$AH$5:$AH$44,AB20))</f>
        <v/>
      </c>
      <c r="AD20">
        <f>IF(INDEX($D20:$K20,IF(M20=1,2,1))=AC20,1,IF(INDEX($D20:$K20,IF(M20=1,2,1))&amp;INDEX($D20:$K20,IF(M20=1,2,1)+1)=AC20,2,IF(INDEX($D20:$K20,IF(M20=1,2,1))&amp;INDEX($D20:$K20,IF(M20=1,2,1)+1)&amp;INDEX($D20:$K20,IF(M20=1,2,1)+2)=AC20,3,IF(AB20&lt;&gt;"",2,IF(ISNUMBER(MATCH(INDEX($D20:$K20,IF(M20=1,2,1)),入力!$AH$5:$AH$44,0)),1,IF(ISNUMBER(MATCH(INDEX($D20:$K20,IF(M20=1,2,1))&amp;INDEX($D20:$K20,IF(M20=1,2,1)+1),入力!$AH$5:$AH$44,0)),2,IF(ISNUMBER(MATCH(INDEX($D20:$K20,IF(M20=1,2,1))&amp;INDEX($D20:$K20,IF(M20=1,2,1)+1)&amp;INDEX($D20:$K20,IF(M20=1,2,1)+2),入力!$AH$5:$AH$44,0)),3,2)))))))</f>
        <v/>
      </c>
      <c r="AE20">
        <f>IF(V20="","",IF(AND(V20="反映",N(Y20)&gt;20),"要確認（この生徒の取込が20件を超えました）",V20))</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",""),入力!$AH$5:$AH$44,0),"")))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$405,T21,$R$6:$R$405,R21,$X$6:$X$405,"&lt;"&amp;X21))&gt;0,"重複","反映")))))</f>
        <v/>
      </c>
      <c r="W21">
        <f>IF(V21="反映",1,0)</f>
        <v/>
      </c>
      <c r="X21" t="n">
        <v>21</v>
      </c>
      <c r="Y21">
        <f>IF(W21=0,"",COUNTIFS($T$6:$T$405,T21,$W$6:$W$405,1,$S$6:$S$405,"&lt;"&amp;S21)+COUNTIFS($T$6:$T$405,T21,$W$6:$W$405,1,$S$6:$S$405,S21,$X$6:$X$405,"&lt;"&amp;X21)+1)</f>
        <v/>
      </c>
      <c r="Z21">
        <f>IF(Y21="","",T21&amp;"_"&amp;Y21)</f>
        <v/>
      </c>
      <c r="AA21">
        <f>SUBSTITUTE(SUBSTITUTE(SUBSTITUTE(SUBSTITUTE(SUBSTITUTE(INDEX(D21:K21,MIN(8,MAX(1,C21))),"年","/"),"月","/"),"日",""),"-","/"),".","/")</f>
        <v/>
      </c>
      <c r="AB21">
        <f>IFERROR(MATCH(O21,入力!$C$5:$C$44,0),"")</f>
        <v/>
      </c>
      <c r="AC21">
        <f>IF(AB21="","",INDEX(入力!$AH$5:$AH$44,AB21))</f>
        <v/>
      </c>
      <c r="AD21">
        <f>IF(INDEX($D21:$K21,IF(M21=1,2,1))=AC21,1,IF(INDEX($D21:$K21,IF(M21=1,2,1))&amp;INDEX($D21:$K21,IF(M21=1,2,1)+1)=AC21,2,IF(INDEX($D21:$K21,IF(M21=1,2,1))&amp;INDEX($D21:$K21,IF(M21=1,2,1)+1)&amp;INDEX($D21:$K21,IF(M21=1,2,1)+2)=AC21,3,IF(AB21&lt;&gt;"",2,IF(ISNUMBER(MATCH(INDEX($D21:$K21,IF(M21=1,2,1)),入力!$AH$5:$AH$44,0)),1,IF(ISNUMBER(MATCH(INDEX($D21:$K21,IF(M21=1,2,1))&amp;INDEX($D21:$K21,IF(M21=1,2,1)+1),入力!$AH$5:$AH$44,0)),2,IF(ISNUMBER(MATCH(INDEX($D21:$K21,IF(M21=1,2,1))&amp;INDEX($D21:$K21,IF(M21=1,2,1)+1)&amp;INDEX($D21:$K21,IF(M21=1,2,1)+2),入力!$AH$5:$AH$44,0)),3,2)))))))</f>
        <v/>
      </c>
      <c r="AE21">
        <f>IF(V21="","",IF(AND(V21="反映",N(Y21)&gt;20),"要確認（この生徒の取込が20件を超えました）",V21))</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",""),入力!$AH$5:$AH$44,0),"")))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$405,T22,$R$6:$R$405,R22,$X$6:$X$405,"&lt;"&amp;X22))&gt;0,"重複","反映")))))</f>
        <v/>
      </c>
      <c r="W22">
        <f>IF(V22="反映",1,0)</f>
        <v/>
      </c>
      <c r="X22" t="n">
        <v>22</v>
      </c>
      <c r="Y22">
        <f>IF(W22=0,"",COUNTIFS($T$6:$T$405,T22,$W$6:$W$405,1,$S$6:$S$405,"&lt;"&amp;S22)+COUNTIFS($T$6:$T$405,T22,$W$6:$W$405,1,$S$6:$S$405,S22,$X$6:$X$405,"&lt;"&amp;X22)+1)</f>
        <v/>
      </c>
      <c r="Z22">
        <f>IF(Y22="","",T22&amp;"_"&amp;Y22)</f>
        <v/>
      </c>
      <c r="AA22">
        <f>SUBSTITUTE(SUBSTITUTE(SUBSTITUTE(SUBSTITUTE(SUBSTITUTE(INDEX(D22:K22,MIN(8,MAX(1,C22))),"年","/"),"月","/"),"日",""),"-","/"),".","/")</f>
        <v/>
      </c>
      <c r="AB22">
        <f>IFERROR(MATCH(O22,入力!$C$5:$C$44,0),"")</f>
        <v/>
      </c>
      <c r="AC22">
        <f>IF(AB22="","",INDEX(入力!$AH$5:$AH$44,AB22))</f>
        <v/>
      </c>
      <c r="AD22">
        <f>IF(INDEX($D22:$K22,IF(M22=1,2,1))=AC22,1,IF(INDEX($D22:$K22,IF(M22=1,2,1))&amp;INDEX($D22:$K22,IF(M22=1,2,1)+1)=AC22,2,IF(INDEX($D22:$K22,IF(M22=1,2,1))&amp;INDEX($D22:$K22,IF(M22=1,2,1)+1)&amp;INDEX($D22:$K22,IF(M22=1,2,1)+2)=AC22,3,IF(AB22&lt;&gt;"",2,IF(ISNUMBER(MATCH(INDEX($D22:$K22,IF(M22=1,2,1)),入力!$AH$5:$AH$44,0)),1,IF(ISNUMBER(MATCH(INDEX($D22:$K22,IF(M22=1,2,1))&amp;INDEX($D22:$K22,IF(M22=1,2,1)+1),入力!$AH$5:$AH$44,0)),2,IF(ISNUMBER(MATCH(INDEX($D22:$K22,IF(M22=1,2,1))&amp;INDEX($D22:$K22,IF(M22=1,2,1)+1)&amp;INDEX($D22:$K22,IF(M22=1,2,1)+2),入力!$AH$5:$AH$44,0)),3,2)))))))</f>
        <v/>
      </c>
      <c r="AE22">
        <f>IF(V22="","",IF(AND(V22="反映",N(Y22)&gt;20),"要確認（この生徒の取込が20件を超えました）",V22))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",""),入力!$AH$5:$AH$44,0),"")))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$405,T23,$R$6:$R$405,R23,$X$6:$X$405,"&lt;"&amp;X23))&gt;0,"重複","反映")))))</f>
        <v/>
      </c>
      <c r="W23">
        <f>IF(V23="反映",1,0)</f>
        <v/>
      </c>
      <c r="X23" t="n">
        <v>23</v>
      </c>
      <c r="Y23">
        <f>IF(W23=0,"",COUNTIFS($T$6:$T$405,T23,$W$6:$W$405,1,$S$6:$S$405,"&lt;"&amp;S23)+COUNTIFS($T$6:$T$405,T23,$W$6:$W$405,1,$S$6:$S$405,S23,$X$6:$X$405,"&lt;"&amp;X23)+1)</f>
        <v/>
      </c>
      <c r="Z23">
        <f>IF(Y23="","",T23&amp;"_"&amp;Y23)</f>
        <v/>
      </c>
      <c r="AA23">
        <f>SUBSTITUTE(SUBSTITUTE(SUBSTITUTE(SUBSTITUTE(SUBSTITUTE(INDEX(D23:K23,MIN(8,MAX(1,C23))),"年","/"),"月","/"),"日",""),"-","/"),".","/")</f>
        <v/>
      </c>
      <c r="AB23">
        <f>IFERROR(MATCH(O23,入力!$C$5:$C$44,0),"")</f>
        <v/>
      </c>
      <c r="AC23">
        <f>IF(AB23="","",INDEX(入力!$AH$5:$AH$44,AB23))</f>
        <v/>
      </c>
      <c r="AD23">
        <f>IF(INDEX($D23:$K23,IF(M23=1,2,1))=AC23,1,IF(INDEX($D23:$K23,IF(M23=1,2,1))&amp;INDEX($D23:$K23,IF(M23=1,2,1)+1)=AC23,2,IF(INDEX($D23:$K23,IF(M23=1,2,1))&amp;INDEX($D23:$K23,IF(M23=1,2,1)+1)&amp;INDEX($D23:$K23,IF(M23=1,2,1)+2)=AC23,3,IF(AB23&lt;&gt;"",2,IF(ISNUMBER(MATCH(INDEX($D23:$K23,IF(M23=1,2,1)),入力!$AH$5:$AH$44,0)),1,IF(ISNUMBER(MATCH(INDEX($D23:$K23,IF(M23=1,2,1))&amp;INDEX($D23:$K23,IF(M23=1,2,1)+1),入力!$AH$5:$AH$44,0)),2,IF(ISNUMBER(MATCH(INDEX($D23:$K23,IF(M23=1,2,1))&amp;INDEX($D23:$K23,IF(M23=1,2,1)+1)&amp;INDEX($D23:$K23,IF(M23=1,2,1)+2),入力!$AH$5:$AH$44,0)),3,2)))))))</f>
        <v/>
      </c>
      <c r="AE23">
        <f>IF(V23="","",IF(AND(V23="反映",N(Y23)&gt;20),"要確認（この生徒の取込が20件を超えました）",V23))</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",""),入力!$AH$5:$AH$44,0),"")))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$405,T24,$R$6:$R$405,R24,$X$6:$X$405,"&lt;"&amp;X24))&gt;0,"重複","反映")))))</f>
        <v/>
      </c>
      <c r="W24">
        <f>IF(V24="反映",1,0)</f>
        <v/>
      </c>
      <c r="X24" t="n">
        <v>24</v>
      </c>
      <c r="Y24">
        <f>IF(W24=0,"",COUNTIFS($T$6:$T$405,T24,$W$6:$W$405,1,$S$6:$S$405,"&lt;"&amp;S24)+COUNTIFS($T$6:$T$405,T24,$W$6:$W$405,1,$S$6:$S$405,S24,$X$6:$X$405,"&lt;"&amp;X24)+1)</f>
        <v/>
      </c>
      <c r="Z24">
        <f>IF(Y24="","",T24&amp;"_"&amp;Y24)</f>
        <v/>
      </c>
      <c r="AA24">
        <f>SUBSTITUTE(SUBSTITUTE(SUBSTITUTE(SUBSTITUTE(SUBSTITUTE(INDEX(D24:K24,MIN(8,MAX(1,C24))),"年","/"),"月","/"),"日",""),"-","/"),".","/")</f>
        <v/>
      </c>
      <c r="AB24">
        <f>IFERROR(MATCH(O24,入力!$C$5:$C$44,0),"")</f>
        <v/>
      </c>
      <c r="AC24">
        <f>IF(AB24="","",INDEX(入力!$AH$5:$AH$44,AB24))</f>
        <v/>
      </c>
      <c r="AD24">
        <f>IF(INDEX($D24:$K24,IF(M24=1,2,1))=AC24,1,IF(INDEX($D24:$K24,IF(M24=1,2,1))&amp;INDEX($D24:$K24,IF(M24=1,2,1)+1)=AC24,2,IF(INDEX($D24:$K24,IF(M24=1,2,1))&amp;INDEX($D24:$K24,IF(M24=1,2,1)+1)&amp;INDEX($D24:$K24,IF(M24=1,2,1)+2)=AC24,3,IF(AB24&lt;&gt;"",2,IF(ISNUMBER(MATCH(INDEX($D24:$K24,IF(M24=1,2,1)),入力!$AH$5:$AH$44,0)),1,IF(ISNUMBER(MATCH(INDEX($D24:$K24,IF(M24=1,2,1))&amp;INDEX($D24:$K24,IF(M24=1,2,1)+1),入力!$AH$5:$AH$44,0)),2,IF(ISNUMBER(MATCH(INDEX($D24:$K24,IF(M24=1,2,1))&amp;INDEX($D24:$K24,IF(M24=1,2,1)+1)&amp;INDEX($D24:$K24,IF(M24=1,2,1)+2),入力!$AH$5:$AH$44,0)),3,2)))))))</f>
        <v/>
      </c>
      <c r="AE24">
        <f>IF(V24="","",IF(AND(V24="反映",N(Y24)&gt;20),"要確認（この生徒の取込が20件を超えました）",V24))</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",""),入力!$AH$5:$AH$44,0),"")))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$405,T25,$R$6:$R$405,R25,$X$6:$X$405,"&lt;"&amp;X25))&gt;0,"重複","反映")))))</f>
        <v/>
      </c>
      <c r="W25">
        <f>IF(V25="反映",1,0)</f>
        <v/>
      </c>
      <c r="X25" t="n">
        <v>25</v>
      </c>
      <c r="Y25">
        <f>IF(W25=0,"",COUNTIFS($T$6:$T$405,T25,$W$6:$W$405,1,$S$6:$S$405,"&lt;"&amp;S25)+COUNTIFS($T$6:$T$405,T25,$W$6:$W$405,1,$S$6:$S$405,S25,$X$6:$X$405,"&lt;"&amp;X25)+1)</f>
        <v/>
      </c>
      <c r="Z25">
        <f>IF(Y25="","",T25&amp;"_"&amp;Y25)</f>
        <v/>
      </c>
      <c r="AA25">
        <f>SUBSTITUTE(SUBSTITUTE(SUBSTITUTE(SUBSTITUTE(SUBSTITUTE(INDEX(D25:K25,MIN(8,MAX(1,C25))),"年","/"),"月","/"),"日",""),"-","/"),".","/")</f>
        <v/>
      </c>
      <c r="AB25">
        <f>IFERROR(MATCH(O25,入力!$C$5:$C$44,0),"")</f>
        <v/>
      </c>
      <c r="AC25">
        <f>IF(AB25="","",INDEX(入力!$AH$5:$AH$44,AB25))</f>
        <v/>
      </c>
      <c r="AD25">
        <f>IF(INDEX($D25:$K25,IF(M25=1,2,1))=AC25,1,IF(INDEX($D25:$K25,IF(M25=1,2,1))&amp;INDEX($D25:$K25,IF(M25=1,2,1)+1)=AC25,2,IF(INDEX($D25:$K25,IF(M25=1,2,1))&amp;INDEX($D25:$K25,IF(M25=1,2,1)+1)&amp;INDEX($D25:$K25,IF(M25=1,2,1)+2)=AC25,3,IF(AB25&lt;&gt;"",2,IF(ISNUMBER(MATCH(INDEX($D25:$K25,IF(M25=1,2,1)),入力!$AH$5:$AH$44,0)),1,IF(ISNUMBER(MATCH(INDEX($D25:$K25,IF(M25=1,2,1))&amp;INDEX($D25:$K25,IF(M25=1,2,1)+1),入力!$AH$5:$AH$44,0)),2,IF(ISNUMBER(MATCH(INDEX($D25:$K25,IF(M25=1,2,1))&amp;INDEX($D25:$K25,IF(M25=1,2,1)+1)&amp;INDEX($D25:$K25,IF(M25=1,2,1)+2),入力!$AH$5:$AH$44,0)),3,2)))))))</f>
        <v/>
      </c>
      <c r="AE25">
        <f>IF(V25="","",IF(AND(V25="反映",N(Y25)&gt;20),"要確認（この生徒の取込が20件を超えました）",V25))</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",""),入力!$AH$5:$AH$44,0),"")))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$405,T26,$R$6:$R$405,R26,$X$6:$X$405,"&lt;"&amp;X26))&gt;0,"重複","反映")))))</f>
        <v/>
      </c>
      <c r="W26">
        <f>IF(V26="反映",1,0)</f>
        <v/>
      </c>
      <c r="X26" t="n">
        <v>26</v>
      </c>
      <c r="Y26">
        <f>IF(W26=0,"",COUNTIFS($T$6:$T$405,T26,$W$6:$W$405,1,$S$6:$S$405,"&lt;"&amp;S26)+COUNTIFS($T$6:$T$405,T26,$W$6:$W$405,1,$S$6:$S$405,S26,$X$6:$X$405,"&lt;"&amp;X26)+1)</f>
        <v/>
      </c>
      <c r="Z26">
        <f>IF(Y26="","",T26&amp;"_"&amp;Y26)</f>
        <v/>
      </c>
      <c r="AA26">
        <f>SUBSTITUTE(SUBSTITUTE(SUBSTITUTE(SUBSTITUTE(SUBSTITUTE(INDEX(D26:K26,MIN(8,MAX(1,C26))),"年","/"),"月","/"),"日",""),"-","/"),".","/")</f>
        <v/>
      </c>
      <c r="AB26">
        <f>IFERROR(MATCH(O26,入力!$C$5:$C$44,0),"")</f>
        <v/>
      </c>
      <c r="AC26">
        <f>IF(AB26="","",INDEX(入力!$AH$5:$AH$44,AB26))</f>
        <v/>
      </c>
      <c r="AD26">
        <f>IF(INDEX($D26:$K26,IF(M26=1,2,1))=AC26,1,IF(INDEX($D26:$K26,IF(M26=1,2,1))&amp;INDEX($D26:$K26,IF(M26=1,2,1)+1)=AC26,2,IF(INDEX($D26:$K26,IF(M26=1,2,1))&amp;INDEX($D26:$K26,IF(M26=1,2,1)+1)&amp;INDEX($D26:$K26,IF(M26=1,2,1)+2)=AC26,3,IF(AB26&lt;&gt;"",2,IF(ISNUMBER(MATCH(INDEX($D26:$K26,IF(M26=1,2,1)),入力!$AH$5:$AH$44,0)),1,IF(ISNUMBER(MATCH(INDEX($D26:$K26,IF(M26=1,2,1))&amp;INDEX($D26:$K26,IF(M26=1,2,1)+1),入力!$AH$5:$AH$44,0)),2,IF(ISNUMBER(MATCH(INDEX($D26:$K26,IF(M26=1,2,1))&amp;INDEX($D26:$K26,IF(M26=1,2,1)+1)&amp;INDEX($D26:$K26,IF(M26=1,2,1)+2),入力!$AH$5:$AH$44,0)),3,2)))))))</f>
        <v/>
      </c>
      <c r="AE26">
        <f>IF(V26="","",IF(AND(V26="反映",N(Y26)&gt;20),"要確認（この生徒の取込が20件を超えました）",V26))</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",""),入力!$AH$5:$AH$44,0),"")))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$405,T27,$R$6:$R$405,R27,$X$6:$X$405,"&lt;"&amp;X27))&gt;0,"重複","反映")))))</f>
        <v/>
      </c>
      <c r="W27">
        <f>IF(V27="反映",1,0)</f>
        <v/>
      </c>
      <c r="X27" t="n">
        <v>27</v>
      </c>
      <c r="Y27">
        <f>IF(W27=0,"",COUNTIFS($T$6:$T$405,T27,$W$6:$W$405,1,$S$6:$S$405,"&lt;"&amp;S27)+COUNTIFS($T$6:$T$405,T27,$W$6:$W$405,1,$S$6:$S$405,S27,$X$6:$X$405,"&lt;"&amp;X27)+1)</f>
        <v/>
      </c>
      <c r="Z27">
        <f>IF(Y27="","",T27&amp;"_"&amp;Y27)</f>
        <v/>
      </c>
      <c r="AA27">
        <f>SUBSTITUTE(SUBSTITUTE(SUBSTITUTE(SUBSTITUTE(SUBSTITUTE(INDEX(D27:K27,MIN(8,MAX(1,C27))),"年","/"),"月","/"),"日",""),"-","/"),".","/")</f>
        <v/>
      </c>
      <c r="AB27">
        <f>IFERROR(MATCH(O27,入力!$C$5:$C$44,0),"")</f>
        <v/>
      </c>
      <c r="AC27">
        <f>IF(AB27="","",INDEX(入力!$AH$5:$AH$44,AB27))</f>
        <v/>
      </c>
      <c r="AD27">
        <f>IF(INDEX($D27:$K27,IF(M27=1,2,1))=AC27,1,IF(INDEX($D27:$K27,IF(M27=1,2,1))&amp;INDEX($D27:$K27,IF(M27=1,2,1)+1)=AC27,2,IF(INDEX($D27:$K27,IF(M27=1,2,1))&amp;INDEX($D27:$K27,IF(M27=1,2,1)+1)&amp;INDEX($D27:$K27,IF(M27=1,2,1)+2)=AC27,3,IF(AB27&lt;&gt;"",2,IF(ISNUMBER(MATCH(INDEX($D27:$K27,IF(M27=1,2,1)),入力!$AH$5:$AH$44,0)),1,IF(ISNUMBER(MATCH(INDEX($D27:$K27,IF(M27=1,2,1))&amp;INDEX($D27:$K27,IF(M27=1,2,1)+1),入力!$AH$5:$AH$44,0)),2,IF(ISNUMBER(MATCH(INDEX($D27:$K27,IF(M27=1,2,1))&amp;INDEX($D27:$K27,IF(M27=1,2,1)+1)&amp;INDEX($D27:$K27,IF(M27=1,2,1)+2),入力!$AH$5:$AH$44,0)),3,2)))))))</f>
        <v/>
      </c>
      <c r="AE27">
        <f>IF(V27="","",IF(AND(V27="反映",N(Y27)&gt;20),"要確認（この生徒の取込が20件を超えました）",V27))</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",""),入力!$AH$5:$AH$44,0),"")))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$405,T28,$R$6:$R$405,R28,$X$6:$X$405,"&lt;"&amp;X28))&gt;0,"重複","反映")))))</f>
        <v/>
      </c>
      <c r="W28">
        <f>IF(V28="反映",1,0)</f>
        <v/>
      </c>
      <c r="X28" t="n">
        <v>28</v>
      </c>
      <c r="Y28">
        <f>IF(W28=0,"",COUNTIFS($T$6:$T$405,T28,$W$6:$W$405,1,$S$6:$S$405,"&lt;"&amp;S28)+COUNTIFS($T$6:$T$405,T28,$W$6:$W$405,1,$S$6:$S$405,S28,$X$6:$X$405,"&lt;"&amp;X28)+1)</f>
        <v/>
      </c>
      <c r="Z28">
        <f>IF(Y28="","",T28&amp;"_"&amp;Y28)</f>
        <v/>
      </c>
      <c r="AA28">
        <f>SUBSTITUTE(SUBSTITUTE(SUBSTITUTE(SUBSTITUTE(SUBSTITUTE(INDEX(D28:K28,MIN(8,MAX(1,C28))),"年","/"),"月","/"),"日",""),"-","/"),".","/")</f>
        <v/>
      </c>
      <c r="AB28">
        <f>IFERROR(MATCH(O28,入力!$C$5:$C$44,0),"")</f>
        <v/>
      </c>
      <c r="AC28">
        <f>IF(AB28="","",INDEX(入力!$AH$5:$AH$44,AB28))</f>
        <v/>
      </c>
      <c r="AD28">
        <f>IF(INDEX($D28:$K28,IF(M28=1,2,1))=AC28,1,IF(INDEX($D28:$K28,IF(M28=1,2,1))&amp;INDEX($D28:$K28,IF(M28=1,2,1)+1)=AC28,2,IF(INDEX($D28:$K28,IF(M28=1,2,1))&amp;INDEX($D28:$K28,IF(M28=1,2,1)+1)&amp;INDEX($D28:$K28,IF(M28=1,2,1)+2)=AC28,3,IF(AB28&lt;&gt;"",2,IF(ISNUMBER(MATCH(INDEX($D28:$K28,IF(M28=1,2,1)),入力!$AH$5:$AH$44,0)),1,IF(ISNUMBER(MATCH(INDEX($D28:$K28,IF(M28=1,2,1))&amp;INDEX($D28:$K28,IF(M28=1,2,1)+1),入力!$AH$5:$AH$44,0)),2,IF(ISNUMBER(MATCH(INDEX($D28:$K28,IF(M28=1,2,1))&amp;INDEX($D28:$K28,IF(M28=1,2,1)+1)&amp;INDEX($D28:$K28,IF(M28=1,2,1)+2),入力!$AH$5:$AH$44,0)),3,2)))))))</f>
        <v/>
      </c>
      <c r="AE28">
        <f>IF(V28="","",IF(AND(V28="反映",N(Y28)&gt;20),"要確認（この生徒の取込が20件を超えました）",V28))</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",""),入力!$AH$5:$AH$44,0),"")))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$405,T29,$R$6:$R$405,R29,$X$6:$X$405,"&lt;"&amp;X29))&gt;0,"重複","反映")))))</f>
        <v/>
      </c>
      <c r="W29">
        <f>IF(V29="反映",1,0)</f>
        <v/>
      </c>
      <c r="X29" t="n">
        <v>29</v>
      </c>
      <c r="Y29">
        <f>IF(W29=0,"",COUNTIFS($T$6:$T$405,T29,$W$6:$W$405,1,$S$6:$S$405,"&lt;"&amp;S29)+COUNTIFS($T$6:$T$405,T29,$W$6:$W$405,1,$S$6:$S$405,S29,$X$6:$X$405,"&lt;"&amp;X29)+1)</f>
        <v/>
      </c>
      <c r="Z29">
        <f>IF(Y29="","",T29&amp;"_"&amp;Y29)</f>
        <v/>
      </c>
      <c r="AA29">
        <f>SUBSTITUTE(SUBSTITUTE(SUBSTITUTE(SUBSTITUTE(SUBSTITUTE(INDEX(D29:K29,MIN(8,MAX(1,C29))),"年","/"),"月","/"),"日",""),"-","/"),".","/")</f>
        <v/>
      </c>
      <c r="AB29">
        <f>IFERROR(MATCH(O29,入力!$C$5:$C$44,0),"")</f>
        <v/>
      </c>
      <c r="AC29">
        <f>IF(AB29="","",INDEX(入力!$AH$5:$AH$44,AB29))</f>
        <v/>
      </c>
      <c r="AD29">
        <f>IF(INDEX($D29:$K29,IF(M29=1,2,1))=AC29,1,IF(INDEX($D29:$K29,IF(M29=1,2,1))&amp;INDEX($D29:$K29,IF(M29=1,2,1)+1)=AC29,2,IF(INDEX($D29:$K29,IF(M29=1,2,1))&amp;INDEX($D29:$K29,IF(M29=1,2,1)+1)&amp;INDEX($D29:$K29,IF(M29=1,2,1)+2)=AC29,3,IF(AB29&lt;&gt;"",2,IF(ISNUMBER(MATCH(INDEX($D29:$K29,IF(M29=1,2,1)),入力!$AH$5:$AH$44,0)),1,IF(ISNUMBER(MATCH(INDEX($D29:$K29,IF(M29=1,2,1))&amp;INDEX($D29:$K29,IF(M29=1,2,1)+1),入力!$AH$5:$AH$44,0)),2,IF(ISNUMBER(MATCH(INDEX($D29:$K29,IF(M29=1,2,1))&amp;INDEX($D29:$K29,IF(M29=1,2,1)+1)&amp;INDEX($D29:$K29,IF(M29=1,2,1)+2),入力!$AH$5:$AH$44,0)),3,2)))))))</f>
        <v/>
      </c>
      <c r="AE29">
        <f>IF(V29="","",IF(AND(V29="反映",N(Y29)&gt;20),"要確認（この生徒の取込が20件を超えました）",V29))</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",""),入力!$AH$5:$AH$44,0),"")))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$405,T30,$R$6:$R$405,R30,$X$6:$X$405,"&lt;"&amp;X30))&gt;0,"重複","反映")))))</f>
        <v/>
      </c>
      <c r="W30">
        <f>IF(V30="反映",1,0)</f>
        <v/>
      </c>
      <c r="X30" t="n">
        <v>30</v>
      </c>
      <c r="Y30">
        <f>IF(W30=0,"",COUNTIFS($T$6:$T$405,T30,$W$6:$W$405,1,$S$6:$S$405,"&lt;"&amp;S30)+COUNTIFS($T$6:$T$405,T30,$W$6:$W$405,1,$S$6:$S$405,S30,$X$6:$X$405,"&lt;"&amp;X30)+1)</f>
        <v/>
      </c>
      <c r="Z30">
        <f>IF(Y30="","",T30&amp;"_"&amp;Y30)</f>
        <v/>
      </c>
      <c r="AA30">
        <f>SUBSTITUTE(SUBSTITUTE(SUBSTITUTE(SUBSTITUTE(SUBSTITUTE(INDEX(D30:K30,MIN(8,MAX(1,C30))),"年","/"),"月","/"),"日",""),"-","/"),".","/")</f>
        <v/>
      </c>
      <c r="AB30">
        <f>IFERROR(MATCH(O30,入力!$C$5:$C$44,0),"")</f>
        <v/>
      </c>
      <c r="AC30">
        <f>IF(AB30="","",INDEX(入力!$AH$5:$AH$44,AB30))</f>
        <v/>
      </c>
      <c r="AD30">
        <f>IF(INDEX($D30:$K30,IF(M30=1,2,1))=AC30,1,IF(INDEX($D30:$K30,IF(M30=1,2,1))&amp;INDEX($D30:$K30,IF(M30=1,2,1)+1)=AC30,2,IF(INDEX($D30:$K30,IF(M30=1,2,1))&amp;INDEX($D30:$K30,IF(M30=1,2,1)+1)&amp;INDEX($D30:$K30,IF(M30=1,2,1)+2)=AC30,3,IF(AB30&lt;&gt;"",2,IF(ISNUMBER(MATCH(INDEX($D30:$K30,IF(M30=1,2,1)),入力!$AH$5:$AH$44,0)),1,IF(ISNUMBER(MATCH(INDEX($D30:$K30,IF(M30=1,2,1))&amp;INDEX($D30:$K30,IF(M30=1,2,1)+1),入力!$AH$5:$AH$44,0)),2,IF(ISNUMBER(MATCH(INDEX($D30:$K30,IF(M30=1,2,1))&amp;INDEX($D30:$K30,IF(M30=1,2,1)+1)&amp;INDEX($D30:$K30,IF(M30=1,2,1)+2),入力!$AH$5:$AH$44,0)),3,2)))))))</f>
        <v/>
      </c>
      <c r="AE30">
        <f>IF(V30="","",IF(AND(V30="反映",N(Y30)&gt;20),"要確認（この生徒の取込が20件を超えました）",V30))</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",""),入力!$AH$5:$AH$44,0),"")))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$405,T31,$R$6:$R$405,R31,$X$6:$X$405,"&lt;"&amp;X31))&gt;0,"重複","反映")))))</f>
        <v/>
      </c>
      <c r="W31">
        <f>IF(V31="反映",1,0)</f>
        <v/>
      </c>
      <c r="X31" t="n">
        <v>31</v>
      </c>
      <c r="Y31">
        <f>IF(W31=0,"",COUNTIFS($T$6:$T$405,T31,$W$6:$W$405,1,$S$6:$S$405,"&lt;"&amp;S31)+COUNTIFS($T$6:$T$405,T31,$W$6:$W$405,1,$S$6:$S$405,S31,$X$6:$X$405,"&lt;"&amp;X31)+1)</f>
        <v/>
      </c>
      <c r="Z31">
        <f>IF(Y31="","",T31&amp;"_"&amp;Y31)</f>
        <v/>
      </c>
      <c r="AA31">
        <f>SUBSTITUTE(SUBSTITUTE(SUBSTITUTE(SUBSTITUTE(SUBSTITUTE(INDEX(D31:K31,MIN(8,MAX(1,C31))),"年","/"),"月","/"),"日",""),"-","/"),".","/")</f>
        <v/>
      </c>
      <c r="AB31">
        <f>IFERROR(MATCH(O31,入力!$C$5:$C$44,0),"")</f>
        <v/>
      </c>
      <c r="AC31">
        <f>IF(AB31="","",INDEX(入力!$AH$5:$AH$44,AB31))</f>
        <v/>
      </c>
      <c r="AD31">
        <f>IF(INDEX($D31:$K31,IF(M31=1,2,1))=AC31,1,IF(INDEX($D31:$K31,IF(M31=1,2,1))&amp;INDEX($D31:$K31,IF(M31=1,2,1)+1)=AC31,2,IF(INDEX($D31:$K31,IF(M31=1,2,1))&amp;INDEX($D31:$K31,IF(M31=1,2,1)+1)&amp;INDEX($D31:$K31,IF(M31=1,2,1)+2)=AC31,3,IF(AB31&lt;&gt;"",2,IF(ISNUMBER(MATCH(INDEX($D31:$K31,IF(M31=1,2,1)),入力!$AH$5:$AH$44,0)),1,IF(ISNUMBER(MATCH(INDEX($D31:$K31,IF(M31=1,2,1))&amp;INDEX($D31:$K31,IF(M31=1,2,1)+1),入力!$AH$5:$AH$44,0)),2,IF(ISNUMBER(MATCH(INDEX($D31:$K31,IF(M31=1,2,1))&amp;INDEX($D31:$K31,IF(M31=1,2,1)+1)&amp;INDEX($D31:$K31,IF(M31=1,2,1)+2),入力!$AH$5:$AH$44,0)),3,2)))))))</f>
        <v/>
      </c>
      <c r="AE31">
        <f>IF(V31="","",IF(AND(V31="反映",N(Y31)&gt;20),"要確認（この生徒の取込が20件を超えました）",V31))</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",""),入力!$AH$5:$AH$44,0),"")))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$405,T32,$R$6:$R$405,R32,$X$6:$X$405,"&lt;"&amp;X32))&gt;0,"重複","反映")))))</f>
        <v/>
      </c>
      <c r="W32">
        <f>IF(V32="反映",1,0)</f>
        <v/>
      </c>
      <c r="X32" t="n">
        <v>32</v>
      </c>
      <c r="Y32">
        <f>IF(W32=0,"",COUNTIFS($T$6:$T$405,T32,$W$6:$W$405,1,$S$6:$S$405,"&lt;"&amp;S32)+COUNTIFS($T$6:$T$405,T32,$W$6:$W$405,1,$S$6:$S$405,S32,$X$6:$X$405,"&lt;"&amp;X32)+1)</f>
        <v/>
      </c>
      <c r="Z32">
        <f>IF(Y32="","",T32&amp;"_"&amp;Y32)</f>
        <v/>
      </c>
      <c r="AA32">
        <f>SUBSTITUTE(SUBSTITUTE(SUBSTITUTE(SUBSTITUTE(SUBSTITUTE(INDEX(D32:K32,MIN(8,MAX(1,C32))),"年","/"),"月","/"),"日",""),"-","/"),".","/")</f>
        <v/>
      </c>
      <c r="AB32">
        <f>IFERROR(MATCH(O32,入力!$C$5:$C$44,0),"")</f>
        <v/>
      </c>
      <c r="AC32">
        <f>IF(AB32="","",INDEX(入力!$AH$5:$AH$44,AB32))</f>
        <v/>
      </c>
      <c r="AD32">
        <f>IF(INDEX($D32:$K32,IF(M32=1,2,1))=AC32,1,IF(INDEX($D32:$K32,IF(M32=1,2,1))&amp;INDEX($D32:$K32,IF(M32=1,2,1)+1)=AC32,2,IF(INDEX($D32:$K32,IF(M32=1,2,1))&amp;INDEX($D32:$K32,IF(M32=1,2,1)+1)&amp;INDEX($D32:$K32,IF(M32=1,2,1)+2)=AC32,3,IF(AB32&lt;&gt;"",2,IF(ISNUMBER(MATCH(INDEX($D32:$K32,IF(M32=1,2,1)),入力!$AH$5:$AH$44,0)),1,IF(ISNUMBER(MATCH(INDEX($D32:$K32,IF(M32=1,2,1))&amp;INDEX($D32:$K32,IF(M32=1,2,1)+1),入力!$AH$5:$AH$44,0)),2,IF(ISNUMBER(MATCH(INDEX($D32:$K32,IF(M32=1,2,1))&amp;INDEX($D32:$K32,IF(M32=1,2,1)+1)&amp;INDEX($D32:$K32,IF(M32=1,2,1)+2),入力!$AH$5:$AH$44,0)),3,2)))))))</f>
        <v/>
      </c>
      <c r="AE32">
        <f>IF(V32="","",IF(AND(V32="反映",N(Y32)&gt;20),"要確認（この生徒の取込が20件を超えました）",V32))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",""),入力!$AH$5:$AH$44,0),"")))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$405,T33,$R$6:$R$405,R33,$X$6:$X$405,"&lt;"&amp;X33))&gt;0,"重複","反映")))))</f>
        <v/>
      </c>
      <c r="W33">
        <f>IF(V33="反映",1,0)</f>
        <v/>
      </c>
      <c r="X33" t="n">
        <v>33</v>
      </c>
      <c r="Y33">
        <f>IF(W33=0,"",COUNTIFS($T$6:$T$405,T33,$W$6:$W$405,1,$S$6:$S$405,"&lt;"&amp;S33)+COUNTIFS($T$6:$T$405,T33,$W$6:$W$405,1,$S$6:$S$405,S33,$X$6:$X$405,"&lt;"&amp;X33)+1)</f>
        <v/>
      </c>
      <c r="Z33">
        <f>IF(Y33="","",T33&amp;"_"&amp;Y33)</f>
        <v/>
      </c>
      <c r="AA33">
        <f>SUBSTITUTE(SUBSTITUTE(SUBSTITUTE(SUBSTITUTE(SUBSTITUTE(INDEX(D33:K33,MIN(8,MAX(1,C33))),"年","/"),"月","/"),"日",""),"-","/"),".","/")</f>
        <v/>
      </c>
      <c r="AB33">
        <f>IFERROR(MATCH(O33,入力!$C$5:$C$44,0),"")</f>
        <v/>
      </c>
      <c r="AC33">
        <f>IF(AB33="","",INDEX(入力!$AH$5:$AH$44,AB33))</f>
        <v/>
      </c>
      <c r="AD33">
        <f>IF(INDEX($D33:$K33,IF(M33=1,2,1))=AC33,1,IF(INDEX($D33:$K33,IF(M33=1,2,1))&amp;INDEX($D33:$K33,IF(M33=1,2,1)+1)=AC33,2,IF(INDEX($D33:$K33,IF(M33=1,2,1))&amp;INDEX($D33:$K33,IF(M33=1,2,1)+1)&amp;INDEX($D33:$K33,IF(M33=1,2,1)+2)=AC33,3,IF(AB33&lt;&gt;"",2,IF(ISNUMBER(MATCH(INDEX($D33:$K33,IF(M33=1,2,1)),入力!$AH$5:$AH$44,0)),1,IF(ISNUMBER(MATCH(INDEX($D33:$K33,IF(M33=1,2,1))&amp;INDEX($D33:$K33,IF(M33=1,2,1)+1),入力!$AH$5:$AH$44,0)),2,IF(ISNUMBER(MATCH(INDEX($D33:$K33,IF(M33=1,2,1))&amp;INDEX($D33:$K33,IF(M33=1,2,1)+1)&amp;INDEX($D33:$K33,IF(M33=1,2,1)+2),入力!$AH$5:$AH$44,0)),3,2)))))))</f>
        <v/>
      </c>
      <c r="AE33">
        <f>IF(V33="","",IF(AND(V33="反映",N(Y33)&gt;20),"要確認（この生徒の取込が20件を超えました）",V33))</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",""),入力!$AH$5:$AH$44,0),"")))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$405,T34,$R$6:$R$405,R34,$X$6:$X$405,"&lt;"&amp;X34))&gt;0,"重複","反映")))))</f>
        <v/>
      </c>
      <c r="W34">
        <f>IF(V34="反映",1,0)</f>
        <v/>
      </c>
      <c r="X34" t="n">
        <v>34</v>
      </c>
      <c r="Y34">
        <f>IF(W34=0,"",COUNTIFS($T$6:$T$405,T34,$W$6:$W$405,1,$S$6:$S$405,"&lt;"&amp;S34)+COUNTIFS($T$6:$T$405,T34,$W$6:$W$405,1,$S$6:$S$405,S34,$X$6:$X$405,"&lt;"&amp;X34)+1)</f>
        <v/>
      </c>
      <c r="Z34">
        <f>IF(Y34="","",T34&amp;"_"&amp;Y34)</f>
        <v/>
      </c>
      <c r="AA34">
        <f>SUBSTITUTE(SUBSTITUTE(SUBSTITUTE(SUBSTITUTE(SUBSTITUTE(INDEX(D34:K34,MIN(8,MAX(1,C34))),"年","/"),"月","/"),"日",""),"-","/"),".","/")</f>
        <v/>
      </c>
      <c r="AB34">
        <f>IFERROR(MATCH(O34,入力!$C$5:$C$44,0),"")</f>
        <v/>
      </c>
      <c r="AC34">
        <f>IF(AB34="","",INDEX(入力!$AH$5:$AH$44,AB34))</f>
        <v/>
      </c>
      <c r="AD34">
        <f>IF(INDEX($D34:$K34,IF(M34=1,2,1))=AC34,1,IF(INDEX($D34:$K34,IF(M34=1,2,1))&amp;INDEX($D34:$K34,IF(M34=1,2,1)+1)=AC34,2,IF(INDEX($D34:$K34,IF(M34=1,2,1))&amp;INDEX($D34:$K34,IF(M34=1,2,1)+1)&amp;INDEX($D34:$K34,IF(M34=1,2,1)+2)=AC34,3,IF(AB34&lt;&gt;"",2,IF(ISNUMBER(MATCH(INDEX($D34:$K34,IF(M34=1,2,1)),入力!$AH$5:$AH$44,0)),1,IF(ISNUMBER(MATCH(INDEX($D34:$K34,IF(M34=1,2,1))&amp;INDEX($D34:$K34,IF(M34=1,2,1)+1),入力!$AH$5:$AH$44,0)),2,IF(ISNUMBER(MATCH(INDEX($D34:$K34,IF(M34=1,2,1))&amp;INDEX($D34:$K34,IF(M34=1,2,1)+1)&amp;INDEX($D34:$K34,IF(M34=1,2,1)+2),入力!$AH$5:$AH$44,0)),3,2)))))))</f>
        <v/>
      </c>
      <c r="AE34">
        <f>IF(V34="","",IF(AND(V34="反映",N(Y34)&gt;20),"要確認（この生徒の取込が20件を超えました）",V34))</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",""),入力!$AH$5:$AH$44,0),"")))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$405,T35,$R$6:$R$405,R35,$X$6:$X$405,"&lt;"&amp;X35))&gt;0,"重複","反映")))))</f>
        <v/>
      </c>
      <c r="W35">
        <f>IF(V35="反映",1,0)</f>
        <v/>
      </c>
      <c r="X35" t="n">
        <v>35</v>
      </c>
      <c r="Y35">
        <f>IF(W35=0,"",COUNTIFS($T$6:$T$405,T35,$W$6:$W$405,1,$S$6:$S$405,"&lt;"&amp;S35)+COUNTIFS($T$6:$T$405,T35,$W$6:$W$405,1,$S$6:$S$405,S35,$X$6:$X$405,"&lt;"&amp;X35)+1)</f>
        <v/>
      </c>
      <c r="Z35">
        <f>IF(Y35="","",T35&amp;"_"&amp;Y35)</f>
        <v/>
      </c>
      <c r="AA35">
        <f>SUBSTITUTE(SUBSTITUTE(SUBSTITUTE(SUBSTITUTE(SUBSTITUTE(INDEX(D35:K35,MIN(8,MAX(1,C35))),"年","/"),"月","/"),"日",""),"-","/"),".","/")</f>
        <v/>
      </c>
      <c r="AB35">
        <f>IFERROR(MATCH(O35,入力!$C$5:$C$44,0),"")</f>
        <v/>
      </c>
      <c r="AC35">
        <f>IF(AB35="","",INDEX(入力!$AH$5:$AH$44,AB35))</f>
        <v/>
      </c>
      <c r="AD35">
        <f>IF(INDEX($D35:$K35,IF(M35=1,2,1))=AC35,1,IF(INDEX($D35:$K35,IF(M35=1,2,1))&amp;INDEX($D35:$K35,IF(M35=1,2,1)+1)=AC35,2,IF(INDEX($D35:$K35,IF(M35=1,2,1))&amp;INDEX($D35:$K35,IF(M35=1,2,1)+1)&amp;INDEX($D35:$K35,IF(M35=1,2,1)+2)=AC35,3,IF(AB35&lt;&gt;"",2,IF(ISNUMBER(MATCH(INDEX($D35:$K35,IF(M35=1,2,1)),入力!$AH$5:$AH$44,0)),1,IF(ISNUMBER(MATCH(INDEX($D35:$K35,IF(M35=1,2,1))&amp;INDEX($D35:$K35,IF(M35=1,2,1)+1),入力!$AH$5:$AH$44,0)),2,IF(ISNUMBER(MATCH(INDEX($D35:$K35,IF(M35=1,2,1))&amp;INDEX($D35:$K35,IF(M35=1,2,1)+1)&amp;INDEX($D35:$K35,IF(M35=1,2,1)+2),入力!$AH$5:$AH$44,0)),3,2)))))))</f>
        <v/>
      </c>
      <c r="AE35">
        <f>IF(V35="","",IF(AND(V35="反映",N(Y35)&gt;20),"要確認（この生徒の取込が20件を超えました）",V35))</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",""),入力!$AH$5:$AH$44,0),"")))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$405,T36,$R$6:$R$405,R36,$X$6:$X$405,"&lt;"&amp;X36))&gt;0,"重複","反映")))))</f>
        <v/>
      </c>
      <c r="W36">
        <f>IF(V36="反映",1,0)</f>
        <v/>
      </c>
      <c r="X36" t="n">
        <v>36</v>
      </c>
      <c r="Y36">
        <f>IF(W36=0,"",COUNTIFS($T$6:$T$405,T36,$W$6:$W$405,1,$S$6:$S$405,"&lt;"&amp;S36)+COUNTIFS($T$6:$T$405,T36,$W$6:$W$405,1,$S$6:$S$405,S36,$X$6:$X$405,"&lt;"&amp;X36)+1)</f>
        <v/>
      </c>
      <c r="Z36">
        <f>IF(Y36="","",T36&amp;"_"&amp;Y36)</f>
        <v/>
      </c>
      <c r="AA36">
        <f>SUBSTITUTE(SUBSTITUTE(SUBSTITUTE(SUBSTITUTE(SUBSTITUTE(INDEX(D36:K36,MIN(8,MAX(1,C36))),"年","/"),"月","/"),"日",""),"-","/"),".","/")</f>
        <v/>
      </c>
      <c r="AB36">
        <f>IFERROR(MATCH(O36,入力!$C$5:$C$44,0),"")</f>
        <v/>
      </c>
      <c r="AC36">
        <f>IF(AB36="","",INDEX(入力!$AH$5:$AH$44,AB36))</f>
        <v/>
      </c>
      <c r="AD36">
        <f>IF(INDEX($D36:$K36,IF(M36=1,2,1))=AC36,1,IF(INDEX($D36:$K36,IF(M36=1,2,1))&amp;INDEX($D36:$K36,IF(M36=1,2,1)+1)=AC36,2,IF(INDEX($D36:$K36,IF(M36=1,2,1))&amp;INDEX($D36:$K36,IF(M36=1,2,1)+1)&amp;INDEX($D36:$K36,IF(M36=1,2,1)+2)=AC36,3,IF(AB36&lt;&gt;"",2,IF(ISNUMBER(MATCH(INDEX($D36:$K36,IF(M36=1,2,1)),入力!$AH$5:$AH$44,0)),1,IF(ISNUMBER(MATCH(INDEX($D36:$K36,IF(M36=1,2,1))&amp;INDEX($D36:$K36,IF(M36=1,2,1)+1),入力!$AH$5:$AH$44,0)),2,IF(ISNUMBER(MATCH(INDEX($D36:$K36,IF(M36=1,2,1))&amp;INDEX($D36:$K36,IF(M36=1,2,1)+1)&amp;INDEX($D36:$K36,IF(M36=1,2,1)+2),入力!$AH$5:$AH$44,0)),3,2)))))))</f>
        <v/>
      </c>
      <c r="AE36">
        <f>IF(V36="","",IF(AND(V36="反映",N(Y36)&gt;20),"要確認（この生徒の取込が20件を超えました）",V36))</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",""),入力!$AH$5:$AH$44,0),"")))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$405,T37,$R$6:$R$405,R37,$X$6:$X$405,"&lt;"&amp;X37))&gt;0,"重複","反映")))))</f>
        <v/>
      </c>
      <c r="W37">
        <f>IF(V37="反映",1,0)</f>
        <v/>
      </c>
      <c r="X37" t="n">
        <v>37</v>
      </c>
      <c r="Y37">
        <f>IF(W37=0,"",COUNTIFS($T$6:$T$405,T37,$W$6:$W$405,1,$S$6:$S$405,"&lt;"&amp;S37)+COUNTIFS($T$6:$T$405,T37,$W$6:$W$405,1,$S$6:$S$405,S37,$X$6:$X$405,"&lt;"&amp;X37)+1)</f>
        <v/>
      </c>
      <c r="Z37">
        <f>IF(Y37="","",T37&amp;"_"&amp;Y37)</f>
        <v/>
      </c>
      <c r="AA37">
        <f>SUBSTITUTE(SUBSTITUTE(SUBSTITUTE(SUBSTITUTE(SUBSTITUTE(INDEX(D37:K37,MIN(8,MAX(1,C37))),"年","/"),"月","/"),"日",""),"-","/"),".","/")</f>
        <v/>
      </c>
      <c r="AB37">
        <f>IFERROR(MATCH(O37,入力!$C$5:$C$44,0),"")</f>
        <v/>
      </c>
      <c r="AC37">
        <f>IF(AB37="","",INDEX(入力!$AH$5:$AH$44,AB37))</f>
        <v/>
      </c>
      <c r="AD37">
        <f>IF(INDEX($D37:$K37,IF(M37=1,2,1))=AC37,1,IF(INDEX($D37:$K37,IF(M37=1,2,1))&amp;INDEX($D37:$K37,IF(M37=1,2,1)+1)=AC37,2,IF(INDEX($D37:$K37,IF(M37=1,2,1))&amp;INDEX($D37:$K37,IF(M37=1,2,1)+1)&amp;INDEX($D37:$K37,IF(M37=1,2,1)+2)=AC37,3,IF(AB37&lt;&gt;"",2,IF(ISNUMBER(MATCH(INDEX($D37:$K37,IF(M37=1,2,1)),入力!$AH$5:$AH$44,0)),1,IF(ISNUMBER(MATCH(INDEX($D37:$K37,IF(M37=1,2,1))&amp;INDEX($D37:$K37,IF(M37=1,2,1)+1),入力!$AH$5:$AH$44,0)),2,IF(ISNUMBER(MATCH(INDEX($D37:$K37,IF(M37=1,2,1))&amp;INDEX($D37:$K37,IF(M37=1,2,1)+1)&amp;INDEX($D37:$K37,IF(M37=1,2,1)+2),入力!$AH$5:$AH$44,0)),3,2)))))))</f>
        <v/>
      </c>
      <c r="AE37">
        <f>IF(V37="","",IF(AND(V37="反映",N(Y37)&gt;20),"要確認（この生徒の取込が20件を超えました）",V37))</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",""),入力!$AH$5:$AH$44,0),"")))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$405,T38,$R$6:$R$405,R38,$X$6:$X$405,"&lt;"&amp;X38))&gt;0,"重複","反映")))))</f>
        <v/>
      </c>
      <c r="W38">
        <f>IF(V38="反映",1,0)</f>
        <v/>
      </c>
      <c r="X38" t="n">
        <v>38</v>
      </c>
      <c r="Y38">
        <f>IF(W38=0,"",COUNTIFS($T$6:$T$405,T38,$W$6:$W$405,1,$S$6:$S$405,"&lt;"&amp;S38)+COUNTIFS($T$6:$T$405,T38,$W$6:$W$405,1,$S$6:$S$405,S38,$X$6:$X$405,"&lt;"&amp;X38)+1)</f>
        <v/>
      </c>
      <c r="Z38">
        <f>IF(Y38="","",T38&amp;"_"&amp;Y38)</f>
        <v/>
      </c>
      <c r="AA38">
        <f>SUBSTITUTE(SUBSTITUTE(SUBSTITUTE(SUBSTITUTE(SUBSTITUTE(INDEX(D38:K38,MIN(8,MAX(1,C38))),"年","/"),"月","/"),"日",""),"-","/"),".","/")</f>
        <v/>
      </c>
      <c r="AB38">
        <f>IFERROR(MATCH(O38,入力!$C$5:$C$44,0),"")</f>
        <v/>
      </c>
      <c r="AC38">
        <f>IF(AB38="","",INDEX(入力!$AH$5:$AH$44,AB38))</f>
        <v/>
      </c>
      <c r="AD38">
        <f>IF(INDEX($D38:$K38,IF(M38=1,2,1))=AC38,1,IF(INDEX($D38:$K38,IF(M38=1,2,1))&amp;INDEX($D38:$K38,IF(M38=1,2,1)+1)=AC38,2,IF(INDEX($D38:$K38,IF(M38=1,2,1))&amp;INDEX($D38:$K38,IF(M38=1,2,1)+1)&amp;INDEX($D38:$K38,IF(M38=1,2,1)+2)=AC38,3,IF(AB38&lt;&gt;"",2,IF(ISNUMBER(MATCH(INDEX($D38:$K38,IF(M38=1,2,1)),入力!$AH$5:$AH$44,0)),1,IF(ISNUMBER(MATCH(INDEX($D38:$K38,IF(M38=1,2,1))&amp;INDEX($D38:$K38,IF(M38=1,2,1)+1),入力!$AH$5:$AH$44,0)),2,IF(ISNUMBER(MATCH(INDEX($D38:$K38,IF(M38=1,2,1))&amp;INDEX($D38:$K38,IF(M38=1,2,1)+1)&amp;INDEX($D38:$K38,IF(M38=1,2,1)+2),入力!$AH$5:$AH$44,0)),3,2)))))))</f>
        <v/>
      </c>
      <c r="AE38">
        <f>IF(V38="","",IF(AND(V38="反映",N(Y38)&gt;20),"要確認（この生徒の取込が20件を超えました）",V38))</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",""),入力!$AH$5:$AH$44,0),"")))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$405,T39,$R$6:$R$405,R39,$X$6:$X$405,"&lt;"&amp;X39))&gt;0,"重複","反映")))))</f>
        <v/>
      </c>
      <c r="W39">
        <f>IF(V39="反映",1,0)</f>
        <v/>
      </c>
      <c r="X39" t="n">
        <v>39</v>
      </c>
      <c r="Y39">
        <f>IF(W39=0,"",COUNTIFS($T$6:$T$405,T39,$W$6:$W$405,1,$S$6:$S$405,"&lt;"&amp;S39)+COUNTIFS($T$6:$T$405,T39,$W$6:$W$405,1,$S$6:$S$405,S39,$X$6:$X$405,"&lt;"&amp;X39)+1)</f>
        <v/>
      </c>
      <c r="Z39">
        <f>IF(Y39="","",T39&amp;"_"&amp;Y39)</f>
        <v/>
      </c>
      <c r="AA39">
        <f>SUBSTITUTE(SUBSTITUTE(SUBSTITUTE(SUBSTITUTE(SUBSTITUTE(INDEX(D39:K39,MIN(8,MAX(1,C39))),"年","/"),"月","/"),"日",""),"-","/"),".","/")</f>
        <v/>
      </c>
      <c r="AB39">
        <f>IFERROR(MATCH(O39,入力!$C$5:$C$44,0),"")</f>
        <v/>
      </c>
      <c r="AC39">
        <f>IF(AB39="","",INDEX(入力!$AH$5:$AH$44,AB39))</f>
        <v/>
      </c>
      <c r="AD39">
        <f>IF(INDEX($D39:$K39,IF(M39=1,2,1))=AC39,1,IF(INDEX($D39:$K39,IF(M39=1,2,1))&amp;INDEX($D39:$K39,IF(M39=1,2,1)+1)=AC39,2,IF(INDEX($D39:$K39,IF(M39=1,2,1))&amp;INDEX($D39:$K39,IF(M39=1,2,1)+1)&amp;INDEX($D39:$K39,IF(M39=1,2,1)+2)=AC39,3,IF(AB39&lt;&gt;"",2,IF(ISNUMBER(MATCH(INDEX($D39:$K39,IF(M39=1,2,1)),入力!$AH$5:$AH$44,0)),1,IF(ISNUMBER(MATCH(INDEX($D39:$K39,IF(M39=1,2,1))&amp;INDEX($D39:$K39,IF(M39=1,2,1)+1),入力!$AH$5:$AH$44,0)),2,IF(ISNUMBER(MATCH(INDEX($D39:$K39,IF(M39=1,2,1))&amp;INDEX($D39:$K39,IF(M39=1,2,1)+1)&amp;INDEX($D39:$K39,IF(M39=1,2,1)+2),入力!$AH$5:$AH$44,0)),3,2)))))))</f>
        <v/>
      </c>
      <c r="AE39">
        <f>IF(V39="","",IF(AND(V39="反映",N(Y39)&gt;20),"要確認（この生徒の取込が20件を超えました）",V39))</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",""),入力!$AH$5:$AH$44,0),"")))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$405,T40,$R$6:$R$405,R40,$X$6:$X$405,"&lt;"&amp;X40))&gt;0,"重複","反映")))))</f>
        <v/>
      </c>
      <c r="W40">
        <f>IF(V40="反映",1,0)</f>
        <v/>
      </c>
      <c r="X40" t="n">
        <v>40</v>
      </c>
      <c r="Y40">
        <f>IF(W40=0,"",COUNTIFS($T$6:$T$405,T40,$W$6:$W$405,1,$S$6:$S$405,"&lt;"&amp;S40)+COUNTIFS($T$6:$T$405,T40,$W$6:$W$405,1,$S$6:$S$405,S40,$X$6:$X$405,"&lt;"&amp;X40)+1)</f>
        <v/>
      </c>
      <c r="Z40">
        <f>IF(Y40="","",T40&amp;"_"&amp;Y40)</f>
        <v/>
      </c>
      <c r="AA40">
        <f>SUBSTITUTE(SUBSTITUTE(SUBSTITUTE(SUBSTITUTE(SUBSTITUTE(INDEX(D40:K40,MIN(8,MAX(1,C40))),"年","/"),"月","/"),"日",""),"-","/"),".","/")</f>
        <v/>
      </c>
      <c r="AB40">
        <f>IFERROR(MATCH(O40,入力!$C$5:$C$44,0),"")</f>
        <v/>
      </c>
      <c r="AC40">
        <f>IF(AB40="","",INDEX(入力!$AH$5:$AH$44,AB40))</f>
        <v/>
      </c>
      <c r="AD40">
        <f>IF(INDEX($D40:$K40,IF(M40=1,2,1))=AC40,1,IF(INDEX($D40:$K40,IF(M40=1,2,1))&amp;INDEX($D40:$K40,IF(M40=1,2,1)+1)=AC40,2,IF(INDEX($D40:$K40,IF(M40=1,2,1))&amp;INDEX($D40:$K40,IF(M40=1,2,1)+1)&amp;INDEX($D40:$K40,IF(M40=1,2,1)+2)=AC40,3,IF(AB40&lt;&gt;"",2,IF(ISNUMBER(MATCH(INDEX($D40:$K40,IF(M40=1,2,1)),入力!$AH$5:$AH$44,0)),1,IF(ISNUMBER(MATCH(INDEX($D40:$K40,IF(M40=1,2,1))&amp;INDEX($D40:$K40,IF(M40=1,2,1)+1),入力!$AH$5:$AH$44,0)),2,IF(ISNUMBER(MATCH(INDEX($D40:$K40,IF(M40=1,2,1))&amp;INDEX($D40:$K40,IF(M40=1,2,1)+1)&amp;INDEX($D40:$K40,IF(M40=1,2,1)+2),入力!$AH$5:$AH$44,0)),3,2)))))))</f>
        <v/>
      </c>
      <c r="AE40">
        <f>IF(V40="","",IF(AND(V40="反映",N(Y40)&gt;20),"要確認（この生徒の取込が20件を超えました）",V40))</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",""),入力!$AH$5:$AH$44,0),"")))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$405,T41,$R$6:$R$405,R41,$X$6:$X$405,"&lt;"&amp;X41))&gt;0,"重複","反映")))))</f>
        <v/>
      </c>
      <c r="W41">
        <f>IF(V41="反映",1,0)</f>
        <v/>
      </c>
      <c r="X41" t="n">
        <v>41</v>
      </c>
      <c r="Y41">
        <f>IF(W41=0,"",COUNTIFS($T$6:$T$405,T41,$W$6:$W$405,1,$S$6:$S$405,"&lt;"&amp;S41)+COUNTIFS($T$6:$T$405,T41,$W$6:$W$405,1,$S$6:$S$405,S41,$X$6:$X$405,"&lt;"&amp;X41)+1)</f>
        <v/>
      </c>
      <c r="Z41">
        <f>IF(Y41="","",T41&amp;"_"&amp;Y41)</f>
        <v/>
      </c>
      <c r="AA41">
        <f>SUBSTITUTE(SUBSTITUTE(SUBSTITUTE(SUBSTITUTE(SUBSTITUTE(INDEX(D41:K41,MIN(8,MAX(1,C41))),"年","/"),"月","/"),"日",""),"-","/"),".","/")</f>
        <v/>
      </c>
      <c r="AB41">
        <f>IFERROR(MATCH(O41,入力!$C$5:$C$44,0),"")</f>
        <v/>
      </c>
      <c r="AC41">
        <f>IF(AB41="","",INDEX(入力!$AH$5:$AH$44,AB41))</f>
        <v/>
      </c>
      <c r="AD41">
        <f>IF(INDEX($D41:$K41,IF(M41=1,2,1))=AC41,1,IF(INDEX($D41:$K41,IF(M41=1,2,1))&amp;INDEX($D41:$K41,IF(M41=1,2,1)+1)=AC41,2,IF(INDEX($D41:$K41,IF(M41=1,2,1))&amp;INDEX($D41:$K41,IF(M41=1,2,1)+1)&amp;INDEX($D41:$K41,IF(M41=1,2,1)+2)=AC41,3,IF(AB41&lt;&gt;"",2,IF(ISNUMBER(MATCH(INDEX($D41:$K41,IF(M41=1,2,1)),入力!$AH$5:$AH$44,0)),1,IF(ISNUMBER(MATCH(INDEX($D41:$K41,IF(M41=1,2,1))&amp;INDEX($D41:$K41,IF(M41=1,2,1)+1),入力!$AH$5:$AH$44,0)),2,IF(ISNUMBER(MATCH(INDEX($D41:$K41,IF(M41=1,2,1))&amp;INDEX($D41:$K41,IF(M41=1,2,1)+1)&amp;INDEX($D41:$K41,IF(M41=1,2,1)+2),入力!$AH$5:$AH$44,0)),3,2)))))))</f>
        <v/>
      </c>
      <c r="AE41">
        <f>IF(V41="","",IF(AND(V41="反映",N(Y41)&gt;20),"要確認（この生徒の取込が20件を超えました）",V41))</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",""),入力!$AH$5:$AH$44,0),"")))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$405,T42,$R$6:$R$405,R42,$X$6:$X$405,"&lt;"&amp;X42))&gt;0,"重複","反映")))))</f>
        <v/>
      </c>
      <c r="W42">
        <f>IF(V42="反映",1,0)</f>
        <v/>
      </c>
      <c r="X42" t="n">
        <v>42</v>
      </c>
      <c r="Y42">
        <f>IF(W42=0,"",COUNTIFS($T$6:$T$405,T42,$W$6:$W$405,1,$S$6:$S$405,"&lt;"&amp;S42)+COUNTIFS($T$6:$T$405,T42,$W$6:$W$405,1,$S$6:$S$405,S42,$X$6:$X$405,"&lt;"&amp;X42)+1)</f>
        <v/>
      </c>
      <c r="Z42">
        <f>IF(Y42="","",T42&amp;"_"&amp;Y42)</f>
        <v/>
      </c>
      <c r="AA42">
        <f>SUBSTITUTE(SUBSTITUTE(SUBSTITUTE(SUBSTITUTE(SUBSTITUTE(INDEX(D42:K42,MIN(8,MAX(1,C42))),"年","/"),"月","/"),"日",""),"-","/"),".","/")</f>
        <v/>
      </c>
      <c r="AB42">
        <f>IFERROR(MATCH(O42,入力!$C$5:$C$44,0),"")</f>
        <v/>
      </c>
      <c r="AC42">
        <f>IF(AB42="","",INDEX(入力!$AH$5:$AH$44,AB42))</f>
        <v/>
      </c>
      <c r="AD42">
        <f>IF(INDEX($D42:$K42,IF(M42=1,2,1))=AC42,1,IF(INDEX($D42:$K42,IF(M42=1,2,1))&amp;INDEX($D42:$K42,IF(M42=1,2,1)+1)=AC42,2,IF(INDEX($D42:$K42,IF(M42=1,2,1))&amp;INDEX($D42:$K42,IF(M42=1,2,1)+1)&amp;INDEX($D42:$K42,IF(M42=1,2,1)+2)=AC42,3,IF(AB42&lt;&gt;"",2,IF(ISNUMBER(MATCH(INDEX($D42:$K42,IF(M42=1,2,1)),入力!$AH$5:$AH$44,0)),1,IF(ISNUMBER(MATCH(INDEX($D42:$K42,IF(M42=1,2,1))&amp;INDEX($D42:$K42,IF(M42=1,2,1)+1),入力!$AH$5:$AH$44,0)),2,IF(ISNUMBER(MATCH(INDEX($D42:$K42,IF(M42=1,2,1))&amp;INDEX($D42:$K42,IF(M42=1,2,1)+1)&amp;INDEX($D42:$K42,IF(M42=1,2,1)+2),入力!$AH$5:$AH$44,0)),3,2)))))))</f>
        <v/>
      </c>
      <c r="AE42">
        <f>IF(V42="","",IF(AND(V42="反映",N(Y42)&gt;20),"要確認（この生徒の取込が20件を超えました）",V42))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",""),入力!$AH$5:$AH$44,0),"")))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$405,T43,$R$6:$R$405,R43,$X$6:$X$405,"&lt;"&amp;X43))&gt;0,"重複","反映")))))</f>
        <v/>
      </c>
      <c r="W43">
        <f>IF(V43="反映",1,0)</f>
        <v/>
      </c>
      <c r="X43" t="n">
        <v>43</v>
      </c>
      <c r="Y43">
        <f>IF(W43=0,"",COUNTIFS($T$6:$T$405,T43,$W$6:$W$405,1,$S$6:$S$405,"&lt;"&amp;S43)+COUNTIFS($T$6:$T$405,T43,$W$6:$W$405,1,$S$6:$S$405,S43,$X$6:$X$405,"&lt;"&amp;X43)+1)</f>
        <v/>
      </c>
      <c r="Z43">
        <f>IF(Y43="","",T43&amp;"_"&amp;Y43)</f>
        <v/>
      </c>
      <c r="AA43">
        <f>SUBSTITUTE(SUBSTITUTE(SUBSTITUTE(SUBSTITUTE(SUBSTITUTE(INDEX(D43:K43,MIN(8,MAX(1,C43))),"年","/"),"月","/"),"日",""),"-","/"),".","/")</f>
        <v/>
      </c>
      <c r="AB43">
        <f>IFERROR(MATCH(O43,入力!$C$5:$C$44,0),"")</f>
        <v/>
      </c>
      <c r="AC43">
        <f>IF(AB43="","",INDEX(入力!$AH$5:$AH$44,AB43))</f>
        <v/>
      </c>
      <c r="AD43">
        <f>IF(INDEX($D43:$K43,IF(M43=1,2,1))=AC43,1,IF(INDEX($D43:$K43,IF(M43=1,2,1))&amp;INDEX($D43:$K43,IF(M43=1,2,1)+1)=AC43,2,IF(INDEX($D43:$K43,IF(M43=1,2,1))&amp;INDEX($D43:$K43,IF(M43=1,2,1)+1)&amp;INDEX($D43:$K43,IF(M43=1,2,1)+2)=AC43,3,IF(AB43&lt;&gt;"",2,IF(ISNUMBER(MATCH(INDEX($D43:$K43,IF(M43=1,2,1)),入力!$AH$5:$AH$44,0)),1,IF(ISNUMBER(MATCH(INDEX($D43:$K43,IF(M43=1,2,1))&amp;INDEX($D43:$K43,IF(M43=1,2,1)+1),入力!$AH$5:$AH$44,0)),2,IF(ISNUMBER(MATCH(INDEX($D43:$K43,IF(M43=1,2,1))&amp;INDEX($D43:$K43,IF(M43=1,2,1)+1)&amp;INDEX($D43:$K43,IF(M43=1,2,1)+2),入力!$AH$5:$AH$44,0)),3,2)))))))</f>
        <v/>
      </c>
      <c r="AE43">
        <f>IF(V43="","",IF(AND(V43="反映",N(Y43)&gt;20),"要確認（この生徒の取込が20件を超えました）",V43))</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",""),入力!$AH$5:$AH$44,0),"")))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$405,T44,$R$6:$R$405,R44,$X$6:$X$405,"&lt;"&amp;X44))&gt;0,"重複","反映")))))</f>
        <v/>
      </c>
      <c r="W44">
        <f>IF(V44="反映",1,0)</f>
        <v/>
      </c>
      <c r="X44" t="n">
        <v>44</v>
      </c>
      <c r="Y44">
        <f>IF(W44=0,"",COUNTIFS($T$6:$T$405,T44,$W$6:$W$405,1,$S$6:$S$405,"&lt;"&amp;S44)+COUNTIFS($T$6:$T$405,T44,$W$6:$W$405,1,$S$6:$S$405,S44,$X$6:$X$405,"&lt;"&amp;X44)+1)</f>
        <v/>
      </c>
      <c r="Z44">
        <f>IF(Y44="","",T44&amp;"_"&amp;Y44)</f>
        <v/>
      </c>
      <c r="AA44">
        <f>SUBSTITUTE(SUBSTITUTE(SUBSTITUTE(SUBSTITUTE(SUBSTITUTE(INDEX(D44:K44,MIN(8,MAX(1,C44))),"年","/"),"月","/"),"日",""),"-","/"),".","/")</f>
        <v/>
      </c>
      <c r="AB44">
        <f>IFERROR(MATCH(O44,入力!$C$5:$C$44,0),"")</f>
        <v/>
      </c>
      <c r="AC44">
        <f>IF(AB44="","",INDEX(入力!$AH$5:$AH$44,AB44))</f>
        <v/>
      </c>
      <c r="AD44">
        <f>IF(INDEX($D44:$K44,IF(M44=1,2,1))=AC44,1,IF(INDEX($D44:$K44,IF(M44=1,2,1))&amp;INDEX($D44:$K44,IF(M44=1,2,1)+1)=AC44,2,IF(INDEX($D44:$K44,IF(M44=1,2,1))&amp;INDEX($D44:$K44,IF(M44=1,2,1)+1)&amp;INDEX($D44:$K44,IF(M44=1,2,1)+2)=AC44,3,IF(AB44&lt;&gt;"",2,IF(ISNUMBER(MATCH(INDEX($D44:$K44,IF(M44=1,2,1)),入力!$AH$5:$AH$44,0)),1,IF(ISNUMBER(MATCH(INDEX($D44:$K44,IF(M44=1,2,1))&amp;INDEX($D44:$K44,IF(M44=1,2,1)+1),入力!$AH$5:$AH$44,0)),2,IF(ISNUMBER(MATCH(INDEX($D44:$K44,IF(M44=1,2,1))&amp;INDEX($D44:$K44,IF(M44=1,2,1)+1)&amp;INDEX($D44:$K44,IF(M44=1,2,1)+2),入力!$AH$5:$AH$44,0)),3,2)))))))</f>
        <v/>
      </c>
      <c r="AE44">
        <f>IF(V44="","",IF(AND(V44="反映",N(Y44)&gt;20),"要確認（この生徒の取込が20件を超えました）",V44))</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",""),入力!$AH$5:$AH$44,0),"")))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$405,T45,$R$6:$R$405,R45,$X$6:$X$405,"&lt;"&amp;X45))&gt;0,"重複","反映")))))</f>
        <v/>
      </c>
      <c r="W45">
        <f>IF(V45="反映",1,0)</f>
        <v/>
      </c>
      <c r="X45" t="n">
        <v>45</v>
      </c>
      <c r="Y45">
        <f>IF(W45=0,"",COUNTIFS($T$6:$T$405,T45,$W$6:$W$405,1,$S$6:$S$405,"&lt;"&amp;S45)+COUNTIFS($T$6:$T$405,T45,$W$6:$W$405,1,$S$6:$S$405,S45,$X$6:$X$405,"&lt;"&amp;X45)+1)</f>
        <v/>
      </c>
      <c r="Z45">
        <f>IF(Y45="","",T45&amp;"_"&amp;Y45)</f>
        <v/>
      </c>
      <c r="AA45">
        <f>SUBSTITUTE(SUBSTITUTE(SUBSTITUTE(SUBSTITUTE(SUBSTITUTE(INDEX(D45:K45,MIN(8,MAX(1,C45))),"年","/"),"月","/"),"日",""),"-","/"),".","/")</f>
        <v/>
      </c>
      <c r="AB45">
        <f>IFERROR(MATCH(O45,入力!$C$5:$C$44,0),"")</f>
        <v/>
      </c>
      <c r="AC45">
        <f>IF(AB45="","",INDEX(入力!$AH$5:$AH$44,AB45))</f>
        <v/>
      </c>
      <c r="AD45">
        <f>IF(INDEX($D45:$K45,IF(M45=1,2,1))=AC45,1,IF(INDEX($D45:$K45,IF(M45=1,2,1))&amp;INDEX($D45:$K45,IF(M45=1,2,1)+1)=AC45,2,IF(INDEX($D45:$K45,IF(M45=1,2,1))&amp;INDEX($D45:$K45,IF(M45=1,2,1)+1)&amp;INDEX($D45:$K45,IF(M45=1,2,1)+2)=AC45,3,IF(AB45&lt;&gt;"",2,IF(ISNUMBER(MATCH(INDEX($D45:$K45,IF(M45=1,2,1)),入力!$AH$5:$AH$44,0)),1,IF(ISNUMBER(MATCH(INDEX($D45:$K45,IF(M45=1,2,1))&amp;INDEX($D45:$K45,IF(M45=1,2,1)+1),入力!$AH$5:$AH$44,0)),2,IF(ISNUMBER(MATCH(INDEX($D45:$K45,IF(M45=1,2,1))&amp;INDEX($D45:$K45,IF(M45=1,2,1)+1)&amp;INDEX($D45:$K45,IF(M45=1,2,1)+2),入力!$AH$5:$AH$44,0)),3,2)))))))</f>
        <v/>
      </c>
      <c r="AE45">
        <f>IF(V45="","",IF(AND(V45="反映",N(Y45)&gt;20),"要確認（この生徒の取込が20件を超えました）",V45))</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",""),入力!$AH$5:$AH$44,0),"")))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$405,T46,$R$6:$R$405,R46,$X$6:$X$405,"&lt;"&amp;X46))&gt;0,"重複","反映")))))</f>
        <v/>
      </c>
      <c r="W46">
        <f>IF(V46="反映",1,0)</f>
        <v/>
      </c>
      <c r="X46" t="n">
        <v>46</v>
      </c>
      <c r="Y46">
        <f>IF(W46=0,"",COUNTIFS($T$6:$T$405,T46,$W$6:$W$405,1,$S$6:$S$405,"&lt;"&amp;S46)+COUNTIFS($T$6:$T$405,T46,$W$6:$W$405,1,$S$6:$S$405,S46,$X$6:$X$405,"&lt;"&amp;X46)+1)</f>
        <v/>
      </c>
      <c r="Z46">
        <f>IF(Y46="","",T46&amp;"_"&amp;Y46)</f>
        <v/>
      </c>
      <c r="AA46">
        <f>SUBSTITUTE(SUBSTITUTE(SUBSTITUTE(SUBSTITUTE(SUBSTITUTE(INDEX(D46:K46,MIN(8,MAX(1,C46))),"年","/"),"月","/"),"日",""),"-","/"),".","/")</f>
        <v/>
      </c>
      <c r="AB46">
        <f>IFERROR(MATCH(O46,入力!$C$5:$C$44,0),"")</f>
        <v/>
      </c>
      <c r="AC46">
        <f>IF(AB46="","",INDEX(入力!$AH$5:$AH$44,AB46))</f>
        <v/>
      </c>
      <c r="AD46">
        <f>IF(INDEX($D46:$K46,IF(M46=1,2,1))=AC46,1,IF(INDEX($D46:$K46,IF(M46=1,2,1))&amp;INDEX($D46:$K46,IF(M46=1,2,1)+1)=AC46,2,IF(INDEX($D46:$K46,IF(M46=1,2,1))&amp;INDEX($D46:$K46,IF(M46=1,2,1)+1)&amp;INDEX($D46:$K46,IF(M46=1,2,1)+2)=AC46,3,IF(AB46&lt;&gt;"",2,IF(ISNUMBER(MATCH(INDEX($D46:$K46,IF(M46=1,2,1)),入力!$AH$5:$AH$44,0)),1,IF(ISNUMBER(MATCH(INDEX($D46:$K46,IF(M46=1,2,1))&amp;INDEX($D46:$K46,IF(M46=1,2,1)+1),入力!$AH$5:$AH$44,0)),2,IF(ISNUMBER(MATCH(INDEX($D46:$K46,IF(M46=1,2,1))&amp;INDEX($D46:$K46,IF(M46=1,2,1)+1)&amp;INDEX($D46:$K46,IF(M46=1,2,1)+2),入力!$AH$5:$AH$44,0)),3,2)))))))</f>
        <v/>
      </c>
      <c r="AE46">
        <f>IF(V46="","",IF(AND(V46="反映",N(Y46)&gt;20),"要確認（この生徒の取込が20件を超えました）",V46))</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",""),入力!$AH$5:$AH$44,0),"")))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$405,T47,$R$6:$R$405,R47,$X$6:$X$405,"&lt;"&amp;X47))&gt;0,"重複","反映")))))</f>
        <v/>
      </c>
      <c r="W47">
        <f>IF(V47="反映",1,0)</f>
        <v/>
      </c>
      <c r="X47" t="n">
        <v>47</v>
      </c>
      <c r="Y47">
        <f>IF(W47=0,"",COUNTIFS($T$6:$T$405,T47,$W$6:$W$405,1,$S$6:$S$405,"&lt;"&amp;S47)+COUNTIFS($T$6:$T$405,T47,$W$6:$W$405,1,$S$6:$S$405,S47,$X$6:$X$405,"&lt;"&amp;X47)+1)</f>
        <v/>
      </c>
      <c r="Z47">
        <f>IF(Y47="","",T47&amp;"_"&amp;Y47)</f>
        <v/>
      </c>
      <c r="AA47">
        <f>SUBSTITUTE(SUBSTITUTE(SUBSTITUTE(SUBSTITUTE(SUBSTITUTE(INDEX(D47:K47,MIN(8,MAX(1,C47))),"年","/"),"月","/"),"日",""),"-","/"),".","/")</f>
        <v/>
      </c>
      <c r="AB47">
        <f>IFERROR(MATCH(O47,入力!$C$5:$C$44,0),"")</f>
        <v/>
      </c>
      <c r="AC47">
        <f>IF(AB47="","",INDEX(入力!$AH$5:$AH$44,AB47))</f>
        <v/>
      </c>
      <c r="AD47">
        <f>IF(INDEX($D47:$K47,IF(M47=1,2,1))=AC47,1,IF(INDEX($D47:$K47,IF(M47=1,2,1))&amp;INDEX($D47:$K47,IF(M47=1,2,1)+1)=AC47,2,IF(INDEX($D47:$K47,IF(M47=1,2,1))&amp;INDEX($D47:$K47,IF(M47=1,2,1)+1)&amp;INDEX($D47:$K47,IF(M47=1,2,1)+2)=AC47,3,IF(AB47&lt;&gt;"",2,IF(ISNUMBER(MATCH(INDEX($D47:$K47,IF(M47=1,2,1)),入力!$AH$5:$AH$44,0)),1,IF(ISNUMBER(MATCH(INDEX($D47:$K47,IF(M47=1,2,1))&amp;INDEX($D47:$K47,IF(M47=1,2,1)+1),入力!$AH$5:$AH$44,0)),2,IF(ISNUMBER(MATCH(INDEX($D47:$K47,IF(M47=1,2,1))&amp;INDEX($D47:$K47,IF(M47=1,2,1)+1)&amp;INDEX($D47:$K47,IF(M47=1,2,1)+2),入力!$AH$5:$AH$44,0)),3,2)))))))</f>
        <v/>
      </c>
      <c r="AE47">
        <f>IF(V47="","",IF(AND(V47="反映",N(Y47)&gt;20),"要確認（この生徒の取込が20件を超えました）",V47))</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",""),入力!$AH$5:$AH$44,0),"")))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$405,T48,$R$6:$R$405,R48,$X$6:$X$405,"&lt;"&amp;X48))&gt;0,"重複","反映")))))</f>
        <v/>
      </c>
      <c r="W48">
        <f>IF(V48="反映",1,0)</f>
        <v/>
      </c>
      <c r="X48" t="n">
        <v>48</v>
      </c>
      <c r="Y48">
        <f>IF(W48=0,"",COUNTIFS($T$6:$T$405,T48,$W$6:$W$405,1,$S$6:$S$405,"&lt;"&amp;S48)+COUNTIFS($T$6:$T$405,T48,$W$6:$W$405,1,$S$6:$S$405,S48,$X$6:$X$405,"&lt;"&amp;X48)+1)</f>
        <v/>
      </c>
      <c r="Z48">
        <f>IF(Y48="","",T48&amp;"_"&amp;Y48)</f>
        <v/>
      </c>
      <c r="AA48">
        <f>SUBSTITUTE(SUBSTITUTE(SUBSTITUTE(SUBSTITUTE(SUBSTITUTE(INDEX(D48:K48,MIN(8,MAX(1,C48))),"年","/"),"月","/"),"日",""),"-","/"),".","/")</f>
        <v/>
      </c>
      <c r="AB48">
        <f>IFERROR(MATCH(O48,入力!$C$5:$C$44,0),"")</f>
        <v/>
      </c>
      <c r="AC48">
        <f>IF(AB48="","",INDEX(入力!$AH$5:$AH$44,AB48))</f>
        <v/>
      </c>
      <c r="AD48">
        <f>IF(INDEX($D48:$K48,IF(M48=1,2,1))=AC48,1,IF(INDEX($D48:$K48,IF(M48=1,2,1))&amp;INDEX($D48:$K48,IF(M48=1,2,1)+1)=AC48,2,IF(INDEX($D48:$K48,IF(M48=1,2,1))&amp;INDEX($D48:$K48,IF(M48=1,2,1)+1)&amp;INDEX($D48:$K48,IF(M48=1,2,1)+2)=AC48,3,IF(AB48&lt;&gt;"",2,IF(ISNUMBER(MATCH(INDEX($D48:$K48,IF(M48=1,2,1)),入力!$AH$5:$AH$44,0)),1,IF(ISNUMBER(MATCH(INDEX($D48:$K48,IF(M48=1,2,1))&amp;INDEX($D48:$K48,IF(M48=1,2,1)+1),入力!$AH$5:$AH$44,0)),2,IF(ISNUMBER(MATCH(INDEX($D48:$K48,IF(M48=1,2,1))&amp;INDEX($D48:$K48,IF(M48=1,2,1)+1)&amp;INDEX($D48:$K48,IF(M48=1,2,1)+2),入力!$AH$5:$AH$44,0)),3,2)))))))</f>
        <v/>
      </c>
      <c r="AE48">
        <f>IF(V48="","",IF(AND(V48="反映",N(Y48)&gt;20),"要確認（この生徒の取込が20件を超えました）",V48))</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",""),入力!$AH$5:$AH$44,0),"")))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$405,T49,$R$6:$R$405,R49,$X$6:$X$405,"&lt;"&amp;X49))&gt;0,"重複","反映")))))</f>
        <v/>
      </c>
      <c r="W49">
        <f>IF(V49="反映",1,0)</f>
        <v/>
      </c>
      <c r="X49" t="n">
        <v>49</v>
      </c>
      <c r="Y49">
        <f>IF(W49=0,"",COUNTIFS($T$6:$T$405,T49,$W$6:$W$405,1,$S$6:$S$405,"&lt;"&amp;S49)+COUNTIFS($T$6:$T$405,T49,$W$6:$W$405,1,$S$6:$S$405,S49,$X$6:$X$405,"&lt;"&amp;X49)+1)</f>
        <v/>
      </c>
      <c r="Z49">
        <f>IF(Y49="","",T49&amp;"_"&amp;Y49)</f>
        <v/>
      </c>
      <c r="AA49">
        <f>SUBSTITUTE(SUBSTITUTE(SUBSTITUTE(SUBSTITUTE(SUBSTITUTE(INDEX(D49:K49,MIN(8,MAX(1,C49))),"年","/"),"月","/"),"日",""),"-","/"),".","/")</f>
        <v/>
      </c>
      <c r="AB49">
        <f>IFERROR(MATCH(O49,入力!$C$5:$C$44,0),"")</f>
        <v/>
      </c>
      <c r="AC49">
        <f>IF(AB49="","",INDEX(入力!$AH$5:$AH$44,AB49))</f>
        <v/>
      </c>
      <c r="AD49">
        <f>IF(INDEX($D49:$K49,IF(M49=1,2,1))=AC49,1,IF(INDEX($D49:$K49,IF(M49=1,2,1))&amp;INDEX($D49:$K49,IF(M49=1,2,1)+1)=AC49,2,IF(INDEX($D49:$K49,IF(M49=1,2,1))&amp;INDEX($D49:$K49,IF(M49=1,2,1)+1)&amp;INDEX($D49:$K49,IF(M49=1,2,1)+2)=AC49,3,IF(AB49&lt;&gt;"",2,IF(ISNUMBER(MATCH(INDEX($D49:$K49,IF(M49=1,2,1)),入力!$AH$5:$AH$44,0)),1,IF(ISNUMBER(MATCH(INDEX($D49:$K49,IF(M49=1,2,1))&amp;INDEX($D49:$K49,IF(M49=1,2,1)+1),入力!$AH$5:$AH$44,0)),2,IF(ISNUMBER(MATCH(INDEX($D49:$K49,IF(M49=1,2,1))&amp;INDEX($D49:$K49,IF(M49=1,2,1)+1)&amp;INDEX($D49:$K49,IF(M49=1,2,1)+2),入力!$AH$5:$AH$44,0)),3,2)))))))</f>
        <v/>
      </c>
      <c r="AE49">
        <f>IF(V49="","",IF(AND(V49="反映",N(Y49)&gt;20),"要確認（この生徒の取込が20件を超えました）",V49))</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",""),入力!$AH$5:$AH$44,0),"")))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$405,T50,$R$6:$R$405,R50,$X$6:$X$405,"&lt;"&amp;X50))&gt;0,"重複","反映")))))</f>
        <v/>
      </c>
      <c r="W50">
        <f>IF(V50="反映",1,0)</f>
        <v/>
      </c>
      <c r="X50" t="n">
        <v>50</v>
      </c>
      <c r="Y50">
        <f>IF(W50=0,"",COUNTIFS($T$6:$T$405,T50,$W$6:$W$405,1,$S$6:$S$405,"&lt;"&amp;S50)+COUNTIFS($T$6:$T$405,T50,$W$6:$W$405,1,$S$6:$S$405,S50,$X$6:$X$405,"&lt;"&amp;X50)+1)</f>
        <v/>
      </c>
      <c r="Z50">
        <f>IF(Y50="","",T50&amp;"_"&amp;Y50)</f>
        <v/>
      </c>
      <c r="AA50">
        <f>SUBSTITUTE(SUBSTITUTE(SUBSTITUTE(SUBSTITUTE(SUBSTITUTE(INDEX(D50:K50,MIN(8,MAX(1,C50))),"年","/"),"月","/"),"日",""),"-","/"),".","/")</f>
        <v/>
      </c>
      <c r="AB50">
        <f>IFERROR(MATCH(O50,入力!$C$5:$C$44,0),"")</f>
        <v/>
      </c>
      <c r="AC50">
        <f>IF(AB50="","",INDEX(入力!$AH$5:$AH$44,AB50))</f>
        <v/>
      </c>
      <c r="AD50">
        <f>IF(INDEX($D50:$K50,IF(M50=1,2,1))=AC50,1,IF(INDEX($D50:$K50,IF(M50=1,2,1))&amp;INDEX($D50:$K50,IF(M50=1,2,1)+1)=AC50,2,IF(INDEX($D50:$K50,IF(M50=1,2,1))&amp;INDEX($D50:$K50,IF(M50=1,2,1)+1)&amp;INDEX($D50:$K50,IF(M50=1,2,1)+2)=AC50,3,IF(AB50&lt;&gt;"",2,IF(ISNUMBER(MATCH(INDEX($D50:$K50,IF(M50=1,2,1)),入力!$AH$5:$AH$44,0)),1,IF(ISNUMBER(MATCH(INDEX($D50:$K50,IF(M50=1,2,1))&amp;INDEX($D50:$K50,IF(M50=1,2,1)+1),入力!$AH$5:$AH$44,0)),2,IF(ISNUMBER(MATCH(INDEX($D50:$K50,IF(M50=1,2,1))&amp;INDEX($D50:$K50,IF(M50=1,2,1)+1)&amp;INDEX($D50:$K50,IF(M50=1,2,1)+2),入力!$AH$5:$AH$44,0)),3,2)))))))</f>
        <v/>
      </c>
      <c r="AE50">
        <f>IF(V50="","",IF(AND(V50="反映",N(Y50)&gt;20),"要確認（この生徒の取込が20件を超えました）",V50))</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",""),入力!$AH$5:$AH$44,0),"")))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$405,T51,$R$6:$R$405,R51,$X$6:$X$405,"&lt;"&amp;X51))&gt;0,"重複","反映")))))</f>
        <v/>
      </c>
      <c r="W51">
        <f>IF(V51="反映",1,0)</f>
        <v/>
      </c>
      <c r="X51" t="n">
        <v>51</v>
      </c>
      <c r="Y51">
        <f>IF(W51=0,"",COUNTIFS($T$6:$T$405,T51,$W$6:$W$405,1,$S$6:$S$405,"&lt;"&amp;S51)+COUNTIFS($T$6:$T$405,T51,$W$6:$W$405,1,$S$6:$S$405,S51,$X$6:$X$405,"&lt;"&amp;X51)+1)</f>
        <v/>
      </c>
      <c r="Z51">
        <f>IF(Y51="","",T51&amp;"_"&amp;Y51)</f>
        <v/>
      </c>
      <c r="AA51">
        <f>SUBSTITUTE(SUBSTITUTE(SUBSTITUTE(SUBSTITUTE(SUBSTITUTE(INDEX(D51:K51,MIN(8,MAX(1,C51))),"年","/"),"月","/"),"日",""),"-","/"),".","/")</f>
        <v/>
      </c>
      <c r="AB51">
        <f>IFERROR(MATCH(O51,入力!$C$5:$C$44,0),"")</f>
        <v/>
      </c>
      <c r="AC51">
        <f>IF(AB51="","",INDEX(入力!$AH$5:$AH$44,AB51))</f>
        <v/>
      </c>
      <c r="AD51">
        <f>IF(INDEX($D51:$K51,IF(M51=1,2,1))=AC51,1,IF(INDEX($D51:$K51,IF(M51=1,2,1))&amp;INDEX($D51:$K51,IF(M51=1,2,1)+1)=AC51,2,IF(INDEX($D51:$K51,IF(M51=1,2,1))&amp;INDEX($D51:$K51,IF(M51=1,2,1)+1)&amp;INDEX($D51:$K51,IF(M51=1,2,1)+2)=AC51,3,IF(AB51&lt;&gt;"",2,IF(ISNUMBER(MATCH(INDEX($D51:$K51,IF(M51=1,2,1)),入力!$AH$5:$AH$44,0)),1,IF(ISNUMBER(MATCH(INDEX($D51:$K51,IF(M51=1,2,1))&amp;INDEX($D51:$K51,IF(M51=1,2,1)+1),入力!$AH$5:$AH$44,0)),2,IF(ISNUMBER(MATCH(INDEX($D51:$K51,IF(M51=1,2,1))&amp;INDEX($D51:$K51,IF(M51=1,2,1)+1)&amp;INDEX($D51:$K51,IF(M51=1,2,1)+2),入力!$AH$5:$AH$44,0)),3,2)))))))</f>
        <v/>
      </c>
      <c r="AE51">
        <f>IF(V51="","",IF(AND(V51="反映",N(Y51)&gt;20),"要確認（この生徒の取込が20件を超えました）",V51))</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",""),入力!$AH$5:$AH$44,0),"")))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$405,T52,$R$6:$R$405,R52,$X$6:$X$405,"&lt;"&amp;X52))&gt;0,"重複","反映")))))</f>
        <v/>
      </c>
      <c r="W52">
        <f>IF(V52="反映",1,0)</f>
        <v/>
      </c>
      <c r="X52" t="n">
        <v>52</v>
      </c>
      <c r="Y52">
        <f>IF(W52=0,"",COUNTIFS($T$6:$T$405,T52,$W$6:$W$405,1,$S$6:$S$405,"&lt;"&amp;S52)+COUNTIFS($T$6:$T$405,T52,$W$6:$W$405,1,$S$6:$S$405,S52,$X$6:$X$405,"&lt;"&amp;X52)+1)</f>
        <v/>
      </c>
      <c r="Z52">
        <f>IF(Y52="","",T52&amp;"_"&amp;Y52)</f>
        <v/>
      </c>
      <c r="AA52">
        <f>SUBSTITUTE(SUBSTITUTE(SUBSTITUTE(SUBSTITUTE(SUBSTITUTE(INDEX(D52:K52,MIN(8,MAX(1,C52))),"年","/"),"月","/"),"日",""),"-","/"),".","/")</f>
        <v/>
      </c>
      <c r="AB52">
        <f>IFERROR(MATCH(O52,入力!$C$5:$C$44,0),"")</f>
        <v/>
      </c>
      <c r="AC52">
        <f>IF(AB52="","",INDEX(入力!$AH$5:$AH$44,AB52))</f>
        <v/>
      </c>
      <c r="AD52">
        <f>IF(INDEX($D52:$K52,IF(M52=1,2,1))=AC52,1,IF(INDEX($D52:$K52,IF(M52=1,2,1))&amp;INDEX($D52:$K52,IF(M52=1,2,1)+1)=AC52,2,IF(INDEX($D52:$K52,IF(M52=1,2,1))&amp;INDEX($D52:$K52,IF(M52=1,2,1)+1)&amp;INDEX($D52:$K52,IF(M52=1,2,1)+2)=AC52,3,IF(AB52&lt;&gt;"",2,IF(ISNUMBER(MATCH(INDEX($D52:$K52,IF(M52=1,2,1)),入力!$AH$5:$AH$44,0)),1,IF(ISNUMBER(MATCH(INDEX($D52:$K52,IF(M52=1,2,1))&amp;INDEX($D52:$K52,IF(M52=1,2,1)+1),入力!$AH$5:$AH$44,0)),2,IF(ISNUMBER(MATCH(INDEX($D52:$K52,IF(M52=1,2,1))&amp;INDEX($D52:$K52,IF(M52=1,2,1)+1)&amp;INDEX($D52:$K52,IF(M52=1,2,1)+2),入力!$AH$5:$AH$44,0)),3,2)))))))</f>
        <v/>
      </c>
      <c r="AE52">
        <f>IF(V52="","",IF(AND(V52="反映",N(Y52)&gt;20),"要確認（この生徒の取込が20件を超えました）",V52))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",""),入力!$AH$5:$AH$44,0),"")))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$405,T53,$R$6:$R$405,R53,$X$6:$X$405,"&lt;"&amp;X53))&gt;0,"重複","反映")))))</f>
        <v/>
      </c>
      <c r="W53">
        <f>IF(V53="反映",1,0)</f>
        <v/>
      </c>
      <c r="X53" t="n">
        <v>53</v>
      </c>
      <c r="Y53">
        <f>IF(W53=0,"",COUNTIFS($T$6:$T$405,T53,$W$6:$W$405,1,$S$6:$S$405,"&lt;"&amp;S53)+COUNTIFS($T$6:$T$405,T53,$W$6:$W$405,1,$S$6:$S$405,S53,$X$6:$X$405,"&lt;"&amp;X53)+1)</f>
        <v/>
      </c>
      <c r="Z53">
        <f>IF(Y53="","",T53&amp;"_"&amp;Y53)</f>
        <v/>
      </c>
      <c r="AA53">
        <f>SUBSTITUTE(SUBSTITUTE(SUBSTITUTE(SUBSTITUTE(SUBSTITUTE(INDEX(D53:K53,MIN(8,MAX(1,C53))),"年","/"),"月","/"),"日",""),"-","/"),".","/")</f>
        <v/>
      </c>
      <c r="AB53">
        <f>IFERROR(MATCH(O53,入力!$C$5:$C$44,0),"")</f>
        <v/>
      </c>
      <c r="AC53">
        <f>IF(AB53="","",INDEX(入力!$AH$5:$AH$44,AB53))</f>
        <v/>
      </c>
      <c r="AD53">
        <f>IF(INDEX($D53:$K53,IF(M53=1,2,1))=AC53,1,IF(INDEX($D53:$K53,IF(M53=1,2,1))&amp;INDEX($D53:$K53,IF(M53=1,2,1)+1)=AC53,2,IF(INDEX($D53:$K53,IF(M53=1,2,1))&amp;INDEX($D53:$K53,IF(M53=1,2,1)+1)&amp;INDEX($D53:$K53,IF(M53=1,2,1)+2)=AC53,3,IF(AB53&lt;&gt;"",2,IF(ISNUMBER(MATCH(INDEX($D53:$K53,IF(M53=1,2,1)),入力!$AH$5:$AH$44,0)),1,IF(ISNUMBER(MATCH(INDEX($D53:$K53,IF(M53=1,2,1))&amp;INDEX($D53:$K53,IF(M53=1,2,1)+1),入力!$AH$5:$AH$44,0)),2,IF(ISNUMBER(MATCH(INDEX($D53:$K53,IF(M53=1,2,1))&amp;INDEX($D53:$K53,IF(M53=1,2,1)+1)&amp;INDEX($D53:$K53,IF(M53=1,2,1)+2),入力!$AH$5:$AH$44,0)),3,2)))))))</f>
        <v/>
      </c>
      <c r="AE53">
        <f>IF(V53="","",IF(AND(V53="反映",N(Y53)&gt;20),"要確認（この生徒の取込が20件を超えました）",V53))</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",""),入力!$AH$5:$AH$44,0),"")))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$405,T54,$R$6:$R$405,R54,$X$6:$X$405,"&lt;"&amp;X54))&gt;0,"重複","反映")))))</f>
        <v/>
      </c>
      <c r="W54">
        <f>IF(V54="反映",1,0)</f>
        <v/>
      </c>
      <c r="X54" t="n">
        <v>54</v>
      </c>
      <c r="Y54">
        <f>IF(W54=0,"",COUNTIFS($T$6:$T$405,T54,$W$6:$W$405,1,$S$6:$S$405,"&lt;"&amp;S54)+COUNTIFS($T$6:$T$405,T54,$W$6:$W$405,1,$S$6:$S$405,S54,$X$6:$X$405,"&lt;"&amp;X54)+1)</f>
        <v/>
      </c>
      <c r="Z54">
        <f>IF(Y54="","",T54&amp;"_"&amp;Y54)</f>
        <v/>
      </c>
      <c r="AA54">
        <f>SUBSTITUTE(SUBSTITUTE(SUBSTITUTE(SUBSTITUTE(SUBSTITUTE(INDEX(D54:K54,MIN(8,MAX(1,C54))),"年","/"),"月","/"),"日",""),"-","/"),".","/")</f>
        <v/>
      </c>
      <c r="AB54">
        <f>IFERROR(MATCH(O54,入力!$C$5:$C$44,0),"")</f>
        <v/>
      </c>
      <c r="AC54">
        <f>IF(AB54="","",INDEX(入力!$AH$5:$AH$44,AB54))</f>
        <v/>
      </c>
      <c r="AD54">
        <f>IF(INDEX($D54:$K54,IF(M54=1,2,1))=AC54,1,IF(INDEX($D54:$K54,IF(M54=1,2,1))&amp;INDEX($D54:$K54,IF(M54=1,2,1)+1)=AC54,2,IF(INDEX($D54:$K54,IF(M54=1,2,1))&amp;INDEX($D54:$K54,IF(M54=1,2,1)+1)&amp;INDEX($D54:$K54,IF(M54=1,2,1)+2)=AC54,3,IF(AB54&lt;&gt;"",2,IF(ISNUMBER(MATCH(INDEX($D54:$K54,IF(M54=1,2,1)),入力!$AH$5:$AH$44,0)),1,IF(ISNUMBER(MATCH(INDEX($D54:$K54,IF(M54=1,2,1))&amp;INDEX($D54:$K54,IF(M54=1,2,1)+1),入力!$AH$5:$AH$44,0)),2,IF(ISNUMBER(MATCH(INDEX($D54:$K54,IF(M54=1,2,1))&amp;INDEX($D54:$K54,IF(M54=1,2,1)+1)&amp;INDEX($D54:$K54,IF(M54=1,2,1)+2),入力!$AH$5:$AH$44,0)),3,2)))))))</f>
        <v/>
      </c>
      <c r="AE54">
        <f>IF(V54="","",IF(AND(V54="反映",N(Y54)&gt;20),"要確認（この生徒の取込が20件を超えました）",V54))</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",""),入力!$AH$5:$AH$44,0),"")))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$405,T55,$R$6:$R$405,R55,$X$6:$X$405,"&lt;"&amp;X55))&gt;0,"重複","反映")))))</f>
        <v/>
      </c>
      <c r="W55">
        <f>IF(V55="反映",1,0)</f>
        <v/>
      </c>
      <c r="X55" t="n">
        <v>55</v>
      </c>
      <c r="Y55">
        <f>IF(W55=0,"",COUNTIFS($T$6:$T$405,T55,$W$6:$W$405,1,$S$6:$S$405,"&lt;"&amp;S55)+COUNTIFS($T$6:$T$405,T55,$W$6:$W$405,1,$S$6:$S$405,S55,$X$6:$X$405,"&lt;"&amp;X55)+1)</f>
        <v/>
      </c>
      <c r="Z55">
        <f>IF(Y55="","",T55&amp;"_"&amp;Y55)</f>
        <v/>
      </c>
      <c r="AA55">
        <f>SUBSTITUTE(SUBSTITUTE(SUBSTITUTE(SUBSTITUTE(SUBSTITUTE(INDEX(D55:K55,MIN(8,MAX(1,C55))),"年","/"),"月","/"),"日",""),"-","/"),".","/")</f>
        <v/>
      </c>
      <c r="AB55">
        <f>IFERROR(MATCH(O55,入力!$C$5:$C$44,0),"")</f>
        <v/>
      </c>
      <c r="AC55">
        <f>IF(AB55="","",INDEX(入力!$AH$5:$AH$44,AB55))</f>
        <v/>
      </c>
      <c r="AD55">
        <f>IF(INDEX($D55:$K55,IF(M55=1,2,1))=AC55,1,IF(INDEX($D55:$K55,IF(M55=1,2,1))&amp;INDEX($D55:$K55,IF(M55=1,2,1)+1)=AC55,2,IF(INDEX($D55:$K55,IF(M55=1,2,1))&amp;INDEX($D55:$K55,IF(M55=1,2,1)+1)&amp;INDEX($D55:$K55,IF(M55=1,2,1)+2)=AC55,3,IF(AB55&lt;&gt;"",2,IF(ISNUMBER(MATCH(INDEX($D55:$K55,IF(M55=1,2,1)),入力!$AH$5:$AH$44,0)),1,IF(ISNUMBER(MATCH(INDEX($D55:$K55,IF(M55=1,2,1))&amp;INDEX($D55:$K55,IF(M55=1,2,1)+1),入力!$AH$5:$AH$44,0)),2,IF(ISNUMBER(MATCH(INDEX($D55:$K55,IF(M55=1,2,1))&amp;INDEX($D55:$K55,IF(M55=1,2,1)+1)&amp;INDEX($D55:$K55,IF(M55=1,2,1)+2),入力!$AH$5:$AH$44,0)),3,2)))))))</f>
        <v/>
      </c>
      <c r="AE55">
        <f>IF(V55="","",IF(AND(V55="反映",N(Y55)&gt;20),"要確認（この生徒の取込が20件を超えました）",V55))</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",""),入力!$AH$5:$AH$44,0),"")))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$405,T56,$R$6:$R$405,R56,$X$6:$X$405,"&lt;"&amp;X56))&gt;0,"重複","反映")))))</f>
        <v/>
      </c>
      <c r="W56">
        <f>IF(V56="反映",1,0)</f>
        <v/>
      </c>
      <c r="X56" t="n">
        <v>56</v>
      </c>
      <c r="Y56">
        <f>IF(W56=0,"",COUNTIFS($T$6:$T$405,T56,$W$6:$W$405,1,$S$6:$S$405,"&lt;"&amp;S56)+COUNTIFS($T$6:$T$405,T56,$W$6:$W$405,1,$S$6:$S$405,S56,$X$6:$X$405,"&lt;"&amp;X56)+1)</f>
        <v/>
      </c>
      <c r="Z56">
        <f>IF(Y56="","",T56&amp;"_"&amp;Y56)</f>
        <v/>
      </c>
      <c r="AA56">
        <f>SUBSTITUTE(SUBSTITUTE(SUBSTITUTE(SUBSTITUTE(SUBSTITUTE(INDEX(D56:K56,MIN(8,MAX(1,C56))),"年","/"),"月","/"),"日",""),"-","/"),".","/")</f>
        <v/>
      </c>
      <c r="AB56">
        <f>IFERROR(MATCH(O56,入力!$C$5:$C$44,0),"")</f>
        <v/>
      </c>
      <c r="AC56">
        <f>IF(AB56="","",INDEX(入力!$AH$5:$AH$44,AB56))</f>
        <v/>
      </c>
      <c r="AD56">
        <f>IF(INDEX($D56:$K56,IF(M56=1,2,1))=AC56,1,IF(INDEX($D56:$K56,IF(M56=1,2,1))&amp;INDEX($D56:$K56,IF(M56=1,2,1)+1)=AC56,2,IF(INDEX($D56:$K56,IF(M56=1,2,1))&amp;INDEX($D56:$K56,IF(M56=1,2,1)+1)&amp;INDEX($D56:$K56,IF(M56=1,2,1)+2)=AC56,3,IF(AB56&lt;&gt;"",2,IF(ISNUMBER(MATCH(INDEX($D56:$K56,IF(M56=1,2,1)),入力!$AH$5:$AH$44,0)),1,IF(ISNUMBER(MATCH(INDEX($D56:$K56,IF(M56=1,2,1))&amp;INDEX($D56:$K56,IF(M56=1,2,1)+1),入力!$AH$5:$AH$44,0)),2,IF(ISNUMBER(MATCH(INDEX($D56:$K56,IF(M56=1,2,1))&amp;INDEX($D56:$K56,IF(M56=1,2,1)+1)&amp;INDEX($D56:$K56,IF(M56=1,2,1)+2),入力!$AH$5:$AH$44,0)),3,2)))))))</f>
        <v/>
      </c>
      <c r="AE56">
        <f>IF(V56="","",IF(AND(V56="反映",N(Y56)&gt;20),"要確認（この生徒の取込が20件を超えました）",V56))</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",""),入力!$AH$5:$AH$44,0),"")))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$405,T57,$R$6:$R$405,R57,$X$6:$X$405,"&lt;"&amp;X57))&gt;0,"重複","反映")))))</f>
        <v/>
      </c>
      <c r="W57">
        <f>IF(V57="反映",1,0)</f>
        <v/>
      </c>
      <c r="X57" t="n">
        <v>57</v>
      </c>
      <c r="Y57">
        <f>IF(W57=0,"",COUNTIFS($T$6:$T$405,T57,$W$6:$W$405,1,$S$6:$S$405,"&lt;"&amp;S57)+COUNTIFS($T$6:$T$405,T57,$W$6:$W$405,1,$S$6:$S$405,S57,$X$6:$X$405,"&lt;"&amp;X57)+1)</f>
        <v/>
      </c>
      <c r="Z57">
        <f>IF(Y57="","",T57&amp;"_"&amp;Y57)</f>
        <v/>
      </c>
      <c r="AA57">
        <f>SUBSTITUTE(SUBSTITUTE(SUBSTITUTE(SUBSTITUTE(SUBSTITUTE(INDEX(D57:K57,MIN(8,MAX(1,C57))),"年","/"),"月","/"),"日",""),"-","/"),".","/")</f>
        <v/>
      </c>
      <c r="AB57">
        <f>IFERROR(MATCH(O57,入力!$C$5:$C$44,0),"")</f>
        <v/>
      </c>
      <c r="AC57">
        <f>IF(AB57="","",INDEX(入力!$AH$5:$AH$44,AB57))</f>
        <v/>
      </c>
      <c r="AD57">
        <f>IF(INDEX($D57:$K57,IF(M57=1,2,1))=AC57,1,IF(INDEX($D57:$K57,IF(M57=1,2,1))&amp;INDEX($D57:$K57,IF(M57=1,2,1)+1)=AC57,2,IF(INDEX($D57:$K57,IF(M57=1,2,1))&amp;INDEX($D57:$K57,IF(M57=1,2,1)+1)&amp;INDEX($D57:$K57,IF(M57=1,2,1)+2)=AC57,3,IF(AB57&lt;&gt;"",2,IF(ISNUMBER(MATCH(INDEX($D57:$K57,IF(M57=1,2,1)),入力!$AH$5:$AH$44,0)),1,IF(ISNUMBER(MATCH(INDEX($D57:$K57,IF(M57=1,2,1))&amp;INDEX($D57:$K57,IF(M57=1,2,1)+1),入力!$AH$5:$AH$44,0)),2,IF(ISNUMBER(MATCH(INDEX($D57:$K57,IF(M57=1,2,1))&amp;INDEX($D57:$K57,IF(M57=1,2,1)+1)&amp;INDEX($D57:$K57,IF(M57=1,2,1)+2),入力!$AH$5:$AH$44,0)),3,2)))))))</f>
        <v/>
      </c>
      <c r="AE57">
        <f>IF(V57="","",IF(AND(V57="反映",N(Y57)&gt;20),"要確認（この生徒の取込が20件を超えました）",V57))</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",""),入力!$AH$5:$AH$44,0),"")))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$405,T58,$R$6:$R$405,R58,$X$6:$X$405,"&lt;"&amp;X58))&gt;0,"重複","反映")))))</f>
        <v/>
      </c>
      <c r="W58">
        <f>IF(V58="反映",1,0)</f>
        <v/>
      </c>
      <c r="X58" t="n">
        <v>58</v>
      </c>
      <c r="Y58">
        <f>IF(W58=0,"",COUNTIFS($T$6:$T$405,T58,$W$6:$W$405,1,$S$6:$S$405,"&lt;"&amp;S58)+COUNTIFS($T$6:$T$405,T58,$W$6:$W$405,1,$S$6:$S$405,S58,$X$6:$X$405,"&lt;"&amp;X58)+1)</f>
        <v/>
      </c>
      <c r="Z58">
        <f>IF(Y58="","",T58&amp;"_"&amp;Y58)</f>
        <v/>
      </c>
      <c r="AA58">
        <f>SUBSTITUTE(SUBSTITUTE(SUBSTITUTE(SUBSTITUTE(SUBSTITUTE(INDEX(D58:K58,MIN(8,MAX(1,C58))),"年","/"),"月","/"),"日",""),"-","/"),".","/")</f>
        <v/>
      </c>
      <c r="AB58">
        <f>IFERROR(MATCH(O58,入力!$C$5:$C$44,0),"")</f>
        <v/>
      </c>
      <c r="AC58">
        <f>IF(AB58="","",INDEX(入力!$AH$5:$AH$44,AB58))</f>
        <v/>
      </c>
      <c r="AD58">
        <f>IF(INDEX($D58:$K58,IF(M58=1,2,1))=AC58,1,IF(INDEX($D58:$K58,IF(M58=1,2,1))&amp;INDEX($D58:$K58,IF(M58=1,2,1)+1)=AC58,2,IF(INDEX($D58:$K58,IF(M58=1,2,1))&amp;INDEX($D58:$K58,IF(M58=1,2,1)+1)&amp;INDEX($D58:$K58,IF(M58=1,2,1)+2)=AC58,3,IF(AB58&lt;&gt;"",2,IF(ISNUMBER(MATCH(INDEX($D58:$K58,IF(M58=1,2,1)),入力!$AH$5:$AH$44,0)),1,IF(ISNUMBER(MATCH(INDEX($D58:$K58,IF(M58=1,2,1))&amp;INDEX($D58:$K58,IF(M58=1,2,1)+1),入力!$AH$5:$AH$44,0)),2,IF(ISNUMBER(MATCH(INDEX($D58:$K58,IF(M58=1,2,1))&amp;INDEX($D58:$K58,IF(M58=1,2,1)+1)&amp;INDEX($D58:$K58,IF(M58=1,2,1)+2),入力!$AH$5:$AH$44,0)),3,2)))))))</f>
        <v/>
      </c>
      <c r="AE58">
        <f>IF(V58="","",IF(AND(V58="反映",N(Y58)&gt;20),"要確認（この生徒の取込が20件を超えました）",V58))</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",""),入力!$AH$5:$AH$44,0),"")))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$405,T59,$R$6:$R$405,R59,$X$6:$X$405,"&lt;"&amp;X59))&gt;0,"重複","反映")))))</f>
        <v/>
      </c>
      <c r="W59">
        <f>IF(V59="反映",1,0)</f>
        <v/>
      </c>
      <c r="X59" t="n">
        <v>59</v>
      </c>
      <c r="Y59">
        <f>IF(W59=0,"",COUNTIFS($T$6:$T$405,T59,$W$6:$W$405,1,$S$6:$S$405,"&lt;"&amp;S59)+COUNTIFS($T$6:$T$405,T59,$W$6:$W$405,1,$S$6:$S$405,S59,$X$6:$X$405,"&lt;"&amp;X59)+1)</f>
        <v/>
      </c>
      <c r="Z59">
        <f>IF(Y59="","",T59&amp;"_"&amp;Y59)</f>
        <v/>
      </c>
      <c r="AA59">
        <f>SUBSTITUTE(SUBSTITUTE(SUBSTITUTE(SUBSTITUTE(SUBSTITUTE(INDEX(D59:K59,MIN(8,MAX(1,C59))),"年","/"),"月","/"),"日",""),"-","/"),".","/")</f>
        <v/>
      </c>
      <c r="AB59">
        <f>IFERROR(MATCH(O59,入力!$C$5:$C$44,0),"")</f>
        <v/>
      </c>
      <c r="AC59">
        <f>IF(AB59="","",INDEX(入力!$AH$5:$AH$44,AB59))</f>
        <v/>
      </c>
      <c r="AD59">
        <f>IF(INDEX($D59:$K59,IF(M59=1,2,1))=AC59,1,IF(INDEX($D59:$K59,IF(M59=1,2,1))&amp;INDEX($D59:$K59,IF(M59=1,2,1)+1)=AC59,2,IF(INDEX($D59:$K59,IF(M59=1,2,1))&amp;INDEX($D59:$K59,IF(M59=1,2,1)+1)&amp;INDEX($D59:$K59,IF(M59=1,2,1)+2)=AC59,3,IF(AB59&lt;&gt;"",2,IF(ISNUMBER(MATCH(INDEX($D59:$K59,IF(M59=1,2,1)),入力!$AH$5:$AH$44,0)),1,IF(ISNUMBER(MATCH(INDEX($D59:$K59,IF(M59=1,2,1))&amp;INDEX($D59:$K59,IF(M59=1,2,1)+1),入力!$AH$5:$AH$44,0)),2,IF(ISNUMBER(MATCH(INDEX($D59:$K59,IF(M59=1,2,1))&amp;INDEX($D59:$K59,IF(M59=1,2,1)+1)&amp;INDEX($D59:$K59,IF(M59=1,2,1)+2),入力!$AH$5:$AH$44,0)),3,2)))))))</f>
        <v/>
      </c>
      <c r="AE59">
        <f>IF(V59="","",IF(AND(V59="反映",N(Y59)&gt;20),"要確認（この生徒の取込が20件を超えました）",V59))</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",""),入力!$AH$5:$AH$44,0),"")))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$405,T60,$R$6:$R$405,R60,$X$6:$X$405,"&lt;"&amp;X60))&gt;0,"重複","反映")))))</f>
        <v/>
      </c>
      <c r="W60">
        <f>IF(V60="反映",1,0)</f>
        <v/>
      </c>
      <c r="X60" t="n">
        <v>60</v>
      </c>
      <c r="Y60">
        <f>IF(W60=0,"",COUNTIFS($T$6:$T$405,T60,$W$6:$W$405,1,$S$6:$S$405,"&lt;"&amp;S60)+COUNTIFS($T$6:$T$405,T60,$W$6:$W$405,1,$S$6:$S$405,S60,$X$6:$X$405,"&lt;"&amp;X60)+1)</f>
        <v/>
      </c>
      <c r="Z60">
        <f>IF(Y60="","",T60&amp;"_"&amp;Y60)</f>
        <v/>
      </c>
      <c r="AA60">
        <f>SUBSTITUTE(SUBSTITUTE(SUBSTITUTE(SUBSTITUTE(SUBSTITUTE(INDEX(D60:K60,MIN(8,MAX(1,C60))),"年","/"),"月","/"),"日",""),"-","/"),".","/")</f>
        <v/>
      </c>
      <c r="AB60">
        <f>IFERROR(MATCH(O60,入力!$C$5:$C$44,0),"")</f>
        <v/>
      </c>
      <c r="AC60">
        <f>IF(AB60="","",INDEX(入力!$AH$5:$AH$44,AB60))</f>
        <v/>
      </c>
      <c r="AD60">
        <f>IF(INDEX($D60:$K60,IF(M60=1,2,1))=AC60,1,IF(INDEX($D60:$K60,IF(M60=1,2,1))&amp;INDEX($D60:$K60,IF(M60=1,2,1)+1)=AC60,2,IF(INDEX($D60:$K60,IF(M60=1,2,1))&amp;INDEX($D60:$K60,IF(M60=1,2,1)+1)&amp;INDEX($D60:$K60,IF(M60=1,2,1)+2)=AC60,3,IF(AB60&lt;&gt;"",2,IF(ISNUMBER(MATCH(INDEX($D60:$K60,IF(M60=1,2,1)),入力!$AH$5:$AH$44,0)),1,IF(ISNUMBER(MATCH(INDEX($D60:$K60,IF(M60=1,2,1))&amp;INDEX($D60:$K60,IF(M60=1,2,1)+1),入力!$AH$5:$AH$44,0)),2,IF(ISNUMBER(MATCH(INDEX($D60:$K60,IF(M60=1,2,1))&amp;INDEX($D60:$K60,IF(M60=1,2,1)+1)&amp;INDEX($D60:$K60,IF(M60=1,2,1)+2),入力!$AH$5:$AH$44,0)),3,2)))))))</f>
        <v/>
      </c>
      <c r="AE60">
        <f>IF(V60="","",IF(AND(V60="反映",N(Y60)&gt;20),"要確認（この生徒の取込が20件を超えました）",V60))</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",""),入力!$AH$5:$AH$44,0),"")))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$405,T61,$R$6:$R$405,R61,$X$6:$X$405,"&lt;"&amp;X61))&gt;0,"重複","反映")))))</f>
        <v/>
      </c>
      <c r="W61">
        <f>IF(V61="反映",1,0)</f>
        <v/>
      </c>
      <c r="X61" t="n">
        <v>61</v>
      </c>
      <c r="Y61">
        <f>IF(W61=0,"",COUNTIFS($T$6:$T$405,T61,$W$6:$W$405,1,$S$6:$S$405,"&lt;"&amp;S61)+COUNTIFS($T$6:$T$405,T61,$W$6:$W$405,1,$S$6:$S$405,S61,$X$6:$X$405,"&lt;"&amp;X61)+1)</f>
        <v/>
      </c>
      <c r="Z61">
        <f>IF(Y61="","",T61&amp;"_"&amp;Y61)</f>
        <v/>
      </c>
      <c r="AA61">
        <f>SUBSTITUTE(SUBSTITUTE(SUBSTITUTE(SUBSTITUTE(SUBSTITUTE(INDEX(D61:K61,MIN(8,MAX(1,C61))),"年","/"),"月","/"),"日",""),"-","/"),".","/")</f>
        <v/>
      </c>
      <c r="AB61">
        <f>IFERROR(MATCH(O61,入力!$C$5:$C$44,0),"")</f>
        <v/>
      </c>
      <c r="AC61">
        <f>IF(AB61="","",INDEX(入力!$AH$5:$AH$44,AB61))</f>
        <v/>
      </c>
      <c r="AD61">
        <f>IF(INDEX($D61:$K61,IF(M61=1,2,1))=AC61,1,IF(INDEX($D61:$K61,IF(M61=1,2,1))&amp;INDEX($D61:$K61,IF(M61=1,2,1)+1)=AC61,2,IF(INDEX($D61:$K61,IF(M61=1,2,1))&amp;INDEX($D61:$K61,IF(M61=1,2,1)+1)&amp;INDEX($D61:$K61,IF(M61=1,2,1)+2)=AC61,3,IF(AB61&lt;&gt;"",2,IF(ISNUMBER(MATCH(INDEX($D61:$K61,IF(M61=1,2,1)),入力!$AH$5:$AH$44,0)),1,IF(ISNUMBER(MATCH(INDEX($D61:$K61,IF(M61=1,2,1))&amp;INDEX($D61:$K61,IF(M61=1,2,1)+1),入力!$AH$5:$AH$44,0)),2,IF(ISNUMBER(MATCH(INDEX($D61:$K61,IF(M61=1,2,1))&amp;INDEX($D61:$K61,IF(M61=1,2,1)+1)&amp;INDEX($D61:$K61,IF(M61=1,2,1)+2),入力!$AH$5:$AH$44,0)),3,2)))))))</f>
        <v/>
      </c>
      <c r="AE61">
        <f>IF(V61="","",IF(AND(V61="反映",N(Y61)&gt;20),"要確認（この生徒の取込が20件を超えました）",V61))</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",""),入力!$AH$5:$AH$44,0),"")))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$405,T62,$R$6:$R$405,R62,$X$6:$X$405,"&lt;"&amp;X62))&gt;0,"重複","反映")))))</f>
        <v/>
      </c>
      <c r="W62">
        <f>IF(V62="反映",1,0)</f>
        <v/>
      </c>
      <c r="X62" t="n">
        <v>62</v>
      </c>
      <c r="Y62">
        <f>IF(W62=0,"",COUNTIFS($T$6:$T$405,T62,$W$6:$W$405,1,$S$6:$S$405,"&lt;"&amp;S62)+COUNTIFS($T$6:$T$405,T62,$W$6:$W$405,1,$S$6:$S$405,S62,$X$6:$X$405,"&lt;"&amp;X62)+1)</f>
        <v/>
      </c>
      <c r="Z62">
        <f>IF(Y62="","",T62&amp;"_"&amp;Y62)</f>
        <v/>
      </c>
      <c r="AA62">
        <f>SUBSTITUTE(SUBSTITUTE(SUBSTITUTE(SUBSTITUTE(SUBSTITUTE(INDEX(D62:K62,MIN(8,MAX(1,C62))),"年","/"),"月","/"),"日",""),"-","/"),".","/")</f>
        <v/>
      </c>
      <c r="AB62">
        <f>IFERROR(MATCH(O62,入力!$C$5:$C$44,0),"")</f>
        <v/>
      </c>
      <c r="AC62">
        <f>IF(AB62="","",INDEX(入力!$AH$5:$AH$44,AB62))</f>
        <v/>
      </c>
      <c r="AD62">
        <f>IF(INDEX($D62:$K62,IF(M62=1,2,1))=AC62,1,IF(INDEX($D62:$K62,IF(M62=1,2,1))&amp;INDEX($D62:$K62,IF(M62=1,2,1)+1)=AC62,2,IF(INDEX($D62:$K62,IF(M62=1,2,1))&amp;INDEX($D62:$K62,IF(M62=1,2,1)+1)&amp;INDEX($D62:$K62,IF(M62=1,2,1)+2)=AC62,3,IF(AB62&lt;&gt;"",2,IF(ISNUMBER(MATCH(INDEX($D62:$K62,IF(M62=1,2,1)),入力!$AH$5:$AH$44,0)),1,IF(ISNUMBER(MATCH(INDEX($D62:$K62,IF(M62=1,2,1))&amp;INDEX($D62:$K62,IF(M62=1,2,1)+1),入力!$AH$5:$AH$44,0)),2,IF(ISNUMBER(MATCH(INDEX($D62:$K62,IF(M62=1,2,1))&amp;INDEX($D62:$K62,IF(M62=1,2,1)+1)&amp;INDEX($D62:$K62,IF(M62=1,2,1)+2),入力!$AH$5:$AH$44,0)),3,2)))))))</f>
        <v/>
      </c>
      <c r="AE62">
        <f>IF(V62="","",IF(AND(V62="反映",N(Y62)&gt;20),"要確認（この生徒の取込が20件を超えました）",V62))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",""),入力!$AH$5:$AH$44,0),"")))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$405,T63,$R$6:$R$405,R63,$X$6:$X$405,"&lt;"&amp;X63))&gt;0,"重複","反映")))))</f>
        <v/>
      </c>
      <c r="W63">
        <f>IF(V63="反映",1,0)</f>
        <v/>
      </c>
      <c r="X63" t="n">
        <v>63</v>
      </c>
      <c r="Y63">
        <f>IF(W63=0,"",COUNTIFS($T$6:$T$405,T63,$W$6:$W$405,1,$S$6:$S$405,"&lt;"&amp;S63)+COUNTIFS($T$6:$T$405,T63,$W$6:$W$405,1,$S$6:$S$405,S63,$X$6:$X$405,"&lt;"&amp;X63)+1)</f>
        <v/>
      </c>
      <c r="Z63">
        <f>IF(Y63="","",T63&amp;"_"&amp;Y63)</f>
        <v/>
      </c>
      <c r="AA63">
        <f>SUBSTITUTE(SUBSTITUTE(SUBSTITUTE(SUBSTITUTE(SUBSTITUTE(INDEX(D63:K63,MIN(8,MAX(1,C63))),"年","/"),"月","/"),"日",""),"-","/"),".","/")</f>
        <v/>
      </c>
      <c r="AB63">
        <f>IFERROR(MATCH(O63,入力!$C$5:$C$44,0),"")</f>
        <v/>
      </c>
      <c r="AC63">
        <f>IF(AB63="","",INDEX(入力!$AH$5:$AH$44,AB63))</f>
        <v/>
      </c>
      <c r="AD63">
        <f>IF(INDEX($D63:$K63,IF(M63=1,2,1))=AC63,1,IF(INDEX($D63:$K63,IF(M63=1,2,1))&amp;INDEX($D63:$K63,IF(M63=1,2,1)+1)=AC63,2,IF(INDEX($D63:$K63,IF(M63=1,2,1))&amp;INDEX($D63:$K63,IF(M63=1,2,1)+1)&amp;INDEX($D63:$K63,IF(M63=1,2,1)+2)=AC63,3,IF(AB63&lt;&gt;"",2,IF(ISNUMBER(MATCH(INDEX($D63:$K63,IF(M63=1,2,1)),入力!$AH$5:$AH$44,0)),1,IF(ISNUMBER(MATCH(INDEX($D63:$K63,IF(M63=1,2,1))&amp;INDEX($D63:$K63,IF(M63=1,2,1)+1),入力!$AH$5:$AH$44,0)),2,IF(ISNUMBER(MATCH(INDEX($D63:$K63,IF(M63=1,2,1))&amp;INDEX($D63:$K63,IF(M63=1,2,1)+1)&amp;INDEX($D63:$K63,IF(M63=1,2,1)+2),入力!$AH$5:$AH$44,0)),3,2)))))))</f>
        <v/>
      </c>
      <c r="AE63">
        <f>IF(V63="","",IF(AND(V63="反映",N(Y63)&gt;20),"要確認（この生徒の取込が20件を超えました）",V63))</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",""),入力!$AH$5:$AH$44,0),"")))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$405,T64,$R$6:$R$405,R64,$X$6:$X$405,"&lt;"&amp;X64))&gt;0,"重複","反映")))))</f>
        <v/>
      </c>
      <c r="W64">
        <f>IF(V64="反映",1,0)</f>
        <v/>
      </c>
      <c r="X64" t="n">
        <v>64</v>
      </c>
      <c r="Y64">
        <f>IF(W64=0,"",COUNTIFS($T$6:$T$405,T64,$W$6:$W$405,1,$S$6:$S$405,"&lt;"&amp;S64)+COUNTIFS($T$6:$T$405,T64,$W$6:$W$405,1,$S$6:$S$405,S64,$X$6:$X$405,"&lt;"&amp;X64)+1)</f>
        <v/>
      </c>
      <c r="Z64">
        <f>IF(Y64="","",T64&amp;"_"&amp;Y64)</f>
        <v/>
      </c>
      <c r="AA64">
        <f>SUBSTITUTE(SUBSTITUTE(SUBSTITUTE(SUBSTITUTE(SUBSTITUTE(INDEX(D64:K64,MIN(8,MAX(1,C64))),"年","/"),"月","/"),"日",""),"-","/"),".","/")</f>
        <v/>
      </c>
      <c r="AB64">
        <f>IFERROR(MATCH(O64,入力!$C$5:$C$44,0),"")</f>
        <v/>
      </c>
      <c r="AC64">
        <f>IF(AB64="","",INDEX(入力!$AH$5:$AH$44,AB64))</f>
        <v/>
      </c>
      <c r="AD64">
        <f>IF(INDEX($D64:$K64,IF(M64=1,2,1))=AC64,1,IF(INDEX($D64:$K64,IF(M64=1,2,1))&amp;INDEX($D64:$K64,IF(M64=1,2,1)+1)=AC64,2,IF(INDEX($D64:$K64,IF(M64=1,2,1))&amp;INDEX($D64:$K64,IF(M64=1,2,1)+1)&amp;INDEX($D64:$K64,IF(M64=1,2,1)+2)=AC64,3,IF(AB64&lt;&gt;"",2,IF(ISNUMBER(MATCH(INDEX($D64:$K64,IF(M64=1,2,1)),入力!$AH$5:$AH$44,0)),1,IF(ISNUMBER(MATCH(INDEX($D64:$K64,IF(M64=1,2,1))&amp;INDEX($D64:$K64,IF(M64=1,2,1)+1),入力!$AH$5:$AH$44,0)),2,IF(ISNUMBER(MATCH(INDEX($D64:$K64,IF(M64=1,2,1))&amp;INDEX($D64:$K64,IF(M64=1,2,1)+1)&amp;INDEX($D64:$K64,IF(M64=1,2,1)+2),入力!$AH$5:$AH$44,0)),3,2)))))))</f>
        <v/>
      </c>
      <c r="AE64">
        <f>IF(V64="","",IF(AND(V64="反映",N(Y64)&gt;20),"要確認（この生徒の取込が20件を超えました）",V64))</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",""),入力!$AH$5:$AH$44,0),"")))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$405,T65,$R$6:$R$405,R65,$X$6:$X$405,"&lt;"&amp;X65))&gt;0,"重複","反映")))))</f>
        <v/>
      </c>
      <c r="W65">
        <f>IF(V65="反映",1,0)</f>
        <v/>
      </c>
      <c r="X65" t="n">
        <v>65</v>
      </c>
      <c r="Y65">
        <f>IF(W65=0,"",COUNTIFS($T$6:$T$405,T65,$W$6:$W$405,1,$S$6:$S$405,"&lt;"&amp;S65)+COUNTIFS($T$6:$T$405,T65,$W$6:$W$405,1,$S$6:$S$405,S65,$X$6:$X$405,"&lt;"&amp;X65)+1)</f>
        <v/>
      </c>
      <c r="Z65">
        <f>IF(Y65="","",T65&amp;"_"&amp;Y65)</f>
        <v/>
      </c>
      <c r="AA65">
        <f>SUBSTITUTE(SUBSTITUTE(SUBSTITUTE(SUBSTITUTE(SUBSTITUTE(INDEX(D65:K65,MIN(8,MAX(1,C65))),"年","/"),"月","/"),"日",""),"-","/"),".","/")</f>
        <v/>
      </c>
      <c r="AB65">
        <f>IFERROR(MATCH(O65,入力!$C$5:$C$44,0),"")</f>
        <v/>
      </c>
      <c r="AC65">
        <f>IF(AB65="","",INDEX(入力!$AH$5:$AH$44,AB65))</f>
        <v/>
      </c>
      <c r="AD65">
        <f>IF(INDEX($D65:$K65,IF(M65=1,2,1))=AC65,1,IF(INDEX($D65:$K65,IF(M65=1,2,1))&amp;INDEX($D65:$K65,IF(M65=1,2,1)+1)=AC65,2,IF(INDEX($D65:$K65,IF(M65=1,2,1))&amp;INDEX($D65:$K65,IF(M65=1,2,1)+1)&amp;INDEX($D65:$K65,IF(M65=1,2,1)+2)=AC65,3,IF(AB65&lt;&gt;"",2,IF(ISNUMBER(MATCH(INDEX($D65:$K65,IF(M65=1,2,1)),入力!$AH$5:$AH$44,0)),1,IF(ISNUMBER(MATCH(INDEX($D65:$K65,IF(M65=1,2,1))&amp;INDEX($D65:$K65,IF(M65=1,2,1)+1),入力!$AH$5:$AH$44,0)),2,IF(ISNUMBER(MATCH(INDEX($D65:$K65,IF(M65=1,2,1))&amp;INDEX($D65:$K65,IF(M65=1,2,1)+1)&amp;INDEX($D65:$K65,IF(M65=1,2,1)+2),入力!$AH$5:$AH$44,0)),3,2)))))))</f>
        <v/>
      </c>
      <c r="AE65">
        <f>IF(V65="","",IF(AND(V65="反映",N(Y65)&gt;20),"要確認（この生徒の取込が20件を超えました）",V65))</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",""),入力!$AH$5:$AH$44,0),"")))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$405,T66,$R$6:$R$405,R66,$X$6:$X$405,"&lt;"&amp;X66))&gt;0,"重複","反映")))))</f>
        <v/>
      </c>
      <c r="W66">
        <f>IF(V66="反映",1,0)</f>
        <v/>
      </c>
      <c r="X66" t="n">
        <v>66</v>
      </c>
      <c r="Y66">
        <f>IF(W66=0,"",COUNTIFS($T$6:$T$405,T66,$W$6:$W$405,1,$S$6:$S$405,"&lt;"&amp;S66)+COUNTIFS($T$6:$T$405,T66,$W$6:$W$405,1,$S$6:$S$405,S66,$X$6:$X$405,"&lt;"&amp;X66)+1)</f>
        <v/>
      </c>
      <c r="Z66">
        <f>IF(Y66="","",T66&amp;"_"&amp;Y66)</f>
        <v/>
      </c>
      <c r="AA66">
        <f>SUBSTITUTE(SUBSTITUTE(SUBSTITUTE(SUBSTITUTE(SUBSTITUTE(INDEX(D66:K66,MIN(8,MAX(1,C66))),"年","/"),"月","/"),"日",""),"-","/"),".","/")</f>
        <v/>
      </c>
      <c r="AB66">
        <f>IFERROR(MATCH(O66,入力!$C$5:$C$44,0),"")</f>
        <v/>
      </c>
      <c r="AC66">
        <f>IF(AB66="","",INDEX(入力!$AH$5:$AH$44,AB66))</f>
        <v/>
      </c>
      <c r="AD66">
        <f>IF(INDEX($D66:$K66,IF(M66=1,2,1))=AC66,1,IF(INDEX($D66:$K66,IF(M66=1,2,1))&amp;INDEX($D66:$K66,IF(M66=1,2,1)+1)=AC66,2,IF(INDEX($D66:$K66,IF(M66=1,2,1))&amp;INDEX($D66:$K66,IF(M66=1,2,1)+1)&amp;INDEX($D66:$K66,IF(M66=1,2,1)+2)=AC66,3,IF(AB66&lt;&gt;"",2,IF(ISNUMBER(MATCH(INDEX($D66:$K66,IF(M66=1,2,1)),入力!$AH$5:$AH$44,0)),1,IF(ISNUMBER(MATCH(INDEX($D66:$K66,IF(M66=1,2,1))&amp;INDEX($D66:$K66,IF(M66=1,2,1)+1),入力!$AH$5:$AH$44,0)),2,IF(ISNUMBER(MATCH(INDEX($D66:$K66,IF(M66=1,2,1))&amp;INDEX($D66:$K66,IF(M66=1,2,1)+1)&amp;INDEX($D66:$K66,IF(M66=1,2,1)+2),入力!$AH$5:$AH$44,0)),3,2)))))))</f>
        <v/>
      </c>
      <c r="AE66">
        <f>IF(V66="","",IF(AND(V66="反映",N(Y66)&gt;20),"要確認（この生徒の取込が20件を超えました）",V66))</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",""),入力!$AH$5:$AH$44,0),"")))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$405,T67,$R$6:$R$405,R67,$X$6:$X$405,"&lt;"&amp;X67))&gt;0,"重複","反映")))))</f>
        <v/>
      </c>
      <c r="W67">
        <f>IF(V67="反映",1,0)</f>
        <v/>
      </c>
      <c r="X67" t="n">
        <v>67</v>
      </c>
      <c r="Y67">
        <f>IF(W67=0,"",COUNTIFS($T$6:$T$405,T67,$W$6:$W$405,1,$S$6:$S$405,"&lt;"&amp;S67)+COUNTIFS($T$6:$T$405,T67,$W$6:$W$405,1,$S$6:$S$405,S67,$X$6:$X$405,"&lt;"&amp;X67)+1)</f>
        <v/>
      </c>
      <c r="Z67">
        <f>IF(Y67="","",T67&amp;"_"&amp;Y67)</f>
        <v/>
      </c>
      <c r="AA67">
        <f>SUBSTITUTE(SUBSTITUTE(SUBSTITUTE(SUBSTITUTE(SUBSTITUTE(INDEX(D67:K67,MIN(8,MAX(1,C67))),"年","/"),"月","/"),"日",""),"-","/"),".","/")</f>
        <v/>
      </c>
      <c r="AB67">
        <f>IFERROR(MATCH(O67,入力!$C$5:$C$44,0),"")</f>
        <v/>
      </c>
      <c r="AC67">
        <f>IF(AB67="","",INDEX(入力!$AH$5:$AH$44,AB67))</f>
        <v/>
      </c>
      <c r="AD67">
        <f>IF(INDEX($D67:$K67,IF(M67=1,2,1))=AC67,1,IF(INDEX($D67:$K67,IF(M67=1,2,1))&amp;INDEX($D67:$K67,IF(M67=1,2,1)+1)=AC67,2,IF(INDEX($D67:$K67,IF(M67=1,2,1))&amp;INDEX($D67:$K67,IF(M67=1,2,1)+1)&amp;INDEX($D67:$K67,IF(M67=1,2,1)+2)=AC67,3,IF(AB67&lt;&gt;"",2,IF(ISNUMBER(MATCH(INDEX($D67:$K67,IF(M67=1,2,1)),入力!$AH$5:$AH$44,0)),1,IF(ISNUMBER(MATCH(INDEX($D67:$K67,IF(M67=1,2,1))&amp;INDEX($D67:$K67,IF(M67=1,2,1)+1),入力!$AH$5:$AH$44,0)),2,IF(ISNUMBER(MATCH(INDEX($D67:$K67,IF(M67=1,2,1))&amp;INDEX($D67:$K67,IF(M67=1,2,1)+1)&amp;INDEX($D67:$K67,IF(M67=1,2,1)+2),入力!$AH$5:$AH$44,0)),3,2)))))))</f>
        <v/>
      </c>
      <c r="AE67">
        <f>IF(V67="","",IF(AND(V67="反映",N(Y67)&gt;20),"要確認（この生徒の取込が20件を超えました）",V67))</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",""),入力!$AH$5:$AH$44,0),"")))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$405,T68,$R$6:$R$405,R68,$X$6:$X$405,"&lt;"&amp;X68))&gt;0,"重複","反映")))))</f>
        <v/>
      </c>
      <c r="W68">
        <f>IF(V68="反映",1,0)</f>
        <v/>
      </c>
      <c r="X68" t="n">
        <v>68</v>
      </c>
      <c r="Y68">
        <f>IF(W68=0,"",COUNTIFS($T$6:$T$405,T68,$W$6:$W$405,1,$S$6:$S$405,"&lt;"&amp;S68)+COUNTIFS($T$6:$T$405,T68,$W$6:$W$405,1,$S$6:$S$405,S68,$X$6:$X$405,"&lt;"&amp;X68)+1)</f>
        <v/>
      </c>
      <c r="Z68">
        <f>IF(Y68="","",T68&amp;"_"&amp;Y68)</f>
        <v/>
      </c>
      <c r="AA68">
        <f>SUBSTITUTE(SUBSTITUTE(SUBSTITUTE(SUBSTITUTE(SUBSTITUTE(INDEX(D68:K68,MIN(8,MAX(1,C68))),"年","/"),"月","/"),"日",""),"-","/"),".","/")</f>
        <v/>
      </c>
      <c r="AB68">
        <f>IFERROR(MATCH(O68,入力!$C$5:$C$44,0),"")</f>
        <v/>
      </c>
      <c r="AC68">
        <f>IF(AB68="","",INDEX(入力!$AH$5:$AH$44,AB68))</f>
        <v/>
      </c>
      <c r="AD68">
        <f>IF(INDEX($D68:$K68,IF(M68=1,2,1))=AC68,1,IF(INDEX($D68:$K68,IF(M68=1,2,1))&amp;INDEX($D68:$K68,IF(M68=1,2,1)+1)=AC68,2,IF(INDEX($D68:$K68,IF(M68=1,2,1))&amp;INDEX($D68:$K68,IF(M68=1,2,1)+1)&amp;INDEX($D68:$K68,IF(M68=1,2,1)+2)=AC68,3,IF(AB68&lt;&gt;"",2,IF(ISNUMBER(MATCH(INDEX($D68:$K68,IF(M68=1,2,1)),入力!$AH$5:$AH$44,0)),1,IF(ISNUMBER(MATCH(INDEX($D68:$K68,IF(M68=1,2,1))&amp;INDEX($D68:$K68,IF(M68=1,2,1)+1),入力!$AH$5:$AH$44,0)),2,IF(ISNUMBER(MATCH(INDEX($D68:$K68,IF(M68=1,2,1))&amp;INDEX($D68:$K68,IF(M68=1,2,1)+1)&amp;INDEX($D68:$K68,IF(M68=1,2,1)+2),入力!$AH$5:$AH$44,0)),3,2)))))))</f>
        <v/>
      </c>
      <c r="AE68">
        <f>IF(V68="","",IF(AND(V68="反映",N(Y68)&gt;20),"要確認（この生徒の取込が20件を超えました）",V68))</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",""),入力!$AH$5:$AH$44,0),"")))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$405,T69,$R$6:$R$405,R69,$X$6:$X$405,"&lt;"&amp;X69))&gt;0,"重複","反映")))))</f>
        <v/>
      </c>
      <c r="W69">
        <f>IF(V69="反映",1,0)</f>
        <v/>
      </c>
      <c r="X69" t="n">
        <v>69</v>
      </c>
      <c r="Y69">
        <f>IF(W69=0,"",COUNTIFS($T$6:$T$405,T69,$W$6:$W$405,1,$S$6:$S$405,"&lt;"&amp;S69)+COUNTIFS($T$6:$T$405,T69,$W$6:$W$405,1,$S$6:$S$405,S69,$X$6:$X$405,"&lt;"&amp;X69)+1)</f>
        <v/>
      </c>
      <c r="Z69">
        <f>IF(Y69="","",T69&amp;"_"&amp;Y69)</f>
        <v/>
      </c>
      <c r="AA69">
        <f>SUBSTITUTE(SUBSTITUTE(SUBSTITUTE(SUBSTITUTE(SUBSTITUTE(INDEX(D69:K69,MIN(8,MAX(1,C69))),"年","/"),"月","/"),"日",""),"-","/"),".","/")</f>
        <v/>
      </c>
      <c r="AB69">
        <f>IFERROR(MATCH(O69,入力!$C$5:$C$44,0),"")</f>
        <v/>
      </c>
      <c r="AC69">
        <f>IF(AB69="","",INDEX(入力!$AH$5:$AH$44,AB69))</f>
        <v/>
      </c>
      <c r="AD69">
        <f>IF(INDEX($D69:$K69,IF(M69=1,2,1))=AC69,1,IF(INDEX($D69:$K69,IF(M69=1,2,1))&amp;INDEX($D69:$K69,IF(M69=1,2,1)+1)=AC69,2,IF(INDEX($D69:$K69,IF(M69=1,2,1))&amp;INDEX($D69:$K69,IF(M69=1,2,1)+1)&amp;INDEX($D69:$K69,IF(M69=1,2,1)+2)=AC69,3,IF(AB69&lt;&gt;"",2,IF(ISNUMBER(MATCH(INDEX($D69:$K69,IF(M69=1,2,1)),入力!$AH$5:$AH$44,0)),1,IF(ISNUMBER(MATCH(INDEX($D69:$K69,IF(M69=1,2,1))&amp;INDEX($D69:$K69,IF(M69=1,2,1)+1),入力!$AH$5:$AH$44,0)),2,IF(ISNUMBER(MATCH(INDEX($D69:$K69,IF(M69=1,2,1))&amp;INDEX($D69:$K69,IF(M69=1,2,1)+1)&amp;INDEX($D69:$K69,IF(M69=1,2,1)+2),入力!$AH$5:$AH$44,0)),3,2)))))))</f>
        <v/>
      </c>
      <c r="AE69">
        <f>IF(V69="","",IF(AND(V69="反映",N(Y69)&gt;20),"要確認（この生徒の取込が20件を超えました）",V69))</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",""),入力!$AH$5:$AH$44,0),"")))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$405,T70,$R$6:$R$405,R70,$X$6:$X$405,"&lt;"&amp;X70))&gt;0,"重複","反映")))))</f>
        <v/>
      </c>
      <c r="W70">
        <f>IF(V70="反映",1,0)</f>
        <v/>
      </c>
      <c r="X70" t="n">
        <v>70</v>
      </c>
      <c r="Y70">
        <f>IF(W70=0,"",COUNTIFS($T$6:$T$405,T70,$W$6:$W$405,1,$S$6:$S$405,"&lt;"&amp;S70)+COUNTIFS($T$6:$T$405,T70,$W$6:$W$405,1,$S$6:$S$405,S70,$X$6:$X$405,"&lt;"&amp;X70)+1)</f>
        <v/>
      </c>
      <c r="Z70">
        <f>IF(Y70="","",T70&amp;"_"&amp;Y70)</f>
        <v/>
      </c>
      <c r="AA70">
        <f>SUBSTITUTE(SUBSTITUTE(SUBSTITUTE(SUBSTITUTE(SUBSTITUTE(INDEX(D70:K70,MIN(8,MAX(1,C70))),"年","/"),"月","/"),"日",""),"-","/"),".","/")</f>
        <v/>
      </c>
      <c r="AB70">
        <f>IFERROR(MATCH(O70,入力!$C$5:$C$44,0),"")</f>
        <v/>
      </c>
      <c r="AC70">
        <f>IF(AB70="","",INDEX(入力!$AH$5:$AH$44,AB70))</f>
        <v/>
      </c>
      <c r="AD70">
        <f>IF(INDEX($D70:$K70,IF(M70=1,2,1))=AC70,1,IF(INDEX($D70:$K70,IF(M70=1,2,1))&amp;INDEX($D70:$K70,IF(M70=1,2,1)+1)=AC70,2,IF(INDEX($D70:$K70,IF(M70=1,2,1))&amp;INDEX($D70:$K70,IF(M70=1,2,1)+1)&amp;INDEX($D70:$K70,IF(M70=1,2,1)+2)=AC70,3,IF(AB70&lt;&gt;"",2,IF(ISNUMBER(MATCH(INDEX($D70:$K70,IF(M70=1,2,1)),入力!$AH$5:$AH$44,0)),1,IF(ISNUMBER(MATCH(INDEX($D70:$K70,IF(M70=1,2,1))&amp;INDEX($D70:$K70,IF(M70=1,2,1)+1),入力!$AH$5:$AH$44,0)),2,IF(ISNUMBER(MATCH(INDEX($D70:$K70,IF(M70=1,2,1))&amp;INDEX($D70:$K70,IF(M70=1,2,1)+1)&amp;INDEX($D70:$K70,IF(M70=1,2,1)+2),入力!$AH$5:$AH$44,0)),3,2)))))))</f>
        <v/>
      </c>
      <c r="AE70">
        <f>IF(V70="","",IF(AND(V70="反映",N(Y70)&gt;20),"要確認（この生徒の取込が20件を超えました）",V70))</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",""),入力!$AH$5:$AH$44,0),"")))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$405,T71,$R$6:$R$405,R71,$X$6:$X$405,"&lt;"&amp;X71))&gt;0,"重複","反映")))))</f>
        <v/>
      </c>
      <c r="W71">
        <f>IF(V71="反映",1,0)</f>
        <v/>
      </c>
      <c r="X71" t="n">
        <v>71</v>
      </c>
      <c r="Y71">
        <f>IF(W71=0,"",COUNTIFS($T$6:$T$405,T71,$W$6:$W$405,1,$S$6:$S$405,"&lt;"&amp;S71)+COUNTIFS($T$6:$T$405,T71,$W$6:$W$405,1,$S$6:$S$405,S71,$X$6:$X$405,"&lt;"&amp;X71)+1)</f>
        <v/>
      </c>
      <c r="Z71">
        <f>IF(Y71="","",T71&amp;"_"&amp;Y71)</f>
        <v/>
      </c>
      <c r="AA71">
        <f>SUBSTITUTE(SUBSTITUTE(SUBSTITUTE(SUBSTITUTE(SUBSTITUTE(INDEX(D71:K71,MIN(8,MAX(1,C71))),"年","/"),"月","/"),"日",""),"-","/"),".","/")</f>
        <v/>
      </c>
      <c r="AB71">
        <f>IFERROR(MATCH(O71,入力!$C$5:$C$44,0),"")</f>
        <v/>
      </c>
      <c r="AC71">
        <f>IF(AB71="","",INDEX(入力!$AH$5:$AH$44,AB71))</f>
        <v/>
      </c>
      <c r="AD71">
        <f>IF(INDEX($D71:$K71,IF(M71=1,2,1))=AC71,1,IF(INDEX($D71:$K71,IF(M71=1,2,1))&amp;INDEX($D71:$K71,IF(M71=1,2,1)+1)=AC71,2,IF(INDEX($D71:$K71,IF(M71=1,2,1))&amp;INDEX($D71:$K71,IF(M71=1,2,1)+1)&amp;INDEX($D71:$K71,IF(M71=1,2,1)+2)=AC71,3,IF(AB71&lt;&gt;"",2,IF(ISNUMBER(MATCH(INDEX($D71:$K71,IF(M71=1,2,1)),入力!$AH$5:$AH$44,0)),1,IF(ISNUMBER(MATCH(INDEX($D71:$K71,IF(M71=1,2,1))&amp;INDEX($D71:$K71,IF(M71=1,2,1)+1),入力!$AH$5:$AH$44,0)),2,IF(ISNUMBER(MATCH(INDEX($D71:$K71,IF(M71=1,2,1))&amp;INDEX($D71:$K71,IF(M71=1,2,1)+1)&amp;INDEX($D71:$K71,IF(M71=1,2,1)+2),入力!$AH$5:$AH$44,0)),3,2)))))))</f>
        <v/>
      </c>
      <c r="AE71">
        <f>IF(V71="","",IF(AND(V71="反映",N(Y71)&gt;20),"要確認（この生徒の取込が20件を超えました）",V71))</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",""),入力!$AH$5:$AH$44,0),"")))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$405,T72,$R$6:$R$405,R72,$X$6:$X$405,"&lt;"&amp;X72))&gt;0,"重複","反映")))))</f>
        <v/>
      </c>
      <c r="W72">
        <f>IF(V72="反映",1,0)</f>
        <v/>
      </c>
      <c r="X72" t="n">
        <v>72</v>
      </c>
      <c r="Y72">
        <f>IF(W72=0,"",COUNTIFS($T$6:$T$405,T72,$W$6:$W$405,1,$S$6:$S$405,"&lt;"&amp;S72)+COUNTIFS($T$6:$T$405,T72,$W$6:$W$405,1,$S$6:$S$405,S72,$X$6:$X$405,"&lt;"&amp;X72)+1)</f>
        <v/>
      </c>
      <c r="Z72">
        <f>IF(Y72="","",T72&amp;"_"&amp;Y72)</f>
        <v/>
      </c>
      <c r="AA72">
        <f>SUBSTITUTE(SUBSTITUTE(SUBSTITUTE(SUBSTITUTE(SUBSTITUTE(INDEX(D72:K72,MIN(8,MAX(1,C72))),"年","/"),"月","/"),"日",""),"-","/"),".","/")</f>
        <v/>
      </c>
      <c r="AB72">
        <f>IFERROR(MATCH(O72,入力!$C$5:$C$44,0),"")</f>
        <v/>
      </c>
      <c r="AC72">
        <f>IF(AB72="","",INDEX(入力!$AH$5:$AH$44,AB72))</f>
        <v/>
      </c>
      <c r="AD72">
        <f>IF(INDEX($D72:$K72,IF(M72=1,2,1))=AC72,1,IF(INDEX($D72:$K72,IF(M72=1,2,1))&amp;INDEX($D72:$K72,IF(M72=1,2,1)+1)=AC72,2,IF(INDEX($D72:$K72,IF(M72=1,2,1))&amp;INDEX($D72:$K72,IF(M72=1,2,1)+1)&amp;INDEX($D72:$K72,IF(M72=1,2,1)+2)=AC72,3,IF(AB72&lt;&gt;"",2,IF(ISNUMBER(MATCH(INDEX($D72:$K72,IF(M72=1,2,1)),入力!$AH$5:$AH$44,0)),1,IF(ISNUMBER(MATCH(INDEX($D72:$K72,IF(M72=1,2,1))&amp;INDEX($D72:$K72,IF(M72=1,2,1)+1),入力!$AH$5:$AH$44,0)),2,IF(ISNUMBER(MATCH(INDEX($D72:$K72,IF(M72=1,2,1))&amp;INDEX($D72:$K72,IF(M72=1,2,1)+1)&amp;INDEX($D72:$K72,IF(M72=1,2,1)+2),入力!$AH$5:$AH$44,0)),3,2)))))))</f>
        <v/>
      </c>
      <c r="AE72">
        <f>IF(V72="","",IF(AND(V72="反映",N(Y72)&gt;20),"要確認（この生徒の取込が20件を超えました）",V72))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",""),入力!$AH$5:$AH$44,0),"")))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$405,T73,$R$6:$R$405,R73,$X$6:$X$405,"&lt;"&amp;X73))&gt;0,"重複","反映")))))</f>
        <v/>
      </c>
      <c r="W73">
        <f>IF(V73="反映",1,0)</f>
        <v/>
      </c>
      <c r="X73" t="n">
        <v>73</v>
      </c>
      <c r="Y73">
        <f>IF(W73=0,"",COUNTIFS($T$6:$T$405,T73,$W$6:$W$405,1,$S$6:$S$405,"&lt;"&amp;S73)+COUNTIFS($T$6:$T$405,T73,$W$6:$W$405,1,$S$6:$S$405,S73,$X$6:$X$405,"&lt;"&amp;X73)+1)</f>
        <v/>
      </c>
      <c r="Z73">
        <f>IF(Y73="","",T73&amp;"_"&amp;Y73)</f>
        <v/>
      </c>
      <c r="AA73">
        <f>SUBSTITUTE(SUBSTITUTE(SUBSTITUTE(SUBSTITUTE(SUBSTITUTE(INDEX(D73:K73,MIN(8,MAX(1,C73))),"年","/"),"月","/"),"日",""),"-","/"),".","/")</f>
        <v/>
      </c>
      <c r="AB73">
        <f>IFERROR(MATCH(O73,入力!$C$5:$C$44,0),"")</f>
        <v/>
      </c>
      <c r="AC73">
        <f>IF(AB73="","",INDEX(入力!$AH$5:$AH$44,AB73))</f>
        <v/>
      </c>
      <c r="AD73">
        <f>IF(INDEX($D73:$K73,IF(M73=1,2,1))=AC73,1,IF(INDEX($D73:$K73,IF(M73=1,2,1))&amp;INDEX($D73:$K73,IF(M73=1,2,1)+1)=AC73,2,IF(INDEX($D73:$K73,IF(M73=1,2,1))&amp;INDEX($D73:$K73,IF(M73=1,2,1)+1)&amp;INDEX($D73:$K73,IF(M73=1,2,1)+2)=AC73,3,IF(AB73&lt;&gt;"",2,IF(ISNUMBER(MATCH(INDEX($D73:$K73,IF(M73=1,2,1)),入力!$AH$5:$AH$44,0)),1,IF(ISNUMBER(MATCH(INDEX($D73:$K73,IF(M73=1,2,1))&amp;INDEX($D73:$K73,IF(M73=1,2,1)+1),入力!$AH$5:$AH$44,0)),2,IF(ISNUMBER(MATCH(INDEX($D73:$K73,IF(M73=1,2,1))&amp;INDEX($D73:$K73,IF(M73=1,2,1)+1)&amp;INDEX($D73:$K73,IF(M73=1,2,1)+2),入力!$AH$5:$AH$44,0)),3,2)))))))</f>
        <v/>
      </c>
      <c r="AE73">
        <f>IF(V73="","",IF(AND(V73="反映",N(Y73)&gt;20),"要確認（この生徒の取込が20件を超えました）",V73))</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",""),入力!$AH$5:$AH$44,0),"")))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$405,T74,$R$6:$R$405,R74,$X$6:$X$405,"&lt;"&amp;X74))&gt;0,"重複","反映")))))</f>
        <v/>
      </c>
      <c r="W74">
        <f>IF(V74="反映",1,0)</f>
        <v/>
      </c>
      <c r="X74" t="n">
        <v>74</v>
      </c>
      <c r="Y74">
        <f>IF(W74=0,"",COUNTIFS($T$6:$T$405,T74,$W$6:$W$405,1,$S$6:$S$405,"&lt;"&amp;S74)+COUNTIFS($T$6:$T$405,T74,$W$6:$W$405,1,$S$6:$S$405,S74,$X$6:$X$405,"&lt;"&amp;X74)+1)</f>
        <v/>
      </c>
      <c r="Z74">
        <f>IF(Y74="","",T74&amp;"_"&amp;Y74)</f>
        <v/>
      </c>
      <c r="AA74">
        <f>SUBSTITUTE(SUBSTITUTE(SUBSTITUTE(SUBSTITUTE(SUBSTITUTE(INDEX(D74:K74,MIN(8,MAX(1,C74))),"年","/"),"月","/"),"日",""),"-","/"),".","/")</f>
        <v/>
      </c>
      <c r="AB74">
        <f>IFERROR(MATCH(O74,入力!$C$5:$C$44,0),"")</f>
        <v/>
      </c>
      <c r="AC74">
        <f>IF(AB74="","",INDEX(入力!$AH$5:$AH$44,AB74))</f>
        <v/>
      </c>
      <c r="AD74">
        <f>IF(INDEX($D74:$K74,IF(M74=1,2,1))=AC74,1,IF(INDEX($D74:$K74,IF(M74=1,2,1))&amp;INDEX($D74:$K74,IF(M74=1,2,1)+1)=AC74,2,IF(INDEX($D74:$K74,IF(M74=1,2,1))&amp;INDEX($D74:$K74,IF(M74=1,2,1)+1)&amp;INDEX($D74:$K74,IF(M74=1,2,1)+2)=AC74,3,IF(AB74&lt;&gt;"",2,IF(ISNUMBER(MATCH(INDEX($D74:$K74,IF(M74=1,2,1)),入力!$AH$5:$AH$44,0)),1,IF(ISNUMBER(MATCH(INDEX($D74:$K74,IF(M74=1,2,1))&amp;INDEX($D74:$K74,IF(M74=1,2,1)+1),入力!$AH$5:$AH$44,0)),2,IF(ISNUMBER(MATCH(INDEX($D74:$K74,IF(M74=1,2,1))&amp;INDEX($D74:$K74,IF(M74=1,2,1)+1)&amp;INDEX($D74:$K74,IF(M74=1,2,1)+2),入力!$AH$5:$AH$44,0)),3,2)))))))</f>
        <v/>
      </c>
      <c r="AE74">
        <f>IF(V74="","",IF(AND(V74="反映",N(Y74)&gt;20),"要確認（この生徒の取込が20件を超えました）",V74))</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",""),入力!$AH$5:$AH$44,0),"")))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$405,T75,$R$6:$R$405,R75,$X$6:$X$405,"&lt;"&amp;X75))&gt;0,"重複","反映")))))</f>
        <v/>
      </c>
      <c r="W75">
        <f>IF(V75="反映",1,0)</f>
        <v/>
      </c>
      <c r="X75" t="n">
        <v>75</v>
      </c>
      <c r="Y75">
        <f>IF(W75=0,"",COUNTIFS($T$6:$T$405,T75,$W$6:$W$405,1,$S$6:$S$405,"&lt;"&amp;S75)+COUNTIFS($T$6:$T$405,T75,$W$6:$W$405,1,$S$6:$S$405,S75,$X$6:$X$405,"&lt;"&amp;X75)+1)</f>
        <v/>
      </c>
      <c r="Z75">
        <f>IF(Y75="","",T75&amp;"_"&amp;Y75)</f>
        <v/>
      </c>
      <c r="AA75">
        <f>SUBSTITUTE(SUBSTITUTE(SUBSTITUTE(SUBSTITUTE(SUBSTITUTE(INDEX(D75:K75,MIN(8,MAX(1,C75))),"年","/"),"月","/"),"日",""),"-","/"),".","/")</f>
        <v/>
      </c>
      <c r="AB75">
        <f>IFERROR(MATCH(O75,入力!$C$5:$C$44,0),"")</f>
        <v/>
      </c>
      <c r="AC75">
        <f>IF(AB75="","",INDEX(入力!$AH$5:$AH$44,AB75))</f>
        <v/>
      </c>
      <c r="AD75">
        <f>IF(INDEX($D75:$K75,IF(M75=1,2,1))=AC75,1,IF(INDEX($D75:$K75,IF(M75=1,2,1))&amp;INDEX($D75:$K75,IF(M75=1,2,1)+1)=AC75,2,IF(INDEX($D75:$K75,IF(M75=1,2,1))&amp;INDEX($D75:$K75,IF(M75=1,2,1)+1)&amp;INDEX($D75:$K75,IF(M75=1,2,1)+2)=AC75,3,IF(AB75&lt;&gt;"",2,IF(ISNUMBER(MATCH(INDEX($D75:$K75,IF(M75=1,2,1)),入力!$AH$5:$AH$44,0)),1,IF(ISNUMBER(MATCH(INDEX($D75:$K75,IF(M75=1,2,1))&amp;INDEX($D75:$K75,IF(M75=1,2,1)+1),入力!$AH$5:$AH$44,0)),2,IF(ISNUMBER(MATCH(INDEX($D75:$K75,IF(M75=1,2,1))&amp;INDEX($D75:$K75,IF(M75=1,2,1)+1)&amp;INDEX($D75:$K75,IF(M75=1,2,1)+2),入力!$AH$5:$AH$44,0)),3,2)))))))</f>
        <v/>
      </c>
      <c r="AE75">
        <f>IF(V75="","",IF(AND(V75="反映",N(Y75)&gt;20),"要確認（この生徒の取込が20件を超えました）",V75))</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",""),入力!$AH$5:$AH$44,0),"")))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$405,T76,$R$6:$R$405,R76,$X$6:$X$405,"&lt;"&amp;X76))&gt;0,"重複","反映")))))</f>
        <v/>
      </c>
      <c r="W76">
        <f>IF(V76="反映",1,0)</f>
        <v/>
      </c>
      <c r="X76" t="n">
        <v>76</v>
      </c>
      <c r="Y76">
        <f>IF(W76=0,"",COUNTIFS($T$6:$T$405,T76,$W$6:$W$405,1,$S$6:$S$405,"&lt;"&amp;S76)+COUNTIFS($T$6:$T$405,T76,$W$6:$W$405,1,$S$6:$S$405,S76,$X$6:$X$405,"&lt;"&amp;X76)+1)</f>
        <v/>
      </c>
      <c r="Z76">
        <f>IF(Y76="","",T76&amp;"_"&amp;Y76)</f>
        <v/>
      </c>
      <c r="AA76">
        <f>SUBSTITUTE(SUBSTITUTE(SUBSTITUTE(SUBSTITUTE(SUBSTITUTE(INDEX(D76:K76,MIN(8,MAX(1,C76))),"年","/"),"月","/"),"日",""),"-","/"),".","/")</f>
        <v/>
      </c>
      <c r="AB76">
        <f>IFERROR(MATCH(O76,入力!$C$5:$C$44,0),"")</f>
        <v/>
      </c>
      <c r="AC76">
        <f>IF(AB76="","",INDEX(入力!$AH$5:$AH$44,AB76))</f>
        <v/>
      </c>
      <c r="AD76">
        <f>IF(INDEX($D76:$K76,IF(M76=1,2,1))=AC76,1,IF(INDEX($D76:$K76,IF(M76=1,2,1))&amp;INDEX($D76:$K76,IF(M76=1,2,1)+1)=AC76,2,IF(INDEX($D76:$K76,IF(M76=1,2,1))&amp;INDEX($D76:$K76,IF(M76=1,2,1)+1)&amp;INDEX($D76:$K76,IF(M76=1,2,1)+2)=AC76,3,IF(AB76&lt;&gt;"",2,IF(ISNUMBER(MATCH(INDEX($D76:$K76,IF(M76=1,2,1)),入力!$AH$5:$AH$44,0)),1,IF(ISNUMBER(MATCH(INDEX($D76:$K76,IF(M76=1,2,1))&amp;INDEX($D76:$K76,IF(M76=1,2,1)+1),入力!$AH$5:$AH$44,0)),2,IF(ISNUMBER(MATCH(INDEX($D76:$K76,IF(M76=1,2,1))&amp;INDEX($D76:$K76,IF(M76=1,2,1)+1)&amp;INDEX($D76:$K76,IF(M76=1,2,1)+2),入力!$AH$5:$AH$44,0)),3,2)))))))</f>
        <v/>
      </c>
      <c r="AE76">
        <f>IF(V76="","",IF(AND(V76="反映",N(Y76)&gt;20),"要確認（この生徒の取込が20件を超えました）",V76))</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",""),入力!$AH$5:$AH$44,0),"")))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$405,T77,$R$6:$R$405,R77,$X$6:$X$405,"&lt;"&amp;X77))&gt;0,"重複","反映")))))</f>
        <v/>
      </c>
      <c r="W77">
        <f>IF(V77="反映",1,0)</f>
        <v/>
      </c>
      <c r="X77" t="n">
        <v>77</v>
      </c>
      <c r="Y77">
        <f>IF(W77=0,"",COUNTIFS($T$6:$T$405,T77,$W$6:$W$405,1,$S$6:$S$405,"&lt;"&amp;S77)+COUNTIFS($T$6:$T$405,T77,$W$6:$W$405,1,$S$6:$S$405,S77,$X$6:$X$405,"&lt;"&amp;X77)+1)</f>
        <v/>
      </c>
      <c r="Z77">
        <f>IF(Y77="","",T77&amp;"_"&amp;Y77)</f>
        <v/>
      </c>
      <c r="AA77">
        <f>SUBSTITUTE(SUBSTITUTE(SUBSTITUTE(SUBSTITUTE(SUBSTITUTE(INDEX(D77:K77,MIN(8,MAX(1,C77))),"年","/"),"月","/"),"日",""),"-","/"),".","/")</f>
        <v/>
      </c>
      <c r="AB77">
        <f>IFERROR(MATCH(O77,入力!$C$5:$C$44,0),"")</f>
        <v/>
      </c>
      <c r="AC77">
        <f>IF(AB77="","",INDEX(入力!$AH$5:$AH$44,AB77))</f>
        <v/>
      </c>
      <c r="AD77">
        <f>IF(INDEX($D77:$K77,IF(M77=1,2,1))=AC77,1,IF(INDEX($D77:$K77,IF(M77=1,2,1))&amp;INDEX($D77:$K77,IF(M77=1,2,1)+1)=AC77,2,IF(INDEX($D77:$K77,IF(M77=1,2,1))&amp;INDEX($D77:$K77,IF(M77=1,2,1)+1)&amp;INDEX($D77:$K77,IF(M77=1,2,1)+2)=AC77,3,IF(AB77&lt;&gt;"",2,IF(ISNUMBER(MATCH(INDEX($D77:$K77,IF(M77=1,2,1)),入力!$AH$5:$AH$44,0)),1,IF(ISNUMBER(MATCH(INDEX($D77:$K77,IF(M77=1,2,1))&amp;INDEX($D77:$K77,IF(M77=1,2,1)+1),入力!$AH$5:$AH$44,0)),2,IF(ISNUMBER(MATCH(INDEX($D77:$K77,IF(M77=1,2,1))&amp;INDEX($D77:$K77,IF(M77=1,2,1)+1)&amp;INDEX($D77:$K77,IF(M77=1,2,1)+2),入力!$AH$5:$AH$44,0)),3,2)))))))</f>
        <v/>
      </c>
      <c r="AE77">
        <f>IF(V77="","",IF(AND(V77="反映",N(Y77)&gt;20),"要確認（この生徒の取込が20件を超えました）",V77))</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",""),入力!$AH$5:$AH$44,0),"")))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$405,T78,$R$6:$R$405,R78,$X$6:$X$405,"&lt;"&amp;X78))&gt;0,"重複","反映")))))</f>
        <v/>
      </c>
      <c r="W78">
        <f>IF(V78="反映",1,0)</f>
        <v/>
      </c>
      <c r="X78" t="n">
        <v>78</v>
      </c>
      <c r="Y78">
        <f>IF(W78=0,"",COUNTIFS($T$6:$T$405,T78,$W$6:$W$405,1,$S$6:$S$405,"&lt;"&amp;S78)+COUNTIFS($T$6:$T$405,T78,$W$6:$W$405,1,$S$6:$S$405,S78,$X$6:$X$405,"&lt;"&amp;X78)+1)</f>
        <v/>
      </c>
      <c r="Z78">
        <f>IF(Y78="","",T78&amp;"_"&amp;Y78)</f>
        <v/>
      </c>
      <c r="AA78">
        <f>SUBSTITUTE(SUBSTITUTE(SUBSTITUTE(SUBSTITUTE(SUBSTITUTE(INDEX(D78:K78,MIN(8,MAX(1,C78))),"年","/"),"月","/"),"日",""),"-","/"),".","/")</f>
        <v/>
      </c>
      <c r="AB78">
        <f>IFERROR(MATCH(O78,入力!$C$5:$C$44,0),"")</f>
        <v/>
      </c>
      <c r="AC78">
        <f>IF(AB78="","",INDEX(入力!$AH$5:$AH$44,AB78))</f>
        <v/>
      </c>
      <c r="AD78">
        <f>IF(INDEX($D78:$K78,IF(M78=1,2,1))=AC78,1,IF(INDEX($D78:$K78,IF(M78=1,2,1))&amp;INDEX($D78:$K78,IF(M78=1,2,1)+1)=AC78,2,IF(INDEX($D78:$K78,IF(M78=1,2,1))&amp;INDEX($D78:$K78,IF(M78=1,2,1)+1)&amp;INDEX($D78:$K78,IF(M78=1,2,1)+2)=AC78,3,IF(AB78&lt;&gt;"",2,IF(ISNUMBER(MATCH(INDEX($D78:$K78,IF(M78=1,2,1)),入力!$AH$5:$AH$44,0)),1,IF(ISNUMBER(MATCH(INDEX($D78:$K78,IF(M78=1,2,1))&amp;INDEX($D78:$K78,IF(M78=1,2,1)+1),入力!$AH$5:$AH$44,0)),2,IF(ISNUMBER(MATCH(INDEX($D78:$K78,IF(M78=1,2,1))&amp;INDEX($D78:$K78,IF(M78=1,2,1)+1)&amp;INDEX($D78:$K78,IF(M78=1,2,1)+2),入力!$AH$5:$AH$44,0)),3,2)))))))</f>
        <v/>
      </c>
      <c r="AE78">
        <f>IF(V78="","",IF(AND(V78="反映",N(Y78)&gt;20),"要確認（この生徒の取込が20件を超えました）",V78))</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",""),入力!$AH$5:$AH$44,0),"")))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$405,T79,$R$6:$R$405,R79,$X$6:$X$405,"&lt;"&amp;X79))&gt;0,"重複","反映")))))</f>
        <v/>
      </c>
      <c r="W79">
        <f>IF(V79="反映",1,0)</f>
        <v/>
      </c>
      <c r="X79" t="n">
        <v>79</v>
      </c>
      <c r="Y79">
        <f>IF(W79=0,"",COUNTIFS($T$6:$T$405,T79,$W$6:$W$405,1,$S$6:$S$405,"&lt;"&amp;S79)+COUNTIFS($T$6:$T$405,T79,$W$6:$W$405,1,$S$6:$S$405,S79,$X$6:$X$405,"&lt;"&amp;X79)+1)</f>
        <v/>
      </c>
      <c r="Z79">
        <f>IF(Y79="","",T79&amp;"_"&amp;Y79)</f>
        <v/>
      </c>
      <c r="AA79">
        <f>SUBSTITUTE(SUBSTITUTE(SUBSTITUTE(SUBSTITUTE(SUBSTITUTE(INDEX(D79:K79,MIN(8,MAX(1,C79))),"年","/"),"月","/"),"日",""),"-","/"),".","/")</f>
        <v/>
      </c>
      <c r="AB79">
        <f>IFERROR(MATCH(O79,入力!$C$5:$C$44,0),"")</f>
        <v/>
      </c>
      <c r="AC79">
        <f>IF(AB79="","",INDEX(入力!$AH$5:$AH$44,AB79))</f>
        <v/>
      </c>
      <c r="AD79">
        <f>IF(INDEX($D79:$K79,IF(M79=1,2,1))=AC79,1,IF(INDEX($D79:$K79,IF(M79=1,2,1))&amp;INDEX($D79:$K79,IF(M79=1,2,1)+1)=AC79,2,IF(INDEX($D79:$K79,IF(M79=1,2,1))&amp;INDEX($D79:$K79,IF(M79=1,2,1)+1)&amp;INDEX($D79:$K79,IF(M79=1,2,1)+2)=AC79,3,IF(AB79&lt;&gt;"",2,IF(ISNUMBER(MATCH(INDEX($D79:$K79,IF(M79=1,2,1)),入力!$AH$5:$AH$44,0)),1,IF(ISNUMBER(MATCH(INDEX($D79:$K79,IF(M79=1,2,1))&amp;INDEX($D79:$K79,IF(M79=1,2,1)+1),入力!$AH$5:$AH$44,0)),2,IF(ISNUMBER(MATCH(INDEX($D79:$K79,IF(M79=1,2,1))&amp;INDEX($D79:$K79,IF(M79=1,2,1)+1)&amp;INDEX($D79:$K79,IF(M79=1,2,1)+2),入力!$AH$5:$AH$44,0)),3,2)))))))</f>
        <v/>
      </c>
      <c r="AE79">
        <f>IF(V79="","",IF(AND(V79="反映",N(Y79)&gt;20),"要確認（この生徒の取込が20件を超えました）",V79))</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",""),入力!$AH$5:$AH$44,0),"")))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$405,T80,$R$6:$R$405,R80,$X$6:$X$405,"&lt;"&amp;X80))&gt;0,"重複","反映")))))</f>
        <v/>
      </c>
      <c r="W80">
        <f>IF(V80="反映",1,0)</f>
        <v/>
      </c>
      <c r="X80" t="n">
        <v>80</v>
      </c>
      <c r="Y80">
        <f>IF(W80=0,"",COUNTIFS($T$6:$T$405,T80,$W$6:$W$405,1,$S$6:$S$405,"&lt;"&amp;S80)+COUNTIFS($T$6:$T$405,T80,$W$6:$W$405,1,$S$6:$S$405,S80,$X$6:$X$405,"&lt;"&amp;X80)+1)</f>
        <v/>
      </c>
      <c r="Z80">
        <f>IF(Y80="","",T80&amp;"_"&amp;Y80)</f>
        <v/>
      </c>
      <c r="AA80">
        <f>SUBSTITUTE(SUBSTITUTE(SUBSTITUTE(SUBSTITUTE(SUBSTITUTE(INDEX(D80:K80,MIN(8,MAX(1,C80))),"年","/"),"月","/"),"日",""),"-","/"),".","/")</f>
        <v/>
      </c>
      <c r="AB80">
        <f>IFERROR(MATCH(O80,入力!$C$5:$C$44,0),"")</f>
        <v/>
      </c>
      <c r="AC80">
        <f>IF(AB80="","",INDEX(入力!$AH$5:$AH$44,AB80))</f>
        <v/>
      </c>
      <c r="AD80">
        <f>IF(INDEX($D80:$K80,IF(M80=1,2,1))=AC80,1,IF(INDEX($D80:$K80,IF(M80=1,2,1))&amp;INDEX($D80:$K80,IF(M80=1,2,1)+1)=AC80,2,IF(INDEX($D80:$K80,IF(M80=1,2,1))&amp;INDEX($D80:$K80,IF(M80=1,2,1)+1)&amp;INDEX($D80:$K80,IF(M80=1,2,1)+2)=AC80,3,IF(AB80&lt;&gt;"",2,IF(ISNUMBER(MATCH(INDEX($D80:$K80,IF(M80=1,2,1)),入力!$AH$5:$AH$44,0)),1,IF(ISNUMBER(MATCH(INDEX($D80:$K80,IF(M80=1,2,1))&amp;INDEX($D80:$K80,IF(M80=1,2,1)+1),入力!$AH$5:$AH$44,0)),2,IF(ISNUMBER(MATCH(INDEX($D80:$K80,IF(M80=1,2,1))&amp;INDEX($D80:$K80,IF(M80=1,2,1)+1)&amp;INDEX($D80:$K80,IF(M80=1,2,1)+2),入力!$AH$5:$AH$44,0)),3,2)))))))</f>
        <v/>
      </c>
      <c r="AE80">
        <f>IF(V80="","",IF(AND(V80="反映",N(Y80)&gt;20),"要確認（この生徒の取込が20件を超えました）",V80))</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",""),入力!$AH$5:$AH$44,0),"")))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$405,T81,$R$6:$R$405,R81,$X$6:$X$405,"&lt;"&amp;X81))&gt;0,"重複","反映")))))</f>
        <v/>
      </c>
      <c r="W81">
        <f>IF(V81="反映",1,0)</f>
        <v/>
      </c>
      <c r="X81" t="n">
        <v>81</v>
      </c>
      <c r="Y81">
        <f>IF(W81=0,"",COUNTIFS($T$6:$T$405,T81,$W$6:$W$405,1,$S$6:$S$405,"&lt;"&amp;S81)+COUNTIFS($T$6:$T$405,T81,$W$6:$W$405,1,$S$6:$S$405,S81,$X$6:$X$405,"&lt;"&amp;X81)+1)</f>
        <v/>
      </c>
      <c r="Z81">
        <f>IF(Y81="","",T81&amp;"_"&amp;Y81)</f>
        <v/>
      </c>
      <c r="AA81">
        <f>SUBSTITUTE(SUBSTITUTE(SUBSTITUTE(SUBSTITUTE(SUBSTITUTE(INDEX(D81:K81,MIN(8,MAX(1,C81))),"年","/"),"月","/"),"日",""),"-","/"),".","/")</f>
        <v/>
      </c>
      <c r="AB81">
        <f>IFERROR(MATCH(O81,入力!$C$5:$C$44,0),"")</f>
        <v/>
      </c>
      <c r="AC81">
        <f>IF(AB81="","",INDEX(入力!$AH$5:$AH$44,AB81))</f>
        <v/>
      </c>
      <c r="AD81">
        <f>IF(INDEX($D81:$K81,IF(M81=1,2,1))=AC81,1,IF(INDEX($D81:$K81,IF(M81=1,2,1))&amp;INDEX($D81:$K81,IF(M81=1,2,1)+1)=AC81,2,IF(INDEX($D81:$K81,IF(M81=1,2,1))&amp;INDEX($D81:$K81,IF(M81=1,2,1)+1)&amp;INDEX($D81:$K81,IF(M81=1,2,1)+2)=AC81,3,IF(AB81&lt;&gt;"",2,IF(ISNUMBER(MATCH(INDEX($D81:$K81,IF(M81=1,2,1)),入力!$AH$5:$AH$44,0)),1,IF(ISNUMBER(MATCH(INDEX($D81:$K81,IF(M81=1,2,1))&amp;INDEX($D81:$K81,IF(M81=1,2,1)+1),入力!$AH$5:$AH$44,0)),2,IF(ISNUMBER(MATCH(INDEX($D81:$K81,IF(M81=1,2,1))&amp;INDEX($D81:$K81,IF(M81=1,2,1)+1)&amp;INDEX($D81:$K81,IF(M81=1,2,1)+2),入力!$AH$5:$AH$44,0)),3,2)))))))</f>
        <v/>
      </c>
      <c r="AE81">
        <f>IF(V81="","",IF(AND(V81="反映",N(Y81)&gt;20),"要確認（この生徒の取込が20件を超えました）",V81))</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",""),入力!$AH$5:$AH$44,0),"")))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$405,T82,$R$6:$R$405,R82,$X$6:$X$405,"&lt;"&amp;X82))&gt;0,"重複","反映")))))</f>
        <v/>
      </c>
      <c r="W82">
        <f>IF(V82="反映",1,0)</f>
        <v/>
      </c>
      <c r="X82" t="n">
        <v>82</v>
      </c>
      <c r="Y82">
        <f>IF(W82=0,"",COUNTIFS($T$6:$T$405,T82,$W$6:$W$405,1,$S$6:$S$405,"&lt;"&amp;S82)+COUNTIFS($T$6:$T$405,T82,$W$6:$W$405,1,$S$6:$S$405,S82,$X$6:$X$405,"&lt;"&amp;X82)+1)</f>
        <v/>
      </c>
      <c r="Z82">
        <f>IF(Y82="","",T82&amp;"_"&amp;Y82)</f>
        <v/>
      </c>
      <c r="AA82">
        <f>SUBSTITUTE(SUBSTITUTE(SUBSTITUTE(SUBSTITUTE(SUBSTITUTE(INDEX(D82:K82,MIN(8,MAX(1,C82))),"年","/"),"月","/"),"日",""),"-","/"),".","/")</f>
        <v/>
      </c>
      <c r="AB82">
        <f>IFERROR(MATCH(O82,入力!$C$5:$C$44,0),"")</f>
        <v/>
      </c>
      <c r="AC82">
        <f>IF(AB82="","",INDEX(入力!$AH$5:$AH$44,AB82))</f>
        <v/>
      </c>
      <c r="AD82">
        <f>IF(INDEX($D82:$K82,IF(M82=1,2,1))=AC82,1,IF(INDEX($D82:$K82,IF(M82=1,2,1))&amp;INDEX($D82:$K82,IF(M82=1,2,1)+1)=AC82,2,IF(INDEX($D82:$K82,IF(M82=1,2,1))&amp;INDEX($D82:$K82,IF(M82=1,2,1)+1)&amp;INDEX($D82:$K82,IF(M82=1,2,1)+2)=AC82,3,IF(AB82&lt;&gt;"",2,IF(ISNUMBER(MATCH(INDEX($D82:$K82,IF(M82=1,2,1)),入力!$AH$5:$AH$44,0)),1,IF(ISNUMBER(MATCH(INDEX($D82:$K82,IF(M82=1,2,1))&amp;INDEX($D82:$K82,IF(M82=1,2,1)+1),入力!$AH$5:$AH$44,0)),2,IF(ISNUMBER(MATCH(INDEX($D82:$K82,IF(M82=1,2,1))&amp;INDEX($D82:$K82,IF(M82=1,2,1)+1)&amp;INDEX($D82:$K82,IF(M82=1,2,1)+2),入力!$AH$5:$AH$44,0)),3,2)))))))</f>
        <v/>
      </c>
      <c r="AE82">
        <f>IF(V82="","",IF(AND(V82="反映",N(Y82)&gt;20),"要確認（この生徒の取込が20件を超えました）",V82))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",""),入力!$AH$5:$AH$44,0),"")))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$405,T83,$R$6:$R$405,R83,$X$6:$X$405,"&lt;"&amp;X83))&gt;0,"重複","反映")))))</f>
        <v/>
      </c>
      <c r="W83">
        <f>IF(V83="反映",1,0)</f>
        <v/>
      </c>
      <c r="X83" t="n">
        <v>83</v>
      </c>
      <c r="Y83">
        <f>IF(W83=0,"",COUNTIFS($T$6:$T$405,T83,$W$6:$W$405,1,$S$6:$S$405,"&lt;"&amp;S83)+COUNTIFS($T$6:$T$405,T83,$W$6:$W$405,1,$S$6:$S$405,S83,$X$6:$X$405,"&lt;"&amp;X83)+1)</f>
        <v/>
      </c>
      <c r="Z83">
        <f>IF(Y83="","",T83&amp;"_"&amp;Y83)</f>
        <v/>
      </c>
      <c r="AA83">
        <f>SUBSTITUTE(SUBSTITUTE(SUBSTITUTE(SUBSTITUTE(SUBSTITUTE(INDEX(D83:K83,MIN(8,MAX(1,C83))),"年","/"),"月","/"),"日",""),"-","/"),".","/")</f>
        <v/>
      </c>
      <c r="AB83">
        <f>IFERROR(MATCH(O83,入力!$C$5:$C$44,0),"")</f>
        <v/>
      </c>
      <c r="AC83">
        <f>IF(AB83="","",INDEX(入力!$AH$5:$AH$44,AB83))</f>
        <v/>
      </c>
      <c r="AD83">
        <f>IF(INDEX($D83:$K83,IF(M83=1,2,1))=AC83,1,IF(INDEX($D83:$K83,IF(M83=1,2,1))&amp;INDEX($D83:$K83,IF(M83=1,2,1)+1)=AC83,2,IF(INDEX($D83:$K83,IF(M83=1,2,1))&amp;INDEX($D83:$K83,IF(M83=1,2,1)+1)&amp;INDEX($D83:$K83,IF(M83=1,2,1)+2)=AC83,3,IF(AB83&lt;&gt;"",2,IF(ISNUMBER(MATCH(INDEX($D83:$K83,IF(M83=1,2,1)),入力!$AH$5:$AH$44,0)),1,IF(ISNUMBER(MATCH(INDEX($D83:$K83,IF(M83=1,2,1))&amp;INDEX($D83:$K83,IF(M83=1,2,1)+1),入力!$AH$5:$AH$44,0)),2,IF(ISNUMBER(MATCH(INDEX($D83:$K83,IF(M83=1,2,1))&amp;INDEX($D83:$K83,IF(M83=1,2,1)+1)&amp;INDEX($D83:$K83,IF(M83=1,2,1)+2),入力!$AH$5:$AH$44,0)),3,2)))))))</f>
        <v/>
      </c>
      <c r="AE83">
        <f>IF(V83="","",IF(AND(V83="反映",N(Y83)&gt;20),"要確認（この生徒の取込が20件を超えました）",V83))</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",""),入力!$AH$5:$AH$44,0),"")))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$405,T84,$R$6:$R$405,R84,$X$6:$X$405,"&lt;"&amp;X84))&gt;0,"重複","反映")))))</f>
        <v/>
      </c>
      <c r="W84">
        <f>IF(V84="反映",1,0)</f>
        <v/>
      </c>
      <c r="X84" t="n">
        <v>84</v>
      </c>
      <c r="Y84">
        <f>IF(W84=0,"",COUNTIFS($T$6:$T$405,T84,$W$6:$W$405,1,$S$6:$S$405,"&lt;"&amp;S84)+COUNTIFS($T$6:$T$405,T84,$W$6:$W$405,1,$S$6:$S$405,S84,$X$6:$X$405,"&lt;"&amp;X84)+1)</f>
        <v/>
      </c>
      <c r="Z84">
        <f>IF(Y84="","",T84&amp;"_"&amp;Y84)</f>
        <v/>
      </c>
      <c r="AA84">
        <f>SUBSTITUTE(SUBSTITUTE(SUBSTITUTE(SUBSTITUTE(SUBSTITUTE(INDEX(D84:K84,MIN(8,MAX(1,C84))),"年","/"),"月","/"),"日",""),"-","/"),".","/")</f>
        <v/>
      </c>
      <c r="AB84">
        <f>IFERROR(MATCH(O84,入力!$C$5:$C$44,0),"")</f>
        <v/>
      </c>
      <c r="AC84">
        <f>IF(AB84="","",INDEX(入力!$AH$5:$AH$44,AB84))</f>
        <v/>
      </c>
      <c r="AD84">
        <f>IF(INDEX($D84:$K84,IF(M84=1,2,1))=AC84,1,IF(INDEX($D84:$K84,IF(M84=1,2,1))&amp;INDEX($D84:$K84,IF(M84=1,2,1)+1)=AC84,2,IF(INDEX($D84:$K84,IF(M84=1,2,1))&amp;INDEX($D84:$K84,IF(M84=1,2,1)+1)&amp;INDEX($D84:$K84,IF(M84=1,2,1)+2)=AC84,3,IF(AB84&lt;&gt;"",2,IF(ISNUMBER(MATCH(INDEX($D84:$K84,IF(M84=1,2,1)),入力!$AH$5:$AH$44,0)),1,IF(ISNUMBER(MATCH(INDEX($D84:$K84,IF(M84=1,2,1))&amp;INDEX($D84:$K84,IF(M84=1,2,1)+1),入力!$AH$5:$AH$44,0)),2,IF(ISNUMBER(MATCH(INDEX($D84:$K84,IF(M84=1,2,1))&amp;INDEX($D84:$K84,IF(M84=1,2,1)+1)&amp;INDEX($D84:$K84,IF(M84=1,2,1)+2),入力!$AH$5:$AH$44,0)),3,2)))))))</f>
        <v/>
      </c>
      <c r="AE84">
        <f>IF(V84="","",IF(AND(V84="反映",N(Y84)&gt;20),"要確認（この生徒の取込が20件を超えました）",V84))</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",""),入力!$AH$5:$AH$44,0),"")))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$405,T85,$R$6:$R$405,R85,$X$6:$X$405,"&lt;"&amp;X85))&gt;0,"重複","反映")))))</f>
        <v/>
      </c>
      <c r="W85">
        <f>IF(V85="反映",1,0)</f>
        <v/>
      </c>
      <c r="X85" t="n">
        <v>85</v>
      </c>
      <c r="Y85">
        <f>IF(W85=0,"",COUNTIFS($T$6:$T$405,T85,$W$6:$W$405,1,$S$6:$S$405,"&lt;"&amp;S85)+COUNTIFS($T$6:$T$405,T85,$W$6:$W$405,1,$S$6:$S$405,S85,$X$6:$X$405,"&lt;"&amp;X85)+1)</f>
        <v/>
      </c>
      <c r="Z85">
        <f>IF(Y85="","",T85&amp;"_"&amp;Y85)</f>
        <v/>
      </c>
      <c r="AA85">
        <f>SUBSTITUTE(SUBSTITUTE(SUBSTITUTE(SUBSTITUTE(SUBSTITUTE(INDEX(D85:K85,MIN(8,MAX(1,C85))),"年","/"),"月","/"),"日",""),"-","/"),".","/")</f>
        <v/>
      </c>
      <c r="AB85">
        <f>IFERROR(MATCH(O85,入力!$C$5:$C$44,0),"")</f>
        <v/>
      </c>
      <c r="AC85">
        <f>IF(AB85="","",INDEX(入力!$AH$5:$AH$44,AB85))</f>
        <v/>
      </c>
      <c r="AD85">
        <f>IF(INDEX($D85:$K85,IF(M85=1,2,1))=AC85,1,IF(INDEX($D85:$K85,IF(M85=1,2,1))&amp;INDEX($D85:$K85,IF(M85=1,2,1)+1)=AC85,2,IF(INDEX($D85:$K85,IF(M85=1,2,1))&amp;INDEX($D85:$K85,IF(M85=1,2,1)+1)&amp;INDEX($D85:$K85,IF(M85=1,2,1)+2)=AC85,3,IF(AB85&lt;&gt;"",2,IF(ISNUMBER(MATCH(INDEX($D85:$K85,IF(M85=1,2,1)),入力!$AH$5:$AH$44,0)),1,IF(ISNUMBER(MATCH(INDEX($D85:$K85,IF(M85=1,2,1))&amp;INDEX($D85:$K85,IF(M85=1,2,1)+1),入力!$AH$5:$AH$44,0)),2,IF(ISNUMBER(MATCH(INDEX($D85:$K85,IF(M85=1,2,1))&amp;INDEX($D85:$K85,IF(M85=1,2,1)+1)&amp;INDEX($D85:$K85,IF(M85=1,2,1)+2),入力!$AH$5:$AH$44,0)),3,2)))))))</f>
        <v/>
      </c>
      <c r="AE85">
        <f>IF(V85="","",IF(AND(V85="反映",N(Y85)&gt;20),"要確認（この生徒の取込が20件を超えました）",V85))</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",""),入力!$AH$5:$AH$44,0),"")))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$405,T86,$R$6:$R$405,R86,$X$6:$X$405,"&lt;"&amp;X86))&gt;0,"重複","反映")))))</f>
        <v/>
      </c>
      <c r="W86">
        <f>IF(V86="反映",1,0)</f>
        <v/>
      </c>
      <c r="X86" t="n">
        <v>86</v>
      </c>
      <c r="Y86">
        <f>IF(W86=0,"",COUNTIFS($T$6:$T$405,T86,$W$6:$W$405,1,$S$6:$S$405,"&lt;"&amp;S86)+COUNTIFS($T$6:$T$405,T86,$W$6:$W$405,1,$S$6:$S$405,S86,$X$6:$X$405,"&lt;"&amp;X86)+1)</f>
        <v/>
      </c>
      <c r="Z86">
        <f>IF(Y86="","",T86&amp;"_"&amp;Y86)</f>
        <v/>
      </c>
      <c r="AA86">
        <f>SUBSTITUTE(SUBSTITUTE(SUBSTITUTE(SUBSTITUTE(SUBSTITUTE(INDEX(D86:K86,MIN(8,MAX(1,C86))),"年","/"),"月","/"),"日",""),"-","/"),".","/")</f>
        <v/>
      </c>
      <c r="AB86">
        <f>IFERROR(MATCH(O86,入力!$C$5:$C$44,0),"")</f>
        <v/>
      </c>
      <c r="AC86">
        <f>IF(AB86="","",INDEX(入力!$AH$5:$AH$44,AB86))</f>
        <v/>
      </c>
      <c r="AD86">
        <f>IF(INDEX($D86:$K86,IF(M86=1,2,1))=AC86,1,IF(INDEX($D86:$K86,IF(M86=1,2,1))&amp;INDEX($D86:$K86,IF(M86=1,2,1)+1)=AC86,2,IF(INDEX($D86:$K86,IF(M86=1,2,1))&amp;INDEX($D86:$K86,IF(M86=1,2,1)+1)&amp;INDEX($D86:$K86,IF(M86=1,2,1)+2)=AC86,3,IF(AB86&lt;&gt;"",2,IF(ISNUMBER(MATCH(INDEX($D86:$K86,IF(M86=1,2,1)),入力!$AH$5:$AH$44,0)),1,IF(ISNUMBER(MATCH(INDEX($D86:$K86,IF(M86=1,2,1))&amp;INDEX($D86:$K86,IF(M86=1,2,1)+1),入力!$AH$5:$AH$44,0)),2,IF(ISNUMBER(MATCH(INDEX($D86:$K86,IF(M86=1,2,1))&amp;INDEX($D86:$K86,IF(M86=1,2,1)+1)&amp;INDEX($D86:$K86,IF(M86=1,2,1)+2),入力!$AH$5:$AH$44,0)),3,2)))))))</f>
        <v/>
      </c>
      <c r="AE86">
        <f>IF(V86="","",IF(AND(V86="反映",N(Y86)&gt;20),"要確認（この生徒の取込が20件を超えました）",V86))</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",""),入力!$AH$5:$AH$44,0),"")))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$405,T87,$R$6:$R$405,R87,$X$6:$X$405,"&lt;"&amp;X87))&gt;0,"重複","反映")))))</f>
        <v/>
      </c>
      <c r="W87">
        <f>IF(V87="反映",1,0)</f>
        <v/>
      </c>
      <c r="X87" t="n">
        <v>87</v>
      </c>
      <c r="Y87">
        <f>IF(W87=0,"",COUNTIFS($T$6:$T$405,T87,$W$6:$W$405,1,$S$6:$S$405,"&lt;"&amp;S87)+COUNTIFS($T$6:$T$405,T87,$W$6:$W$405,1,$S$6:$S$405,S87,$X$6:$X$405,"&lt;"&amp;X87)+1)</f>
        <v/>
      </c>
      <c r="Z87">
        <f>IF(Y87="","",T87&amp;"_"&amp;Y87)</f>
        <v/>
      </c>
      <c r="AA87">
        <f>SUBSTITUTE(SUBSTITUTE(SUBSTITUTE(SUBSTITUTE(SUBSTITUTE(INDEX(D87:K87,MIN(8,MAX(1,C87))),"年","/"),"月","/"),"日",""),"-","/"),".","/")</f>
        <v/>
      </c>
      <c r="AB87">
        <f>IFERROR(MATCH(O87,入力!$C$5:$C$44,0),"")</f>
        <v/>
      </c>
      <c r="AC87">
        <f>IF(AB87="","",INDEX(入力!$AH$5:$AH$44,AB87))</f>
        <v/>
      </c>
      <c r="AD87">
        <f>IF(INDEX($D87:$K87,IF(M87=1,2,1))=AC87,1,IF(INDEX($D87:$K87,IF(M87=1,2,1))&amp;INDEX($D87:$K87,IF(M87=1,2,1)+1)=AC87,2,IF(INDEX($D87:$K87,IF(M87=1,2,1))&amp;INDEX($D87:$K87,IF(M87=1,2,1)+1)&amp;INDEX($D87:$K87,IF(M87=1,2,1)+2)=AC87,3,IF(AB87&lt;&gt;"",2,IF(ISNUMBER(MATCH(INDEX($D87:$K87,IF(M87=1,2,1)),入力!$AH$5:$AH$44,0)),1,IF(ISNUMBER(MATCH(INDEX($D87:$K87,IF(M87=1,2,1))&amp;INDEX($D87:$K87,IF(M87=1,2,1)+1),入力!$AH$5:$AH$44,0)),2,IF(ISNUMBER(MATCH(INDEX($D87:$K87,IF(M87=1,2,1))&amp;INDEX($D87:$K87,IF(M87=1,2,1)+1)&amp;INDEX($D87:$K87,IF(M87=1,2,1)+2),入力!$AH$5:$AH$44,0)),3,2)))))))</f>
        <v/>
      </c>
      <c r="AE87">
        <f>IF(V87="","",IF(AND(V87="反映",N(Y87)&gt;20),"要確認（この生徒の取込が20件を超えました）",V87))</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",""),入力!$AH$5:$AH$44,0),"")))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$405,T88,$R$6:$R$405,R88,$X$6:$X$405,"&lt;"&amp;X88))&gt;0,"重複","反映")))))</f>
        <v/>
      </c>
      <c r="W88">
        <f>IF(V88="反映",1,0)</f>
        <v/>
      </c>
      <c r="X88" t="n">
        <v>88</v>
      </c>
      <c r="Y88">
        <f>IF(W88=0,"",COUNTIFS($T$6:$T$405,T88,$W$6:$W$405,1,$S$6:$S$405,"&lt;"&amp;S88)+COUNTIFS($T$6:$T$405,T88,$W$6:$W$405,1,$S$6:$S$405,S88,$X$6:$X$405,"&lt;"&amp;X88)+1)</f>
        <v/>
      </c>
      <c r="Z88">
        <f>IF(Y88="","",T88&amp;"_"&amp;Y88)</f>
        <v/>
      </c>
      <c r="AA88">
        <f>SUBSTITUTE(SUBSTITUTE(SUBSTITUTE(SUBSTITUTE(SUBSTITUTE(INDEX(D88:K88,MIN(8,MAX(1,C88))),"年","/"),"月","/"),"日",""),"-","/"),".","/")</f>
        <v/>
      </c>
      <c r="AB88">
        <f>IFERROR(MATCH(O88,入力!$C$5:$C$44,0),"")</f>
        <v/>
      </c>
      <c r="AC88">
        <f>IF(AB88="","",INDEX(入力!$AH$5:$AH$44,AB88))</f>
        <v/>
      </c>
      <c r="AD88">
        <f>IF(INDEX($D88:$K88,IF(M88=1,2,1))=AC88,1,IF(INDEX($D88:$K88,IF(M88=1,2,1))&amp;INDEX($D88:$K88,IF(M88=1,2,1)+1)=AC88,2,IF(INDEX($D88:$K88,IF(M88=1,2,1))&amp;INDEX($D88:$K88,IF(M88=1,2,1)+1)&amp;INDEX($D88:$K88,IF(M88=1,2,1)+2)=AC88,3,IF(AB88&lt;&gt;"",2,IF(ISNUMBER(MATCH(INDEX($D88:$K88,IF(M88=1,2,1)),入力!$AH$5:$AH$44,0)),1,IF(ISNUMBER(MATCH(INDEX($D88:$K88,IF(M88=1,2,1))&amp;INDEX($D88:$K88,IF(M88=1,2,1)+1),入力!$AH$5:$AH$44,0)),2,IF(ISNUMBER(MATCH(INDEX($D88:$K88,IF(M88=1,2,1))&amp;INDEX($D88:$K88,IF(M88=1,2,1)+1)&amp;INDEX($D88:$K88,IF(M88=1,2,1)+2),入力!$AH$5:$AH$44,0)),3,2)))))))</f>
        <v/>
      </c>
      <c r="AE88">
        <f>IF(V88="","",IF(AND(V88="反映",N(Y88)&gt;20),"要確認（この生徒の取込が20件を超えました）",V88))</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",""),入力!$AH$5:$AH$44,0),"")))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$405,T89,$R$6:$R$405,R89,$X$6:$X$405,"&lt;"&amp;X89))&gt;0,"重複","反映")))))</f>
        <v/>
      </c>
      <c r="W89">
        <f>IF(V89="反映",1,0)</f>
        <v/>
      </c>
      <c r="X89" t="n">
        <v>89</v>
      </c>
      <c r="Y89">
        <f>IF(W89=0,"",COUNTIFS($T$6:$T$405,T89,$W$6:$W$405,1,$S$6:$S$405,"&lt;"&amp;S89)+COUNTIFS($T$6:$T$405,T89,$W$6:$W$405,1,$S$6:$S$405,S89,$X$6:$X$405,"&lt;"&amp;X89)+1)</f>
        <v/>
      </c>
      <c r="Z89">
        <f>IF(Y89="","",T89&amp;"_"&amp;Y89)</f>
        <v/>
      </c>
      <c r="AA89">
        <f>SUBSTITUTE(SUBSTITUTE(SUBSTITUTE(SUBSTITUTE(SUBSTITUTE(INDEX(D89:K89,MIN(8,MAX(1,C89))),"年","/"),"月","/"),"日",""),"-","/"),".","/")</f>
        <v/>
      </c>
      <c r="AB89">
        <f>IFERROR(MATCH(O89,入力!$C$5:$C$44,0),"")</f>
        <v/>
      </c>
      <c r="AC89">
        <f>IF(AB89="","",INDEX(入力!$AH$5:$AH$44,AB89))</f>
        <v/>
      </c>
      <c r="AD89">
        <f>IF(INDEX($D89:$K89,IF(M89=1,2,1))=AC89,1,IF(INDEX($D89:$K89,IF(M89=1,2,1))&amp;INDEX($D89:$K89,IF(M89=1,2,1)+1)=AC89,2,IF(INDEX($D89:$K89,IF(M89=1,2,1))&amp;INDEX($D89:$K89,IF(M89=1,2,1)+1)&amp;INDEX($D89:$K89,IF(M89=1,2,1)+2)=AC89,3,IF(AB89&lt;&gt;"",2,IF(ISNUMBER(MATCH(INDEX($D89:$K89,IF(M89=1,2,1)),入力!$AH$5:$AH$44,0)),1,IF(ISNUMBER(MATCH(INDEX($D89:$K89,IF(M89=1,2,1))&amp;INDEX($D89:$K89,IF(M89=1,2,1)+1),入力!$AH$5:$AH$44,0)),2,IF(ISNUMBER(MATCH(INDEX($D89:$K89,IF(M89=1,2,1))&amp;INDEX($D89:$K89,IF(M89=1,2,1)+1)&amp;INDEX($D89:$K89,IF(M89=1,2,1)+2),入力!$AH$5:$AH$44,0)),3,2)))))))</f>
        <v/>
      </c>
      <c r="AE89">
        <f>IF(V89="","",IF(AND(V89="反映",N(Y89)&gt;20),"要確認（この生徒の取込が20件を超えました）",V89))</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",""),入力!$AH$5:$AH$44,0),"")))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$405,T90,$R$6:$R$405,R90,$X$6:$X$405,"&lt;"&amp;X90))&gt;0,"重複","反映")))))</f>
        <v/>
      </c>
      <c r="W90">
        <f>IF(V90="反映",1,0)</f>
        <v/>
      </c>
      <c r="X90" t="n">
        <v>90</v>
      </c>
      <c r="Y90">
        <f>IF(W90=0,"",COUNTIFS($T$6:$T$405,T90,$W$6:$W$405,1,$S$6:$S$405,"&lt;"&amp;S90)+COUNTIFS($T$6:$T$405,T90,$W$6:$W$405,1,$S$6:$S$405,S90,$X$6:$X$405,"&lt;"&amp;X90)+1)</f>
        <v/>
      </c>
      <c r="Z90">
        <f>IF(Y90="","",T90&amp;"_"&amp;Y90)</f>
        <v/>
      </c>
      <c r="AA90">
        <f>SUBSTITUTE(SUBSTITUTE(SUBSTITUTE(SUBSTITUTE(SUBSTITUTE(INDEX(D90:K90,MIN(8,MAX(1,C90))),"年","/"),"月","/"),"日",""),"-","/"),".","/")</f>
        <v/>
      </c>
      <c r="AB90">
        <f>IFERROR(MATCH(O90,入力!$C$5:$C$44,0),"")</f>
        <v/>
      </c>
      <c r="AC90">
        <f>IF(AB90="","",INDEX(入力!$AH$5:$AH$44,AB90))</f>
        <v/>
      </c>
      <c r="AD90">
        <f>IF(INDEX($D90:$K90,IF(M90=1,2,1))=AC90,1,IF(INDEX($D90:$K90,IF(M90=1,2,1))&amp;INDEX($D90:$K90,IF(M90=1,2,1)+1)=AC90,2,IF(INDEX($D90:$K90,IF(M90=1,2,1))&amp;INDEX($D90:$K90,IF(M90=1,2,1)+1)&amp;INDEX($D90:$K90,IF(M90=1,2,1)+2)=AC90,3,IF(AB90&lt;&gt;"",2,IF(ISNUMBER(MATCH(INDEX($D90:$K90,IF(M90=1,2,1)),入力!$AH$5:$AH$44,0)),1,IF(ISNUMBER(MATCH(INDEX($D90:$K90,IF(M90=1,2,1))&amp;INDEX($D90:$K90,IF(M90=1,2,1)+1),入力!$AH$5:$AH$44,0)),2,IF(ISNUMBER(MATCH(INDEX($D90:$K90,IF(M90=1,2,1))&amp;INDEX($D90:$K90,IF(M90=1,2,1)+1)&amp;INDEX($D90:$K90,IF(M90=1,2,1)+2),入力!$AH$5:$AH$44,0)),3,2)))))))</f>
        <v/>
      </c>
      <c r="AE90">
        <f>IF(V90="","",IF(AND(V90="反映",N(Y90)&gt;20),"要確認（この生徒の取込が20件を超えました）",V90))</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",""),入力!$AH$5:$AH$44,0),"")))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$405,T91,$R$6:$R$405,R91,$X$6:$X$405,"&lt;"&amp;X91))&gt;0,"重複","反映")))))</f>
        <v/>
      </c>
      <c r="W91">
        <f>IF(V91="反映",1,0)</f>
        <v/>
      </c>
      <c r="X91" t="n">
        <v>91</v>
      </c>
      <c r="Y91">
        <f>IF(W91=0,"",COUNTIFS($T$6:$T$405,T91,$W$6:$W$405,1,$S$6:$S$405,"&lt;"&amp;S91)+COUNTIFS($T$6:$T$405,T91,$W$6:$W$405,1,$S$6:$S$405,S91,$X$6:$X$405,"&lt;"&amp;X91)+1)</f>
        <v/>
      </c>
      <c r="Z91">
        <f>IF(Y91="","",T91&amp;"_"&amp;Y91)</f>
        <v/>
      </c>
      <c r="AA91">
        <f>SUBSTITUTE(SUBSTITUTE(SUBSTITUTE(SUBSTITUTE(SUBSTITUTE(INDEX(D91:K91,MIN(8,MAX(1,C91))),"年","/"),"月","/"),"日",""),"-","/"),".","/")</f>
        <v/>
      </c>
      <c r="AB91">
        <f>IFERROR(MATCH(O91,入力!$C$5:$C$44,0),"")</f>
        <v/>
      </c>
      <c r="AC91">
        <f>IF(AB91="","",INDEX(入力!$AH$5:$AH$44,AB91))</f>
        <v/>
      </c>
      <c r="AD91">
        <f>IF(INDEX($D91:$K91,IF(M91=1,2,1))=AC91,1,IF(INDEX($D91:$K91,IF(M91=1,2,1))&amp;INDEX($D91:$K91,IF(M91=1,2,1)+1)=AC91,2,IF(INDEX($D91:$K91,IF(M91=1,2,1))&amp;INDEX($D91:$K91,IF(M91=1,2,1)+1)&amp;INDEX($D91:$K91,IF(M91=1,2,1)+2)=AC91,3,IF(AB91&lt;&gt;"",2,IF(ISNUMBER(MATCH(INDEX($D91:$K91,IF(M91=1,2,1)),入力!$AH$5:$AH$44,0)),1,IF(ISNUMBER(MATCH(INDEX($D91:$K91,IF(M91=1,2,1))&amp;INDEX($D91:$K91,IF(M91=1,2,1)+1),入力!$AH$5:$AH$44,0)),2,IF(ISNUMBER(MATCH(INDEX($D91:$K91,IF(M91=1,2,1))&amp;INDEX($D91:$K91,IF(M91=1,2,1)+1)&amp;INDEX($D91:$K91,IF(M91=1,2,1)+2),入力!$AH$5:$AH$44,0)),3,2)))))))</f>
        <v/>
      </c>
      <c r="AE91">
        <f>IF(V91="","",IF(AND(V91="反映",N(Y91)&gt;20),"要確認（この生徒の取込が20件を超えました）",V91))</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",""),入力!$AH$5:$AH$44,0),"")))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$405,T92,$R$6:$R$405,R92,$X$6:$X$405,"&lt;"&amp;X92))&gt;0,"重複","反映")))))</f>
        <v/>
      </c>
      <c r="W92">
        <f>IF(V92="反映",1,0)</f>
        <v/>
      </c>
      <c r="X92" t="n">
        <v>92</v>
      </c>
      <c r="Y92">
        <f>IF(W92=0,"",COUNTIFS($T$6:$T$405,T92,$W$6:$W$405,1,$S$6:$S$405,"&lt;"&amp;S92)+COUNTIFS($T$6:$T$405,T92,$W$6:$W$405,1,$S$6:$S$405,S92,$X$6:$X$405,"&lt;"&amp;X92)+1)</f>
        <v/>
      </c>
      <c r="Z92">
        <f>IF(Y92="","",T92&amp;"_"&amp;Y92)</f>
        <v/>
      </c>
      <c r="AA92">
        <f>SUBSTITUTE(SUBSTITUTE(SUBSTITUTE(SUBSTITUTE(SUBSTITUTE(INDEX(D92:K92,MIN(8,MAX(1,C92))),"年","/"),"月","/"),"日",""),"-","/"),".","/")</f>
        <v/>
      </c>
      <c r="AB92">
        <f>IFERROR(MATCH(O92,入力!$C$5:$C$44,0),"")</f>
        <v/>
      </c>
      <c r="AC92">
        <f>IF(AB92="","",INDEX(入力!$AH$5:$AH$44,AB92))</f>
        <v/>
      </c>
      <c r="AD92">
        <f>IF(INDEX($D92:$K92,IF(M92=1,2,1))=AC92,1,IF(INDEX($D92:$K92,IF(M92=1,2,1))&amp;INDEX($D92:$K92,IF(M92=1,2,1)+1)=AC92,2,IF(INDEX($D92:$K92,IF(M92=1,2,1))&amp;INDEX($D92:$K92,IF(M92=1,2,1)+1)&amp;INDEX($D92:$K92,IF(M92=1,2,1)+2)=AC92,3,IF(AB92&lt;&gt;"",2,IF(ISNUMBER(MATCH(INDEX($D92:$K92,IF(M92=1,2,1)),入力!$AH$5:$AH$44,0)),1,IF(ISNUMBER(MATCH(INDEX($D92:$K92,IF(M92=1,2,1))&amp;INDEX($D92:$K92,IF(M92=1,2,1)+1),入力!$AH$5:$AH$44,0)),2,IF(ISNUMBER(MATCH(INDEX($D92:$K92,IF(M92=1,2,1))&amp;INDEX($D92:$K92,IF(M92=1,2,1)+1)&amp;INDEX($D92:$K92,IF(M92=1,2,1)+2),入力!$AH$5:$AH$44,0)),3,2)))))))</f>
        <v/>
      </c>
      <c r="AE92">
        <f>IF(V92="","",IF(AND(V92="反映",N(Y92)&gt;20),"要確認（この生徒の取込が20件を超えました）",V92))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",""),入力!$AH$5:$AH$44,0),"")))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$405,T93,$R$6:$R$405,R93,$X$6:$X$405,"&lt;"&amp;X93))&gt;0,"重複","反映")))))</f>
        <v/>
      </c>
      <c r="W93">
        <f>IF(V93="反映",1,0)</f>
        <v/>
      </c>
      <c r="X93" t="n">
        <v>93</v>
      </c>
      <c r="Y93">
        <f>IF(W93=0,"",COUNTIFS($T$6:$T$405,T93,$W$6:$W$405,1,$S$6:$S$405,"&lt;"&amp;S93)+COUNTIFS($T$6:$T$405,T93,$W$6:$W$405,1,$S$6:$S$405,S93,$X$6:$X$405,"&lt;"&amp;X93)+1)</f>
        <v/>
      </c>
      <c r="Z93">
        <f>IF(Y93="","",T93&amp;"_"&amp;Y93)</f>
        <v/>
      </c>
      <c r="AA93">
        <f>SUBSTITUTE(SUBSTITUTE(SUBSTITUTE(SUBSTITUTE(SUBSTITUTE(INDEX(D93:K93,MIN(8,MAX(1,C93))),"年","/"),"月","/"),"日",""),"-","/"),".","/")</f>
        <v/>
      </c>
      <c r="AB93">
        <f>IFERROR(MATCH(O93,入力!$C$5:$C$44,0),"")</f>
        <v/>
      </c>
      <c r="AC93">
        <f>IF(AB93="","",INDEX(入力!$AH$5:$AH$44,AB93))</f>
        <v/>
      </c>
      <c r="AD93">
        <f>IF(INDEX($D93:$K93,IF(M93=1,2,1))=AC93,1,IF(INDEX($D93:$K93,IF(M93=1,2,1))&amp;INDEX($D93:$K93,IF(M93=1,2,1)+1)=AC93,2,IF(INDEX($D93:$K93,IF(M93=1,2,1))&amp;INDEX($D93:$K93,IF(M93=1,2,1)+1)&amp;INDEX($D93:$K93,IF(M93=1,2,1)+2)=AC93,3,IF(AB93&lt;&gt;"",2,IF(ISNUMBER(MATCH(INDEX($D93:$K93,IF(M93=1,2,1)),入力!$AH$5:$AH$44,0)),1,IF(ISNUMBER(MATCH(INDEX($D93:$K93,IF(M93=1,2,1))&amp;INDEX($D93:$K93,IF(M93=1,2,1)+1),入力!$AH$5:$AH$44,0)),2,IF(ISNUMBER(MATCH(INDEX($D93:$K93,IF(M93=1,2,1))&amp;INDEX($D93:$K93,IF(M93=1,2,1)+1)&amp;INDEX($D93:$K93,IF(M93=1,2,1)+2),入力!$AH$5:$AH$44,0)),3,2)))))))</f>
        <v/>
      </c>
      <c r="AE93">
        <f>IF(V93="","",IF(AND(V93="反映",N(Y93)&gt;20),"要確認（この生徒の取込が20件を超えました）",V93))</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",""),入力!$AH$5:$AH$44,0),"")))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$405,T94,$R$6:$R$405,R94,$X$6:$X$405,"&lt;"&amp;X94))&gt;0,"重複","反映")))))</f>
        <v/>
      </c>
      <c r="W94">
        <f>IF(V94="反映",1,0)</f>
        <v/>
      </c>
      <c r="X94" t="n">
        <v>94</v>
      </c>
      <c r="Y94">
        <f>IF(W94=0,"",COUNTIFS($T$6:$T$405,T94,$W$6:$W$405,1,$S$6:$S$405,"&lt;"&amp;S94)+COUNTIFS($T$6:$T$405,T94,$W$6:$W$405,1,$S$6:$S$405,S94,$X$6:$X$405,"&lt;"&amp;X94)+1)</f>
        <v/>
      </c>
      <c r="Z94">
        <f>IF(Y94="","",T94&amp;"_"&amp;Y94)</f>
        <v/>
      </c>
      <c r="AA94">
        <f>SUBSTITUTE(SUBSTITUTE(SUBSTITUTE(SUBSTITUTE(SUBSTITUTE(INDEX(D94:K94,MIN(8,MAX(1,C94))),"年","/"),"月","/"),"日",""),"-","/"),".","/")</f>
        <v/>
      </c>
      <c r="AB94">
        <f>IFERROR(MATCH(O94,入力!$C$5:$C$44,0),"")</f>
        <v/>
      </c>
      <c r="AC94">
        <f>IF(AB94="","",INDEX(入力!$AH$5:$AH$44,AB94))</f>
        <v/>
      </c>
      <c r="AD94">
        <f>IF(INDEX($D94:$K94,IF(M94=1,2,1))=AC94,1,IF(INDEX($D94:$K94,IF(M94=1,2,1))&amp;INDEX($D94:$K94,IF(M94=1,2,1)+1)=AC94,2,IF(INDEX($D94:$K94,IF(M94=1,2,1))&amp;INDEX($D94:$K94,IF(M94=1,2,1)+1)&amp;INDEX($D94:$K94,IF(M94=1,2,1)+2)=AC94,3,IF(AB94&lt;&gt;"",2,IF(ISNUMBER(MATCH(INDEX($D94:$K94,IF(M94=1,2,1)),入力!$AH$5:$AH$44,0)),1,IF(ISNUMBER(MATCH(INDEX($D94:$K94,IF(M94=1,2,1))&amp;INDEX($D94:$K94,IF(M94=1,2,1)+1),入力!$AH$5:$AH$44,0)),2,IF(ISNUMBER(MATCH(INDEX($D94:$K94,IF(M94=1,2,1))&amp;INDEX($D94:$K94,IF(M94=1,2,1)+1)&amp;INDEX($D94:$K94,IF(M94=1,2,1)+2),入力!$AH$5:$AH$44,0)),3,2)))))))</f>
        <v/>
      </c>
      <c r="AE94">
        <f>IF(V94="","",IF(AND(V94="反映",N(Y94)&gt;20),"要確認（この生徒の取込が20件を超えました）",V94))</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",""),入力!$AH$5:$AH$44,0),"")))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$405,T95,$R$6:$R$405,R95,$X$6:$X$405,"&lt;"&amp;X95))&gt;0,"重複","反映")))))</f>
        <v/>
      </c>
      <c r="W95">
        <f>IF(V95="反映",1,0)</f>
        <v/>
      </c>
      <c r="X95" t="n">
        <v>95</v>
      </c>
      <c r="Y95">
        <f>IF(W95=0,"",COUNTIFS($T$6:$T$405,T95,$W$6:$W$405,1,$S$6:$S$405,"&lt;"&amp;S95)+COUNTIFS($T$6:$T$405,T95,$W$6:$W$405,1,$S$6:$S$405,S95,$X$6:$X$405,"&lt;"&amp;X95)+1)</f>
        <v/>
      </c>
      <c r="Z95">
        <f>IF(Y95="","",T95&amp;"_"&amp;Y95)</f>
        <v/>
      </c>
      <c r="AA95">
        <f>SUBSTITUTE(SUBSTITUTE(SUBSTITUTE(SUBSTITUTE(SUBSTITUTE(INDEX(D95:K95,MIN(8,MAX(1,C95))),"年","/"),"月","/"),"日",""),"-","/"),".","/")</f>
        <v/>
      </c>
      <c r="AB95">
        <f>IFERROR(MATCH(O95,入力!$C$5:$C$44,0),"")</f>
        <v/>
      </c>
      <c r="AC95">
        <f>IF(AB95="","",INDEX(入力!$AH$5:$AH$44,AB95))</f>
        <v/>
      </c>
      <c r="AD95">
        <f>IF(INDEX($D95:$K95,IF(M95=1,2,1))=AC95,1,IF(INDEX($D95:$K95,IF(M95=1,2,1))&amp;INDEX($D95:$K95,IF(M95=1,2,1)+1)=AC95,2,IF(INDEX($D95:$K95,IF(M95=1,2,1))&amp;INDEX($D95:$K95,IF(M95=1,2,1)+1)&amp;INDEX($D95:$K95,IF(M95=1,2,1)+2)=AC95,3,IF(AB95&lt;&gt;"",2,IF(ISNUMBER(MATCH(INDEX($D95:$K95,IF(M95=1,2,1)),入力!$AH$5:$AH$44,0)),1,IF(ISNUMBER(MATCH(INDEX($D95:$K95,IF(M95=1,2,1))&amp;INDEX($D95:$K95,IF(M95=1,2,1)+1),入力!$AH$5:$AH$44,0)),2,IF(ISNUMBER(MATCH(INDEX($D95:$K95,IF(M95=1,2,1))&amp;INDEX($D95:$K95,IF(M95=1,2,1)+1)&amp;INDEX($D95:$K95,IF(M95=1,2,1)+2),入力!$AH$5:$AH$44,0)),3,2)))))))</f>
        <v/>
      </c>
      <c r="AE95">
        <f>IF(V95="","",IF(AND(V95="反映",N(Y95)&gt;20),"要確認（この生徒の取込が20件を超えました）",V95))</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",""),入力!$AH$5:$AH$44,0),"")))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$405,T96,$R$6:$R$405,R96,$X$6:$X$405,"&lt;"&amp;X96))&gt;0,"重複","反映")))))</f>
        <v/>
      </c>
      <c r="W96">
        <f>IF(V96="反映",1,0)</f>
        <v/>
      </c>
      <c r="X96" t="n">
        <v>96</v>
      </c>
      <c r="Y96">
        <f>IF(W96=0,"",COUNTIFS($T$6:$T$405,T96,$W$6:$W$405,1,$S$6:$S$405,"&lt;"&amp;S96)+COUNTIFS($T$6:$T$405,T96,$W$6:$W$405,1,$S$6:$S$405,S96,$X$6:$X$405,"&lt;"&amp;X96)+1)</f>
        <v/>
      </c>
      <c r="Z96">
        <f>IF(Y96="","",T96&amp;"_"&amp;Y96)</f>
        <v/>
      </c>
      <c r="AA96">
        <f>SUBSTITUTE(SUBSTITUTE(SUBSTITUTE(SUBSTITUTE(SUBSTITUTE(INDEX(D96:K96,MIN(8,MAX(1,C96))),"年","/"),"月","/"),"日",""),"-","/"),".","/")</f>
        <v/>
      </c>
      <c r="AB96">
        <f>IFERROR(MATCH(O96,入力!$C$5:$C$44,0),"")</f>
        <v/>
      </c>
      <c r="AC96">
        <f>IF(AB96="","",INDEX(入力!$AH$5:$AH$44,AB96))</f>
        <v/>
      </c>
      <c r="AD96">
        <f>IF(INDEX($D96:$K96,IF(M96=1,2,1))=AC96,1,IF(INDEX($D96:$K96,IF(M96=1,2,1))&amp;INDEX($D96:$K96,IF(M96=1,2,1)+1)=AC96,2,IF(INDEX($D96:$K96,IF(M96=1,2,1))&amp;INDEX($D96:$K96,IF(M96=1,2,1)+1)&amp;INDEX($D96:$K96,IF(M96=1,2,1)+2)=AC96,3,IF(AB96&lt;&gt;"",2,IF(ISNUMBER(MATCH(INDEX($D96:$K96,IF(M96=1,2,1)),入力!$AH$5:$AH$44,0)),1,IF(ISNUMBER(MATCH(INDEX($D96:$K96,IF(M96=1,2,1))&amp;INDEX($D96:$K96,IF(M96=1,2,1)+1),入力!$AH$5:$AH$44,0)),2,IF(ISNUMBER(MATCH(INDEX($D96:$K96,IF(M96=1,2,1))&amp;INDEX($D96:$K96,IF(M96=1,2,1)+1)&amp;INDEX($D96:$K96,IF(M96=1,2,1)+2),入力!$AH$5:$AH$44,0)),3,2)))))))</f>
        <v/>
      </c>
      <c r="AE96">
        <f>IF(V96="","",IF(AND(V96="反映",N(Y96)&gt;20),"要確認（この生徒の取込が20件を超えました）",V96))</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",""),入力!$AH$5:$AH$44,0),"")))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$405,T97,$R$6:$R$405,R97,$X$6:$X$405,"&lt;"&amp;X97))&gt;0,"重複","反映")))))</f>
        <v/>
      </c>
      <c r="W97">
        <f>IF(V97="反映",1,0)</f>
        <v/>
      </c>
      <c r="X97" t="n">
        <v>97</v>
      </c>
      <c r="Y97">
        <f>IF(W97=0,"",COUNTIFS($T$6:$T$405,T97,$W$6:$W$405,1,$S$6:$S$405,"&lt;"&amp;S97)+COUNTIFS($T$6:$T$405,T97,$W$6:$W$405,1,$S$6:$S$405,S97,$X$6:$X$405,"&lt;"&amp;X97)+1)</f>
        <v/>
      </c>
      <c r="Z97">
        <f>IF(Y97="","",T97&amp;"_"&amp;Y97)</f>
        <v/>
      </c>
      <c r="AA97">
        <f>SUBSTITUTE(SUBSTITUTE(SUBSTITUTE(SUBSTITUTE(SUBSTITUTE(INDEX(D97:K97,MIN(8,MAX(1,C97))),"年","/"),"月","/"),"日",""),"-","/"),".","/")</f>
        <v/>
      </c>
      <c r="AB97">
        <f>IFERROR(MATCH(O97,入力!$C$5:$C$44,0),"")</f>
        <v/>
      </c>
      <c r="AC97">
        <f>IF(AB97="","",INDEX(入力!$AH$5:$AH$44,AB97))</f>
        <v/>
      </c>
      <c r="AD97">
        <f>IF(INDEX($D97:$K97,IF(M97=1,2,1))=AC97,1,IF(INDEX($D97:$K97,IF(M97=1,2,1))&amp;INDEX($D97:$K97,IF(M97=1,2,1)+1)=AC97,2,IF(INDEX($D97:$K97,IF(M97=1,2,1))&amp;INDEX($D97:$K97,IF(M97=1,2,1)+1)&amp;INDEX($D97:$K97,IF(M97=1,2,1)+2)=AC97,3,IF(AB97&lt;&gt;"",2,IF(ISNUMBER(MATCH(INDEX($D97:$K97,IF(M97=1,2,1)),入力!$AH$5:$AH$44,0)),1,IF(ISNUMBER(MATCH(INDEX($D97:$K97,IF(M97=1,2,1))&amp;INDEX($D97:$K97,IF(M97=1,2,1)+1),入力!$AH$5:$AH$44,0)),2,IF(ISNUMBER(MATCH(INDEX($D97:$K97,IF(M97=1,2,1))&amp;INDEX($D97:$K97,IF(M97=1,2,1)+1)&amp;INDEX($D97:$K97,IF(M97=1,2,1)+2),入力!$AH$5:$AH$44,0)),3,2)))))))</f>
        <v/>
      </c>
      <c r="AE97">
        <f>IF(V97="","",IF(AND(V97="反映",N(Y97)&gt;20),"要確認（この生徒の取込が20件を超えました）",V97))</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",""),入力!$AH$5:$AH$44,0),"")))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$405,T98,$R$6:$R$405,R98,$X$6:$X$405,"&lt;"&amp;X98))&gt;0,"重複","反映")))))</f>
        <v/>
      </c>
      <c r="W98">
        <f>IF(V98="反映",1,0)</f>
        <v/>
      </c>
      <c r="X98" t="n">
        <v>98</v>
      </c>
      <c r="Y98">
        <f>IF(W98=0,"",COUNTIFS($T$6:$T$405,T98,$W$6:$W$405,1,$S$6:$S$405,"&lt;"&amp;S98)+COUNTIFS($T$6:$T$405,T98,$W$6:$W$405,1,$S$6:$S$405,S98,$X$6:$X$405,"&lt;"&amp;X98)+1)</f>
        <v/>
      </c>
      <c r="Z98">
        <f>IF(Y98="","",T98&amp;"_"&amp;Y98)</f>
        <v/>
      </c>
      <c r="AA98">
        <f>SUBSTITUTE(SUBSTITUTE(SUBSTITUTE(SUBSTITUTE(SUBSTITUTE(INDEX(D98:K98,MIN(8,MAX(1,C98))),"年","/"),"月","/"),"日",""),"-","/"),".","/")</f>
        <v/>
      </c>
      <c r="AB98">
        <f>IFERROR(MATCH(O98,入力!$C$5:$C$44,0),"")</f>
        <v/>
      </c>
      <c r="AC98">
        <f>IF(AB98="","",INDEX(入力!$AH$5:$AH$44,AB98))</f>
        <v/>
      </c>
      <c r="AD98">
        <f>IF(INDEX($D98:$K98,IF(M98=1,2,1))=AC98,1,IF(INDEX($D98:$K98,IF(M98=1,2,1))&amp;INDEX($D98:$K98,IF(M98=1,2,1)+1)=AC98,2,IF(INDEX($D98:$K98,IF(M98=1,2,1))&amp;INDEX($D98:$K98,IF(M98=1,2,1)+1)&amp;INDEX($D98:$K98,IF(M98=1,2,1)+2)=AC98,3,IF(AB98&lt;&gt;"",2,IF(ISNUMBER(MATCH(INDEX($D98:$K98,IF(M98=1,2,1)),入力!$AH$5:$AH$44,0)),1,IF(ISNUMBER(MATCH(INDEX($D98:$K98,IF(M98=1,2,1))&amp;INDEX($D98:$K98,IF(M98=1,2,1)+1),入力!$AH$5:$AH$44,0)),2,IF(ISNUMBER(MATCH(INDEX($D98:$K98,IF(M98=1,2,1))&amp;INDEX($D98:$K98,IF(M98=1,2,1)+1)&amp;INDEX($D98:$K98,IF(M98=1,2,1)+2),入力!$AH$5:$AH$44,0)),3,2)))))))</f>
        <v/>
      </c>
      <c r="AE98">
        <f>IF(V98="","",IF(AND(V98="反映",N(Y98)&gt;20),"要確認（この生徒の取込が20件を超えました）",V98))</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",""),入力!$AH$5:$AH$44,0),"")))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$405,T99,$R$6:$R$405,R99,$X$6:$X$405,"&lt;"&amp;X99))&gt;0,"重複","反映")))))</f>
        <v/>
      </c>
      <c r="W99">
        <f>IF(V99="反映",1,0)</f>
        <v/>
      </c>
      <c r="X99" t="n">
        <v>99</v>
      </c>
      <c r="Y99">
        <f>IF(W99=0,"",COUNTIFS($T$6:$T$405,T99,$W$6:$W$405,1,$S$6:$S$405,"&lt;"&amp;S99)+COUNTIFS($T$6:$T$405,T99,$W$6:$W$405,1,$S$6:$S$405,S99,$X$6:$X$405,"&lt;"&amp;X99)+1)</f>
        <v/>
      </c>
      <c r="Z99">
        <f>IF(Y99="","",T99&amp;"_"&amp;Y99)</f>
        <v/>
      </c>
      <c r="AA99">
        <f>SUBSTITUTE(SUBSTITUTE(SUBSTITUTE(SUBSTITUTE(SUBSTITUTE(INDEX(D99:K99,MIN(8,MAX(1,C99))),"年","/"),"月","/"),"日",""),"-","/"),".","/")</f>
        <v/>
      </c>
      <c r="AB99">
        <f>IFERROR(MATCH(O99,入力!$C$5:$C$44,0),"")</f>
        <v/>
      </c>
      <c r="AC99">
        <f>IF(AB99="","",INDEX(入力!$AH$5:$AH$44,AB99))</f>
        <v/>
      </c>
      <c r="AD99">
        <f>IF(INDEX($D99:$K99,IF(M99=1,2,1))=AC99,1,IF(INDEX($D99:$K99,IF(M99=1,2,1))&amp;INDEX($D99:$K99,IF(M99=1,2,1)+1)=AC99,2,IF(INDEX($D99:$K99,IF(M99=1,2,1))&amp;INDEX($D99:$K99,IF(M99=1,2,1)+1)&amp;INDEX($D99:$K99,IF(M99=1,2,1)+2)=AC99,3,IF(AB99&lt;&gt;"",2,IF(ISNUMBER(MATCH(INDEX($D99:$K99,IF(M99=1,2,1)),入力!$AH$5:$AH$44,0)),1,IF(ISNUMBER(MATCH(INDEX($D99:$K99,IF(M99=1,2,1))&amp;INDEX($D99:$K99,IF(M99=1,2,1)+1),入力!$AH$5:$AH$44,0)),2,IF(ISNUMBER(MATCH(INDEX($D99:$K99,IF(M99=1,2,1))&amp;INDEX($D99:$K99,IF(M99=1,2,1)+1)&amp;INDEX($D99:$K99,IF(M99=1,2,1)+2),入力!$AH$5:$AH$44,0)),3,2)))))))</f>
        <v/>
      </c>
      <c r="AE99">
        <f>IF(V99="","",IF(AND(V99="反映",N(Y99)&gt;20),"要確認（この生徒の取込が20件を超えました）",V99))</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",""),入力!$AH$5:$AH$44,0),"")))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$405,T100,$R$6:$R$405,R100,$X$6:$X$405,"&lt;"&amp;X100))&gt;0,"重複","反映")))))</f>
        <v/>
      </c>
      <c r="W100">
        <f>IF(V100="反映",1,0)</f>
        <v/>
      </c>
      <c r="X100" t="n">
        <v>100</v>
      </c>
      <c r="Y100">
        <f>IF(W100=0,"",COUNTIFS($T$6:$T$405,T100,$W$6:$W$405,1,$S$6:$S$405,"&lt;"&amp;S100)+COUNTIFS($T$6:$T$405,T100,$W$6:$W$405,1,$S$6:$S$405,S100,$X$6:$X$405,"&lt;"&amp;X100)+1)</f>
        <v/>
      </c>
      <c r="Z100">
        <f>IF(Y100="","",T100&amp;"_"&amp;Y100)</f>
        <v/>
      </c>
      <c r="AA100">
        <f>SUBSTITUTE(SUBSTITUTE(SUBSTITUTE(SUBSTITUTE(SUBSTITUTE(INDEX(D100:K100,MIN(8,MAX(1,C100))),"年","/"),"月","/"),"日",""),"-","/"),".","/")</f>
        <v/>
      </c>
      <c r="AB100">
        <f>IFERROR(MATCH(O100,入力!$C$5:$C$44,0),"")</f>
        <v/>
      </c>
      <c r="AC100">
        <f>IF(AB100="","",INDEX(入力!$AH$5:$AH$44,AB100))</f>
        <v/>
      </c>
      <c r="AD100">
        <f>IF(INDEX($D100:$K100,IF(M100=1,2,1))=AC100,1,IF(INDEX($D100:$K100,IF(M100=1,2,1))&amp;INDEX($D100:$K100,IF(M100=1,2,1)+1)=AC100,2,IF(INDEX($D100:$K100,IF(M100=1,2,1))&amp;INDEX($D100:$K100,IF(M100=1,2,1)+1)&amp;INDEX($D100:$K100,IF(M100=1,2,1)+2)=AC100,3,IF(AB100&lt;&gt;"",2,IF(ISNUMBER(MATCH(INDEX($D100:$K100,IF(M100=1,2,1)),入力!$AH$5:$AH$44,0)),1,IF(ISNUMBER(MATCH(INDEX($D100:$K100,IF(M100=1,2,1))&amp;INDEX($D100:$K100,IF(M100=1,2,1)+1),入力!$AH$5:$AH$44,0)),2,IF(ISNUMBER(MATCH(INDEX($D100:$K100,IF(M100=1,2,1))&amp;INDEX($D100:$K100,IF(M100=1,2,1)+1)&amp;INDEX($D100:$K100,IF(M100=1,2,1)+2),入力!$AH$5:$AH$44,0)),3,2)))))))</f>
        <v/>
      </c>
      <c r="AE100">
        <f>IF(V100="","",IF(AND(V100="反映",N(Y100)&gt;20),"要確認（この生徒の取込が20件を超えました）",V100))</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",""),入力!$AH$5:$AH$44,0),"")))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$405,T101,$R$6:$R$405,R101,$X$6:$X$405,"&lt;"&amp;X101))&gt;0,"重複","反映")))))</f>
        <v/>
      </c>
      <c r="W101">
        <f>IF(V101="反映",1,0)</f>
        <v/>
      </c>
      <c r="X101" t="n">
        <v>101</v>
      </c>
      <c r="Y101">
        <f>IF(W101=0,"",COUNTIFS($T$6:$T$405,T101,$W$6:$W$405,1,$S$6:$S$405,"&lt;"&amp;S101)+COUNTIFS($T$6:$T$405,T101,$W$6:$W$405,1,$S$6:$S$405,S101,$X$6:$X$405,"&lt;"&amp;X101)+1)</f>
        <v/>
      </c>
      <c r="Z101">
        <f>IF(Y101="","",T101&amp;"_"&amp;Y101)</f>
        <v/>
      </c>
      <c r="AA101">
        <f>SUBSTITUTE(SUBSTITUTE(SUBSTITUTE(SUBSTITUTE(SUBSTITUTE(INDEX(D101:K101,MIN(8,MAX(1,C101))),"年","/"),"月","/"),"日",""),"-","/"),".","/")</f>
        <v/>
      </c>
      <c r="AB101">
        <f>IFERROR(MATCH(O101,入力!$C$5:$C$44,0),"")</f>
        <v/>
      </c>
      <c r="AC101">
        <f>IF(AB101="","",INDEX(入力!$AH$5:$AH$44,AB101))</f>
        <v/>
      </c>
      <c r="AD101">
        <f>IF(INDEX($D101:$K101,IF(M101=1,2,1))=AC101,1,IF(INDEX($D101:$K101,IF(M101=1,2,1))&amp;INDEX($D101:$K101,IF(M101=1,2,1)+1)=AC101,2,IF(INDEX($D101:$K101,IF(M101=1,2,1))&amp;INDEX($D101:$K101,IF(M101=1,2,1)+1)&amp;INDEX($D101:$K101,IF(M101=1,2,1)+2)=AC101,3,IF(AB101&lt;&gt;"",2,IF(ISNUMBER(MATCH(INDEX($D101:$K101,IF(M101=1,2,1)),入力!$AH$5:$AH$44,0)),1,IF(ISNUMBER(MATCH(INDEX($D101:$K101,IF(M101=1,2,1))&amp;INDEX($D101:$K101,IF(M101=1,2,1)+1),入力!$AH$5:$AH$44,0)),2,IF(ISNUMBER(MATCH(INDEX($D101:$K101,IF(M101=1,2,1))&amp;INDEX($D101:$K101,IF(M101=1,2,1)+1)&amp;INDEX($D101:$K101,IF(M101=1,2,1)+2),入力!$AH$5:$AH$44,0)),3,2)))))))</f>
        <v/>
      </c>
      <c r="AE101">
        <f>IF(V101="","",IF(AND(V101="反映",N(Y101)&gt;20),"要確認（この生徒の取込が20件を超えました）",V101))</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",""),入力!$AH$5:$AH$44,0),"")))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$405,T102,$R$6:$R$405,R102,$X$6:$X$405,"&lt;"&amp;X102))&gt;0,"重複","反映")))))</f>
        <v/>
      </c>
      <c r="W102">
        <f>IF(V102="反映",1,0)</f>
        <v/>
      </c>
      <c r="X102" t="n">
        <v>102</v>
      </c>
      <c r="Y102">
        <f>IF(W102=0,"",COUNTIFS($T$6:$T$405,T102,$W$6:$W$405,1,$S$6:$S$405,"&lt;"&amp;S102)+COUNTIFS($T$6:$T$405,T102,$W$6:$W$405,1,$S$6:$S$405,S102,$X$6:$X$405,"&lt;"&amp;X102)+1)</f>
        <v/>
      </c>
      <c r="Z102">
        <f>IF(Y102="","",T102&amp;"_"&amp;Y102)</f>
        <v/>
      </c>
      <c r="AA102">
        <f>SUBSTITUTE(SUBSTITUTE(SUBSTITUTE(SUBSTITUTE(SUBSTITUTE(INDEX(D102:K102,MIN(8,MAX(1,C102))),"年","/"),"月","/"),"日",""),"-","/"),".","/")</f>
        <v/>
      </c>
      <c r="AB102">
        <f>IFERROR(MATCH(O102,入力!$C$5:$C$44,0),"")</f>
        <v/>
      </c>
      <c r="AC102">
        <f>IF(AB102="","",INDEX(入力!$AH$5:$AH$44,AB102))</f>
        <v/>
      </c>
      <c r="AD102">
        <f>IF(INDEX($D102:$K102,IF(M102=1,2,1))=AC102,1,IF(INDEX($D102:$K102,IF(M102=1,2,1))&amp;INDEX($D102:$K102,IF(M102=1,2,1)+1)=AC102,2,IF(INDEX($D102:$K102,IF(M102=1,2,1))&amp;INDEX($D102:$K102,IF(M102=1,2,1)+1)&amp;INDEX($D102:$K102,IF(M102=1,2,1)+2)=AC102,3,IF(AB102&lt;&gt;"",2,IF(ISNUMBER(MATCH(INDEX($D102:$K102,IF(M102=1,2,1)),入力!$AH$5:$AH$44,0)),1,IF(ISNUMBER(MATCH(INDEX($D102:$K102,IF(M102=1,2,1))&amp;INDEX($D102:$K102,IF(M102=1,2,1)+1),入力!$AH$5:$AH$44,0)),2,IF(ISNUMBER(MATCH(INDEX($D102:$K102,IF(M102=1,2,1))&amp;INDEX($D102:$K102,IF(M102=1,2,1)+1)&amp;INDEX($D102:$K102,IF(M102=1,2,1)+2),入力!$AH$5:$AH$44,0)),3,2)))))))</f>
        <v/>
      </c>
      <c r="AE102">
        <f>IF(V102="","",IF(AND(V102="反映",N(Y102)&gt;20),"要確認（この生徒の取込が20件を超えました）",V102))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",""),入力!$AH$5:$AH$44,0),"")))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$405,T103,$R$6:$R$405,R103,$X$6:$X$405,"&lt;"&amp;X103))&gt;0,"重複","反映")))))</f>
        <v/>
      </c>
      <c r="W103">
        <f>IF(V103="反映",1,0)</f>
        <v/>
      </c>
      <c r="X103" t="n">
        <v>103</v>
      </c>
      <c r="Y103">
        <f>IF(W103=0,"",COUNTIFS($T$6:$T$405,T103,$W$6:$W$405,1,$S$6:$S$405,"&lt;"&amp;S103)+COUNTIFS($T$6:$T$405,T103,$W$6:$W$405,1,$S$6:$S$405,S103,$X$6:$X$405,"&lt;"&amp;X103)+1)</f>
        <v/>
      </c>
      <c r="Z103">
        <f>IF(Y103="","",T103&amp;"_"&amp;Y103)</f>
        <v/>
      </c>
      <c r="AA103">
        <f>SUBSTITUTE(SUBSTITUTE(SUBSTITUTE(SUBSTITUTE(SUBSTITUTE(INDEX(D103:K103,MIN(8,MAX(1,C103))),"年","/"),"月","/"),"日",""),"-","/"),".","/")</f>
        <v/>
      </c>
      <c r="AB103">
        <f>IFERROR(MATCH(O103,入力!$C$5:$C$44,0),"")</f>
        <v/>
      </c>
      <c r="AC103">
        <f>IF(AB103="","",INDEX(入力!$AH$5:$AH$44,AB103))</f>
        <v/>
      </c>
      <c r="AD103">
        <f>IF(INDEX($D103:$K103,IF(M103=1,2,1))=AC103,1,IF(INDEX($D103:$K103,IF(M103=1,2,1))&amp;INDEX($D103:$K103,IF(M103=1,2,1)+1)=AC103,2,IF(INDEX($D103:$K103,IF(M103=1,2,1))&amp;INDEX($D103:$K103,IF(M103=1,2,1)+1)&amp;INDEX($D103:$K103,IF(M103=1,2,1)+2)=AC103,3,IF(AB103&lt;&gt;"",2,IF(ISNUMBER(MATCH(INDEX($D103:$K103,IF(M103=1,2,1)),入力!$AH$5:$AH$44,0)),1,IF(ISNUMBER(MATCH(INDEX($D103:$K103,IF(M103=1,2,1))&amp;INDEX($D103:$K103,IF(M103=1,2,1)+1),入力!$AH$5:$AH$44,0)),2,IF(ISNUMBER(MATCH(INDEX($D103:$K103,IF(M103=1,2,1))&amp;INDEX($D103:$K103,IF(M103=1,2,1)+1)&amp;INDEX($D103:$K103,IF(M103=1,2,1)+2),入力!$AH$5:$AH$44,0)),3,2)))))))</f>
        <v/>
      </c>
      <c r="AE103">
        <f>IF(V103="","",IF(AND(V103="反映",N(Y103)&gt;20),"要確認（この生徒の取込が20件を超えました）",V103))</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",""),入力!$AH$5:$AH$44,0),"")))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$405,T104,$R$6:$R$405,R104,$X$6:$X$405,"&lt;"&amp;X104))&gt;0,"重複","反映")))))</f>
        <v/>
      </c>
      <c r="W104">
        <f>IF(V104="反映",1,0)</f>
        <v/>
      </c>
      <c r="X104" t="n">
        <v>104</v>
      </c>
      <c r="Y104">
        <f>IF(W104=0,"",COUNTIFS($T$6:$T$405,T104,$W$6:$W$405,1,$S$6:$S$405,"&lt;"&amp;S104)+COUNTIFS($T$6:$T$405,T104,$W$6:$W$405,1,$S$6:$S$405,S104,$X$6:$X$405,"&lt;"&amp;X104)+1)</f>
        <v/>
      </c>
      <c r="Z104">
        <f>IF(Y104="","",T104&amp;"_"&amp;Y104)</f>
        <v/>
      </c>
      <c r="AA104">
        <f>SUBSTITUTE(SUBSTITUTE(SUBSTITUTE(SUBSTITUTE(SUBSTITUTE(INDEX(D104:K104,MIN(8,MAX(1,C104))),"年","/"),"月","/"),"日",""),"-","/"),".","/")</f>
        <v/>
      </c>
      <c r="AB104">
        <f>IFERROR(MATCH(O104,入力!$C$5:$C$44,0),"")</f>
        <v/>
      </c>
      <c r="AC104">
        <f>IF(AB104="","",INDEX(入力!$AH$5:$AH$44,AB104))</f>
        <v/>
      </c>
      <c r="AD104">
        <f>IF(INDEX($D104:$K104,IF(M104=1,2,1))=AC104,1,IF(INDEX($D104:$K104,IF(M104=1,2,1))&amp;INDEX($D104:$K104,IF(M104=1,2,1)+1)=AC104,2,IF(INDEX($D104:$K104,IF(M104=1,2,1))&amp;INDEX($D104:$K104,IF(M104=1,2,1)+1)&amp;INDEX($D104:$K104,IF(M104=1,2,1)+2)=AC104,3,IF(AB104&lt;&gt;"",2,IF(ISNUMBER(MATCH(INDEX($D104:$K104,IF(M104=1,2,1)),入力!$AH$5:$AH$44,0)),1,IF(ISNUMBER(MATCH(INDEX($D104:$K104,IF(M104=1,2,1))&amp;INDEX($D104:$K104,IF(M104=1,2,1)+1),入力!$AH$5:$AH$44,0)),2,IF(ISNUMBER(MATCH(INDEX($D104:$K104,IF(M104=1,2,1))&amp;INDEX($D104:$K104,IF(M104=1,2,1)+1)&amp;INDEX($D104:$K104,IF(M104=1,2,1)+2),入力!$AH$5:$AH$44,0)),3,2)))))))</f>
        <v/>
      </c>
      <c r="AE104">
        <f>IF(V104="","",IF(AND(V104="反映",N(Y104)&gt;20),"要確認（この生徒の取込が20件を超えました）",V104))</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",""),入力!$AH$5:$AH$44,0),"")))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$405,T105,$R$6:$R$405,R105,$X$6:$X$405,"&lt;"&amp;X105))&gt;0,"重複","反映")))))</f>
        <v/>
      </c>
      <c r="W105">
        <f>IF(V105="反映",1,0)</f>
        <v/>
      </c>
      <c r="X105" t="n">
        <v>105</v>
      </c>
      <c r="Y105">
        <f>IF(W105=0,"",COUNTIFS($T$6:$T$405,T105,$W$6:$W$405,1,$S$6:$S$405,"&lt;"&amp;S105)+COUNTIFS($T$6:$T$405,T105,$W$6:$W$405,1,$S$6:$S$405,S105,$X$6:$X$405,"&lt;"&amp;X105)+1)</f>
        <v/>
      </c>
      <c r="Z105">
        <f>IF(Y105="","",T105&amp;"_"&amp;Y105)</f>
        <v/>
      </c>
      <c r="AA105">
        <f>SUBSTITUTE(SUBSTITUTE(SUBSTITUTE(SUBSTITUTE(SUBSTITUTE(INDEX(D105:K105,MIN(8,MAX(1,C105))),"年","/"),"月","/"),"日",""),"-","/"),".","/")</f>
        <v/>
      </c>
      <c r="AB105">
        <f>IFERROR(MATCH(O105,入力!$C$5:$C$44,0),"")</f>
        <v/>
      </c>
      <c r="AC105">
        <f>IF(AB105="","",INDEX(入力!$AH$5:$AH$44,AB105))</f>
        <v/>
      </c>
      <c r="AD105">
        <f>IF(INDEX($D105:$K105,IF(M105=1,2,1))=AC105,1,IF(INDEX($D105:$K105,IF(M105=1,2,1))&amp;INDEX($D105:$K105,IF(M105=1,2,1)+1)=AC105,2,IF(INDEX($D105:$K105,IF(M105=1,2,1))&amp;INDEX($D105:$K105,IF(M105=1,2,1)+1)&amp;INDEX($D105:$K105,IF(M105=1,2,1)+2)=AC105,3,IF(AB105&lt;&gt;"",2,IF(ISNUMBER(MATCH(INDEX($D105:$K105,IF(M105=1,2,1)),入力!$AH$5:$AH$44,0)),1,IF(ISNUMBER(MATCH(INDEX($D105:$K105,IF(M105=1,2,1))&amp;INDEX($D105:$K105,IF(M105=1,2,1)+1),入力!$AH$5:$AH$44,0)),2,IF(ISNUMBER(MATCH(INDEX($D105:$K105,IF(M105=1,2,1))&amp;INDEX($D105:$K105,IF(M105=1,2,1)+1)&amp;INDEX($D105:$K105,IF(M105=1,2,1)+2),入力!$AH$5:$AH$44,0)),3,2)))))))</f>
        <v/>
      </c>
      <c r="AE105">
        <f>IF(V105="","",IF(AND(V105="反映",N(Y105)&gt;20),"要確認（この生徒の取込が20件を超えました）",V105))</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",""),入力!$AH$5:$AH$44,0),"")))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$405,T106,$R$6:$R$405,R106,$X$6:$X$405,"&lt;"&amp;X106))&gt;0,"重複","反映")))))</f>
        <v/>
      </c>
      <c r="W106">
        <f>IF(V106="反映",1,0)</f>
        <v/>
      </c>
      <c r="X106" t="n">
        <v>106</v>
      </c>
      <c r="Y106">
        <f>IF(W106=0,"",COUNTIFS($T$6:$T$405,T106,$W$6:$W$405,1,$S$6:$S$405,"&lt;"&amp;S106)+COUNTIFS($T$6:$T$405,T106,$W$6:$W$405,1,$S$6:$S$405,S106,$X$6:$X$405,"&lt;"&amp;X106)+1)</f>
        <v/>
      </c>
      <c r="Z106">
        <f>IF(Y106="","",T106&amp;"_"&amp;Y106)</f>
        <v/>
      </c>
      <c r="AA106">
        <f>SUBSTITUTE(SUBSTITUTE(SUBSTITUTE(SUBSTITUTE(SUBSTITUTE(INDEX(D106:K106,MIN(8,MAX(1,C106))),"年","/"),"月","/"),"日",""),"-","/"),".","/")</f>
        <v/>
      </c>
      <c r="AB106">
        <f>IFERROR(MATCH(O106,入力!$C$5:$C$44,0),"")</f>
        <v/>
      </c>
      <c r="AC106">
        <f>IF(AB106="","",INDEX(入力!$AH$5:$AH$44,AB106))</f>
        <v/>
      </c>
      <c r="AD106">
        <f>IF(INDEX($D106:$K106,IF(M106=1,2,1))=AC106,1,IF(INDEX($D106:$K106,IF(M106=1,2,1))&amp;INDEX($D106:$K106,IF(M106=1,2,1)+1)=AC106,2,IF(INDEX($D106:$K106,IF(M106=1,2,1))&amp;INDEX($D106:$K106,IF(M106=1,2,1)+1)&amp;INDEX($D106:$K106,IF(M106=1,2,1)+2)=AC106,3,IF(AB106&lt;&gt;"",2,IF(ISNUMBER(MATCH(INDEX($D106:$K106,IF(M106=1,2,1)),入力!$AH$5:$AH$44,0)),1,IF(ISNUMBER(MATCH(INDEX($D106:$K106,IF(M106=1,2,1))&amp;INDEX($D106:$K106,IF(M106=1,2,1)+1),入力!$AH$5:$AH$44,0)),2,IF(ISNUMBER(MATCH(INDEX($D106:$K106,IF(M106=1,2,1))&amp;INDEX($D106:$K106,IF(M106=1,2,1)+1)&amp;INDEX($D106:$K106,IF(M106=1,2,1)+2),入力!$AH$5:$AH$44,0)),3,2)))))))</f>
        <v/>
      </c>
      <c r="AE106">
        <f>IF(V106="","",IF(AND(V106="反映",N(Y106)&gt;20),"要確認（この生徒の取込が20件を超えました）",V106))</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",""),入力!$AH$5:$AH$44,0),"")))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$405,T107,$R$6:$R$405,R107,$X$6:$X$405,"&lt;"&amp;X107))&gt;0,"重複","反映")))))</f>
        <v/>
      </c>
      <c r="W107">
        <f>IF(V107="反映",1,0)</f>
        <v/>
      </c>
      <c r="X107" t="n">
        <v>107</v>
      </c>
      <c r="Y107">
        <f>IF(W107=0,"",COUNTIFS($T$6:$T$405,T107,$W$6:$W$405,1,$S$6:$S$405,"&lt;"&amp;S107)+COUNTIFS($T$6:$T$405,T107,$W$6:$W$405,1,$S$6:$S$405,S107,$X$6:$X$405,"&lt;"&amp;X107)+1)</f>
        <v/>
      </c>
      <c r="Z107">
        <f>IF(Y107="","",T107&amp;"_"&amp;Y107)</f>
        <v/>
      </c>
      <c r="AA107">
        <f>SUBSTITUTE(SUBSTITUTE(SUBSTITUTE(SUBSTITUTE(SUBSTITUTE(INDEX(D107:K107,MIN(8,MAX(1,C107))),"年","/"),"月","/"),"日",""),"-","/"),".","/")</f>
        <v/>
      </c>
      <c r="AB107">
        <f>IFERROR(MATCH(O107,入力!$C$5:$C$44,0),"")</f>
        <v/>
      </c>
      <c r="AC107">
        <f>IF(AB107="","",INDEX(入力!$AH$5:$AH$44,AB107))</f>
        <v/>
      </c>
      <c r="AD107">
        <f>IF(INDEX($D107:$K107,IF(M107=1,2,1))=AC107,1,IF(INDEX($D107:$K107,IF(M107=1,2,1))&amp;INDEX($D107:$K107,IF(M107=1,2,1)+1)=AC107,2,IF(INDEX($D107:$K107,IF(M107=1,2,1))&amp;INDEX($D107:$K107,IF(M107=1,2,1)+1)&amp;INDEX($D107:$K107,IF(M107=1,2,1)+2)=AC107,3,IF(AB107&lt;&gt;"",2,IF(ISNUMBER(MATCH(INDEX($D107:$K107,IF(M107=1,2,1)),入力!$AH$5:$AH$44,0)),1,IF(ISNUMBER(MATCH(INDEX($D107:$K107,IF(M107=1,2,1))&amp;INDEX($D107:$K107,IF(M107=1,2,1)+1),入力!$AH$5:$AH$44,0)),2,IF(ISNUMBER(MATCH(INDEX($D107:$K107,IF(M107=1,2,1))&amp;INDEX($D107:$K107,IF(M107=1,2,1)+1)&amp;INDEX($D107:$K107,IF(M107=1,2,1)+2),入力!$AH$5:$AH$44,0)),3,2)))))))</f>
        <v/>
      </c>
      <c r="AE107">
        <f>IF(V107="","",IF(AND(V107="反映",N(Y107)&gt;20),"要確認（この生徒の取込が20件を超えました）",V107))</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",""),入力!$AH$5:$AH$44,0),"")))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$405,T108,$R$6:$R$405,R108,$X$6:$X$405,"&lt;"&amp;X108))&gt;0,"重複","反映")))))</f>
        <v/>
      </c>
      <c r="W108">
        <f>IF(V108="反映",1,0)</f>
        <v/>
      </c>
      <c r="X108" t="n">
        <v>108</v>
      </c>
      <c r="Y108">
        <f>IF(W108=0,"",COUNTIFS($T$6:$T$405,T108,$W$6:$W$405,1,$S$6:$S$405,"&lt;"&amp;S108)+COUNTIFS($T$6:$T$405,T108,$W$6:$W$405,1,$S$6:$S$405,S108,$X$6:$X$405,"&lt;"&amp;X108)+1)</f>
        <v/>
      </c>
      <c r="Z108">
        <f>IF(Y108="","",T108&amp;"_"&amp;Y108)</f>
        <v/>
      </c>
      <c r="AA108">
        <f>SUBSTITUTE(SUBSTITUTE(SUBSTITUTE(SUBSTITUTE(SUBSTITUTE(INDEX(D108:K108,MIN(8,MAX(1,C108))),"年","/"),"月","/"),"日",""),"-","/"),".","/")</f>
        <v/>
      </c>
      <c r="AB108">
        <f>IFERROR(MATCH(O108,入力!$C$5:$C$44,0),"")</f>
        <v/>
      </c>
      <c r="AC108">
        <f>IF(AB108="","",INDEX(入力!$AH$5:$AH$44,AB108))</f>
        <v/>
      </c>
      <c r="AD108">
        <f>IF(INDEX($D108:$K108,IF(M108=1,2,1))=AC108,1,IF(INDEX($D108:$K108,IF(M108=1,2,1))&amp;INDEX($D108:$K108,IF(M108=1,2,1)+1)=AC108,2,IF(INDEX($D108:$K108,IF(M108=1,2,1))&amp;INDEX($D108:$K108,IF(M108=1,2,1)+1)&amp;INDEX($D108:$K108,IF(M108=1,2,1)+2)=AC108,3,IF(AB108&lt;&gt;"",2,IF(ISNUMBER(MATCH(INDEX($D108:$K108,IF(M108=1,2,1)),入力!$AH$5:$AH$44,0)),1,IF(ISNUMBER(MATCH(INDEX($D108:$K108,IF(M108=1,2,1))&amp;INDEX($D108:$K108,IF(M108=1,2,1)+1),入力!$AH$5:$AH$44,0)),2,IF(ISNUMBER(MATCH(INDEX($D108:$K108,IF(M108=1,2,1))&amp;INDEX($D108:$K108,IF(M108=1,2,1)+1)&amp;INDEX($D108:$K108,IF(M108=1,2,1)+2),入力!$AH$5:$AH$44,0)),3,2)))))))</f>
        <v/>
      </c>
      <c r="AE108">
        <f>IF(V108="","",IF(AND(V108="反映",N(Y108)&gt;20),"要確認（この生徒の取込が20件を超えました）",V108))</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",""),入力!$AH$5:$AH$44,0),"")))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$405,T109,$R$6:$R$405,R109,$X$6:$X$405,"&lt;"&amp;X109))&gt;0,"重複","反映")))))</f>
        <v/>
      </c>
      <c r="W109">
        <f>IF(V109="反映",1,0)</f>
        <v/>
      </c>
      <c r="X109" t="n">
        <v>109</v>
      </c>
      <c r="Y109">
        <f>IF(W109=0,"",COUNTIFS($T$6:$T$405,T109,$W$6:$W$405,1,$S$6:$S$405,"&lt;"&amp;S109)+COUNTIFS($T$6:$T$405,T109,$W$6:$W$405,1,$S$6:$S$405,S109,$X$6:$X$405,"&lt;"&amp;X109)+1)</f>
        <v/>
      </c>
      <c r="Z109">
        <f>IF(Y109="","",T109&amp;"_"&amp;Y109)</f>
        <v/>
      </c>
      <c r="AA109">
        <f>SUBSTITUTE(SUBSTITUTE(SUBSTITUTE(SUBSTITUTE(SUBSTITUTE(INDEX(D109:K109,MIN(8,MAX(1,C109))),"年","/"),"月","/"),"日",""),"-","/"),".","/")</f>
        <v/>
      </c>
      <c r="AB109">
        <f>IFERROR(MATCH(O109,入力!$C$5:$C$44,0),"")</f>
        <v/>
      </c>
      <c r="AC109">
        <f>IF(AB109="","",INDEX(入力!$AH$5:$AH$44,AB109))</f>
        <v/>
      </c>
      <c r="AD109">
        <f>IF(INDEX($D109:$K109,IF(M109=1,2,1))=AC109,1,IF(INDEX($D109:$K109,IF(M109=1,2,1))&amp;INDEX($D109:$K109,IF(M109=1,2,1)+1)=AC109,2,IF(INDEX($D109:$K109,IF(M109=1,2,1))&amp;INDEX($D109:$K109,IF(M109=1,2,1)+1)&amp;INDEX($D109:$K109,IF(M109=1,2,1)+2)=AC109,3,IF(AB109&lt;&gt;"",2,IF(ISNUMBER(MATCH(INDEX($D109:$K109,IF(M109=1,2,1)),入力!$AH$5:$AH$44,0)),1,IF(ISNUMBER(MATCH(INDEX($D109:$K109,IF(M109=1,2,1))&amp;INDEX($D109:$K109,IF(M109=1,2,1)+1),入力!$AH$5:$AH$44,0)),2,IF(ISNUMBER(MATCH(INDEX($D109:$K109,IF(M109=1,2,1))&amp;INDEX($D109:$K109,IF(M109=1,2,1)+1)&amp;INDEX($D109:$K109,IF(M109=1,2,1)+2),入力!$AH$5:$AH$44,0)),3,2)))))))</f>
        <v/>
      </c>
      <c r="AE109">
        <f>IF(V109="","",IF(AND(V109="反映",N(Y109)&gt;20),"要確認（この生徒の取込が20件を超えました）",V109))</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",""),入力!$AH$5:$AH$44,0),"")))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$405,T110,$R$6:$R$405,R110,$X$6:$X$405,"&lt;"&amp;X110))&gt;0,"重複","反映")))))</f>
        <v/>
      </c>
      <c r="W110">
        <f>IF(V110="反映",1,0)</f>
        <v/>
      </c>
      <c r="X110" t="n">
        <v>110</v>
      </c>
      <c r="Y110">
        <f>IF(W110=0,"",COUNTIFS($T$6:$T$405,T110,$W$6:$W$405,1,$S$6:$S$405,"&lt;"&amp;S110)+COUNTIFS($T$6:$T$405,T110,$W$6:$W$405,1,$S$6:$S$405,S110,$X$6:$X$405,"&lt;"&amp;X110)+1)</f>
        <v/>
      </c>
      <c r="Z110">
        <f>IF(Y110="","",T110&amp;"_"&amp;Y110)</f>
        <v/>
      </c>
      <c r="AA110">
        <f>SUBSTITUTE(SUBSTITUTE(SUBSTITUTE(SUBSTITUTE(SUBSTITUTE(INDEX(D110:K110,MIN(8,MAX(1,C110))),"年","/"),"月","/"),"日",""),"-","/"),".","/")</f>
        <v/>
      </c>
      <c r="AB110">
        <f>IFERROR(MATCH(O110,入力!$C$5:$C$44,0),"")</f>
        <v/>
      </c>
      <c r="AC110">
        <f>IF(AB110="","",INDEX(入力!$AH$5:$AH$44,AB110))</f>
        <v/>
      </c>
      <c r="AD110">
        <f>IF(INDEX($D110:$K110,IF(M110=1,2,1))=AC110,1,IF(INDEX($D110:$K110,IF(M110=1,2,1))&amp;INDEX($D110:$K110,IF(M110=1,2,1)+1)=AC110,2,IF(INDEX($D110:$K110,IF(M110=1,2,1))&amp;INDEX($D110:$K110,IF(M110=1,2,1)+1)&amp;INDEX($D110:$K110,IF(M110=1,2,1)+2)=AC110,3,IF(AB110&lt;&gt;"",2,IF(ISNUMBER(MATCH(INDEX($D110:$K110,IF(M110=1,2,1)),入力!$AH$5:$AH$44,0)),1,IF(ISNUMBER(MATCH(INDEX($D110:$K110,IF(M110=1,2,1))&amp;INDEX($D110:$K110,IF(M110=1,2,1)+1),入力!$AH$5:$AH$44,0)),2,IF(ISNUMBER(MATCH(INDEX($D110:$K110,IF(M110=1,2,1))&amp;INDEX($D110:$K110,IF(M110=1,2,1)+1)&amp;INDEX($D110:$K110,IF(M110=1,2,1)+2),入力!$AH$5:$AH$44,0)),3,2)))))))</f>
        <v/>
      </c>
      <c r="AE110">
        <f>IF(V110="","",IF(AND(V110="反映",N(Y110)&gt;20),"要確認（この生徒の取込が20件を超えました）",V110))</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",""),入力!$AH$5:$AH$44,0),"")))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$405,T111,$R$6:$R$405,R111,$X$6:$X$405,"&lt;"&amp;X111))&gt;0,"重複","反映")))))</f>
        <v/>
      </c>
      <c r="W111">
        <f>IF(V111="反映",1,0)</f>
        <v/>
      </c>
      <c r="X111" t="n">
        <v>111</v>
      </c>
      <c r="Y111">
        <f>IF(W111=0,"",COUNTIFS($T$6:$T$405,T111,$W$6:$W$405,1,$S$6:$S$405,"&lt;"&amp;S111)+COUNTIFS($T$6:$T$405,T111,$W$6:$W$405,1,$S$6:$S$405,S111,$X$6:$X$405,"&lt;"&amp;X111)+1)</f>
        <v/>
      </c>
      <c r="Z111">
        <f>IF(Y111="","",T111&amp;"_"&amp;Y111)</f>
        <v/>
      </c>
      <c r="AA111">
        <f>SUBSTITUTE(SUBSTITUTE(SUBSTITUTE(SUBSTITUTE(SUBSTITUTE(INDEX(D111:K111,MIN(8,MAX(1,C111))),"年","/"),"月","/"),"日",""),"-","/"),".","/")</f>
        <v/>
      </c>
      <c r="AB111">
        <f>IFERROR(MATCH(O111,入力!$C$5:$C$44,0),"")</f>
        <v/>
      </c>
      <c r="AC111">
        <f>IF(AB111="","",INDEX(入力!$AH$5:$AH$44,AB111))</f>
        <v/>
      </c>
      <c r="AD111">
        <f>IF(INDEX($D111:$K111,IF(M111=1,2,1))=AC111,1,IF(INDEX($D111:$K111,IF(M111=1,2,1))&amp;INDEX($D111:$K111,IF(M111=1,2,1)+1)=AC111,2,IF(INDEX($D111:$K111,IF(M111=1,2,1))&amp;INDEX($D111:$K111,IF(M111=1,2,1)+1)&amp;INDEX($D111:$K111,IF(M111=1,2,1)+2)=AC111,3,IF(AB111&lt;&gt;"",2,IF(ISNUMBER(MATCH(INDEX($D111:$K111,IF(M111=1,2,1)),入力!$AH$5:$AH$44,0)),1,IF(ISNUMBER(MATCH(INDEX($D111:$K111,IF(M111=1,2,1))&amp;INDEX($D111:$K111,IF(M111=1,2,1)+1),入力!$AH$5:$AH$44,0)),2,IF(ISNUMBER(MATCH(INDEX($D111:$K111,IF(M111=1,2,1))&amp;INDEX($D111:$K111,IF(M111=1,2,1)+1)&amp;INDEX($D111:$K111,IF(M111=1,2,1)+2),入力!$AH$5:$AH$44,0)),3,2)))))))</f>
        <v/>
      </c>
      <c r="AE111">
        <f>IF(V111="","",IF(AND(V111="反映",N(Y111)&gt;20),"要確認（この生徒の取込が20件を超えました）",V111))</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",""),入力!$AH$5:$AH$44,0),"")))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$405,T112,$R$6:$R$405,R112,$X$6:$X$405,"&lt;"&amp;X112))&gt;0,"重複","反映")))))</f>
        <v/>
      </c>
      <c r="W112">
        <f>IF(V112="反映",1,0)</f>
        <v/>
      </c>
      <c r="X112" t="n">
        <v>112</v>
      </c>
      <c r="Y112">
        <f>IF(W112=0,"",COUNTIFS($T$6:$T$405,T112,$W$6:$W$405,1,$S$6:$S$405,"&lt;"&amp;S112)+COUNTIFS($T$6:$T$405,T112,$W$6:$W$405,1,$S$6:$S$405,S112,$X$6:$X$405,"&lt;"&amp;X112)+1)</f>
        <v/>
      </c>
      <c r="Z112">
        <f>IF(Y112="","",T112&amp;"_"&amp;Y112)</f>
        <v/>
      </c>
      <c r="AA112">
        <f>SUBSTITUTE(SUBSTITUTE(SUBSTITUTE(SUBSTITUTE(SUBSTITUTE(INDEX(D112:K112,MIN(8,MAX(1,C112))),"年","/"),"月","/"),"日",""),"-","/"),".","/")</f>
        <v/>
      </c>
      <c r="AB112">
        <f>IFERROR(MATCH(O112,入力!$C$5:$C$44,0),"")</f>
        <v/>
      </c>
      <c r="AC112">
        <f>IF(AB112="","",INDEX(入力!$AH$5:$AH$44,AB112))</f>
        <v/>
      </c>
      <c r="AD112">
        <f>IF(INDEX($D112:$K112,IF(M112=1,2,1))=AC112,1,IF(INDEX($D112:$K112,IF(M112=1,2,1))&amp;INDEX($D112:$K112,IF(M112=1,2,1)+1)=AC112,2,IF(INDEX($D112:$K112,IF(M112=1,2,1))&amp;INDEX($D112:$K112,IF(M112=1,2,1)+1)&amp;INDEX($D112:$K112,IF(M112=1,2,1)+2)=AC112,3,IF(AB112&lt;&gt;"",2,IF(ISNUMBER(MATCH(INDEX($D112:$K112,IF(M112=1,2,1)),入力!$AH$5:$AH$44,0)),1,IF(ISNUMBER(MATCH(INDEX($D112:$K112,IF(M112=1,2,1))&amp;INDEX($D112:$K112,IF(M112=1,2,1)+1),入力!$AH$5:$AH$44,0)),2,IF(ISNUMBER(MATCH(INDEX($D112:$K112,IF(M112=1,2,1))&amp;INDEX($D112:$K112,IF(M112=1,2,1)+1)&amp;INDEX($D112:$K112,IF(M112=1,2,1)+2),入力!$AH$5:$AH$44,0)),3,2)))))))</f>
        <v/>
      </c>
      <c r="AE112">
        <f>IF(V112="","",IF(AND(V112="反映",N(Y112)&gt;20),"要確認（この生徒の取込が20件を超えました）",V112))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",""),入力!$AH$5:$AH$44,0),"")))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$405,T113,$R$6:$R$405,R113,$X$6:$X$405,"&lt;"&amp;X113))&gt;0,"重複","反映")))))</f>
        <v/>
      </c>
      <c r="W113">
        <f>IF(V113="反映",1,0)</f>
        <v/>
      </c>
      <c r="X113" t="n">
        <v>113</v>
      </c>
      <c r="Y113">
        <f>IF(W113=0,"",COUNTIFS($T$6:$T$405,T113,$W$6:$W$405,1,$S$6:$S$405,"&lt;"&amp;S113)+COUNTIFS($T$6:$T$405,T113,$W$6:$W$405,1,$S$6:$S$405,S113,$X$6:$X$405,"&lt;"&amp;X113)+1)</f>
        <v/>
      </c>
      <c r="Z113">
        <f>IF(Y113="","",T113&amp;"_"&amp;Y113)</f>
        <v/>
      </c>
      <c r="AA113">
        <f>SUBSTITUTE(SUBSTITUTE(SUBSTITUTE(SUBSTITUTE(SUBSTITUTE(INDEX(D113:K113,MIN(8,MAX(1,C113))),"年","/"),"月","/"),"日",""),"-","/"),".","/")</f>
        <v/>
      </c>
      <c r="AB113">
        <f>IFERROR(MATCH(O113,入力!$C$5:$C$44,0),"")</f>
        <v/>
      </c>
      <c r="AC113">
        <f>IF(AB113="","",INDEX(入力!$AH$5:$AH$44,AB113))</f>
        <v/>
      </c>
      <c r="AD113">
        <f>IF(INDEX($D113:$K113,IF(M113=1,2,1))=AC113,1,IF(INDEX($D113:$K113,IF(M113=1,2,1))&amp;INDEX($D113:$K113,IF(M113=1,2,1)+1)=AC113,2,IF(INDEX($D113:$K113,IF(M113=1,2,1))&amp;INDEX($D113:$K113,IF(M113=1,2,1)+1)&amp;INDEX($D113:$K113,IF(M113=1,2,1)+2)=AC113,3,IF(AB113&lt;&gt;"",2,IF(ISNUMBER(MATCH(INDEX($D113:$K113,IF(M113=1,2,1)),入力!$AH$5:$AH$44,0)),1,IF(ISNUMBER(MATCH(INDEX($D113:$K113,IF(M113=1,2,1))&amp;INDEX($D113:$K113,IF(M113=1,2,1)+1),入力!$AH$5:$AH$44,0)),2,IF(ISNUMBER(MATCH(INDEX($D113:$K113,IF(M113=1,2,1))&amp;INDEX($D113:$K113,IF(M113=1,2,1)+1)&amp;INDEX($D113:$K113,IF(M113=1,2,1)+2),入力!$AH$5:$AH$44,0)),3,2)))))))</f>
        <v/>
      </c>
      <c r="AE113">
        <f>IF(V113="","",IF(AND(V113="反映",N(Y113)&gt;20),"要確認（この生徒の取込が20件を超えました）",V113))</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",""),入力!$AH$5:$AH$44,0),"")))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$405,T114,$R$6:$R$405,R114,$X$6:$X$405,"&lt;"&amp;X114))&gt;0,"重複","反映")))))</f>
        <v/>
      </c>
      <c r="W114">
        <f>IF(V114="反映",1,0)</f>
        <v/>
      </c>
      <c r="X114" t="n">
        <v>114</v>
      </c>
      <c r="Y114">
        <f>IF(W114=0,"",COUNTIFS($T$6:$T$405,T114,$W$6:$W$405,1,$S$6:$S$405,"&lt;"&amp;S114)+COUNTIFS($T$6:$T$405,T114,$W$6:$W$405,1,$S$6:$S$405,S114,$X$6:$X$405,"&lt;"&amp;X114)+1)</f>
        <v/>
      </c>
      <c r="Z114">
        <f>IF(Y114="","",T114&amp;"_"&amp;Y114)</f>
        <v/>
      </c>
      <c r="AA114">
        <f>SUBSTITUTE(SUBSTITUTE(SUBSTITUTE(SUBSTITUTE(SUBSTITUTE(INDEX(D114:K114,MIN(8,MAX(1,C114))),"年","/"),"月","/"),"日",""),"-","/"),".","/")</f>
        <v/>
      </c>
      <c r="AB114">
        <f>IFERROR(MATCH(O114,入力!$C$5:$C$44,0),"")</f>
        <v/>
      </c>
      <c r="AC114">
        <f>IF(AB114="","",INDEX(入力!$AH$5:$AH$44,AB114))</f>
        <v/>
      </c>
      <c r="AD114">
        <f>IF(INDEX($D114:$K114,IF(M114=1,2,1))=AC114,1,IF(INDEX($D114:$K114,IF(M114=1,2,1))&amp;INDEX($D114:$K114,IF(M114=1,2,1)+1)=AC114,2,IF(INDEX($D114:$K114,IF(M114=1,2,1))&amp;INDEX($D114:$K114,IF(M114=1,2,1)+1)&amp;INDEX($D114:$K114,IF(M114=1,2,1)+2)=AC114,3,IF(AB114&lt;&gt;"",2,IF(ISNUMBER(MATCH(INDEX($D114:$K114,IF(M114=1,2,1)),入力!$AH$5:$AH$44,0)),1,IF(ISNUMBER(MATCH(INDEX($D114:$K114,IF(M114=1,2,1))&amp;INDEX($D114:$K114,IF(M114=1,2,1)+1),入力!$AH$5:$AH$44,0)),2,IF(ISNUMBER(MATCH(INDEX($D114:$K114,IF(M114=1,2,1))&amp;INDEX($D114:$K114,IF(M114=1,2,1)+1)&amp;INDEX($D114:$K114,IF(M114=1,2,1)+2),入力!$AH$5:$AH$44,0)),3,2)))))))</f>
        <v/>
      </c>
      <c r="AE114">
        <f>IF(V114="","",IF(AND(V114="反映",N(Y114)&gt;20),"要確認（この生徒の取込が20件を超えました）",V114))</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",""),入力!$AH$5:$AH$44,0),"")))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$405,T115,$R$6:$R$405,R115,$X$6:$X$405,"&lt;"&amp;X115))&gt;0,"重複","反映")))))</f>
        <v/>
      </c>
      <c r="W115">
        <f>IF(V115="反映",1,0)</f>
        <v/>
      </c>
      <c r="X115" t="n">
        <v>115</v>
      </c>
      <c r="Y115">
        <f>IF(W115=0,"",COUNTIFS($T$6:$T$405,T115,$W$6:$W$405,1,$S$6:$S$405,"&lt;"&amp;S115)+COUNTIFS($T$6:$T$405,T115,$W$6:$W$405,1,$S$6:$S$405,S115,$X$6:$X$405,"&lt;"&amp;X115)+1)</f>
        <v/>
      </c>
      <c r="Z115">
        <f>IF(Y115="","",T115&amp;"_"&amp;Y115)</f>
        <v/>
      </c>
      <c r="AA115">
        <f>SUBSTITUTE(SUBSTITUTE(SUBSTITUTE(SUBSTITUTE(SUBSTITUTE(INDEX(D115:K115,MIN(8,MAX(1,C115))),"年","/"),"月","/"),"日",""),"-","/"),".","/")</f>
        <v/>
      </c>
      <c r="AB115">
        <f>IFERROR(MATCH(O115,入力!$C$5:$C$44,0),"")</f>
        <v/>
      </c>
      <c r="AC115">
        <f>IF(AB115="","",INDEX(入力!$AH$5:$AH$44,AB115))</f>
        <v/>
      </c>
      <c r="AD115">
        <f>IF(INDEX($D115:$K115,IF(M115=1,2,1))=AC115,1,IF(INDEX($D115:$K115,IF(M115=1,2,1))&amp;INDEX($D115:$K115,IF(M115=1,2,1)+1)=AC115,2,IF(INDEX($D115:$K115,IF(M115=1,2,1))&amp;INDEX($D115:$K115,IF(M115=1,2,1)+1)&amp;INDEX($D115:$K115,IF(M115=1,2,1)+2)=AC115,3,IF(AB115&lt;&gt;"",2,IF(ISNUMBER(MATCH(INDEX($D115:$K115,IF(M115=1,2,1)),入力!$AH$5:$AH$44,0)),1,IF(ISNUMBER(MATCH(INDEX($D115:$K115,IF(M115=1,2,1))&amp;INDEX($D115:$K115,IF(M115=1,2,1)+1),入力!$AH$5:$AH$44,0)),2,IF(ISNUMBER(MATCH(INDEX($D115:$K115,IF(M115=1,2,1))&amp;INDEX($D115:$K115,IF(M115=1,2,1)+1)&amp;INDEX($D115:$K115,IF(M115=1,2,1)+2),入力!$AH$5:$AH$44,0)),3,2)))))))</f>
        <v/>
      </c>
      <c r="AE115">
        <f>IF(V115="","",IF(AND(V115="反映",N(Y115)&gt;20),"要確認（この生徒の取込が20件を超えました）",V115))</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",""),入力!$AH$5:$AH$44,0),"")))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$405,T116,$R$6:$R$405,R116,$X$6:$X$405,"&lt;"&amp;X116))&gt;0,"重複","反映")))))</f>
        <v/>
      </c>
      <c r="W116">
        <f>IF(V116="反映",1,0)</f>
        <v/>
      </c>
      <c r="X116" t="n">
        <v>116</v>
      </c>
      <c r="Y116">
        <f>IF(W116=0,"",COUNTIFS($T$6:$T$405,T116,$W$6:$W$405,1,$S$6:$S$405,"&lt;"&amp;S116)+COUNTIFS($T$6:$T$405,T116,$W$6:$W$405,1,$S$6:$S$405,S116,$X$6:$X$405,"&lt;"&amp;X116)+1)</f>
        <v/>
      </c>
      <c r="Z116">
        <f>IF(Y116="","",T116&amp;"_"&amp;Y116)</f>
        <v/>
      </c>
      <c r="AA116">
        <f>SUBSTITUTE(SUBSTITUTE(SUBSTITUTE(SUBSTITUTE(SUBSTITUTE(INDEX(D116:K116,MIN(8,MAX(1,C116))),"年","/"),"月","/"),"日",""),"-","/"),".","/")</f>
        <v/>
      </c>
      <c r="AB116">
        <f>IFERROR(MATCH(O116,入力!$C$5:$C$44,0),"")</f>
        <v/>
      </c>
      <c r="AC116">
        <f>IF(AB116="","",INDEX(入力!$AH$5:$AH$44,AB116))</f>
        <v/>
      </c>
      <c r="AD116">
        <f>IF(INDEX($D116:$K116,IF(M116=1,2,1))=AC116,1,IF(INDEX($D116:$K116,IF(M116=1,2,1))&amp;INDEX($D116:$K116,IF(M116=1,2,1)+1)=AC116,2,IF(INDEX($D116:$K116,IF(M116=1,2,1))&amp;INDEX($D116:$K116,IF(M116=1,2,1)+1)&amp;INDEX($D116:$K116,IF(M116=1,2,1)+2)=AC116,3,IF(AB116&lt;&gt;"",2,IF(ISNUMBER(MATCH(INDEX($D116:$K116,IF(M116=1,2,1)),入力!$AH$5:$AH$44,0)),1,IF(ISNUMBER(MATCH(INDEX($D116:$K116,IF(M116=1,2,1))&amp;INDEX($D116:$K116,IF(M116=1,2,1)+1),入力!$AH$5:$AH$44,0)),2,IF(ISNUMBER(MATCH(INDEX($D116:$K116,IF(M116=1,2,1))&amp;INDEX($D116:$K116,IF(M116=1,2,1)+1)&amp;INDEX($D116:$K116,IF(M116=1,2,1)+2),入力!$AH$5:$AH$44,0)),3,2)))))))</f>
        <v/>
      </c>
      <c r="AE116">
        <f>IF(V116="","",IF(AND(V116="反映",N(Y116)&gt;20),"要確認（この生徒の取込が20件を超えました）",V116))</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",""),入力!$AH$5:$AH$44,0),"")))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$405,T117,$R$6:$R$405,R117,$X$6:$X$405,"&lt;"&amp;X117))&gt;0,"重複","反映")))))</f>
        <v/>
      </c>
      <c r="W117">
        <f>IF(V117="反映",1,0)</f>
        <v/>
      </c>
      <c r="X117" t="n">
        <v>117</v>
      </c>
      <c r="Y117">
        <f>IF(W117=0,"",COUNTIFS($T$6:$T$405,T117,$W$6:$W$405,1,$S$6:$S$405,"&lt;"&amp;S117)+COUNTIFS($T$6:$T$405,T117,$W$6:$W$405,1,$S$6:$S$405,S117,$X$6:$X$405,"&lt;"&amp;X117)+1)</f>
        <v/>
      </c>
      <c r="Z117">
        <f>IF(Y117="","",T117&amp;"_"&amp;Y117)</f>
        <v/>
      </c>
      <c r="AA117">
        <f>SUBSTITUTE(SUBSTITUTE(SUBSTITUTE(SUBSTITUTE(SUBSTITUTE(INDEX(D117:K117,MIN(8,MAX(1,C117))),"年","/"),"月","/"),"日",""),"-","/"),".","/")</f>
        <v/>
      </c>
      <c r="AB117">
        <f>IFERROR(MATCH(O117,入力!$C$5:$C$44,0),"")</f>
        <v/>
      </c>
      <c r="AC117">
        <f>IF(AB117="","",INDEX(入力!$AH$5:$AH$44,AB117))</f>
        <v/>
      </c>
      <c r="AD117">
        <f>IF(INDEX($D117:$K117,IF(M117=1,2,1))=AC117,1,IF(INDEX($D117:$K117,IF(M117=1,2,1))&amp;INDEX($D117:$K117,IF(M117=1,2,1)+1)=AC117,2,IF(INDEX($D117:$K117,IF(M117=1,2,1))&amp;INDEX($D117:$K117,IF(M117=1,2,1)+1)&amp;INDEX($D117:$K117,IF(M117=1,2,1)+2)=AC117,3,IF(AB117&lt;&gt;"",2,IF(ISNUMBER(MATCH(INDEX($D117:$K117,IF(M117=1,2,1)),入力!$AH$5:$AH$44,0)),1,IF(ISNUMBER(MATCH(INDEX($D117:$K117,IF(M117=1,2,1))&amp;INDEX($D117:$K117,IF(M117=1,2,1)+1),入力!$AH$5:$AH$44,0)),2,IF(ISNUMBER(MATCH(INDEX($D117:$K117,IF(M117=1,2,1))&amp;INDEX($D117:$K117,IF(M117=1,2,1)+1)&amp;INDEX($D117:$K117,IF(M117=1,2,1)+2),入力!$AH$5:$AH$44,0)),3,2)))))))</f>
        <v/>
      </c>
      <c r="AE117">
        <f>IF(V117="","",IF(AND(V117="反映",N(Y117)&gt;20),"要確認（この生徒の取込が20件を超えました）",V117))</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",""),入力!$AH$5:$AH$44,0),"")))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$405,T118,$R$6:$R$405,R118,$X$6:$X$405,"&lt;"&amp;X118))&gt;0,"重複","反映")))))</f>
        <v/>
      </c>
      <c r="W118">
        <f>IF(V118="反映",1,0)</f>
        <v/>
      </c>
      <c r="X118" t="n">
        <v>118</v>
      </c>
      <c r="Y118">
        <f>IF(W118=0,"",COUNTIFS($T$6:$T$405,T118,$W$6:$W$405,1,$S$6:$S$405,"&lt;"&amp;S118)+COUNTIFS($T$6:$T$405,T118,$W$6:$W$405,1,$S$6:$S$405,S118,$X$6:$X$405,"&lt;"&amp;X118)+1)</f>
        <v/>
      </c>
      <c r="Z118">
        <f>IF(Y118="","",T118&amp;"_"&amp;Y118)</f>
        <v/>
      </c>
      <c r="AA118">
        <f>SUBSTITUTE(SUBSTITUTE(SUBSTITUTE(SUBSTITUTE(SUBSTITUTE(INDEX(D118:K118,MIN(8,MAX(1,C118))),"年","/"),"月","/"),"日",""),"-","/"),".","/")</f>
        <v/>
      </c>
      <c r="AB118">
        <f>IFERROR(MATCH(O118,入力!$C$5:$C$44,0),"")</f>
        <v/>
      </c>
      <c r="AC118">
        <f>IF(AB118="","",INDEX(入力!$AH$5:$AH$44,AB118))</f>
        <v/>
      </c>
      <c r="AD118">
        <f>IF(INDEX($D118:$K118,IF(M118=1,2,1))=AC118,1,IF(INDEX($D118:$K118,IF(M118=1,2,1))&amp;INDEX($D118:$K118,IF(M118=1,2,1)+1)=AC118,2,IF(INDEX($D118:$K118,IF(M118=1,2,1))&amp;INDEX($D118:$K118,IF(M118=1,2,1)+1)&amp;INDEX($D118:$K118,IF(M118=1,2,1)+2)=AC118,3,IF(AB118&lt;&gt;"",2,IF(ISNUMBER(MATCH(INDEX($D118:$K118,IF(M118=1,2,1)),入力!$AH$5:$AH$44,0)),1,IF(ISNUMBER(MATCH(INDEX($D118:$K118,IF(M118=1,2,1))&amp;INDEX($D118:$K118,IF(M118=1,2,1)+1),入力!$AH$5:$AH$44,0)),2,IF(ISNUMBER(MATCH(INDEX($D118:$K118,IF(M118=1,2,1))&amp;INDEX($D118:$K118,IF(M118=1,2,1)+1)&amp;INDEX($D118:$K118,IF(M118=1,2,1)+2),入力!$AH$5:$AH$44,0)),3,2)))))))</f>
        <v/>
      </c>
      <c r="AE118">
        <f>IF(V118="","",IF(AND(V118="反映",N(Y118)&gt;20),"要確認（この生徒の取込が20件を超えました）",V118))</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",""),入力!$AH$5:$AH$44,0),"")))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$405,T119,$R$6:$R$405,R119,$X$6:$X$405,"&lt;"&amp;X119))&gt;0,"重複","反映")))))</f>
        <v/>
      </c>
      <c r="W119">
        <f>IF(V119="反映",1,0)</f>
        <v/>
      </c>
      <c r="X119" t="n">
        <v>119</v>
      </c>
      <c r="Y119">
        <f>IF(W119=0,"",COUNTIFS($T$6:$T$405,T119,$W$6:$W$405,1,$S$6:$S$405,"&lt;"&amp;S119)+COUNTIFS($T$6:$T$405,T119,$W$6:$W$405,1,$S$6:$S$405,S119,$X$6:$X$405,"&lt;"&amp;X119)+1)</f>
        <v/>
      </c>
      <c r="Z119">
        <f>IF(Y119="","",T119&amp;"_"&amp;Y119)</f>
        <v/>
      </c>
      <c r="AA119">
        <f>SUBSTITUTE(SUBSTITUTE(SUBSTITUTE(SUBSTITUTE(SUBSTITUTE(INDEX(D119:K119,MIN(8,MAX(1,C119))),"年","/"),"月","/"),"日",""),"-","/"),".","/")</f>
        <v/>
      </c>
      <c r="AB119">
        <f>IFERROR(MATCH(O119,入力!$C$5:$C$44,0),"")</f>
        <v/>
      </c>
      <c r="AC119">
        <f>IF(AB119="","",INDEX(入力!$AH$5:$AH$44,AB119))</f>
        <v/>
      </c>
      <c r="AD119">
        <f>IF(INDEX($D119:$K119,IF(M119=1,2,1))=AC119,1,IF(INDEX($D119:$K119,IF(M119=1,2,1))&amp;INDEX($D119:$K119,IF(M119=1,2,1)+1)=AC119,2,IF(INDEX($D119:$K119,IF(M119=1,2,1))&amp;INDEX($D119:$K119,IF(M119=1,2,1)+1)&amp;INDEX($D119:$K119,IF(M119=1,2,1)+2)=AC119,3,IF(AB119&lt;&gt;"",2,IF(ISNUMBER(MATCH(INDEX($D119:$K119,IF(M119=1,2,1)),入力!$AH$5:$AH$44,0)),1,IF(ISNUMBER(MATCH(INDEX($D119:$K119,IF(M119=1,2,1))&amp;INDEX($D119:$K119,IF(M119=1,2,1)+1),入力!$AH$5:$AH$44,0)),2,IF(ISNUMBER(MATCH(INDEX($D119:$K119,IF(M119=1,2,1))&amp;INDEX($D119:$K119,IF(M119=1,2,1)+1)&amp;INDEX($D119:$K119,IF(M119=1,2,1)+2),入力!$AH$5:$AH$44,0)),3,2)))))))</f>
        <v/>
      </c>
      <c r="AE119">
        <f>IF(V119="","",IF(AND(V119="反映",N(Y119)&gt;20),"要確認（この生徒の取込が20件を超えました）",V119))</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",""),入力!$AH$5:$AH$44,0),"")))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$405,T120,$R$6:$R$405,R120,$X$6:$X$405,"&lt;"&amp;X120))&gt;0,"重複","反映")))))</f>
        <v/>
      </c>
      <c r="W120">
        <f>IF(V120="反映",1,0)</f>
        <v/>
      </c>
      <c r="X120" t="n">
        <v>120</v>
      </c>
      <c r="Y120">
        <f>IF(W120=0,"",COUNTIFS($T$6:$T$405,T120,$W$6:$W$405,1,$S$6:$S$405,"&lt;"&amp;S120)+COUNTIFS($T$6:$T$405,T120,$W$6:$W$405,1,$S$6:$S$405,S120,$X$6:$X$405,"&lt;"&amp;X120)+1)</f>
        <v/>
      </c>
      <c r="Z120">
        <f>IF(Y120="","",T120&amp;"_"&amp;Y120)</f>
        <v/>
      </c>
      <c r="AA120">
        <f>SUBSTITUTE(SUBSTITUTE(SUBSTITUTE(SUBSTITUTE(SUBSTITUTE(INDEX(D120:K120,MIN(8,MAX(1,C120))),"年","/"),"月","/"),"日",""),"-","/"),".","/")</f>
        <v/>
      </c>
      <c r="AB120">
        <f>IFERROR(MATCH(O120,入力!$C$5:$C$44,0),"")</f>
        <v/>
      </c>
      <c r="AC120">
        <f>IF(AB120="","",INDEX(入力!$AH$5:$AH$44,AB120))</f>
        <v/>
      </c>
      <c r="AD120">
        <f>IF(INDEX($D120:$K120,IF(M120=1,2,1))=AC120,1,IF(INDEX($D120:$K120,IF(M120=1,2,1))&amp;INDEX($D120:$K120,IF(M120=1,2,1)+1)=AC120,2,IF(INDEX($D120:$K120,IF(M120=1,2,1))&amp;INDEX($D120:$K120,IF(M120=1,2,1)+1)&amp;INDEX($D120:$K120,IF(M120=1,2,1)+2)=AC120,3,IF(AB120&lt;&gt;"",2,IF(ISNUMBER(MATCH(INDEX($D120:$K120,IF(M120=1,2,1)),入力!$AH$5:$AH$44,0)),1,IF(ISNUMBER(MATCH(INDEX($D120:$K120,IF(M120=1,2,1))&amp;INDEX($D120:$K120,IF(M120=1,2,1)+1),入力!$AH$5:$AH$44,0)),2,IF(ISNUMBER(MATCH(INDEX($D120:$K120,IF(M120=1,2,1))&amp;INDEX($D120:$K120,IF(M120=1,2,1)+1)&amp;INDEX($D120:$K120,IF(M120=1,2,1)+2),入力!$AH$5:$AH$44,0)),3,2)))))))</f>
        <v/>
      </c>
      <c r="AE120">
        <f>IF(V120="","",IF(AND(V120="反映",N(Y120)&gt;20),"要確認（この生徒の取込が20件を超えました）",V120))</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",""),入力!$AH$5:$AH$44,0),"")))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$405,T121,$R$6:$R$405,R121,$X$6:$X$405,"&lt;"&amp;X121))&gt;0,"重複","反映")))))</f>
        <v/>
      </c>
      <c r="W121">
        <f>IF(V121="反映",1,0)</f>
        <v/>
      </c>
      <c r="X121" t="n">
        <v>121</v>
      </c>
      <c r="Y121">
        <f>IF(W121=0,"",COUNTIFS($T$6:$T$405,T121,$W$6:$W$405,1,$S$6:$S$405,"&lt;"&amp;S121)+COUNTIFS($T$6:$T$405,T121,$W$6:$W$405,1,$S$6:$S$405,S121,$X$6:$X$405,"&lt;"&amp;X121)+1)</f>
        <v/>
      </c>
      <c r="Z121">
        <f>IF(Y121="","",T121&amp;"_"&amp;Y121)</f>
        <v/>
      </c>
      <c r="AA121">
        <f>SUBSTITUTE(SUBSTITUTE(SUBSTITUTE(SUBSTITUTE(SUBSTITUTE(INDEX(D121:K121,MIN(8,MAX(1,C121))),"年","/"),"月","/"),"日",""),"-","/"),".","/")</f>
        <v/>
      </c>
      <c r="AB121">
        <f>IFERROR(MATCH(O121,入力!$C$5:$C$44,0),"")</f>
        <v/>
      </c>
      <c r="AC121">
        <f>IF(AB121="","",INDEX(入力!$AH$5:$AH$44,AB121))</f>
        <v/>
      </c>
      <c r="AD121">
        <f>IF(INDEX($D121:$K121,IF(M121=1,2,1))=AC121,1,IF(INDEX($D121:$K121,IF(M121=1,2,1))&amp;INDEX($D121:$K121,IF(M121=1,2,1)+1)=AC121,2,IF(INDEX($D121:$K121,IF(M121=1,2,1))&amp;INDEX($D121:$K121,IF(M121=1,2,1)+1)&amp;INDEX($D121:$K121,IF(M121=1,2,1)+2)=AC121,3,IF(AB121&lt;&gt;"",2,IF(ISNUMBER(MATCH(INDEX($D121:$K121,IF(M121=1,2,1)),入力!$AH$5:$AH$44,0)),1,IF(ISNUMBER(MATCH(INDEX($D121:$K121,IF(M121=1,2,1))&amp;INDEX($D121:$K121,IF(M121=1,2,1)+1),入力!$AH$5:$AH$44,0)),2,IF(ISNUMBER(MATCH(INDEX($D121:$K121,IF(M121=1,2,1))&amp;INDEX($D121:$K121,IF(M121=1,2,1)+1)&amp;INDEX($D121:$K121,IF(M121=1,2,1)+2),入力!$AH$5:$AH$44,0)),3,2)))))))</f>
        <v/>
      </c>
      <c r="AE121">
        <f>IF(V121="","",IF(AND(V121="反映",N(Y121)&gt;20),"要確認（この生徒の取込が20件を超えました）",V121))</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",""),入力!$AH$5:$AH$44,0),"")))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$405,T122,$R$6:$R$405,R122,$X$6:$X$405,"&lt;"&amp;X122))&gt;0,"重複","反映")))))</f>
        <v/>
      </c>
      <c r="W122">
        <f>IF(V122="反映",1,0)</f>
        <v/>
      </c>
      <c r="X122" t="n">
        <v>122</v>
      </c>
      <c r="Y122">
        <f>IF(W122=0,"",COUNTIFS($T$6:$T$405,T122,$W$6:$W$405,1,$S$6:$S$405,"&lt;"&amp;S122)+COUNTIFS($T$6:$T$405,T122,$W$6:$W$405,1,$S$6:$S$405,S122,$X$6:$X$405,"&lt;"&amp;X122)+1)</f>
        <v/>
      </c>
      <c r="Z122">
        <f>IF(Y122="","",T122&amp;"_"&amp;Y122)</f>
        <v/>
      </c>
      <c r="AA122">
        <f>SUBSTITUTE(SUBSTITUTE(SUBSTITUTE(SUBSTITUTE(SUBSTITUTE(INDEX(D122:K122,MIN(8,MAX(1,C122))),"年","/"),"月","/"),"日",""),"-","/"),".","/")</f>
        <v/>
      </c>
      <c r="AB122">
        <f>IFERROR(MATCH(O122,入力!$C$5:$C$44,0),"")</f>
        <v/>
      </c>
      <c r="AC122">
        <f>IF(AB122="","",INDEX(入力!$AH$5:$AH$44,AB122))</f>
        <v/>
      </c>
      <c r="AD122">
        <f>IF(INDEX($D122:$K122,IF(M122=1,2,1))=AC122,1,IF(INDEX($D122:$K122,IF(M122=1,2,1))&amp;INDEX($D122:$K122,IF(M122=1,2,1)+1)=AC122,2,IF(INDEX($D122:$K122,IF(M122=1,2,1))&amp;INDEX($D122:$K122,IF(M122=1,2,1)+1)&amp;INDEX($D122:$K122,IF(M122=1,2,1)+2)=AC122,3,IF(AB122&lt;&gt;"",2,IF(ISNUMBER(MATCH(INDEX($D122:$K122,IF(M122=1,2,1)),入力!$AH$5:$AH$44,0)),1,IF(ISNUMBER(MATCH(INDEX($D122:$K122,IF(M122=1,2,1))&amp;INDEX($D122:$K122,IF(M122=1,2,1)+1),入力!$AH$5:$AH$44,0)),2,IF(ISNUMBER(MATCH(INDEX($D122:$K122,IF(M122=1,2,1))&amp;INDEX($D122:$K122,IF(M122=1,2,1)+1)&amp;INDEX($D122:$K122,IF(M122=1,2,1)+2),入力!$AH$5:$AH$44,0)),3,2)))))))</f>
        <v/>
      </c>
      <c r="AE122">
        <f>IF(V122="","",IF(AND(V122="反映",N(Y122)&gt;20),"要確認（この生徒の取込が20件を超えました）",V122))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",""),入力!$AH$5:$AH$44,0),"")))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$405,T123,$R$6:$R$405,R123,$X$6:$X$405,"&lt;"&amp;X123))&gt;0,"重複","反映")))))</f>
        <v/>
      </c>
      <c r="W123">
        <f>IF(V123="反映",1,0)</f>
        <v/>
      </c>
      <c r="X123" t="n">
        <v>123</v>
      </c>
      <c r="Y123">
        <f>IF(W123=0,"",COUNTIFS($T$6:$T$405,T123,$W$6:$W$405,1,$S$6:$S$405,"&lt;"&amp;S123)+COUNTIFS($T$6:$T$405,T123,$W$6:$W$405,1,$S$6:$S$405,S123,$X$6:$X$405,"&lt;"&amp;X123)+1)</f>
        <v/>
      </c>
      <c r="Z123">
        <f>IF(Y123="","",T123&amp;"_"&amp;Y123)</f>
        <v/>
      </c>
      <c r="AA123">
        <f>SUBSTITUTE(SUBSTITUTE(SUBSTITUTE(SUBSTITUTE(SUBSTITUTE(INDEX(D123:K123,MIN(8,MAX(1,C123))),"年","/"),"月","/"),"日",""),"-","/"),".","/")</f>
        <v/>
      </c>
      <c r="AB123">
        <f>IFERROR(MATCH(O123,入力!$C$5:$C$44,0),"")</f>
        <v/>
      </c>
      <c r="AC123">
        <f>IF(AB123="","",INDEX(入力!$AH$5:$AH$44,AB123))</f>
        <v/>
      </c>
      <c r="AD123">
        <f>IF(INDEX($D123:$K123,IF(M123=1,2,1))=AC123,1,IF(INDEX($D123:$K123,IF(M123=1,2,1))&amp;INDEX($D123:$K123,IF(M123=1,2,1)+1)=AC123,2,IF(INDEX($D123:$K123,IF(M123=1,2,1))&amp;INDEX($D123:$K123,IF(M123=1,2,1)+1)&amp;INDEX($D123:$K123,IF(M123=1,2,1)+2)=AC123,3,IF(AB123&lt;&gt;"",2,IF(ISNUMBER(MATCH(INDEX($D123:$K123,IF(M123=1,2,1)),入力!$AH$5:$AH$44,0)),1,IF(ISNUMBER(MATCH(INDEX($D123:$K123,IF(M123=1,2,1))&amp;INDEX($D123:$K123,IF(M123=1,2,1)+1),入力!$AH$5:$AH$44,0)),2,IF(ISNUMBER(MATCH(INDEX($D123:$K123,IF(M123=1,2,1))&amp;INDEX($D123:$K123,IF(M123=1,2,1)+1)&amp;INDEX($D123:$K123,IF(M123=1,2,1)+2),入力!$AH$5:$AH$44,0)),3,2)))))))</f>
        <v/>
      </c>
      <c r="AE123">
        <f>IF(V123="","",IF(AND(V123="反映",N(Y123)&gt;20),"要確認（この生徒の取込が20件を超えました）",V123))</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",""),入力!$AH$5:$AH$44,0),"")))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$405,T124,$R$6:$R$405,R124,$X$6:$X$405,"&lt;"&amp;X124))&gt;0,"重複","反映")))))</f>
        <v/>
      </c>
      <c r="W124">
        <f>IF(V124="反映",1,0)</f>
        <v/>
      </c>
      <c r="X124" t="n">
        <v>124</v>
      </c>
      <c r="Y124">
        <f>IF(W124=0,"",COUNTIFS($T$6:$T$405,T124,$W$6:$W$405,1,$S$6:$S$405,"&lt;"&amp;S124)+COUNTIFS($T$6:$T$405,T124,$W$6:$W$405,1,$S$6:$S$405,S124,$X$6:$X$405,"&lt;"&amp;X124)+1)</f>
        <v/>
      </c>
      <c r="Z124">
        <f>IF(Y124="","",T124&amp;"_"&amp;Y124)</f>
        <v/>
      </c>
      <c r="AA124">
        <f>SUBSTITUTE(SUBSTITUTE(SUBSTITUTE(SUBSTITUTE(SUBSTITUTE(INDEX(D124:K124,MIN(8,MAX(1,C124))),"年","/"),"月","/"),"日",""),"-","/"),".","/")</f>
        <v/>
      </c>
      <c r="AB124">
        <f>IFERROR(MATCH(O124,入力!$C$5:$C$44,0),"")</f>
        <v/>
      </c>
      <c r="AC124">
        <f>IF(AB124="","",INDEX(入力!$AH$5:$AH$44,AB124))</f>
        <v/>
      </c>
      <c r="AD124">
        <f>IF(INDEX($D124:$K124,IF(M124=1,2,1))=AC124,1,IF(INDEX($D124:$K124,IF(M124=1,2,1))&amp;INDEX($D124:$K124,IF(M124=1,2,1)+1)=AC124,2,IF(INDEX($D124:$K124,IF(M124=1,2,1))&amp;INDEX($D124:$K124,IF(M124=1,2,1)+1)&amp;INDEX($D124:$K124,IF(M124=1,2,1)+2)=AC124,3,IF(AB124&lt;&gt;"",2,IF(ISNUMBER(MATCH(INDEX($D124:$K124,IF(M124=1,2,1)),入力!$AH$5:$AH$44,0)),1,IF(ISNUMBER(MATCH(INDEX($D124:$K124,IF(M124=1,2,1))&amp;INDEX($D124:$K124,IF(M124=1,2,1)+1),入力!$AH$5:$AH$44,0)),2,IF(ISNUMBER(MATCH(INDEX($D124:$K124,IF(M124=1,2,1))&amp;INDEX($D124:$K124,IF(M124=1,2,1)+1)&amp;INDEX($D124:$K124,IF(M124=1,2,1)+2),入力!$AH$5:$AH$44,0)),3,2)))))))</f>
        <v/>
      </c>
      <c r="AE124">
        <f>IF(V124="","",IF(AND(V124="反映",N(Y124)&gt;20),"要確認（この生徒の取込が20件を超えました）",V124))</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",""),入力!$AH$5:$AH$44,0),"")))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$405,T125,$R$6:$R$405,R125,$X$6:$X$405,"&lt;"&amp;X125))&gt;0,"重複","反映")))))</f>
        <v/>
      </c>
      <c r="W125">
        <f>IF(V125="反映",1,0)</f>
        <v/>
      </c>
      <c r="X125" t="n">
        <v>125</v>
      </c>
      <c r="Y125">
        <f>IF(W125=0,"",COUNTIFS($T$6:$T$405,T125,$W$6:$W$405,1,$S$6:$S$405,"&lt;"&amp;S125)+COUNTIFS($T$6:$T$405,T125,$W$6:$W$405,1,$S$6:$S$405,S125,$X$6:$X$405,"&lt;"&amp;X125)+1)</f>
        <v/>
      </c>
      <c r="Z125">
        <f>IF(Y125="","",T125&amp;"_"&amp;Y125)</f>
        <v/>
      </c>
      <c r="AA125">
        <f>SUBSTITUTE(SUBSTITUTE(SUBSTITUTE(SUBSTITUTE(SUBSTITUTE(INDEX(D125:K125,MIN(8,MAX(1,C125))),"年","/"),"月","/"),"日",""),"-","/"),".","/")</f>
        <v/>
      </c>
      <c r="AB125">
        <f>IFERROR(MATCH(O125,入力!$C$5:$C$44,0),"")</f>
        <v/>
      </c>
      <c r="AC125">
        <f>IF(AB125="","",INDEX(入力!$AH$5:$AH$44,AB125))</f>
        <v/>
      </c>
      <c r="AD125">
        <f>IF(INDEX($D125:$K125,IF(M125=1,2,1))=AC125,1,IF(INDEX($D125:$K125,IF(M125=1,2,1))&amp;INDEX($D125:$K125,IF(M125=1,2,1)+1)=AC125,2,IF(INDEX($D125:$K125,IF(M125=1,2,1))&amp;INDEX($D125:$K125,IF(M125=1,2,1)+1)&amp;INDEX($D125:$K125,IF(M125=1,2,1)+2)=AC125,3,IF(AB125&lt;&gt;"",2,IF(ISNUMBER(MATCH(INDEX($D125:$K125,IF(M125=1,2,1)),入力!$AH$5:$AH$44,0)),1,IF(ISNUMBER(MATCH(INDEX($D125:$K125,IF(M125=1,2,1))&amp;INDEX($D125:$K125,IF(M125=1,2,1)+1),入力!$AH$5:$AH$44,0)),2,IF(ISNUMBER(MATCH(INDEX($D125:$K125,IF(M125=1,2,1))&amp;INDEX($D125:$K125,IF(M125=1,2,1)+1)&amp;INDEX($D125:$K125,IF(M125=1,2,1)+2),入力!$AH$5:$AH$44,0)),3,2)))))))</f>
        <v/>
      </c>
      <c r="AE125">
        <f>IF(V125="","",IF(AND(V125="反映",N(Y125)&gt;20),"要確認（この生徒の取込が20件を超えました）",V125))</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",""),入力!$AH$5:$AH$44,0),"")))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$405,T126,$R$6:$R$405,R126,$X$6:$X$405,"&lt;"&amp;X126))&gt;0,"重複","反映")))))</f>
        <v/>
      </c>
      <c r="W126">
        <f>IF(V126="反映",1,0)</f>
        <v/>
      </c>
      <c r="X126" t="n">
        <v>126</v>
      </c>
      <c r="Y126">
        <f>IF(W126=0,"",COUNTIFS($T$6:$T$405,T126,$W$6:$W$405,1,$S$6:$S$405,"&lt;"&amp;S126)+COUNTIFS($T$6:$T$405,T126,$W$6:$W$405,1,$S$6:$S$405,S126,$X$6:$X$405,"&lt;"&amp;X126)+1)</f>
        <v/>
      </c>
      <c r="Z126">
        <f>IF(Y126="","",T126&amp;"_"&amp;Y126)</f>
        <v/>
      </c>
      <c r="AA126">
        <f>SUBSTITUTE(SUBSTITUTE(SUBSTITUTE(SUBSTITUTE(SUBSTITUTE(INDEX(D126:K126,MIN(8,MAX(1,C126))),"年","/"),"月","/"),"日",""),"-","/"),".","/")</f>
        <v/>
      </c>
      <c r="AB126">
        <f>IFERROR(MATCH(O126,入力!$C$5:$C$44,0),"")</f>
        <v/>
      </c>
      <c r="AC126">
        <f>IF(AB126="","",INDEX(入力!$AH$5:$AH$44,AB126))</f>
        <v/>
      </c>
      <c r="AD126">
        <f>IF(INDEX($D126:$K126,IF(M126=1,2,1))=AC126,1,IF(INDEX($D126:$K126,IF(M126=1,2,1))&amp;INDEX($D126:$K126,IF(M126=1,2,1)+1)=AC126,2,IF(INDEX($D126:$K126,IF(M126=1,2,1))&amp;INDEX($D126:$K126,IF(M126=1,2,1)+1)&amp;INDEX($D126:$K126,IF(M126=1,2,1)+2)=AC126,3,IF(AB126&lt;&gt;"",2,IF(ISNUMBER(MATCH(INDEX($D126:$K126,IF(M126=1,2,1)),入力!$AH$5:$AH$44,0)),1,IF(ISNUMBER(MATCH(INDEX($D126:$K126,IF(M126=1,2,1))&amp;INDEX($D126:$K126,IF(M126=1,2,1)+1),入力!$AH$5:$AH$44,0)),2,IF(ISNUMBER(MATCH(INDEX($D126:$K126,IF(M126=1,2,1))&amp;INDEX($D126:$K126,IF(M126=1,2,1)+1)&amp;INDEX($D126:$K126,IF(M126=1,2,1)+2),入力!$AH$5:$AH$44,0)),3,2)))))))</f>
        <v/>
      </c>
      <c r="AE126">
        <f>IF(V126="","",IF(AND(V126="反映",N(Y126)&gt;20),"要確認（この生徒の取込が20件を超えました）",V126))</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",""),入力!$AH$5:$AH$44,0),"")))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$405,T127,$R$6:$R$405,R127,$X$6:$X$405,"&lt;"&amp;X127))&gt;0,"重複","反映")))))</f>
        <v/>
      </c>
      <c r="W127">
        <f>IF(V127="反映",1,0)</f>
        <v/>
      </c>
      <c r="X127" t="n">
        <v>127</v>
      </c>
      <c r="Y127">
        <f>IF(W127=0,"",COUNTIFS($T$6:$T$405,T127,$W$6:$W$405,1,$S$6:$S$405,"&lt;"&amp;S127)+COUNTIFS($T$6:$T$405,T127,$W$6:$W$405,1,$S$6:$S$405,S127,$X$6:$X$405,"&lt;"&amp;X127)+1)</f>
        <v/>
      </c>
      <c r="Z127">
        <f>IF(Y127="","",T127&amp;"_"&amp;Y127)</f>
        <v/>
      </c>
      <c r="AA127">
        <f>SUBSTITUTE(SUBSTITUTE(SUBSTITUTE(SUBSTITUTE(SUBSTITUTE(INDEX(D127:K127,MIN(8,MAX(1,C127))),"年","/"),"月","/"),"日",""),"-","/"),".","/")</f>
        <v/>
      </c>
      <c r="AB127">
        <f>IFERROR(MATCH(O127,入力!$C$5:$C$44,0),"")</f>
        <v/>
      </c>
      <c r="AC127">
        <f>IF(AB127="","",INDEX(入力!$AH$5:$AH$44,AB127))</f>
        <v/>
      </c>
      <c r="AD127">
        <f>IF(INDEX($D127:$K127,IF(M127=1,2,1))=AC127,1,IF(INDEX($D127:$K127,IF(M127=1,2,1))&amp;INDEX($D127:$K127,IF(M127=1,2,1)+1)=AC127,2,IF(INDEX($D127:$K127,IF(M127=1,2,1))&amp;INDEX($D127:$K127,IF(M127=1,2,1)+1)&amp;INDEX($D127:$K127,IF(M127=1,2,1)+2)=AC127,3,IF(AB127&lt;&gt;"",2,IF(ISNUMBER(MATCH(INDEX($D127:$K127,IF(M127=1,2,1)),入力!$AH$5:$AH$44,0)),1,IF(ISNUMBER(MATCH(INDEX($D127:$K127,IF(M127=1,2,1))&amp;INDEX($D127:$K127,IF(M127=1,2,1)+1),入力!$AH$5:$AH$44,0)),2,IF(ISNUMBER(MATCH(INDEX($D127:$K127,IF(M127=1,2,1))&amp;INDEX($D127:$K127,IF(M127=1,2,1)+1)&amp;INDEX($D127:$K127,IF(M127=1,2,1)+2),入力!$AH$5:$AH$44,0)),3,2)))))))</f>
        <v/>
      </c>
      <c r="AE127">
        <f>IF(V127="","",IF(AND(V127="反映",N(Y127)&gt;20),"要確認（この生徒の取込が20件を超えました）",V127))</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",""),入力!$AH$5:$AH$44,0),"")))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$405,T128,$R$6:$R$405,R128,$X$6:$X$405,"&lt;"&amp;X128))&gt;0,"重複","反映")))))</f>
        <v/>
      </c>
      <c r="W128">
        <f>IF(V128="反映",1,0)</f>
        <v/>
      </c>
      <c r="X128" t="n">
        <v>128</v>
      </c>
      <c r="Y128">
        <f>IF(W128=0,"",COUNTIFS($T$6:$T$405,T128,$W$6:$W$405,1,$S$6:$S$405,"&lt;"&amp;S128)+COUNTIFS($T$6:$T$405,T128,$W$6:$W$405,1,$S$6:$S$405,S128,$X$6:$X$405,"&lt;"&amp;X128)+1)</f>
        <v/>
      </c>
      <c r="Z128">
        <f>IF(Y128="","",T128&amp;"_"&amp;Y128)</f>
        <v/>
      </c>
      <c r="AA128">
        <f>SUBSTITUTE(SUBSTITUTE(SUBSTITUTE(SUBSTITUTE(SUBSTITUTE(INDEX(D128:K128,MIN(8,MAX(1,C128))),"年","/"),"月","/"),"日",""),"-","/"),".","/")</f>
        <v/>
      </c>
      <c r="AB128">
        <f>IFERROR(MATCH(O128,入力!$C$5:$C$44,0),"")</f>
        <v/>
      </c>
      <c r="AC128">
        <f>IF(AB128="","",INDEX(入力!$AH$5:$AH$44,AB128))</f>
        <v/>
      </c>
      <c r="AD128">
        <f>IF(INDEX($D128:$K128,IF(M128=1,2,1))=AC128,1,IF(INDEX($D128:$K128,IF(M128=1,2,1))&amp;INDEX($D128:$K128,IF(M128=1,2,1)+1)=AC128,2,IF(INDEX($D128:$K128,IF(M128=1,2,1))&amp;INDEX($D128:$K128,IF(M128=1,2,1)+1)&amp;INDEX($D128:$K128,IF(M128=1,2,1)+2)=AC128,3,IF(AB128&lt;&gt;"",2,IF(ISNUMBER(MATCH(INDEX($D128:$K128,IF(M128=1,2,1)),入力!$AH$5:$AH$44,0)),1,IF(ISNUMBER(MATCH(INDEX($D128:$K128,IF(M128=1,2,1))&amp;INDEX($D128:$K128,IF(M128=1,2,1)+1),入力!$AH$5:$AH$44,0)),2,IF(ISNUMBER(MATCH(INDEX($D128:$K128,IF(M128=1,2,1))&amp;INDEX($D128:$K128,IF(M128=1,2,1)+1)&amp;INDEX($D128:$K128,IF(M128=1,2,1)+2),入力!$AH$5:$AH$44,0)),3,2)))))))</f>
        <v/>
      </c>
      <c r="AE128">
        <f>IF(V128="","",IF(AND(V128="反映",N(Y128)&gt;20),"要確認（この生徒の取込が20件を超えました）",V128))</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",""),入力!$AH$5:$AH$44,0),"")))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$405,T129,$R$6:$R$405,R129,$X$6:$X$405,"&lt;"&amp;X129))&gt;0,"重複","反映")))))</f>
        <v/>
      </c>
      <c r="W129">
        <f>IF(V129="反映",1,0)</f>
        <v/>
      </c>
      <c r="X129" t="n">
        <v>129</v>
      </c>
      <c r="Y129">
        <f>IF(W129=0,"",COUNTIFS($T$6:$T$405,T129,$W$6:$W$405,1,$S$6:$S$405,"&lt;"&amp;S129)+COUNTIFS($T$6:$T$405,T129,$W$6:$W$405,1,$S$6:$S$405,S129,$X$6:$X$405,"&lt;"&amp;X129)+1)</f>
        <v/>
      </c>
      <c r="Z129">
        <f>IF(Y129="","",T129&amp;"_"&amp;Y129)</f>
        <v/>
      </c>
      <c r="AA129">
        <f>SUBSTITUTE(SUBSTITUTE(SUBSTITUTE(SUBSTITUTE(SUBSTITUTE(INDEX(D129:K129,MIN(8,MAX(1,C129))),"年","/"),"月","/"),"日",""),"-","/"),".","/")</f>
        <v/>
      </c>
      <c r="AB129">
        <f>IFERROR(MATCH(O129,入力!$C$5:$C$44,0),"")</f>
        <v/>
      </c>
      <c r="AC129">
        <f>IF(AB129="","",INDEX(入力!$AH$5:$AH$44,AB129))</f>
        <v/>
      </c>
      <c r="AD129">
        <f>IF(INDEX($D129:$K129,IF(M129=1,2,1))=AC129,1,IF(INDEX($D129:$K129,IF(M129=1,2,1))&amp;INDEX($D129:$K129,IF(M129=1,2,1)+1)=AC129,2,IF(INDEX($D129:$K129,IF(M129=1,2,1))&amp;INDEX($D129:$K129,IF(M129=1,2,1)+1)&amp;INDEX($D129:$K129,IF(M129=1,2,1)+2)=AC129,3,IF(AB129&lt;&gt;"",2,IF(ISNUMBER(MATCH(INDEX($D129:$K129,IF(M129=1,2,1)),入力!$AH$5:$AH$44,0)),1,IF(ISNUMBER(MATCH(INDEX($D129:$K129,IF(M129=1,2,1))&amp;INDEX($D129:$K129,IF(M129=1,2,1)+1),入力!$AH$5:$AH$44,0)),2,IF(ISNUMBER(MATCH(INDEX($D129:$K129,IF(M129=1,2,1))&amp;INDEX($D129:$K129,IF(M129=1,2,1)+1)&amp;INDEX($D129:$K129,IF(M129=1,2,1)+2),入力!$AH$5:$AH$44,0)),3,2)))))))</f>
        <v/>
      </c>
      <c r="AE129">
        <f>IF(V129="","",IF(AND(V129="反映",N(Y129)&gt;20),"要確認（この生徒の取込が20件を超えました）",V129))</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",""),入力!$AH$5:$AH$44,0),"")))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$405,T130,$R$6:$R$405,R130,$X$6:$X$405,"&lt;"&amp;X130))&gt;0,"重複","反映")))))</f>
        <v/>
      </c>
      <c r="W130">
        <f>IF(V130="反映",1,0)</f>
        <v/>
      </c>
      <c r="X130" t="n">
        <v>130</v>
      </c>
      <c r="Y130">
        <f>IF(W130=0,"",COUNTIFS($T$6:$T$405,T130,$W$6:$W$405,1,$S$6:$S$405,"&lt;"&amp;S130)+COUNTIFS($T$6:$T$405,T130,$W$6:$W$405,1,$S$6:$S$405,S130,$X$6:$X$405,"&lt;"&amp;X130)+1)</f>
        <v/>
      </c>
      <c r="Z130">
        <f>IF(Y130="","",T130&amp;"_"&amp;Y130)</f>
        <v/>
      </c>
      <c r="AA130">
        <f>SUBSTITUTE(SUBSTITUTE(SUBSTITUTE(SUBSTITUTE(SUBSTITUTE(INDEX(D130:K130,MIN(8,MAX(1,C130))),"年","/"),"月","/"),"日",""),"-","/"),".","/")</f>
        <v/>
      </c>
      <c r="AB130">
        <f>IFERROR(MATCH(O130,入力!$C$5:$C$44,0),"")</f>
        <v/>
      </c>
      <c r="AC130">
        <f>IF(AB130="","",INDEX(入力!$AH$5:$AH$44,AB130))</f>
        <v/>
      </c>
      <c r="AD130">
        <f>IF(INDEX($D130:$K130,IF(M130=1,2,1))=AC130,1,IF(INDEX($D130:$K130,IF(M130=1,2,1))&amp;INDEX($D130:$K130,IF(M130=1,2,1)+1)=AC130,2,IF(INDEX($D130:$K130,IF(M130=1,2,1))&amp;INDEX($D130:$K130,IF(M130=1,2,1)+1)&amp;INDEX($D130:$K130,IF(M130=1,2,1)+2)=AC130,3,IF(AB130&lt;&gt;"",2,IF(ISNUMBER(MATCH(INDEX($D130:$K130,IF(M130=1,2,1)),入力!$AH$5:$AH$44,0)),1,IF(ISNUMBER(MATCH(INDEX($D130:$K130,IF(M130=1,2,1))&amp;INDEX($D130:$K130,IF(M130=1,2,1)+1),入力!$AH$5:$AH$44,0)),2,IF(ISNUMBER(MATCH(INDEX($D130:$K130,IF(M130=1,2,1))&amp;INDEX($D130:$K130,IF(M130=1,2,1)+1)&amp;INDEX($D130:$K130,IF(M130=1,2,1)+2),入力!$AH$5:$AH$44,0)),3,2)))))))</f>
        <v/>
      </c>
      <c r="AE130">
        <f>IF(V130="","",IF(AND(V130="反映",N(Y130)&gt;20),"要確認（この生徒の取込が20件を超えました）",V130))</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",""),入力!$AH$5:$AH$44,0),"")))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$405,T131,$R$6:$R$405,R131,$X$6:$X$405,"&lt;"&amp;X131))&gt;0,"重複","反映")))))</f>
        <v/>
      </c>
      <c r="W131">
        <f>IF(V131="反映",1,0)</f>
        <v/>
      </c>
      <c r="X131" t="n">
        <v>131</v>
      </c>
      <c r="Y131">
        <f>IF(W131=0,"",COUNTIFS($T$6:$T$405,T131,$W$6:$W$405,1,$S$6:$S$405,"&lt;"&amp;S131)+COUNTIFS($T$6:$T$405,T131,$W$6:$W$405,1,$S$6:$S$405,S131,$X$6:$X$405,"&lt;"&amp;X131)+1)</f>
        <v/>
      </c>
      <c r="Z131">
        <f>IF(Y131="","",T131&amp;"_"&amp;Y131)</f>
        <v/>
      </c>
      <c r="AA131">
        <f>SUBSTITUTE(SUBSTITUTE(SUBSTITUTE(SUBSTITUTE(SUBSTITUTE(INDEX(D131:K131,MIN(8,MAX(1,C131))),"年","/"),"月","/"),"日",""),"-","/"),".","/")</f>
        <v/>
      </c>
      <c r="AB131">
        <f>IFERROR(MATCH(O131,入力!$C$5:$C$44,0),"")</f>
        <v/>
      </c>
      <c r="AC131">
        <f>IF(AB131="","",INDEX(入力!$AH$5:$AH$44,AB131))</f>
        <v/>
      </c>
      <c r="AD131">
        <f>IF(INDEX($D131:$K131,IF(M131=1,2,1))=AC131,1,IF(INDEX($D131:$K131,IF(M131=1,2,1))&amp;INDEX($D131:$K131,IF(M131=1,2,1)+1)=AC131,2,IF(INDEX($D131:$K131,IF(M131=1,2,1))&amp;INDEX($D131:$K131,IF(M131=1,2,1)+1)&amp;INDEX($D131:$K131,IF(M131=1,2,1)+2)=AC131,3,IF(AB131&lt;&gt;"",2,IF(ISNUMBER(MATCH(INDEX($D131:$K131,IF(M131=1,2,1)),入力!$AH$5:$AH$44,0)),1,IF(ISNUMBER(MATCH(INDEX($D131:$K131,IF(M131=1,2,1))&amp;INDEX($D131:$K131,IF(M131=1,2,1)+1),入力!$AH$5:$AH$44,0)),2,IF(ISNUMBER(MATCH(INDEX($D131:$K131,IF(M131=1,2,1))&amp;INDEX($D131:$K131,IF(M131=1,2,1)+1)&amp;INDEX($D131:$K131,IF(M131=1,2,1)+2),入力!$AH$5:$AH$44,0)),3,2)))))))</f>
        <v/>
      </c>
      <c r="AE131">
        <f>IF(V131="","",IF(AND(V131="反映",N(Y131)&gt;20),"要確認（この生徒の取込が20件を超えました）",V131))</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",""),入力!$AH$5:$AH$44,0),"")))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$405,T132,$R$6:$R$405,R132,$X$6:$X$405,"&lt;"&amp;X132))&gt;0,"重複","反映")))))</f>
        <v/>
      </c>
      <c r="W132">
        <f>IF(V132="反映",1,0)</f>
        <v/>
      </c>
      <c r="X132" t="n">
        <v>132</v>
      </c>
      <c r="Y132">
        <f>IF(W132=0,"",COUNTIFS($T$6:$T$405,T132,$W$6:$W$405,1,$S$6:$S$405,"&lt;"&amp;S132)+COUNTIFS($T$6:$T$405,T132,$W$6:$W$405,1,$S$6:$S$405,S132,$X$6:$X$405,"&lt;"&amp;X132)+1)</f>
        <v/>
      </c>
      <c r="Z132">
        <f>IF(Y132="","",T132&amp;"_"&amp;Y132)</f>
        <v/>
      </c>
      <c r="AA132">
        <f>SUBSTITUTE(SUBSTITUTE(SUBSTITUTE(SUBSTITUTE(SUBSTITUTE(INDEX(D132:K132,MIN(8,MAX(1,C132))),"年","/"),"月","/"),"日",""),"-","/"),".","/")</f>
        <v/>
      </c>
      <c r="AB132">
        <f>IFERROR(MATCH(O132,入力!$C$5:$C$44,0),"")</f>
        <v/>
      </c>
      <c r="AC132">
        <f>IF(AB132="","",INDEX(入力!$AH$5:$AH$44,AB132))</f>
        <v/>
      </c>
      <c r="AD132">
        <f>IF(INDEX($D132:$K132,IF(M132=1,2,1))=AC132,1,IF(INDEX($D132:$K132,IF(M132=1,2,1))&amp;INDEX($D132:$K132,IF(M132=1,2,1)+1)=AC132,2,IF(INDEX($D132:$K132,IF(M132=1,2,1))&amp;INDEX($D132:$K132,IF(M132=1,2,1)+1)&amp;INDEX($D132:$K132,IF(M132=1,2,1)+2)=AC132,3,IF(AB132&lt;&gt;"",2,IF(ISNUMBER(MATCH(INDEX($D132:$K132,IF(M132=1,2,1)),入力!$AH$5:$AH$44,0)),1,IF(ISNUMBER(MATCH(INDEX($D132:$K132,IF(M132=1,2,1))&amp;INDEX($D132:$K132,IF(M132=1,2,1)+1),入力!$AH$5:$AH$44,0)),2,IF(ISNUMBER(MATCH(INDEX($D132:$K132,IF(M132=1,2,1))&amp;INDEX($D132:$K132,IF(M132=1,2,1)+1)&amp;INDEX($D132:$K132,IF(M132=1,2,1)+2),入力!$AH$5:$AH$44,0)),3,2)))))))</f>
        <v/>
      </c>
      <c r="AE132">
        <f>IF(V132="","",IF(AND(V132="反映",N(Y132)&gt;20),"要確認（この生徒の取込が20件を超えました）",V132))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",""),入力!$AH$5:$AH$44,0),"")))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$405,T133,$R$6:$R$405,R133,$X$6:$X$405,"&lt;"&amp;X133))&gt;0,"重複","反映")))))</f>
        <v/>
      </c>
      <c r="W133">
        <f>IF(V133="反映",1,0)</f>
        <v/>
      </c>
      <c r="X133" t="n">
        <v>133</v>
      </c>
      <c r="Y133">
        <f>IF(W133=0,"",COUNTIFS($T$6:$T$405,T133,$W$6:$W$405,1,$S$6:$S$405,"&lt;"&amp;S133)+COUNTIFS($T$6:$T$405,T133,$W$6:$W$405,1,$S$6:$S$405,S133,$X$6:$X$405,"&lt;"&amp;X133)+1)</f>
        <v/>
      </c>
      <c r="Z133">
        <f>IF(Y133="","",T133&amp;"_"&amp;Y133)</f>
        <v/>
      </c>
      <c r="AA133">
        <f>SUBSTITUTE(SUBSTITUTE(SUBSTITUTE(SUBSTITUTE(SUBSTITUTE(INDEX(D133:K133,MIN(8,MAX(1,C133))),"年","/"),"月","/"),"日",""),"-","/"),".","/")</f>
        <v/>
      </c>
      <c r="AB133">
        <f>IFERROR(MATCH(O133,入力!$C$5:$C$44,0),"")</f>
        <v/>
      </c>
      <c r="AC133">
        <f>IF(AB133="","",INDEX(入力!$AH$5:$AH$44,AB133))</f>
        <v/>
      </c>
      <c r="AD133">
        <f>IF(INDEX($D133:$K133,IF(M133=1,2,1))=AC133,1,IF(INDEX($D133:$K133,IF(M133=1,2,1))&amp;INDEX($D133:$K133,IF(M133=1,2,1)+1)=AC133,2,IF(INDEX($D133:$K133,IF(M133=1,2,1))&amp;INDEX($D133:$K133,IF(M133=1,2,1)+1)&amp;INDEX($D133:$K133,IF(M133=1,2,1)+2)=AC133,3,IF(AB133&lt;&gt;"",2,IF(ISNUMBER(MATCH(INDEX($D133:$K133,IF(M133=1,2,1)),入力!$AH$5:$AH$44,0)),1,IF(ISNUMBER(MATCH(INDEX($D133:$K133,IF(M133=1,2,1))&amp;INDEX($D133:$K133,IF(M133=1,2,1)+1),入力!$AH$5:$AH$44,0)),2,IF(ISNUMBER(MATCH(INDEX($D133:$K133,IF(M133=1,2,1))&amp;INDEX($D133:$K133,IF(M133=1,2,1)+1)&amp;INDEX($D133:$K133,IF(M133=1,2,1)+2),入力!$AH$5:$AH$44,0)),3,2)))))))</f>
        <v/>
      </c>
      <c r="AE133">
        <f>IF(V133="","",IF(AND(V133="反映",N(Y133)&gt;20),"要確認（この生徒の取込が20件を超えました）",V133))</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",""),入力!$AH$5:$AH$44,0),"")))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$405,T134,$R$6:$R$405,R134,$X$6:$X$405,"&lt;"&amp;X134))&gt;0,"重複","反映")))))</f>
        <v/>
      </c>
      <c r="W134">
        <f>IF(V134="反映",1,0)</f>
        <v/>
      </c>
      <c r="X134" t="n">
        <v>134</v>
      </c>
      <c r="Y134">
        <f>IF(W134=0,"",COUNTIFS($T$6:$T$405,T134,$W$6:$W$405,1,$S$6:$S$405,"&lt;"&amp;S134)+COUNTIFS($T$6:$T$405,T134,$W$6:$W$405,1,$S$6:$S$405,S134,$X$6:$X$405,"&lt;"&amp;X134)+1)</f>
        <v/>
      </c>
      <c r="Z134">
        <f>IF(Y134="","",T134&amp;"_"&amp;Y134)</f>
        <v/>
      </c>
      <c r="AA134">
        <f>SUBSTITUTE(SUBSTITUTE(SUBSTITUTE(SUBSTITUTE(SUBSTITUTE(INDEX(D134:K134,MIN(8,MAX(1,C134))),"年","/"),"月","/"),"日",""),"-","/"),".","/")</f>
        <v/>
      </c>
      <c r="AB134">
        <f>IFERROR(MATCH(O134,入力!$C$5:$C$44,0),"")</f>
        <v/>
      </c>
      <c r="AC134">
        <f>IF(AB134="","",INDEX(入力!$AH$5:$AH$44,AB134))</f>
        <v/>
      </c>
      <c r="AD134">
        <f>IF(INDEX($D134:$K134,IF(M134=1,2,1))=AC134,1,IF(INDEX($D134:$K134,IF(M134=1,2,1))&amp;INDEX($D134:$K134,IF(M134=1,2,1)+1)=AC134,2,IF(INDEX($D134:$K134,IF(M134=1,2,1))&amp;INDEX($D134:$K134,IF(M134=1,2,1)+1)&amp;INDEX($D134:$K134,IF(M134=1,2,1)+2)=AC134,3,IF(AB134&lt;&gt;"",2,IF(ISNUMBER(MATCH(INDEX($D134:$K134,IF(M134=1,2,1)),入力!$AH$5:$AH$44,0)),1,IF(ISNUMBER(MATCH(INDEX($D134:$K134,IF(M134=1,2,1))&amp;INDEX($D134:$K134,IF(M134=1,2,1)+1),入力!$AH$5:$AH$44,0)),2,IF(ISNUMBER(MATCH(INDEX($D134:$K134,IF(M134=1,2,1))&amp;INDEX($D134:$K134,IF(M134=1,2,1)+1)&amp;INDEX($D134:$K134,IF(M134=1,2,1)+2),入力!$AH$5:$AH$44,0)),3,2)))))))</f>
        <v/>
      </c>
      <c r="AE134">
        <f>IF(V134="","",IF(AND(V134="反映",N(Y134)&gt;20),"要確認（この生徒の取込が20件を超えました）",V134))</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",""),入力!$AH$5:$AH$44,0),"")))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$405,T135,$R$6:$R$405,R135,$X$6:$X$405,"&lt;"&amp;X135))&gt;0,"重複","反映")))))</f>
        <v/>
      </c>
      <c r="W135">
        <f>IF(V135="反映",1,0)</f>
        <v/>
      </c>
      <c r="X135" t="n">
        <v>135</v>
      </c>
      <c r="Y135">
        <f>IF(W135=0,"",COUNTIFS($T$6:$T$405,T135,$W$6:$W$405,1,$S$6:$S$405,"&lt;"&amp;S135)+COUNTIFS($T$6:$T$405,T135,$W$6:$W$405,1,$S$6:$S$405,S135,$X$6:$X$405,"&lt;"&amp;X135)+1)</f>
        <v/>
      </c>
      <c r="Z135">
        <f>IF(Y135="","",T135&amp;"_"&amp;Y135)</f>
        <v/>
      </c>
      <c r="AA135">
        <f>SUBSTITUTE(SUBSTITUTE(SUBSTITUTE(SUBSTITUTE(SUBSTITUTE(INDEX(D135:K135,MIN(8,MAX(1,C135))),"年","/"),"月","/"),"日",""),"-","/"),".","/")</f>
        <v/>
      </c>
      <c r="AB135">
        <f>IFERROR(MATCH(O135,入力!$C$5:$C$44,0),"")</f>
        <v/>
      </c>
      <c r="AC135">
        <f>IF(AB135="","",INDEX(入力!$AH$5:$AH$44,AB135))</f>
        <v/>
      </c>
      <c r="AD135">
        <f>IF(INDEX($D135:$K135,IF(M135=1,2,1))=AC135,1,IF(INDEX($D135:$K135,IF(M135=1,2,1))&amp;INDEX($D135:$K135,IF(M135=1,2,1)+1)=AC135,2,IF(INDEX($D135:$K135,IF(M135=1,2,1))&amp;INDEX($D135:$K135,IF(M135=1,2,1)+1)&amp;INDEX($D135:$K135,IF(M135=1,2,1)+2)=AC135,3,IF(AB135&lt;&gt;"",2,IF(ISNUMBER(MATCH(INDEX($D135:$K135,IF(M135=1,2,1)),入力!$AH$5:$AH$44,0)),1,IF(ISNUMBER(MATCH(INDEX($D135:$K135,IF(M135=1,2,1))&amp;INDEX($D135:$K135,IF(M135=1,2,1)+1),入力!$AH$5:$AH$44,0)),2,IF(ISNUMBER(MATCH(INDEX($D135:$K135,IF(M135=1,2,1))&amp;INDEX($D135:$K135,IF(M135=1,2,1)+1)&amp;INDEX($D135:$K135,IF(M135=1,2,1)+2),入力!$AH$5:$AH$44,0)),3,2)))))))</f>
        <v/>
      </c>
      <c r="AE135">
        <f>IF(V135="","",IF(AND(V135="反映",N(Y135)&gt;20),"要確認（この生徒の取込が20件を超えました）",V135))</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",""),入力!$AH$5:$AH$44,0),"")))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$405,T136,$R$6:$R$405,R136,$X$6:$X$405,"&lt;"&amp;X136))&gt;0,"重複","反映")))))</f>
        <v/>
      </c>
      <c r="W136">
        <f>IF(V136="反映",1,0)</f>
        <v/>
      </c>
      <c r="X136" t="n">
        <v>136</v>
      </c>
      <c r="Y136">
        <f>IF(W136=0,"",COUNTIFS($T$6:$T$405,T136,$W$6:$W$405,1,$S$6:$S$405,"&lt;"&amp;S136)+COUNTIFS($T$6:$T$405,T136,$W$6:$W$405,1,$S$6:$S$405,S136,$X$6:$X$405,"&lt;"&amp;X136)+1)</f>
        <v/>
      </c>
      <c r="Z136">
        <f>IF(Y136="","",T136&amp;"_"&amp;Y136)</f>
        <v/>
      </c>
      <c r="AA136">
        <f>SUBSTITUTE(SUBSTITUTE(SUBSTITUTE(SUBSTITUTE(SUBSTITUTE(INDEX(D136:K136,MIN(8,MAX(1,C136))),"年","/"),"月","/"),"日",""),"-","/"),".","/")</f>
        <v/>
      </c>
      <c r="AB136">
        <f>IFERROR(MATCH(O136,入力!$C$5:$C$44,0),"")</f>
        <v/>
      </c>
      <c r="AC136">
        <f>IF(AB136="","",INDEX(入力!$AH$5:$AH$44,AB136))</f>
        <v/>
      </c>
      <c r="AD136">
        <f>IF(INDEX($D136:$K136,IF(M136=1,2,1))=AC136,1,IF(INDEX($D136:$K136,IF(M136=1,2,1))&amp;INDEX($D136:$K136,IF(M136=1,2,1)+1)=AC136,2,IF(INDEX($D136:$K136,IF(M136=1,2,1))&amp;INDEX($D136:$K136,IF(M136=1,2,1)+1)&amp;INDEX($D136:$K136,IF(M136=1,2,1)+2)=AC136,3,IF(AB136&lt;&gt;"",2,IF(ISNUMBER(MATCH(INDEX($D136:$K136,IF(M136=1,2,1)),入力!$AH$5:$AH$44,0)),1,IF(ISNUMBER(MATCH(INDEX($D136:$K136,IF(M136=1,2,1))&amp;INDEX($D136:$K136,IF(M136=1,2,1)+1),入力!$AH$5:$AH$44,0)),2,IF(ISNUMBER(MATCH(INDEX($D136:$K136,IF(M136=1,2,1))&amp;INDEX($D136:$K136,IF(M136=1,2,1)+1)&amp;INDEX($D136:$K136,IF(M136=1,2,1)+2),入力!$AH$5:$AH$44,0)),3,2)))))))</f>
        <v/>
      </c>
      <c r="AE136">
        <f>IF(V136="","",IF(AND(V136="反映",N(Y136)&gt;20),"要確認（この生徒の取込が20件を超えました）",V136))</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",""),入力!$AH$5:$AH$44,0),"")))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$405,T137,$R$6:$R$405,R137,$X$6:$X$405,"&lt;"&amp;X137))&gt;0,"重複","反映")))))</f>
        <v/>
      </c>
      <c r="W137">
        <f>IF(V137="反映",1,0)</f>
        <v/>
      </c>
      <c r="X137" t="n">
        <v>137</v>
      </c>
      <c r="Y137">
        <f>IF(W137=0,"",COUNTIFS($T$6:$T$405,T137,$W$6:$W$405,1,$S$6:$S$405,"&lt;"&amp;S137)+COUNTIFS($T$6:$T$405,T137,$W$6:$W$405,1,$S$6:$S$405,S137,$X$6:$X$405,"&lt;"&amp;X137)+1)</f>
        <v/>
      </c>
      <c r="Z137">
        <f>IF(Y137="","",T137&amp;"_"&amp;Y137)</f>
        <v/>
      </c>
      <c r="AA137">
        <f>SUBSTITUTE(SUBSTITUTE(SUBSTITUTE(SUBSTITUTE(SUBSTITUTE(INDEX(D137:K137,MIN(8,MAX(1,C137))),"年","/"),"月","/"),"日",""),"-","/"),".","/")</f>
        <v/>
      </c>
      <c r="AB137">
        <f>IFERROR(MATCH(O137,入力!$C$5:$C$44,0),"")</f>
        <v/>
      </c>
      <c r="AC137">
        <f>IF(AB137="","",INDEX(入力!$AH$5:$AH$44,AB137))</f>
        <v/>
      </c>
      <c r="AD137">
        <f>IF(INDEX($D137:$K137,IF(M137=1,2,1))=AC137,1,IF(INDEX($D137:$K137,IF(M137=1,2,1))&amp;INDEX($D137:$K137,IF(M137=1,2,1)+1)=AC137,2,IF(INDEX($D137:$K137,IF(M137=1,2,1))&amp;INDEX($D137:$K137,IF(M137=1,2,1)+1)&amp;INDEX($D137:$K137,IF(M137=1,2,1)+2)=AC137,3,IF(AB137&lt;&gt;"",2,IF(ISNUMBER(MATCH(INDEX($D137:$K137,IF(M137=1,2,1)),入力!$AH$5:$AH$44,0)),1,IF(ISNUMBER(MATCH(INDEX($D137:$K137,IF(M137=1,2,1))&amp;INDEX($D137:$K137,IF(M137=1,2,1)+1),入力!$AH$5:$AH$44,0)),2,IF(ISNUMBER(MATCH(INDEX($D137:$K137,IF(M137=1,2,1))&amp;INDEX($D137:$K137,IF(M137=1,2,1)+1)&amp;INDEX($D137:$K137,IF(M137=1,2,1)+2),入力!$AH$5:$AH$44,0)),3,2)))))))</f>
        <v/>
      </c>
      <c r="AE137">
        <f>IF(V137="","",IF(AND(V137="反映",N(Y137)&gt;20),"要確認（この生徒の取込が20件を超えました）",V137))</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",""),入力!$AH$5:$AH$44,0),"")))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$405,T138,$R$6:$R$405,R138,$X$6:$X$405,"&lt;"&amp;X138))&gt;0,"重複","反映")))))</f>
        <v/>
      </c>
      <c r="W138">
        <f>IF(V138="反映",1,0)</f>
        <v/>
      </c>
      <c r="X138" t="n">
        <v>138</v>
      </c>
      <c r="Y138">
        <f>IF(W138=0,"",COUNTIFS($T$6:$T$405,T138,$W$6:$W$405,1,$S$6:$S$405,"&lt;"&amp;S138)+COUNTIFS($T$6:$T$405,T138,$W$6:$W$405,1,$S$6:$S$405,S138,$X$6:$X$405,"&lt;"&amp;X138)+1)</f>
        <v/>
      </c>
      <c r="Z138">
        <f>IF(Y138="","",T138&amp;"_"&amp;Y138)</f>
        <v/>
      </c>
      <c r="AA138">
        <f>SUBSTITUTE(SUBSTITUTE(SUBSTITUTE(SUBSTITUTE(SUBSTITUTE(INDEX(D138:K138,MIN(8,MAX(1,C138))),"年","/"),"月","/"),"日",""),"-","/"),".","/")</f>
        <v/>
      </c>
      <c r="AB138">
        <f>IFERROR(MATCH(O138,入力!$C$5:$C$44,0),"")</f>
        <v/>
      </c>
      <c r="AC138">
        <f>IF(AB138="","",INDEX(入力!$AH$5:$AH$44,AB138))</f>
        <v/>
      </c>
      <c r="AD138">
        <f>IF(INDEX($D138:$K138,IF(M138=1,2,1))=AC138,1,IF(INDEX($D138:$K138,IF(M138=1,2,1))&amp;INDEX($D138:$K138,IF(M138=1,2,1)+1)=AC138,2,IF(INDEX($D138:$K138,IF(M138=1,2,1))&amp;INDEX($D138:$K138,IF(M138=1,2,1)+1)&amp;INDEX($D138:$K138,IF(M138=1,2,1)+2)=AC138,3,IF(AB138&lt;&gt;"",2,IF(ISNUMBER(MATCH(INDEX($D138:$K138,IF(M138=1,2,1)),入力!$AH$5:$AH$44,0)),1,IF(ISNUMBER(MATCH(INDEX($D138:$K138,IF(M138=1,2,1))&amp;INDEX($D138:$K138,IF(M138=1,2,1)+1),入力!$AH$5:$AH$44,0)),2,IF(ISNUMBER(MATCH(INDEX($D138:$K138,IF(M138=1,2,1))&amp;INDEX($D138:$K138,IF(M138=1,2,1)+1)&amp;INDEX($D138:$K138,IF(M138=1,2,1)+2),入力!$AH$5:$AH$44,0)),3,2)))))))</f>
        <v/>
      </c>
      <c r="AE138">
        <f>IF(V138="","",IF(AND(V138="反映",N(Y138)&gt;20),"要確認（この生徒の取込が20件を超えました）",V138))</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",""),入力!$AH$5:$AH$44,0),"")))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$405,T139,$R$6:$R$405,R139,$X$6:$X$405,"&lt;"&amp;X139))&gt;0,"重複","反映")))))</f>
        <v/>
      </c>
      <c r="W139">
        <f>IF(V139="反映",1,0)</f>
        <v/>
      </c>
      <c r="X139" t="n">
        <v>139</v>
      </c>
      <c r="Y139">
        <f>IF(W139=0,"",COUNTIFS($T$6:$T$405,T139,$W$6:$W$405,1,$S$6:$S$405,"&lt;"&amp;S139)+COUNTIFS($T$6:$T$405,T139,$W$6:$W$405,1,$S$6:$S$405,S139,$X$6:$X$405,"&lt;"&amp;X139)+1)</f>
        <v/>
      </c>
      <c r="Z139">
        <f>IF(Y139="","",T139&amp;"_"&amp;Y139)</f>
        <v/>
      </c>
      <c r="AA139">
        <f>SUBSTITUTE(SUBSTITUTE(SUBSTITUTE(SUBSTITUTE(SUBSTITUTE(INDEX(D139:K139,MIN(8,MAX(1,C139))),"年","/"),"月","/"),"日",""),"-","/"),".","/")</f>
        <v/>
      </c>
      <c r="AB139">
        <f>IFERROR(MATCH(O139,入力!$C$5:$C$44,0),"")</f>
        <v/>
      </c>
      <c r="AC139">
        <f>IF(AB139="","",INDEX(入力!$AH$5:$AH$44,AB139))</f>
        <v/>
      </c>
      <c r="AD139">
        <f>IF(INDEX($D139:$K139,IF(M139=1,2,1))=AC139,1,IF(INDEX($D139:$K139,IF(M139=1,2,1))&amp;INDEX($D139:$K139,IF(M139=1,2,1)+1)=AC139,2,IF(INDEX($D139:$K139,IF(M139=1,2,1))&amp;INDEX($D139:$K139,IF(M139=1,2,1)+1)&amp;INDEX($D139:$K139,IF(M139=1,2,1)+2)=AC139,3,IF(AB139&lt;&gt;"",2,IF(ISNUMBER(MATCH(INDEX($D139:$K139,IF(M139=1,2,1)),入力!$AH$5:$AH$44,0)),1,IF(ISNUMBER(MATCH(INDEX($D139:$K139,IF(M139=1,2,1))&amp;INDEX($D139:$K139,IF(M139=1,2,1)+1),入力!$AH$5:$AH$44,0)),2,IF(ISNUMBER(MATCH(INDEX($D139:$K139,IF(M139=1,2,1))&amp;INDEX($D139:$K139,IF(M139=1,2,1)+1)&amp;INDEX($D139:$K139,IF(M139=1,2,1)+2),入力!$AH$5:$AH$44,0)),3,2)))))))</f>
        <v/>
      </c>
      <c r="AE139">
        <f>IF(V139="","",IF(AND(V139="反映",N(Y139)&gt;20),"要確認（この生徒の取込が20件を超えました）",V139))</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",""),入力!$AH$5:$AH$44,0),"")))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$405,T140,$R$6:$R$405,R140,$X$6:$X$405,"&lt;"&amp;X140))&gt;0,"重複","反映")))))</f>
        <v/>
      </c>
      <c r="W140">
        <f>IF(V140="反映",1,0)</f>
        <v/>
      </c>
      <c r="X140" t="n">
        <v>140</v>
      </c>
      <c r="Y140">
        <f>IF(W140=0,"",COUNTIFS($T$6:$T$405,T140,$W$6:$W$405,1,$S$6:$S$405,"&lt;"&amp;S140)+COUNTIFS($T$6:$T$405,T140,$W$6:$W$405,1,$S$6:$S$405,S140,$X$6:$X$405,"&lt;"&amp;X140)+1)</f>
        <v/>
      </c>
      <c r="Z140">
        <f>IF(Y140="","",T140&amp;"_"&amp;Y140)</f>
        <v/>
      </c>
      <c r="AA140">
        <f>SUBSTITUTE(SUBSTITUTE(SUBSTITUTE(SUBSTITUTE(SUBSTITUTE(INDEX(D140:K140,MIN(8,MAX(1,C140))),"年","/"),"月","/"),"日",""),"-","/"),".","/")</f>
        <v/>
      </c>
      <c r="AB140">
        <f>IFERROR(MATCH(O140,入力!$C$5:$C$44,0),"")</f>
        <v/>
      </c>
      <c r="AC140">
        <f>IF(AB140="","",INDEX(入力!$AH$5:$AH$44,AB140))</f>
        <v/>
      </c>
      <c r="AD140">
        <f>IF(INDEX($D140:$K140,IF(M140=1,2,1))=AC140,1,IF(INDEX($D140:$K140,IF(M140=1,2,1))&amp;INDEX($D140:$K140,IF(M140=1,2,1)+1)=AC140,2,IF(INDEX($D140:$K140,IF(M140=1,2,1))&amp;INDEX($D140:$K140,IF(M140=1,2,1)+1)&amp;INDEX($D140:$K140,IF(M140=1,2,1)+2)=AC140,3,IF(AB140&lt;&gt;"",2,IF(ISNUMBER(MATCH(INDEX($D140:$K140,IF(M140=1,2,1)),入力!$AH$5:$AH$44,0)),1,IF(ISNUMBER(MATCH(INDEX($D140:$K140,IF(M140=1,2,1))&amp;INDEX($D140:$K140,IF(M140=1,2,1)+1),入力!$AH$5:$AH$44,0)),2,IF(ISNUMBER(MATCH(INDEX($D140:$K140,IF(M140=1,2,1))&amp;INDEX($D140:$K140,IF(M140=1,2,1)+1)&amp;INDEX($D140:$K140,IF(M140=1,2,1)+2),入力!$AH$5:$AH$44,0)),3,2)))))))</f>
        <v/>
      </c>
      <c r="AE140">
        <f>IF(V140="","",IF(AND(V140="反映",N(Y140)&gt;20),"要確認（この生徒の取込が20件を超えました）",V140))</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",""),入力!$AH$5:$AH$44,0),"")))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$405,T141,$R$6:$R$405,R141,$X$6:$X$405,"&lt;"&amp;X141))&gt;0,"重複","反映")))))</f>
        <v/>
      </c>
      <c r="W141">
        <f>IF(V141="反映",1,0)</f>
        <v/>
      </c>
      <c r="X141" t="n">
        <v>141</v>
      </c>
      <c r="Y141">
        <f>IF(W141=0,"",COUNTIFS($T$6:$T$405,T141,$W$6:$W$405,1,$S$6:$S$405,"&lt;"&amp;S141)+COUNTIFS($T$6:$T$405,T141,$W$6:$W$405,1,$S$6:$S$405,S141,$X$6:$X$405,"&lt;"&amp;X141)+1)</f>
        <v/>
      </c>
      <c r="Z141">
        <f>IF(Y141="","",T141&amp;"_"&amp;Y141)</f>
        <v/>
      </c>
      <c r="AA141">
        <f>SUBSTITUTE(SUBSTITUTE(SUBSTITUTE(SUBSTITUTE(SUBSTITUTE(INDEX(D141:K141,MIN(8,MAX(1,C141))),"年","/"),"月","/"),"日",""),"-","/"),".","/")</f>
        <v/>
      </c>
      <c r="AB141">
        <f>IFERROR(MATCH(O141,入力!$C$5:$C$44,0),"")</f>
        <v/>
      </c>
      <c r="AC141">
        <f>IF(AB141="","",INDEX(入力!$AH$5:$AH$44,AB141))</f>
        <v/>
      </c>
      <c r="AD141">
        <f>IF(INDEX($D141:$K141,IF(M141=1,2,1))=AC141,1,IF(INDEX($D141:$K141,IF(M141=1,2,1))&amp;INDEX($D141:$K141,IF(M141=1,2,1)+1)=AC141,2,IF(INDEX($D141:$K141,IF(M141=1,2,1))&amp;INDEX($D141:$K141,IF(M141=1,2,1)+1)&amp;INDEX($D141:$K141,IF(M141=1,2,1)+2)=AC141,3,IF(AB141&lt;&gt;"",2,IF(ISNUMBER(MATCH(INDEX($D141:$K141,IF(M141=1,2,1)),入力!$AH$5:$AH$44,0)),1,IF(ISNUMBER(MATCH(INDEX($D141:$K141,IF(M141=1,2,1))&amp;INDEX($D141:$K141,IF(M141=1,2,1)+1),入力!$AH$5:$AH$44,0)),2,IF(ISNUMBER(MATCH(INDEX($D141:$K141,IF(M141=1,2,1))&amp;INDEX($D141:$K141,IF(M141=1,2,1)+1)&amp;INDEX($D141:$K141,IF(M141=1,2,1)+2),入力!$AH$5:$AH$44,0)),3,2)))))))</f>
        <v/>
      </c>
      <c r="AE141">
        <f>IF(V141="","",IF(AND(V141="反映",N(Y141)&gt;20),"要確認（この生徒の取込が20件を超えました）",V141))</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",""),入力!$AH$5:$AH$44,0),"")))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$405,T142,$R$6:$R$405,R142,$X$6:$X$405,"&lt;"&amp;X142))&gt;0,"重複","反映")))))</f>
        <v/>
      </c>
      <c r="W142">
        <f>IF(V142="反映",1,0)</f>
        <v/>
      </c>
      <c r="X142" t="n">
        <v>142</v>
      </c>
      <c r="Y142">
        <f>IF(W142=0,"",COUNTIFS($T$6:$T$405,T142,$W$6:$W$405,1,$S$6:$S$405,"&lt;"&amp;S142)+COUNTIFS($T$6:$T$405,T142,$W$6:$W$405,1,$S$6:$S$405,S142,$X$6:$X$405,"&lt;"&amp;X142)+1)</f>
        <v/>
      </c>
      <c r="Z142">
        <f>IF(Y142="","",T142&amp;"_"&amp;Y142)</f>
        <v/>
      </c>
      <c r="AA142">
        <f>SUBSTITUTE(SUBSTITUTE(SUBSTITUTE(SUBSTITUTE(SUBSTITUTE(INDEX(D142:K142,MIN(8,MAX(1,C142))),"年","/"),"月","/"),"日",""),"-","/"),".","/")</f>
        <v/>
      </c>
      <c r="AB142">
        <f>IFERROR(MATCH(O142,入力!$C$5:$C$44,0),"")</f>
        <v/>
      </c>
      <c r="AC142">
        <f>IF(AB142="","",INDEX(入力!$AH$5:$AH$44,AB142))</f>
        <v/>
      </c>
      <c r="AD142">
        <f>IF(INDEX($D142:$K142,IF(M142=1,2,1))=AC142,1,IF(INDEX($D142:$K142,IF(M142=1,2,1))&amp;INDEX($D142:$K142,IF(M142=1,2,1)+1)=AC142,2,IF(INDEX($D142:$K142,IF(M142=1,2,1))&amp;INDEX($D142:$K142,IF(M142=1,2,1)+1)&amp;INDEX($D142:$K142,IF(M142=1,2,1)+2)=AC142,3,IF(AB142&lt;&gt;"",2,IF(ISNUMBER(MATCH(INDEX($D142:$K142,IF(M142=1,2,1)),入力!$AH$5:$AH$44,0)),1,IF(ISNUMBER(MATCH(INDEX($D142:$K142,IF(M142=1,2,1))&amp;INDEX($D142:$K142,IF(M142=1,2,1)+1),入力!$AH$5:$AH$44,0)),2,IF(ISNUMBER(MATCH(INDEX($D142:$K142,IF(M142=1,2,1))&amp;INDEX($D142:$K142,IF(M142=1,2,1)+1)&amp;INDEX($D142:$K142,IF(M142=1,2,1)+2),入力!$AH$5:$AH$44,0)),3,2)))))))</f>
        <v/>
      </c>
      <c r="AE142">
        <f>IF(V142="","",IF(AND(V142="反映",N(Y142)&gt;20),"要確認（この生徒の取込が20件を超えました）",V142))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",""),入力!$AH$5:$AH$44,0),"")))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$405,T143,$R$6:$R$405,R143,$X$6:$X$405,"&lt;"&amp;X143))&gt;0,"重複","反映")))))</f>
        <v/>
      </c>
      <c r="W143">
        <f>IF(V143="反映",1,0)</f>
        <v/>
      </c>
      <c r="X143" t="n">
        <v>143</v>
      </c>
      <c r="Y143">
        <f>IF(W143=0,"",COUNTIFS($T$6:$T$405,T143,$W$6:$W$405,1,$S$6:$S$405,"&lt;"&amp;S143)+COUNTIFS($T$6:$T$405,T143,$W$6:$W$405,1,$S$6:$S$405,S143,$X$6:$X$405,"&lt;"&amp;X143)+1)</f>
        <v/>
      </c>
      <c r="Z143">
        <f>IF(Y143="","",T143&amp;"_"&amp;Y143)</f>
        <v/>
      </c>
      <c r="AA143">
        <f>SUBSTITUTE(SUBSTITUTE(SUBSTITUTE(SUBSTITUTE(SUBSTITUTE(INDEX(D143:K143,MIN(8,MAX(1,C143))),"年","/"),"月","/"),"日",""),"-","/"),".","/")</f>
        <v/>
      </c>
      <c r="AB143">
        <f>IFERROR(MATCH(O143,入力!$C$5:$C$44,0),"")</f>
        <v/>
      </c>
      <c r="AC143">
        <f>IF(AB143="","",INDEX(入力!$AH$5:$AH$44,AB143))</f>
        <v/>
      </c>
      <c r="AD143">
        <f>IF(INDEX($D143:$K143,IF(M143=1,2,1))=AC143,1,IF(INDEX($D143:$K143,IF(M143=1,2,1))&amp;INDEX($D143:$K143,IF(M143=1,2,1)+1)=AC143,2,IF(INDEX($D143:$K143,IF(M143=1,2,1))&amp;INDEX($D143:$K143,IF(M143=1,2,1)+1)&amp;INDEX($D143:$K143,IF(M143=1,2,1)+2)=AC143,3,IF(AB143&lt;&gt;"",2,IF(ISNUMBER(MATCH(INDEX($D143:$K143,IF(M143=1,2,1)),入力!$AH$5:$AH$44,0)),1,IF(ISNUMBER(MATCH(INDEX($D143:$K143,IF(M143=1,2,1))&amp;INDEX($D143:$K143,IF(M143=1,2,1)+1),入力!$AH$5:$AH$44,0)),2,IF(ISNUMBER(MATCH(INDEX($D143:$K143,IF(M143=1,2,1))&amp;INDEX($D143:$K143,IF(M143=1,2,1)+1)&amp;INDEX($D143:$K143,IF(M143=1,2,1)+2),入力!$AH$5:$AH$44,0)),3,2)))))))</f>
        <v/>
      </c>
      <c r="AE143">
        <f>IF(V143="","",IF(AND(V143="反映",N(Y143)&gt;20),"要確認（この生徒の取込が20件を超えました）",V143))</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",""),入力!$AH$5:$AH$44,0),"")))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$405,T144,$R$6:$R$405,R144,$X$6:$X$405,"&lt;"&amp;X144))&gt;0,"重複","反映")))))</f>
        <v/>
      </c>
      <c r="W144">
        <f>IF(V144="反映",1,0)</f>
        <v/>
      </c>
      <c r="X144" t="n">
        <v>144</v>
      </c>
      <c r="Y144">
        <f>IF(W144=0,"",COUNTIFS($T$6:$T$405,T144,$W$6:$W$405,1,$S$6:$S$405,"&lt;"&amp;S144)+COUNTIFS($T$6:$T$405,T144,$W$6:$W$405,1,$S$6:$S$405,S144,$X$6:$X$405,"&lt;"&amp;X144)+1)</f>
        <v/>
      </c>
      <c r="Z144">
        <f>IF(Y144="","",T144&amp;"_"&amp;Y144)</f>
        <v/>
      </c>
      <c r="AA144">
        <f>SUBSTITUTE(SUBSTITUTE(SUBSTITUTE(SUBSTITUTE(SUBSTITUTE(INDEX(D144:K144,MIN(8,MAX(1,C144))),"年","/"),"月","/"),"日",""),"-","/"),".","/")</f>
        <v/>
      </c>
      <c r="AB144">
        <f>IFERROR(MATCH(O144,入力!$C$5:$C$44,0),"")</f>
        <v/>
      </c>
      <c r="AC144">
        <f>IF(AB144="","",INDEX(入力!$AH$5:$AH$44,AB144))</f>
        <v/>
      </c>
      <c r="AD144">
        <f>IF(INDEX($D144:$K144,IF(M144=1,2,1))=AC144,1,IF(INDEX($D144:$K144,IF(M144=1,2,1))&amp;INDEX($D144:$K144,IF(M144=1,2,1)+1)=AC144,2,IF(INDEX($D144:$K144,IF(M144=1,2,1))&amp;INDEX($D144:$K144,IF(M144=1,2,1)+1)&amp;INDEX($D144:$K144,IF(M144=1,2,1)+2)=AC144,3,IF(AB144&lt;&gt;"",2,IF(ISNUMBER(MATCH(INDEX($D144:$K144,IF(M144=1,2,1)),入力!$AH$5:$AH$44,0)),1,IF(ISNUMBER(MATCH(INDEX($D144:$K144,IF(M144=1,2,1))&amp;INDEX($D144:$K144,IF(M144=1,2,1)+1),入力!$AH$5:$AH$44,0)),2,IF(ISNUMBER(MATCH(INDEX($D144:$K144,IF(M144=1,2,1))&amp;INDEX($D144:$K144,IF(M144=1,2,1)+1)&amp;INDEX($D144:$K144,IF(M144=1,2,1)+2),入力!$AH$5:$AH$44,0)),3,2)))))))</f>
        <v/>
      </c>
      <c r="AE144">
        <f>IF(V144="","",IF(AND(V144="反映",N(Y144)&gt;20),"要確認（この生徒の取込が20件を超えました）",V144))</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",""),入力!$AH$5:$AH$44,0),"")))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$405,T145,$R$6:$R$405,R145,$X$6:$X$405,"&lt;"&amp;X145))&gt;0,"重複","反映")))))</f>
        <v/>
      </c>
      <c r="W145">
        <f>IF(V145="反映",1,0)</f>
        <v/>
      </c>
      <c r="X145" t="n">
        <v>145</v>
      </c>
      <c r="Y145">
        <f>IF(W145=0,"",COUNTIFS($T$6:$T$405,T145,$W$6:$W$405,1,$S$6:$S$405,"&lt;"&amp;S145)+COUNTIFS($T$6:$T$405,T145,$W$6:$W$405,1,$S$6:$S$405,S145,$X$6:$X$405,"&lt;"&amp;X145)+1)</f>
        <v/>
      </c>
      <c r="Z145">
        <f>IF(Y145="","",T145&amp;"_"&amp;Y145)</f>
        <v/>
      </c>
      <c r="AA145">
        <f>SUBSTITUTE(SUBSTITUTE(SUBSTITUTE(SUBSTITUTE(SUBSTITUTE(INDEX(D145:K145,MIN(8,MAX(1,C145))),"年","/"),"月","/"),"日",""),"-","/"),".","/")</f>
        <v/>
      </c>
      <c r="AB145">
        <f>IFERROR(MATCH(O145,入力!$C$5:$C$44,0),"")</f>
        <v/>
      </c>
      <c r="AC145">
        <f>IF(AB145="","",INDEX(入力!$AH$5:$AH$44,AB145))</f>
        <v/>
      </c>
      <c r="AD145">
        <f>IF(INDEX($D145:$K145,IF(M145=1,2,1))=AC145,1,IF(INDEX($D145:$K145,IF(M145=1,2,1))&amp;INDEX($D145:$K145,IF(M145=1,2,1)+1)=AC145,2,IF(INDEX($D145:$K145,IF(M145=1,2,1))&amp;INDEX($D145:$K145,IF(M145=1,2,1)+1)&amp;INDEX($D145:$K145,IF(M145=1,2,1)+2)=AC145,3,IF(AB145&lt;&gt;"",2,IF(ISNUMBER(MATCH(INDEX($D145:$K145,IF(M145=1,2,1)),入力!$AH$5:$AH$44,0)),1,IF(ISNUMBER(MATCH(INDEX($D145:$K145,IF(M145=1,2,1))&amp;INDEX($D145:$K145,IF(M145=1,2,1)+1),入力!$AH$5:$AH$44,0)),2,IF(ISNUMBER(MATCH(INDEX($D145:$K145,IF(M145=1,2,1))&amp;INDEX($D145:$K145,IF(M145=1,2,1)+1)&amp;INDEX($D145:$K145,IF(M145=1,2,1)+2),入力!$AH$5:$AH$44,0)),3,2)))))))</f>
        <v/>
      </c>
      <c r="AE145">
        <f>IF(V145="","",IF(AND(V145="反映",N(Y145)&gt;20),"要確認（この生徒の取込が20件を超えました）",V145))</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",""),入力!$AH$5:$AH$44,0),"")))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$405,T146,$R$6:$R$405,R146,$X$6:$X$405,"&lt;"&amp;X146))&gt;0,"重複","反映")))))</f>
        <v/>
      </c>
      <c r="W146">
        <f>IF(V146="反映",1,0)</f>
        <v/>
      </c>
      <c r="X146" t="n">
        <v>146</v>
      </c>
      <c r="Y146">
        <f>IF(W146=0,"",COUNTIFS($T$6:$T$405,T146,$W$6:$W$405,1,$S$6:$S$405,"&lt;"&amp;S146)+COUNTIFS($T$6:$T$405,T146,$W$6:$W$405,1,$S$6:$S$405,S146,$X$6:$X$405,"&lt;"&amp;X146)+1)</f>
        <v/>
      </c>
      <c r="Z146">
        <f>IF(Y146="","",T146&amp;"_"&amp;Y146)</f>
        <v/>
      </c>
      <c r="AA146">
        <f>SUBSTITUTE(SUBSTITUTE(SUBSTITUTE(SUBSTITUTE(SUBSTITUTE(INDEX(D146:K146,MIN(8,MAX(1,C146))),"年","/"),"月","/"),"日",""),"-","/"),".","/")</f>
        <v/>
      </c>
      <c r="AB146">
        <f>IFERROR(MATCH(O146,入力!$C$5:$C$44,0),"")</f>
        <v/>
      </c>
      <c r="AC146">
        <f>IF(AB146="","",INDEX(入力!$AH$5:$AH$44,AB146))</f>
        <v/>
      </c>
      <c r="AD146">
        <f>IF(INDEX($D146:$K146,IF(M146=1,2,1))=AC146,1,IF(INDEX($D146:$K146,IF(M146=1,2,1))&amp;INDEX($D146:$K146,IF(M146=1,2,1)+1)=AC146,2,IF(INDEX($D146:$K146,IF(M146=1,2,1))&amp;INDEX($D146:$K146,IF(M146=1,2,1)+1)&amp;INDEX($D146:$K146,IF(M146=1,2,1)+2)=AC146,3,IF(AB146&lt;&gt;"",2,IF(ISNUMBER(MATCH(INDEX($D146:$K146,IF(M146=1,2,1)),入力!$AH$5:$AH$44,0)),1,IF(ISNUMBER(MATCH(INDEX($D146:$K146,IF(M146=1,2,1))&amp;INDEX($D146:$K146,IF(M146=1,2,1)+1),入力!$AH$5:$AH$44,0)),2,IF(ISNUMBER(MATCH(INDEX($D146:$K146,IF(M146=1,2,1))&amp;INDEX($D146:$K146,IF(M146=1,2,1)+1)&amp;INDEX($D146:$K146,IF(M146=1,2,1)+2),入力!$AH$5:$AH$44,0)),3,2)))))))</f>
        <v/>
      </c>
      <c r="AE146">
        <f>IF(V146="","",IF(AND(V146="反映",N(Y146)&gt;20),"要確認（この生徒の取込が20件を超えました）",V146))</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",""),入力!$AH$5:$AH$44,0),"")))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$405,T147,$R$6:$R$405,R147,$X$6:$X$405,"&lt;"&amp;X147))&gt;0,"重複","反映")))))</f>
        <v/>
      </c>
      <c r="W147">
        <f>IF(V147="反映",1,0)</f>
        <v/>
      </c>
      <c r="X147" t="n">
        <v>147</v>
      </c>
      <c r="Y147">
        <f>IF(W147=0,"",COUNTIFS($T$6:$T$405,T147,$W$6:$W$405,1,$S$6:$S$405,"&lt;"&amp;S147)+COUNTIFS($T$6:$T$405,T147,$W$6:$W$405,1,$S$6:$S$405,S147,$X$6:$X$405,"&lt;"&amp;X147)+1)</f>
        <v/>
      </c>
      <c r="Z147">
        <f>IF(Y147="","",T147&amp;"_"&amp;Y147)</f>
        <v/>
      </c>
      <c r="AA147">
        <f>SUBSTITUTE(SUBSTITUTE(SUBSTITUTE(SUBSTITUTE(SUBSTITUTE(INDEX(D147:K147,MIN(8,MAX(1,C147))),"年","/"),"月","/"),"日",""),"-","/"),".","/")</f>
        <v/>
      </c>
      <c r="AB147">
        <f>IFERROR(MATCH(O147,入力!$C$5:$C$44,0),"")</f>
        <v/>
      </c>
      <c r="AC147">
        <f>IF(AB147="","",INDEX(入力!$AH$5:$AH$44,AB147))</f>
        <v/>
      </c>
      <c r="AD147">
        <f>IF(INDEX($D147:$K147,IF(M147=1,2,1))=AC147,1,IF(INDEX($D147:$K147,IF(M147=1,2,1))&amp;INDEX($D147:$K147,IF(M147=1,2,1)+1)=AC147,2,IF(INDEX($D147:$K147,IF(M147=1,2,1))&amp;INDEX($D147:$K147,IF(M147=1,2,1)+1)&amp;INDEX($D147:$K147,IF(M147=1,2,1)+2)=AC147,3,IF(AB147&lt;&gt;"",2,IF(ISNUMBER(MATCH(INDEX($D147:$K147,IF(M147=1,2,1)),入力!$AH$5:$AH$44,0)),1,IF(ISNUMBER(MATCH(INDEX($D147:$K147,IF(M147=1,2,1))&amp;INDEX($D147:$K147,IF(M147=1,2,1)+1),入力!$AH$5:$AH$44,0)),2,IF(ISNUMBER(MATCH(INDEX($D147:$K147,IF(M147=1,2,1))&amp;INDEX($D147:$K147,IF(M147=1,2,1)+1)&amp;INDEX($D147:$K147,IF(M147=1,2,1)+2),入力!$AH$5:$AH$44,0)),3,2)))))))</f>
        <v/>
      </c>
      <c r="AE147">
        <f>IF(V147="","",IF(AND(V147="反映",N(Y147)&gt;20),"要確認（この生徒の取込が20件を超えました）",V147))</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",""),入力!$AH$5:$AH$44,0),"")))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$405,T148,$R$6:$R$405,R148,$X$6:$X$405,"&lt;"&amp;X148))&gt;0,"重複","反映")))))</f>
        <v/>
      </c>
      <c r="W148">
        <f>IF(V148="反映",1,0)</f>
        <v/>
      </c>
      <c r="X148" t="n">
        <v>148</v>
      </c>
      <c r="Y148">
        <f>IF(W148=0,"",COUNTIFS($T$6:$T$405,T148,$W$6:$W$405,1,$S$6:$S$405,"&lt;"&amp;S148)+COUNTIFS($T$6:$T$405,T148,$W$6:$W$405,1,$S$6:$S$405,S148,$X$6:$X$405,"&lt;"&amp;X148)+1)</f>
        <v/>
      </c>
      <c r="Z148">
        <f>IF(Y148="","",T148&amp;"_"&amp;Y148)</f>
        <v/>
      </c>
      <c r="AA148">
        <f>SUBSTITUTE(SUBSTITUTE(SUBSTITUTE(SUBSTITUTE(SUBSTITUTE(INDEX(D148:K148,MIN(8,MAX(1,C148))),"年","/"),"月","/"),"日",""),"-","/"),".","/")</f>
        <v/>
      </c>
      <c r="AB148">
        <f>IFERROR(MATCH(O148,入力!$C$5:$C$44,0),"")</f>
        <v/>
      </c>
      <c r="AC148">
        <f>IF(AB148="","",INDEX(入力!$AH$5:$AH$44,AB148))</f>
        <v/>
      </c>
      <c r="AD148">
        <f>IF(INDEX($D148:$K148,IF(M148=1,2,1))=AC148,1,IF(INDEX($D148:$K148,IF(M148=1,2,1))&amp;INDEX($D148:$K148,IF(M148=1,2,1)+1)=AC148,2,IF(INDEX($D148:$K148,IF(M148=1,2,1))&amp;INDEX($D148:$K148,IF(M148=1,2,1)+1)&amp;INDEX($D148:$K148,IF(M148=1,2,1)+2)=AC148,3,IF(AB148&lt;&gt;"",2,IF(ISNUMBER(MATCH(INDEX($D148:$K148,IF(M148=1,2,1)),入力!$AH$5:$AH$44,0)),1,IF(ISNUMBER(MATCH(INDEX($D148:$K148,IF(M148=1,2,1))&amp;INDEX($D148:$K148,IF(M148=1,2,1)+1),入力!$AH$5:$AH$44,0)),2,IF(ISNUMBER(MATCH(INDEX($D148:$K148,IF(M148=1,2,1))&amp;INDEX($D148:$K148,IF(M148=1,2,1)+1)&amp;INDEX($D148:$K148,IF(M148=1,2,1)+2),入力!$AH$5:$AH$44,0)),3,2)))))))</f>
        <v/>
      </c>
      <c r="AE148">
        <f>IF(V148="","",IF(AND(V148="反映",N(Y148)&gt;20),"要確認（この生徒の取込が20件を超えました）",V148))</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",""),入力!$AH$5:$AH$44,0),"")))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$405,T149,$R$6:$R$405,R149,$X$6:$X$405,"&lt;"&amp;X149))&gt;0,"重複","反映")))))</f>
        <v/>
      </c>
      <c r="W149">
        <f>IF(V149="反映",1,0)</f>
        <v/>
      </c>
      <c r="X149" t="n">
        <v>149</v>
      </c>
      <c r="Y149">
        <f>IF(W149=0,"",COUNTIFS($T$6:$T$405,T149,$W$6:$W$405,1,$S$6:$S$405,"&lt;"&amp;S149)+COUNTIFS($T$6:$T$405,T149,$W$6:$W$405,1,$S$6:$S$405,S149,$X$6:$X$405,"&lt;"&amp;X149)+1)</f>
        <v/>
      </c>
      <c r="Z149">
        <f>IF(Y149="","",T149&amp;"_"&amp;Y149)</f>
        <v/>
      </c>
      <c r="AA149">
        <f>SUBSTITUTE(SUBSTITUTE(SUBSTITUTE(SUBSTITUTE(SUBSTITUTE(INDEX(D149:K149,MIN(8,MAX(1,C149))),"年","/"),"月","/"),"日",""),"-","/"),".","/")</f>
        <v/>
      </c>
      <c r="AB149">
        <f>IFERROR(MATCH(O149,入力!$C$5:$C$44,0),"")</f>
        <v/>
      </c>
      <c r="AC149">
        <f>IF(AB149="","",INDEX(入力!$AH$5:$AH$44,AB149))</f>
        <v/>
      </c>
      <c r="AD149">
        <f>IF(INDEX($D149:$K149,IF(M149=1,2,1))=AC149,1,IF(INDEX($D149:$K149,IF(M149=1,2,1))&amp;INDEX($D149:$K149,IF(M149=1,2,1)+1)=AC149,2,IF(INDEX($D149:$K149,IF(M149=1,2,1))&amp;INDEX($D149:$K149,IF(M149=1,2,1)+1)&amp;INDEX($D149:$K149,IF(M149=1,2,1)+2)=AC149,3,IF(AB149&lt;&gt;"",2,IF(ISNUMBER(MATCH(INDEX($D149:$K149,IF(M149=1,2,1)),入力!$AH$5:$AH$44,0)),1,IF(ISNUMBER(MATCH(INDEX($D149:$K149,IF(M149=1,2,1))&amp;INDEX($D149:$K149,IF(M149=1,2,1)+1),入力!$AH$5:$AH$44,0)),2,IF(ISNUMBER(MATCH(INDEX($D149:$K149,IF(M149=1,2,1))&amp;INDEX($D149:$K149,IF(M149=1,2,1)+1)&amp;INDEX($D149:$K149,IF(M149=1,2,1)+2),入力!$AH$5:$AH$44,0)),3,2)))))))</f>
        <v/>
      </c>
      <c r="AE149">
        <f>IF(V149="","",IF(AND(V149="反映",N(Y149)&gt;20),"要確認（この生徒の取込が20件を超えました）",V149))</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",""),入力!$AH$5:$AH$44,0),"")))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$405,T150,$R$6:$R$405,R150,$X$6:$X$405,"&lt;"&amp;X150))&gt;0,"重複","反映")))))</f>
        <v/>
      </c>
      <c r="W150">
        <f>IF(V150="反映",1,0)</f>
        <v/>
      </c>
      <c r="X150" t="n">
        <v>150</v>
      </c>
      <c r="Y150">
        <f>IF(W150=0,"",COUNTIFS($T$6:$T$405,T150,$W$6:$W$405,1,$S$6:$S$405,"&lt;"&amp;S150)+COUNTIFS($T$6:$T$405,T150,$W$6:$W$405,1,$S$6:$S$405,S150,$X$6:$X$405,"&lt;"&amp;X150)+1)</f>
        <v/>
      </c>
      <c r="Z150">
        <f>IF(Y150="","",T150&amp;"_"&amp;Y150)</f>
        <v/>
      </c>
      <c r="AA150">
        <f>SUBSTITUTE(SUBSTITUTE(SUBSTITUTE(SUBSTITUTE(SUBSTITUTE(INDEX(D150:K150,MIN(8,MAX(1,C150))),"年","/"),"月","/"),"日",""),"-","/"),".","/")</f>
        <v/>
      </c>
      <c r="AB150">
        <f>IFERROR(MATCH(O150,入力!$C$5:$C$44,0),"")</f>
        <v/>
      </c>
      <c r="AC150">
        <f>IF(AB150="","",INDEX(入力!$AH$5:$AH$44,AB150))</f>
        <v/>
      </c>
      <c r="AD150">
        <f>IF(INDEX($D150:$K150,IF(M150=1,2,1))=AC150,1,IF(INDEX($D150:$K150,IF(M150=1,2,1))&amp;INDEX($D150:$K150,IF(M150=1,2,1)+1)=AC150,2,IF(INDEX($D150:$K150,IF(M150=1,2,1))&amp;INDEX($D150:$K150,IF(M150=1,2,1)+1)&amp;INDEX($D150:$K150,IF(M150=1,2,1)+2)=AC150,3,IF(AB150&lt;&gt;"",2,IF(ISNUMBER(MATCH(INDEX($D150:$K150,IF(M150=1,2,1)),入力!$AH$5:$AH$44,0)),1,IF(ISNUMBER(MATCH(INDEX($D150:$K150,IF(M150=1,2,1))&amp;INDEX($D150:$K150,IF(M150=1,2,1)+1),入力!$AH$5:$AH$44,0)),2,IF(ISNUMBER(MATCH(INDEX($D150:$K150,IF(M150=1,2,1))&amp;INDEX($D150:$K150,IF(M150=1,2,1)+1)&amp;INDEX($D150:$K150,IF(M150=1,2,1)+2),入力!$AH$5:$AH$44,0)),3,2)))))))</f>
        <v/>
      </c>
      <c r="AE150">
        <f>IF(V150="","",IF(AND(V150="反映",N(Y150)&gt;20),"要確認（この生徒の取込が20件を超えました）",V150))</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",""),入力!$AH$5:$AH$44,0),"")))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$405,T151,$R$6:$R$405,R151,$X$6:$X$405,"&lt;"&amp;X151))&gt;0,"重複","反映")))))</f>
        <v/>
      </c>
      <c r="W151">
        <f>IF(V151="反映",1,0)</f>
        <v/>
      </c>
      <c r="X151" t="n">
        <v>151</v>
      </c>
      <c r="Y151">
        <f>IF(W151=0,"",COUNTIFS($T$6:$T$405,T151,$W$6:$W$405,1,$S$6:$S$405,"&lt;"&amp;S151)+COUNTIFS($T$6:$T$405,T151,$W$6:$W$405,1,$S$6:$S$405,S151,$X$6:$X$405,"&lt;"&amp;X151)+1)</f>
        <v/>
      </c>
      <c r="Z151">
        <f>IF(Y151="","",T151&amp;"_"&amp;Y151)</f>
        <v/>
      </c>
      <c r="AA151">
        <f>SUBSTITUTE(SUBSTITUTE(SUBSTITUTE(SUBSTITUTE(SUBSTITUTE(INDEX(D151:K151,MIN(8,MAX(1,C151))),"年","/"),"月","/"),"日",""),"-","/"),".","/")</f>
        <v/>
      </c>
      <c r="AB151">
        <f>IFERROR(MATCH(O151,入力!$C$5:$C$44,0),"")</f>
        <v/>
      </c>
      <c r="AC151">
        <f>IF(AB151="","",INDEX(入力!$AH$5:$AH$44,AB151))</f>
        <v/>
      </c>
      <c r="AD151">
        <f>IF(INDEX($D151:$K151,IF(M151=1,2,1))=AC151,1,IF(INDEX($D151:$K151,IF(M151=1,2,1))&amp;INDEX($D151:$K151,IF(M151=1,2,1)+1)=AC151,2,IF(INDEX($D151:$K151,IF(M151=1,2,1))&amp;INDEX($D151:$K151,IF(M151=1,2,1)+1)&amp;INDEX($D151:$K151,IF(M151=1,2,1)+2)=AC151,3,IF(AB151&lt;&gt;"",2,IF(ISNUMBER(MATCH(INDEX($D151:$K151,IF(M151=1,2,1)),入力!$AH$5:$AH$44,0)),1,IF(ISNUMBER(MATCH(INDEX($D151:$K151,IF(M151=1,2,1))&amp;INDEX($D151:$K151,IF(M151=1,2,1)+1),入力!$AH$5:$AH$44,0)),2,IF(ISNUMBER(MATCH(INDEX($D151:$K151,IF(M151=1,2,1))&amp;INDEX($D151:$K151,IF(M151=1,2,1)+1)&amp;INDEX($D151:$K151,IF(M151=1,2,1)+2),入力!$AH$5:$AH$44,0)),3,2)))))))</f>
        <v/>
      </c>
      <c r="AE151">
        <f>IF(V151="","",IF(AND(V151="反映",N(Y151)&gt;20),"要確認（この生徒の取込が20件を超えました）",V151))</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",""),入力!$AH$5:$AH$44,0),"")))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$405,T152,$R$6:$R$405,R152,$X$6:$X$405,"&lt;"&amp;X152))&gt;0,"重複","反映")))))</f>
        <v/>
      </c>
      <c r="W152">
        <f>IF(V152="反映",1,0)</f>
        <v/>
      </c>
      <c r="X152" t="n">
        <v>152</v>
      </c>
      <c r="Y152">
        <f>IF(W152=0,"",COUNTIFS($T$6:$T$405,T152,$W$6:$W$405,1,$S$6:$S$405,"&lt;"&amp;S152)+COUNTIFS($T$6:$T$405,T152,$W$6:$W$405,1,$S$6:$S$405,S152,$X$6:$X$405,"&lt;"&amp;X152)+1)</f>
        <v/>
      </c>
      <c r="Z152">
        <f>IF(Y152="","",T152&amp;"_"&amp;Y152)</f>
        <v/>
      </c>
      <c r="AA152">
        <f>SUBSTITUTE(SUBSTITUTE(SUBSTITUTE(SUBSTITUTE(SUBSTITUTE(INDEX(D152:K152,MIN(8,MAX(1,C152))),"年","/"),"月","/"),"日",""),"-","/"),".","/")</f>
        <v/>
      </c>
      <c r="AB152">
        <f>IFERROR(MATCH(O152,入力!$C$5:$C$44,0),"")</f>
        <v/>
      </c>
      <c r="AC152">
        <f>IF(AB152="","",INDEX(入力!$AH$5:$AH$44,AB152))</f>
        <v/>
      </c>
      <c r="AD152">
        <f>IF(INDEX($D152:$K152,IF(M152=1,2,1))=AC152,1,IF(INDEX($D152:$K152,IF(M152=1,2,1))&amp;INDEX($D152:$K152,IF(M152=1,2,1)+1)=AC152,2,IF(INDEX($D152:$K152,IF(M152=1,2,1))&amp;INDEX($D152:$K152,IF(M152=1,2,1)+1)&amp;INDEX($D152:$K152,IF(M152=1,2,1)+2)=AC152,3,IF(AB152&lt;&gt;"",2,IF(ISNUMBER(MATCH(INDEX($D152:$K152,IF(M152=1,2,1)),入力!$AH$5:$AH$44,0)),1,IF(ISNUMBER(MATCH(INDEX($D152:$K152,IF(M152=1,2,1))&amp;INDEX($D152:$K152,IF(M152=1,2,1)+1),入力!$AH$5:$AH$44,0)),2,IF(ISNUMBER(MATCH(INDEX($D152:$K152,IF(M152=1,2,1))&amp;INDEX($D152:$K152,IF(M152=1,2,1)+1)&amp;INDEX($D152:$K152,IF(M152=1,2,1)+2),入力!$AH$5:$AH$44,0)),3,2)))))))</f>
        <v/>
      </c>
      <c r="AE152">
        <f>IF(V152="","",IF(AND(V152="反映",N(Y152)&gt;20),"要確認（この生徒の取込が20件を超えました）",V152))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",""),入力!$AH$5:$AH$44,0),"")))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$405,T153,$R$6:$R$405,R153,$X$6:$X$405,"&lt;"&amp;X153))&gt;0,"重複","反映")))))</f>
        <v/>
      </c>
      <c r="W153">
        <f>IF(V153="反映",1,0)</f>
        <v/>
      </c>
      <c r="X153" t="n">
        <v>153</v>
      </c>
      <c r="Y153">
        <f>IF(W153=0,"",COUNTIFS($T$6:$T$405,T153,$W$6:$W$405,1,$S$6:$S$405,"&lt;"&amp;S153)+COUNTIFS($T$6:$T$405,T153,$W$6:$W$405,1,$S$6:$S$405,S153,$X$6:$X$405,"&lt;"&amp;X153)+1)</f>
        <v/>
      </c>
      <c r="Z153">
        <f>IF(Y153="","",T153&amp;"_"&amp;Y153)</f>
        <v/>
      </c>
      <c r="AA153">
        <f>SUBSTITUTE(SUBSTITUTE(SUBSTITUTE(SUBSTITUTE(SUBSTITUTE(INDEX(D153:K153,MIN(8,MAX(1,C153))),"年","/"),"月","/"),"日",""),"-","/"),".","/")</f>
        <v/>
      </c>
      <c r="AB153">
        <f>IFERROR(MATCH(O153,入力!$C$5:$C$44,0),"")</f>
        <v/>
      </c>
      <c r="AC153">
        <f>IF(AB153="","",INDEX(入力!$AH$5:$AH$44,AB153))</f>
        <v/>
      </c>
      <c r="AD153">
        <f>IF(INDEX($D153:$K153,IF(M153=1,2,1))=AC153,1,IF(INDEX($D153:$K153,IF(M153=1,2,1))&amp;INDEX($D153:$K153,IF(M153=1,2,1)+1)=AC153,2,IF(INDEX($D153:$K153,IF(M153=1,2,1))&amp;INDEX($D153:$K153,IF(M153=1,2,1)+1)&amp;INDEX($D153:$K153,IF(M153=1,2,1)+2)=AC153,3,IF(AB153&lt;&gt;"",2,IF(ISNUMBER(MATCH(INDEX($D153:$K153,IF(M153=1,2,1)),入力!$AH$5:$AH$44,0)),1,IF(ISNUMBER(MATCH(INDEX($D153:$K153,IF(M153=1,2,1))&amp;INDEX($D153:$K153,IF(M153=1,2,1)+1),入力!$AH$5:$AH$44,0)),2,IF(ISNUMBER(MATCH(INDEX($D153:$K153,IF(M153=1,2,1))&amp;INDEX($D153:$K153,IF(M153=1,2,1)+1)&amp;INDEX($D153:$K153,IF(M153=1,2,1)+2),入力!$AH$5:$AH$44,0)),3,2)))))))</f>
        <v/>
      </c>
      <c r="AE153">
        <f>IF(V153="","",IF(AND(V153="反映",N(Y153)&gt;20),"要確認（この生徒の取込が20件を超えました）",V153))</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",""),入力!$AH$5:$AH$44,0),"")))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$405,T154,$R$6:$R$405,R154,$X$6:$X$405,"&lt;"&amp;X154))&gt;0,"重複","反映")))))</f>
        <v/>
      </c>
      <c r="W154">
        <f>IF(V154="反映",1,0)</f>
        <v/>
      </c>
      <c r="X154" t="n">
        <v>154</v>
      </c>
      <c r="Y154">
        <f>IF(W154=0,"",COUNTIFS($T$6:$T$405,T154,$W$6:$W$405,1,$S$6:$S$405,"&lt;"&amp;S154)+COUNTIFS($T$6:$T$405,T154,$W$6:$W$405,1,$S$6:$S$405,S154,$X$6:$X$405,"&lt;"&amp;X154)+1)</f>
        <v/>
      </c>
      <c r="Z154">
        <f>IF(Y154="","",T154&amp;"_"&amp;Y154)</f>
        <v/>
      </c>
      <c r="AA154">
        <f>SUBSTITUTE(SUBSTITUTE(SUBSTITUTE(SUBSTITUTE(SUBSTITUTE(INDEX(D154:K154,MIN(8,MAX(1,C154))),"年","/"),"月","/"),"日",""),"-","/"),".","/")</f>
        <v/>
      </c>
      <c r="AB154">
        <f>IFERROR(MATCH(O154,入力!$C$5:$C$44,0),"")</f>
        <v/>
      </c>
      <c r="AC154">
        <f>IF(AB154="","",INDEX(入力!$AH$5:$AH$44,AB154))</f>
        <v/>
      </c>
      <c r="AD154">
        <f>IF(INDEX($D154:$K154,IF(M154=1,2,1))=AC154,1,IF(INDEX($D154:$K154,IF(M154=1,2,1))&amp;INDEX($D154:$K154,IF(M154=1,2,1)+1)=AC154,2,IF(INDEX($D154:$K154,IF(M154=1,2,1))&amp;INDEX($D154:$K154,IF(M154=1,2,1)+1)&amp;INDEX($D154:$K154,IF(M154=1,2,1)+2)=AC154,3,IF(AB154&lt;&gt;"",2,IF(ISNUMBER(MATCH(INDEX($D154:$K154,IF(M154=1,2,1)),入力!$AH$5:$AH$44,0)),1,IF(ISNUMBER(MATCH(INDEX($D154:$K154,IF(M154=1,2,1))&amp;INDEX($D154:$K154,IF(M154=1,2,1)+1),入力!$AH$5:$AH$44,0)),2,IF(ISNUMBER(MATCH(INDEX($D154:$K154,IF(M154=1,2,1))&amp;INDEX($D154:$K154,IF(M154=1,2,1)+1)&amp;INDEX($D154:$K154,IF(M154=1,2,1)+2),入力!$AH$5:$AH$44,0)),3,2)))))))</f>
        <v/>
      </c>
      <c r="AE154">
        <f>IF(V154="","",IF(AND(V154="反映",N(Y154)&gt;20),"要確認（この生徒の取込が20件を超えました）",V154))</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",""),入力!$AH$5:$AH$44,0),"")))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$405,T155,$R$6:$R$405,R155,$X$6:$X$405,"&lt;"&amp;X155))&gt;0,"重複","反映")))))</f>
        <v/>
      </c>
      <c r="W155">
        <f>IF(V155="反映",1,0)</f>
        <v/>
      </c>
      <c r="X155" t="n">
        <v>155</v>
      </c>
      <c r="Y155">
        <f>IF(W155=0,"",COUNTIFS($T$6:$T$405,T155,$W$6:$W$405,1,$S$6:$S$405,"&lt;"&amp;S155)+COUNTIFS($T$6:$T$405,T155,$W$6:$W$405,1,$S$6:$S$405,S155,$X$6:$X$405,"&lt;"&amp;X155)+1)</f>
        <v/>
      </c>
      <c r="Z155">
        <f>IF(Y155="","",T155&amp;"_"&amp;Y155)</f>
        <v/>
      </c>
      <c r="AA155">
        <f>SUBSTITUTE(SUBSTITUTE(SUBSTITUTE(SUBSTITUTE(SUBSTITUTE(INDEX(D155:K155,MIN(8,MAX(1,C155))),"年","/"),"月","/"),"日",""),"-","/"),".","/")</f>
        <v/>
      </c>
      <c r="AB155">
        <f>IFERROR(MATCH(O155,入力!$C$5:$C$44,0),"")</f>
        <v/>
      </c>
      <c r="AC155">
        <f>IF(AB155="","",INDEX(入力!$AH$5:$AH$44,AB155))</f>
        <v/>
      </c>
      <c r="AD155">
        <f>IF(INDEX($D155:$K155,IF(M155=1,2,1))=AC155,1,IF(INDEX($D155:$K155,IF(M155=1,2,1))&amp;INDEX($D155:$K155,IF(M155=1,2,1)+1)=AC155,2,IF(INDEX($D155:$K155,IF(M155=1,2,1))&amp;INDEX($D155:$K155,IF(M155=1,2,1)+1)&amp;INDEX($D155:$K155,IF(M155=1,2,1)+2)=AC155,3,IF(AB155&lt;&gt;"",2,IF(ISNUMBER(MATCH(INDEX($D155:$K155,IF(M155=1,2,1)),入力!$AH$5:$AH$44,0)),1,IF(ISNUMBER(MATCH(INDEX($D155:$K155,IF(M155=1,2,1))&amp;INDEX($D155:$K155,IF(M155=1,2,1)+1),入力!$AH$5:$AH$44,0)),2,IF(ISNUMBER(MATCH(INDEX($D155:$K155,IF(M155=1,2,1))&amp;INDEX($D155:$K155,IF(M155=1,2,1)+1)&amp;INDEX($D155:$K155,IF(M155=1,2,1)+2),入力!$AH$5:$AH$44,0)),3,2)))))))</f>
        <v/>
      </c>
      <c r="AE155">
        <f>IF(V155="","",IF(AND(V155="反映",N(Y155)&gt;20),"要確認（この生徒の取込が20件を超えました）",V155))</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",""),入力!$AH$5:$AH$44,0),"")))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$405,T156,$R$6:$R$405,R156,$X$6:$X$405,"&lt;"&amp;X156))&gt;0,"重複","反映")))))</f>
        <v/>
      </c>
      <c r="W156">
        <f>IF(V156="反映",1,0)</f>
        <v/>
      </c>
      <c r="X156" t="n">
        <v>156</v>
      </c>
      <c r="Y156">
        <f>IF(W156=0,"",COUNTIFS($T$6:$T$405,T156,$W$6:$W$405,1,$S$6:$S$405,"&lt;"&amp;S156)+COUNTIFS($T$6:$T$405,T156,$W$6:$W$405,1,$S$6:$S$405,S156,$X$6:$X$405,"&lt;"&amp;X156)+1)</f>
        <v/>
      </c>
      <c r="Z156">
        <f>IF(Y156="","",T156&amp;"_"&amp;Y156)</f>
        <v/>
      </c>
      <c r="AA156">
        <f>SUBSTITUTE(SUBSTITUTE(SUBSTITUTE(SUBSTITUTE(SUBSTITUTE(INDEX(D156:K156,MIN(8,MAX(1,C156))),"年","/"),"月","/"),"日",""),"-","/"),".","/")</f>
        <v/>
      </c>
      <c r="AB156">
        <f>IFERROR(MATCH(O156,入力!$C$5:$C$44,0),"")</f>
        <v/>
      </c>
      <c r="AC156">
        <f>IF(AB156="","",INDEX(入力!$AH$5:$AH$44,AB156))</f>
        <v/>
      </c>
      <c r="AD156">
        <f>IF(INDEX($D156:$K156,IF(M156=1,2,1))=AC156,1,IF(INDEX($D156:$K156,IF(M156=1,2,1))&amp;INDEX($D156:$K156,IF(M156=1,2,1)+1)=AC156,2,IF(INDEX($D156:$K156,IF(M156=1,2,1))&amp;INDEX($D156:$K156,IF(M156=1,2,1)+1)&amp;INDEX($D156:$K156,IF(M156=1,2,1)+2)=AC156,3,IF(AB156&lt;&gt;"",2,IF(ISNUMBER(MATCH(INDEX($D156:$K156,IF(M156=1,2,1)),入力!$AH$5:$AH$44,0)),1,IF(ISNUMBER(MATCH(INDEX($D156:$K156,IF(M156=1,2,1))&amp;INDEX($D156:$K156,IF(M156=1,2,1)+1),入力!$AH$5:$AH$44,0)),2,IF(ISNUMBER(MATCH(INDEX($D156:$K156,IF(M156=1,2,1))&amp;INDEX($D156:$K156,IF(M156=1,2,1)+1)&amp;INDEX($D156:$K156,IF(M156=1,2,1)+2),入力!$AH$5:$AH$44,0)),3,2)))))))</f>
        <v/>
      </c>
      <c r="AE156">
        <f>IF(V156="","",IF(AND(V156="反映",N(Y156)&gt;20),"要確認（この生徒の取込が20件を超えました）",V156))</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",""),入力!$AH$5:$AH$44,0),"")))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$405,T157,$R$6:$R$405,R157,$X$6:$X$405,"&lt;"&amp;X157))&gt;0,"重複","反映")))))</f>
        <v/>
      </c>
      <c r="W157">
        <f>IF(V157="反映",1,0)</f>
        <v/>
      </c>
      <c r="X157" t="n">
        <v>157</v>
      </c>
      <c r="Y157">
        <f>IF(W157=0,"",COUNTIFS($T$6:$T$405,T157,$W$6:$W$405,1,$S$6:$S$405,"&lt;"&amp;S157)+COUNTIFS($T$6:$T$405,T157,$W$6:$W$405,1,$S$6:$S$405,S157,$X$6:$X$405,"&lt;"&amp;X157)+1)</f>
        <v/>
      </c>
      <c r="Z157">
        <f>IF(Y157="","",T157&amp;"_"&amp;Y157)</f>
        <v/>
      </c>
      <c r="AA157">
        <f>SUBSTITUTE(SUBSTITUTE(SUBSTITUTE(SUBSTITUTE(SUBSTITUTE(INDEX(D157:K157,MIN(8,MAX(1,C157))),"年","/"),"月","/"),"日",""),"-","/"),".","/")</f>
        <v/>
      </c>
      <c r="AB157">
        <f>IFERROR(MATCH(O157,入力!$C$5:$C$44,0),"")</f>
        <v/>
      </c>
      <c r="AC157">
        <f>IF(AB157="","",INDEX(入力!$AH$5:$AH$44,AB157))</f>
        <v/>
      </c>
      <c r="AD157">
        <f>IF(INDEX($D157:$K157,IF(M157=1,2,1))=AC157,1,IF(INDEX($D157:$K157,IF(M157=1,2,1))&amp;INDEX($D157:$K157,IF(M157=1,2,1)+1)=AC157,2,IF(INDEX($D157:$K157,IF(M157=1,2,1))&amp;INDEX($D157:$K157,IF(M157=1,2,1)+1)&amp;INDEX($D157:$K157,IF(M157=1,2,1)+2)=AC157,3,IF(AB157&lt;&gt;"",2,IF(ISNUMBER(MATCH(INDEX($D157:$K157,IF(M157=1,2,1)),入力!$AH$5:$AH$44,0)),1,IF(ISNUMBER(MATCH(INDEX($D157:$K157,IF(M157=1,2,1))&amp;INDEX($D157:$K157,IF(M157=1,2,1)+1),入力!$AH$5:$AH$44,0)),2,IF(ISNUMBER(MATCH(INDEX($D157:$K157,IF(M157=1,2,1))&amp;INDEX($D157:$K157,IF(M157=1,2,1)+1)&amp;INDEX($D157:$K157,IF(M157=1,2,1)+2),入力!$AH$5:$AH$44,0)),3,2)))))))</f>
        <v/>
      </c>
      <c r="AE157">
        <f>IF(V157="","",IF(AND(V157="反映",N(Y157)&gt;20),"要確認（この生徒の取込が20件を超えました）",V157))</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",""),入力!$AH$5:$AH$44,0),"")))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$405,T158,$R$6:$R$405,R158,$X$6:$X$405,"&lt;"&amp;X158))&gt;0,"重複","反映")))))</f>
        <v/>
      </c>
      <c r="W158">
        <f>IF(V158="反映",1,0)</f>
        <v/>
      </c>
      <c r="X158" t="n">
        <v>158</v>
      </c>
      <c r="Y158">
        <f>IF(W158=0,"",COUNTIFS($T$6:$T$405,T158,$W$6:$W$405,1,$S$6:$S$405,"&lt;"&amp;S158)+COUNTIFS($T$6:$T$405,T158,$W$6:$W$405,1,$S$6:$S$405,S158,$X$6:$X$405,"&lt;"&amp;X158)+1)</f>
        <v/>
      </c>
      <c r="Z158">
        <f>IF(Y158="","",T158&amp;"_"&amp;Y158)</f>
        <v/>
      </c>
      <c r="AA158">
        <f>SUBSTITUTE(SUBSTITUTE(SUBSTITUTE(SUBSTITUTE(SUBSTITUTE(INDEX(D158:K158,MIN(8,MAX(1,C158))),"年","/"),"月","/"),"日",""),"-","/"),".","/")</f>
        <v/>
      </c>
      <c r="AB158">
        <f>IFERROR(MATCH(O158,入力!$C$5:$C$44,0),"")</f>
        <v/>
      </c>
      <c r="AC158">
        <f>IF(AB158="","",INDEX(入力!$AH$5:$AH$44,AB158))</f>
        <v/>
      </c>
      <c r="AD158">
        <f>IF(INDEX($D158:$K158,IF(M158=1,2,1))=AC158,1,IF(INDEX($D158:$K158,IF(M158=1,2,1))&amp;INDEX($D158:$K158,IF(M158=1,2,1)+1)=AC158,2,IF(INDEX($D158:$K158,IF(M158=1,2,1))&amp;INDEX($D158:$K158,IF(M158=1,2,1)+1)&amp;INDEX($D158:$K158,IF(M158=1,2,1)+2)=AC158,3,IF(AB158&lt;&gt;"",2,IF(ISNUMBER(MATCH(INDEX($D158:$K158,IF(M158=1,2,1)),入力!$AH$5:$AH$44,0)),1,IF(ISNUMBER(MATCH(INDEX($D158:$K158,IF(M158=1,2,1))&amp;INDEX($D158:$K158,IF(M158=1,2,1)+1),入力!$AH$5:$AH$44,0)),2,IF(ISNUMBER(MATCH(INDEX($D158:$K158,IF(M158=1,2,1))&amp;INDEX($D158:$K158,IF(M158=1,2,1)+1)&amp;INDEX($D158:$K158,IF(M158=1,2,1)+2),入力!$AH$5:$AH$44,0)),3,2)))))))</f>
        <v/>
      </c>
      <c r="AE158">
        <f>IF(V158="","",IF(AND(V158="反映",N(Y158)&gt;20),"要確認（この生徒の取込が20件を超えました）",V158))</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",""),入力!$AH$5:$AH$44,0),"")))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$405,T159,$R$6:$R$405,R159,$X$6:$X$405,"&lt;"&amp;X159))&gt;0,"重複","反映")))))</f>
        <v/>
      </c>
      <c r="W159">
        <f>IF(V159="反映",1,0)</f>
        <v/>
      </c>
      <c r="X159" t="n">
        <v>159</v>
      </c>
      <c r="Y159">
        <f>IF(W159=0,"",COUNTIFS($T$6:$T$405,T159,$W$6:$W$405,1,$S$6:$S$405,"&lt;"&amp;S159)+COUNTIFS($T$6:$T$405,T159,$W$6:$W$405,1,$S$6:$S$405,S159,$X$6:$X$405,"&lt;"&amp;X159)+1)</f>
        <v/>
      </c>
      <c r="Z159">
        <f>IF(Y159="","",T159&amp;"_"&amp;Y159)</f>
        <v/>
      </c>
      <c r="AA159">
        <f>SUBSTITUTE(SUBSTITUTE(SUBSTITUTE(SUBSTITUTE(SUBSTITUTE(INDEX(D159:K159,MIN(8,MAX(1,C159))),"年","/"),"月","/"),"日",""),"-","/"),".","/")</f>
        <v/>
      </c>
      <c r="AB159">
        <f>IFERROR(MATCH(O159,入力!$C$5:$C$44,0),"")</f>
        <v/>
      </c>
      <c r="AC159">
        <f>IF(AB159="","",INDEX(入力!$AH$5:$AH$44,AB159))</f>
        <v/>
      </c>
      <c r="AD159">
        <f>IF(INDEX($D159:$K159,IF(M159=1,2,1))=AC159,1,IF(INDEX($D159:$K159,IF(M159=1,2,1))&amp;INDEX($D159:$K159,IF(M159=1,2,1)+1)=AC159,2,IF(INDEX($D159:$K159,IF(M159=1,2,1))&amp;INDEX($D159:$K159,IF(M159=1,2,1)+1)&amp;INDEX($D159:$K159,IF(M159=1,2,1)+2)=AC159,3,IF(AB159&lt;&gt;"",2,IF(ISNUMBER(MATCH(INDEX($D159:$K159,IF(M159=1,2,1)),入力!$AH$5:$AH$44,0)),1,IF(ISNUMBER(MATCH(INDEX($D159:$K159,IF(M159=1,2,1))&amp;INDEX($D159:$K159,IF(M159=1,2,1)+1),入力!$AH$5:$AH$44,0)),2,IF(ISNUMBER(MATCH(INDEX($D159:$K159,IF(M159=1,2,1))&amp;INDEX($D159:$K159,IF(M159=1,2,1)+1)&amp;INDEX($D159:$K159,IF(M159=1,2,1)+2),入力!$AH$5:$AH$44,0)),3,2)))))))</f>
        <v/>
      </c>
      <c r="AE159">
        <f>IF(V159="","",IF(AND(V159="反映",N(Y159)&gt;20),"要確認（この生徒の取込が20件を超えました）",V159))</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",""),入力!$AH$5:$AH$44,0),"")))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$405,T160,$R$6:$R$405,R160,$X$6:$X$405,"&lt;"&amp;X160))&gt;0,"重複","反映")))))</f>
        <v/>
      </c>
      <c r="W160">
        <f>IF(V160="反映",1,0)</f>
        <v/>
      </c>
      <c r="X160" t="n">
        <v>160</v>
      </c>
      <c r="Y160">
        <f>IF(W160=0,"",COUNTIFS($T$6:$T$405,T160,$W$6:$W$405,1,$S$6:$S$405,"&lt;"&amp;S160)+COUNTIFS($T$6:$T$405,T160,$W$6:$W$405,1,$S$6:$S$405,S160,$X$6:$X$405,"&lt;"&amp;X160)+1)</f>
        <v/>
      </c>
      <c r="Z160">
        <f>IF(Y160="","",T160&amp;"_"&amp;Y160)</f>
        <v/>
      </c>
      <c r="AA160">
        <f>SUBSTITUTE(SUBSTITUTE(SUBSTITUTE(SUBSTITUTE(SUBSTITUTE(INDEX(D160:K160,MIN(8,MAX(1,C160))),"年","/"),"月","/"),"日",""),"-","/"),".","/")</f>
        <v/>
      </c>
      <c r="AB160">
        <f>IFERROR(MATCH(O160,入力!$C$5:$C$44,0),"")</f>
        <v/>
      </c>
      <c r="AC160">
        <f>IF(AB160="","",INDEX(入力!$AH$5:$AH$44,AB160))</f>
        <v/>
      </c>
      <c r="AD160">
        <f>IF(INDEX($D160:$K160,IF(M160=1,2,1))=AC160,1,IF(INDEX($D160:$K160,IF(M160=1,2,1))&amp;INDEX($D160:$K160,IF(M160=1,2,1)+1)=AC160,2,IF(INDEX($D160:$K160,IF(M160=1,2,1))&amp;INDEX($D160:$K160,IF(M160=1,2,1)+1)&amp;INDEX($D160:$K160,IF(M160=1,2,1)+2)=AC160,3,IF(AB160&lt;&gt;"",2,IF(ISNUMBER(MATCH(INDEX($D160:$K160,IF(M160=1,2,1)),入力!$AH$5:$AH$44,0)),1,IF(ISNUMBER(MATCH(INDEX($D160:$K160,IF(M160=1,2,1))&amp;INDEX($D160:$K160,IF(M160=1,2,1)+1),入力!$AH$5:$AH$44,0)),2,IF(ISNUMBER(MATCH(INDEX($D160:$K160,IF(M160=1,2,1))&amp;INDEX($D160:$K160,IF(M160=1,2,1)+1)&amp;INDEX($D160:$K160,IF(M160=1,2,1)+2),入力!$AH$5:$AH$44,0)),3,2)))))))</f>
        <v/>
      </c>
      <c r="AE160">
        <f>IF(V160="","",IF(AND(V160="反映",N(Y160)&gt;20),"要確認（この生徒の取込が20件を超えました）",V160))</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",""),入力!$AH$5:$AH$44,0),"")))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$405,T161,$R$6:$R$405,R161,$X$6:$X$405,"&lt;"&amp;X161))&gt;0,"重複","反映")))))</f>
        <v/>
      </c>
      <c r="W161">
        <f>IF(V161="反映",1,0)</f>
        <v/>
      </c>
      <c r="X161" t="n">
        <v>161</v>
      </c>
      <c r="Y161">
        <f>IF(W161=0,"",COUNTIFS($T$6:$T$405,T161,$W$6:$W$405,1,$S$6:$S$405,"&lt;"&amp;S161)+COUNTIFS($T$6:$T$405,T161,$W$6:$W$405,1,$S$6:$S$405,S161,$X$6:$X$405,"&lt;"&amp;X161)+1)</f>
        <v/>
      </c>
      <c r="Z161">
        <f>IF(Y161="","",T161&amp;"_"&amp;Y161)</f>
        <v/>
      </c>
      <c r="AA161">
        <f>SUBSTITUTE(SUBSTITUTE(SUBSTITUTE(SUBSTITUTE(SUBSTITUTE(INDEX(D161:K161,MIN(8,MAX(1,C161))),"年","/"),"月","/"),"日",""),"-","/"),".","/")</f>
        <v/>
      </c>
      <c r="AB161">
        <f>IFERROR(MATCH(O161,入力!$C$5:$C$44,0),"")</f>
        <v/>
      </c>
      <c r="AC161">
        <f>IF(AB161="","",INDEX(入力!$AH$5:$AH$44,AB161))</f>
        <v/>
      </c>
      <c r="AD161">
        <f>IF(INDEX($D161:$K161,IF(M161=1,2,1))=AC161,1,IF(INDEX($D161:$K161,IF(M161=1,2,1))&amp;INDEX($D161:$K161,IF(M161=1,2,1)+1)=AC161,2,IF(INDEX($D161:$K161,IF(M161=1,2,1))&amp;INDEX($D161:$K161,IF(M161=1,2,1)+1)&amp;INDEX($D161:$K161,IF(M161=1,2,1)+2)=AC161,3,IF(AB161&lt;&gt;"",2,IF(ISNUMBER(MATCH(INDEX($D161:$K161,IF(M161=1,2,1)),入力!$AH$5:$AH$44,0)),1,IF(ISNUMBER(MATCH(INDEX($D161:$K161,IF(M161=1,2,1))&amp;INDEX($D161:$K161,IF(M161=1,2,1)+1),入力!$AH$5:$AH$44,0)),2,IF(ISNUMBER(MATCH(INDEX($D161:$K161,IF(M161=1,2,1))&amp;INDEX($D161:$K161,IF(M161=1,2,1)+1)&amp;INDEX($D161:$K161,IF(M161=1,2,1)+2),入力!$AH$5:$AH$44,0)),3,2)))))))</f>
        <v/>
      </c>
      <c r="AE161">
        <f>IF(V161="","",IF(AND(V161="反映",N(Y161)&gt;20),"要確認（この生徒の取込が20件を超えました）",V161))</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",""),入力!$AH$5:$AH$44,0),"")))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$405,T162,$R$6:$R$405,R162,$X$6:$X$405,"&lt;"&amp;X162))&gt;0,"重複","反映")))))</f>
        <v/>
      </c>
      <c r="W162">
        <f>IF(V162="反映",1,0)</f>
        <v/>
      </c>
      <c r="X162" t="n">
        <v>162</v>
      </c>
      <c r="Y162">
        <f>IF(W162=0,"",COUNTIFS($T$6:$T$405,T162,$W$6:$W$405,1,$S$6:$S$405,"&lt;"&amp;S162)+COUNTIFS($T$6:$T$405,T162,$W$6:$W$405,1,$S$6:$S$405,S162,$X$6:$X$405,"&lt;"&amp;X162)+1)</f>
        <v/>
      </c>
      <c r="Z162">
        <f>IF(Y162="","",T162&amp;"_"&amp;Y162)</f>
        <v/>
      </c>
      <c r="AA162">
        <f>SUBSTITUTE(SUBSTITUTE(SUBSTITUTE(SUBSTITUTE(SUBSTITUTE(INDEX(D162:K162,MIN(8,MAX(1,C162))),"年","/"),"月","/"),"日",""),"-","/"),".","/")</f>
        <v/>
      </c>
      <c r="AB162">
        <f>IFERROR(MATCH(O162,入力!$C$5:$C$44,0),"")</f>
        <v/>
      </c>
      <c r="AC162">
        <f>IF(AB162="","",INDEX(入力!$AH$5:$AH$44,AB162))</f>
        <v/>
      </c>
      <c r="AD162">
        <f>IF(INDEX($D162:$K162,IF(M162=1,2,1))=AC162,1,IF(INDEX($D162:$K162,IF(M162=1,2,1))&amp;INDEX($D162:$K162,IF(M162=1,2,1)+1)=AC162,2,IF(INDEX($D162:$K162,IF(M162=1,2,1))&amp;INDEX($D162:$K162,IF(M162=1,2,1)+1)&amp;INDEX($D162:$K162,IF(M162=1,2,1)+2)=AC162,3,IF(AB162&lt;&gt;"",2,IF(ISNUMBER(MATCH(INDEX($D162:$K162,IF(M162=1,2,1)),入力!$AH$5:$AH$44,0)),1,IF(ISNUMBER(MATCH(INDEX($D162:$K162,IF(M162=1,2,1))&amp;INDEX($D162:$K162,IF(M162=1,2,1)+1),入力!$AH$5:$AH$44,0)),2,IF(ISNUMBER(MATCH(INDEX($D162:$K162,IF(M162=1,2,1))&amp;INDEX($D162:$K162,IF(M162=1,2,1)+1)&amp;INDEX($D162:$K162,IF(M162=1,2,1)+2),入力!$AH$5:$AH$44,0)),3,2)))))))</f>
        <v/>
      </c>
      <c r="AE162">
        <f>IF(V162="","",IF(AND(V162="反映",N(Y162)&gt;20),"要確認（この生徒の取込が20件を超えました）",V162))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",""),入力!$AH$5:$AH$44,0),"")))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$405,T163,$R$6:$R$405,R163,$X$6:$X$405,"&lt;"&amp;X163))&gt;0,"重複","反映")))))</f>
        <v/>
      </c>
      <c r="W163">
        <f>IF(V163="反映",1,0)</f>
        <v/>
      </c>
      <c r="X163" t="n">
        <v>163</v>
      </c>
      <c r="Y163">
        <f>IF(W163=0,"",COUNTIFS($T$6:$T$405,T163,$W$6:$W$405,1,$S$6:$S$405,"&lt;"&amp;S163)+COUNTIFS($T$6:$T$405,T163,$W$6:$W$405,1,$S$6:$S$405,S163,$X$6:$X$405,"&lt;"&amp;X163)+1)</f>
        <v/>
      </c>
      <c r="Z163">
        <f>IF(Y163="","",T163&amp;"_"&amp;Y163)</f>
        <v/>
      </c>
      <c r="AA163">
        <f>SUBSTITUTE(SUBSTITUTE(SUBSTITUTE(SUBSTITUTE(SUBSTITUTE(INDEX(D163:K163,MIN(8,MAX(1,C163))),"年","/"),"月","/"),"日",""),"-","/"),".","/")</f>
        <v/>
      </c>
      <c r="AB163">
        <f>IFERROR(MATCH(O163,入力!$C$5:$C$44,0),"")</f>
        <v/>
      </c>
      <c r="AC163">
        <f>IF(AB163="","",INDEX(入力!$AH$5:$AH$44,AB163))</f>
        <v/>
      </c>
      <c r="AD163">
        <f>IF(INDEX($D163:$K163,IF(M163=1,2,1))=AC163,1,IF(INDEX($D163:$K163,IF(M163=1,2,1))&amp;INDEX($D163:$K163,IF(M163=1,2,1)+1)=AC163,2,IF(INDEX($D163:$K163,IF(M163=1,2,1))&amp;INDEX($D163:$K163,IF(M163=1,2,1)+1)&amp;INDEX($D163:$K163,IF(M163=1,2,1)+2)=AC163,3,IF(AB163&lt;&gt;"",2,IF(ISNUMBER(MATCH(INDEX($D163:$K163,IF(M163=1,2,1)),入力!$AH$5:$AH$44,0)),1,IF(ISNUMBER(MATCH(INDEX($D163:$K163,IF(M163=1,2,1))&amp;INDEX($D163:$K163,IF(M163=1,2,1)+1),入力!$AH$5:$AH$44,0)),2,IF(ISNUMBER(MATCH(INDEX($D163:$K163,IF(M163=1,2,1))&amp;INDEX($D163:$K163,IF(M163=1,2,1)+1)&amp;INDEX($D163:$K163,IF(M163=1,2,1)+2),入力!$AH$5:$AH$44,0)),3,2)))))))</f>
        <v/>
      </c>
      <c r="AE163">
        <f>IF(V163="","",IF(AND(V163="反映",N(Y163)&gt;20),"要確認（この生徒の取込が20件を超えました）",V163))</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",""),入力!$AH$5:$AH$44,0),"")))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$405,T164,$R$6:$R$405,R164,$X$6:$X$405,"&lt;"&amp;X164))&gt;0,"重複","反映")))))</f>
        <v/>
      </c>
      <c r="W164">
        <f>IF(V164="反映",1,0)</f>
        <v/>
      </c>
      <c r="X164" t="n">
        <v>164</v>
      </c>
      <c r="Y164">
        <f>IF(W164=0,"",COUNTIFS($T$6:$T$405,T164,$W$6:$W$405,1,$S$6:$S$405,"&lt;"&amp;S164)+COUNTIFS($T$6:$T$405,T164,$W$6:$W$405,1,$S$6:$S$405,S164,$X$6:$X$405,"&lt;"&amp;X164)+1)</f>
        <v/>
      </c>
      <c r="Z164">
        <f>IF(Y164="","",T164&amp;"_"&amp;Y164)</f>
        <v/>
      </c>
      <c r="AA164">
        <f>SUBSTITUTE(SUBSTITUTE(SUBSTITUTE(SUBSTITUTE(SUBSTITUTE(INDEX(D164:K164,MIN(8,MAX(1,C164))),"年","/"),"月","/"),"日",""),"-","/"),".","/")</f>
        <v/>
      </c>
      <c r="AB164">
        <f>IFERROR(MATCH(O164,入力!$C$5:$C$44,0),"")</f>
        <v/>
      </c>
      <c r="AC164">
        <f>IF(AB164="","",INDEX(入力!$AH$5:$AH$44,AB164))</f>
        <v/>
      </c>
      <c r="AD164">
        <f>IF(INDEX($D164:$K164,IF(M164=1,2,1))=AC164,1,IF(INDEX($D164:$K164,IF(M164=1,2,1))&amp;INDEX($D164:$K164,IF(M164=1,2,1)+1)=AC164,2,IF(INDEX($D164:$K164,IF(M164=1,2,1))&amp;INDEX($D164:$K164,IF(M164=1,2,1)+1)&amp;INDEX($D164:$K164,IF(M164=1,2,1)+2)=AC164,3,IF(AB164&lt;&gt;"",2,IF(ISNUMBER(MATCH(INDEX($D164:$K164,IF(M164=1,2,1)),入力!$AH$5:$AH$44,0)),1,IF(ISNUMBER(MATCH(INDEX($D164:$K164,IF(M164=1,2,1))&amp;INDEX($D164:$K164,IF(M164=1,2,1)+1),入力!$AH$5:$AH$44,0)),2,IF(ISNUMBER(MATCH(INDEX($D164:$K164,IF(M164=1,2,1))&amp;INDEX($D164:$K164,IF(M164=1,2,1)+1)&amp;INDEX($D164:$K164,IF(M164=1,2,1)+2),入力!$AH$5:$AH$44,0)),3,2)))))))</f>
        <v/>
      </c>
      <c r="AE164">
        <f>IF(V164="","",IF(AND(V164="反映",N(Y164)&gt;20),"要確認（この生徒の取込が20件を超えました）",V164))</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",""),入力!$AH$5:$AH$44,0),"")))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$405,T165,$R$6:$R$405,R165,$X$6:$X$405,"&lt;"&amp;X165))&gt;0,"重複","反映")))))</f>
        <v/>
      </c>
      <c r="W165">
        <f>IF(V165="反映",1,0)</f>
        <v/>
      </c>
      <c r="X165" t="n">
        <v>165</v>
      </c>
      <c r="Y165">
        <f>IF(W165=0,"",COUNTIFS($T$6:$T$405,T165,$W$6:$W$405,1,$S$6:$S$405,"&lt;"&amp;S165)+COUNTIFS($T$6:$T$405,T165,$W$6:$W$405,1,$S$6:$S$405,S165,$X$6:$X$405,"&lt;"&amp;X165)+1)</f>
        <v/>
      </c>
      <c r="Z165">
        <f>IF(Y165="","",T165&amp;"_"&amp;Y165)</f>
        <v/>
      </c>
      <c r="AA165">
        <f>SUBSTITUTE(SUBSTITUTE(SUBSTITUTE(SUBSTITUTE(SUBSTITUTE(INDEX(D165:K165,MIN(8,MAX(1,C165))),"年","/"),"月","/"),"日",""),"-","/"),".","/")</f>
        <v/>
      </c>
      <c r="AB165">
        <f>IFERROR(MATCH(O165,入力!$C$5:$C$44,0),"")</f>
        <v/>
      </c>
      <c r="AC165">
        <f>IF(AB165="","",INDEX(入力!$AH$5:$AH$44,AB165))</f>
        <v/>
      </c>
      <c r="AD165">
        <f>IF(INDEX($D165:$K165,IF(M165=1,2,1))=AC165,1,IF(INDEX($D165:$K165,IF(M165=1,2,1))&amp;INDEX($D165:$K165,IF(M165=1,2,1)+1)=AC165,2,IF(INDEX($D165:$K165,IF(M165=1,2,1))&amp;INDEX($D165:$K165,IF(M165=1,2,1)+1)&amp;INDEX($D165:$K165,IF(M165=1,2,1)+2)=AC165,3,IF(AB165&lt;&gt;"",2,IF(ISNUMBER(MATCH(INDEX($D165:$K165,IF(M165=1,2,1)),入力!$AH$5:$AH$44,0)),1,IF(ISNUMBER(MATCH(INDEX($D165:$K165,IF(M165=1,2,1))&amp;INDEX($D165:$K165,IF(M165=1,2,1)+1),入力!$AH$5:$AH$44,0)),2,IF(ISNUMBER(MATCH(INDEX($D165:$K165,IF(M165=1,2,1))&amp;INDEX($D165:$K165,IF(M165=1,2,1)+1)&amp;INDEX($D165:$K165,IF(M165=1,2,1)+2),入力!$AH$5:$AH$44,0)),3,2)))))))</f>
        <v/>
      </c>
      <c r="AE165">
        <f>IF(V165="","",IF(AND(V165="反映",N(Y165)&gt;20),"要確認（この生徒の取込が20件を超えました）",V165))</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",""),入力!$AH$5:$AH$44,0),"")))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$405,T166,$R$6:$R$405,R166,$X$6:$X$405,"&lt;"&amp;X166))&gt;0,"重複","反映")))))</f>
        <v/>
      </c>
      <c r="W166">
        <f>IF(V166="反映",1,0)</f>
        <v/>
      </c>
      <c r="X166" t="n">
        <v>166</v>
      </c>
      <c r="Y166">
        <f>IF(W166=0,"",COUNTIFS($T$6:$T$405,T166,$W$6:$W$405,1,$S$6:$S$405,"&lt;"&amp;S166)+COUNTIFS($T$6:$T$405,T166,$W$6:$W$405,1,$S$6:$S$405,S166,$X$6:$X$405,"&lt;"&amp;X166)+1)</f>
        <v/>
      </c>
      <c r="Z166">
        <f>IF(Y166="","",T166&amp;"_"&amp;Y166)</f>
        <v/>
      </c>
      <c r="AA166">
        <f>SUBSTITUTE(SUBSTITUTE(SUBSTITUTE(SUBSTITUTE(SUBSTITUTE(INDEX(D166:K166,MIN(8,MAX(1,C166))),"年","/"),"月","/"),"日",""),"-","/"),".","/")</f>
        <v/>
      </c>
      <c r="AB166">
        <f>IFERROR(MATCH(O166,入力!$C$5:$C$44,0),"")</f>
        <v/>
      </c>
      <c r="AC166">
        <f>IF(AB166="","",INDEX(入力!$AH$5:$AH$44,AB166))</f>
        <v/>
      </c>
      <c r="AD166">
        <f>IF(INDEX($D166:$K166,IF(M166=1,2,1))=AC166,1,IF(INDEX($D166:$K166,IF(M166=1,2,1))&amp;INDEX($D166:$K166,IF(M166=1,2,1)+1)=AC166,2,IF(INDEX($D166:$K166,IF(M166=1,2,1))&amp;INDEX($D166:$K166,IF(M166=1,2,1)+1)&amp;INDEX($D166:$K166,IF(M166=1,2,1)+2)=AC166,3,IF(AB166&lt;&gt;"",2,IF(ISNUMBER(MATCH(INDEX($D166:$K166,IF(M166=1,2,1)),入力!$AH$5:$AH$44,0)),1,IF(ISNUMBER(MATCH(INDEX($D166:$K166,IF(M166=1,2,1))&amp;INDEX($D166:$K166,IF(M166=1,2,1)+1),入力!$AH$5:$AH$44,0)),2,IF(ISNUMBER(MATCH(INDEX($D166:$K166,IF(M166=1,2,1))&amp;INDEX($D166:$K166,IF(M166=1,2,1)+1)&amp;INDEX($D166:$K166,IF(M166=1,2,1)+2),入力!$AH$5:$AH$44,0)),3,2)))))))</f>
        <v/>
      </c>
      <c r="AE166">
        <f>IF(V166="","",IF(AND(V166="反映",N(Y166)&gt;20),"要確認（この生徒の取込が20件を超えました）",V166))</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",""),入力!$AH$5:$AH$44,0),"")))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$405,T167,$R$6:$R$405,R167,$X$6:$X$405,"&lt;"&amp;X167))&gt;0,"重複","反映")))))</f>
        <v/>
      </c>
      <c r="W167">
        <f>IF(V167="反映",1,0)</f>
        <v/>
      </c>
      <c r="X167" t="n">
        <v>167</v>
      </c>
      <c r="Y167">
        <f>IF(W167=0,"",COUNTIFS($T$6:$T$405,T167,$W$6:$W$405,1,$S$6:$S$405,"&lt;"&amp;S167)+COUNTIFS($T$6:$T$405,T167,$W$6:$W$405,1,$S$6:$S$405,S167,$X$6:$X$405,"&lt;"&amp;X167)+1)</f>
        <v/>
      </c>
      <c r="Z167">
        <f>IF(Y167="","",T167&amp;"_"&amp;Y167)</f>
        <v/>
      </c>
      <c r="AA167">
        <f>SUBSTITUTE(SUBSTITUTE(SUBSTITUTE(SUBSTITUTE(SUBSTITUTE(INDEX(D167:K167,MIN(8,MAX(1,C167))),"年","/"),"月","/"),"日",""),"-","/"),".","/")</f>
        <v/>
      </c>
      <c r="AB167">
        <f>IFERROR(MATCH(O167,入力!$C$5:$C$44,0),"")</f>
        <v/>
      </c>
      <c r="AC167">
        <f>IF(AB167="","",INDEX(入力!$AH$5:$AH$44,AB167))</f>
        <v/>
      </c>
      <c r="AD167">
        <f>IF(INDEX($D167:$K167,IF(M167=1,2,1))=AC167,1,IF(INDEX($D167:$K167,IF(M167=1,2,1))&amp;INDEX($D167:$K167,IF(M167=1,2,1)+1)=AC167,2,IF(INDEX($D167:$K167,IF(M167=1,2,1))&amp;INDEX($D167:$K167,IF(M167=1,2,1)+1)&amp;INDEX($D167:$K167,IF(M167=1,2,1)+2)=AC167,3,IF(AB167&lt;&gt;"",2,IF(ISNUMBER(MATCH(INDEX($D167:$K167,IF(M167=1,2,1)),入力!$AH$5:$AH$44,0)),1,IF(ISNUMBER(MATCH(INDEX($D167:$K167,IF(M167=1,2,1))&amp;INDEX($D167:$K167,IF(M167=1,2,1)+1),入力!$AH$5:$AH$44,0)),2,IF(ISNUMBER(MATCH(INDEX($D167:$K167,IF(M167=1,2,1))&amp;INDEX($D167:$K167,IF(M167=1,2,1)+1)&amp;INDEX($D167:$K167,IF(M167=1,2,1)+2),入力!$AH$5:$AH$44,0)),3,2)))))))</f>
        <v/>
      </c>
      <c r="AE167">
        <f>IF(V167="","",IF(AND(V167="反映",N(Y167)&gt;20),"要確認（この生徒の取込が20件を超えました）",V167))</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",""),入力!$AH$5:$AH$44,0),"")))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$405,T168,$R$6:$R$405,R168,$X$6:$X$405,"&lt;"&amp;X168))&gt;0,"重複","反映")))))</f>
        <v/>
      </c>
      <c r="W168">
        <f>IF(V168="反映",1,0)</f>
        <v/>
      </c>
      <c r="X168" t="n">
        <v>168</v>
      </c>
      <c r="Y168">
        <f>IF(W168=0,"",COUNTIFS($T$6:$T$405,T168,$W$6:$W$405,1,$S$6:$S$405,"&lt;"&amp;S168)+COUNTIFS($T$6:$T$405,T168,$W$6:$W$405,1,$S$6:$S$405,S168,$X$6:$X$405,"&lt;"&amp;X168)+1)</f>
        <v/>
      </c>
      <c r="Z168">
        <f>IF(Y168="","",T168&amp;"_"&amp;Y168)</f>
        <v/>
      </c>
      <c r="AA168">
        <f>SUBSTITUTE(SUBSTITUTE(SUBSTITUTE(SUBSTITUTE(SUBSTITUTE(INDEX(D168:K168,MIN(8,MAX(1,C168))),"年","/"),"月","/"),"日",""),"-","/"),".","/")</f>
        <v/>
      </c>
      <c r="AB168">
        <f>IFERROR(MATCH(O168,入力!$C$5:$C$44,0),"")</f>
        <v/>
      </c>
      <c r="AC168">
        <f>IF(AB168="","",INDEX(入力!$AH$5:$AH$44,AB168))</f>
        <v/>
      </c>
      <c r="AD168">
        <f>IF(INDEX($D168:$K168,IF(M168=1,2,1))=AC168,1,IF(INDEX($D168:$K168,IF(M168=1,2,1))&amp;INDEX($D168:$K168,IF(M168=1,2,1)+1)=AC168,2,IF(INDEX($D168:$K168,IF(M168=1,2,1))&amp;INDEX($D168:$K168,IF(M168=1,2,1)+1)&amp;INDEX($D168:$K168,IF(M168=1,2,1)+2)=AC168,3,IF(AB168&lt;&gt;"",2,IF(ISNUMBER(MATCH(INDEX($D168:$K168,IF(M168=1,2,1)),入力!$AH$5:$AH$44,0)),1,IF(ISNUMBER(MATCH(INDEX($D168:$K168,IF(M168=1,2,1))&amp;INDEX($D168:$K168,IF(M168=1,2,1)+1),入力!$AH$5:$AH$44,0)),2,IF(ISNUMBER(MATCH(INDEX($D168:$K168,IF(M168=1,2,1))&amp;INDEX($D168:$K168,IF(M168=1,2,1)+1)&amp;INDEX($D168:$K168,IF(M168=1,2,1)+2),入力!$AH$5:$AH$44,0)),3,2)))))))</f>
        <v/>
      </c>
      <c r="AE168">
        <f>IF(V168="","",IF(AND(V168="反映",N(Y168)&gt;20),"要確認（この生徒の取込が20件を超えました）",V168))</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",""),入力!$AH$5:$AH$44,0),"")))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$405,T169,$R$6:$R$405,R169,$X$6:$X$405,"&lt;"&amp;X169))&gt;0,"重複","反映")))))</f>
        <v/>
      </c>
      <c r="W169">
        <f>IF(V169="反映",1,0)</f>
        <v/>
      </c>
      <c r="X169" t="n">
        <v>169</v>
      </c>
      <c r="Y169">
        <f>IF(W169=0,"",COUNTIFS($T$6:$T$405,T169,$W$6:$W$405,1,$S$6:$S$405,"&lt;"&amp;S169)+COUNTIFS($T$6:$T$405,T169,$W$6:$W$405,1,$S$6:$S$405,S169,$X$6:$X$405,"&lt;"&amp;X169)+1)</f>
        <v/>
      </c>
      <c r="Z169">
        <f>IF(Y169="","",T169&amp;"_"&amp;Y169)</f>
        <v/>
      </c>
      <c r="AA169">
        <f>SUBSTITUTE(SUBSTITUTE(SUBSTITUTE(SUBSTITUTE(SUBSTITUTE(INDEX(D169:K169,MIN(8,MAX(1,C169))),"年","/"),"月","/"),"日",""),"-","/"),".","/")</f>
        <v/>
      </c>
      <c r="AB169">
        <f>IFERROR(MATCH(O169,入力!$C$5:$C$44,0),"")</f>
        <v/>
      </c>
      <c r="AC169">
        <f>IF(AB169="","",INDEX(入力!$AH$5:$AH$44,AB169))</f>
        <v/>
      </c>
      <c r="AD169">
        <f>IF(INDEX($D169:$K169,IF(M169=1,2,1))=AC169,1,IF(INDEX($D169:$K169,IF(M169=1,2,1))&amp;INDEX($D169:$K169,IF(M169=1,2,1)+1)=AC169,2,IF(INDEX($D169:$K169,IF(M169=1,2,1))&amp;INDEX($D169:$K169,IF(M169=1,2,1)+1)&amp;INDEX($D169:$K169,IF(M169=1,2,1)+2)=AC169,3,IF(AB169&lt;&gt;"",2,IF(ISNUMBER(MATCH(INDEX($D169:$K169,IF(M169=1,2,1)),入力!$AH$5:$AH$44,0)),1,IF(ISNUMBER(MATCH(INDEX($D169:$K169,IF(M169=1,2,1))&amp;INDEX($D169:$K169,IF(M169=1,2,1)+1),入力!$AH$5:$AH$44,0)),2,IF(ISNUMBER(MATCH(INDEX($D169:$K169,IF(M169=1,2,1))&amp;INDEX($D169:$K169,IF(M169=1,2,1)+1)&amp;INDEX($D169:$K169,IF(M169=1,2,1)+2),入力!$AH$5:$AH$44,0)),3,2)))))))</f>
        <v/>
      </c>
      <c r="AE169">
        <f>IF(V169="","",IF(AND(V169="反映",N(Y169)&gt;20),"要確認（この生徒の取込が20件を超えました）",V169))</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",""),入力!$AH$5:$AH$44,0),"")))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$405,T170,$R$6:$R$405,R170,$X$6:$X$405,"&lt;"&amp;X170))&gt;0,"重複","反映")))))</f>
        <v/>
      </c>
      <c r="W170">
        <f>IF(V170="反映",1,0)</f>
        <v/>
      </c>
      <c r="X170" t="n">
        <v>170</v>
      </c>
      <c r="Y170">
        <f>IF(W170=0,"",COUNTIFS($T$6:$T$405,T170,$W$6:$W$405,1,$S$6:$S$405,"&lt;"&amp;S170)+COUNTIFS($T$6:$T$405,T170,$W$6:$W$405,1,$S$6:$S$405,S170,$X$6:$X$405,"&lt;"&amp;X170)+1)</f>
        <v/>
      </c>
      <c r="Z170">
        <f>IF(Y170="","",T170&amp;"_"&amp;Y170)</f>
        <v/>
      </c>
      <c r="AA170">
        <f>SUBSTITUTE(SUBSTITUTE(SUBSTITUTE(SUBSTITUTE(SUBSTITUTE(INDEX(D170:K170,MIN(8,MAX(1,C170))),"年","/"),"月","/"),"日",""),"-","/"),".","/")</f>
        <v/>
      </c>
      <c r="AB170">
        <f>IFERROR(MATCH(O170,入力!$C$5:$C$44,0),"")</f>
        <v/>
      </c>
      <c r="AC170">
        <f>IF(AB170="","",INDEX(入力!$AH$5:$AH$44,AB170))</f>
        <v/>
      </c>
      <c r="AD170">
        <f>IF(INDEX($D170:$K170,IF(M170=1,2,1))=AC170,1,IF(INDEX($D170:$K170,IF(M170=1,2,1))&amp;INDEX($D170:$K170,IF(M170=1,2,1)+1)=AC170,2,IF(INDEX($D170:$K170,IF(M170=1,2,1))&amp;INDEX($D170:$K170,IF(M170=1,2,1)+1)&amp;INDEX($D170:$K170,IF(M170=1,2,1)+2)=AC170,3,IF(AB170&lt;&gt;"",2,IF(ISNUMBER(MATCH(INDEX($D170:$K170,IF(M170=1,2,1)),入力!$AH$5:$AH$44,0)),1,IF(ISNUMBER(MATCH(INDEX($D170:$K170,IF(M170=1,2,1))&amp;INDEX($D170:$K170,IF(M170=1,2,1)+1),入力!$AH$5:$AH$44,0)),2,IF(ISNUMBER(MATCH(INDEX($D170:$K170,IF(M170=1,2,1))&amp;INDEX($D170:$K170,IF(M170=1,2,1)+1)&amp;INDEX($D170:$K170,IF(M170=1,2,1)+2),入力!$AH$5:$AH$44,0)),3,2)))))))</f>
        <v/>
      </c>
      <c r="AE170">
        <f>IF(V170="","",IF(AND(V170="反映",N(Y170)&gt;20),"要確認（この生徒の取込が20件を超えました）",V170))</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",""),入力!$AH$5:$AH$44,0),"")))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$405,T171,$R$6:$R$405,R171,$X$6:$X$405,"&lt;"&amp;X171))&gt;0,"重複","反映")))))</f>
        <v/>
      </c>
      <c r="W171">
        <f>IF(V171="反映",1,0)</f>
        <v/>
      </c>
      <c r="X171" t="n">
        <v>171</v>
      </c>
      <c r="Y171">
        <f>IF(W171=0,"",COUNTIFS($T$6:$T$405,T171,$W$6:$W$405,1,$S$6:$S$405,"&lt;"&amp;S171)+COUNTIFS($T$6:$T$405,T171,$W$6:$W$405,1,$S$6:$S$405,S171,$X$6:$X$405,"&lt;"&amp;X171)+1)</f>
        <v/>
      </c>
      <c r="Z171">
        <f>IF(Y171="","",T171&amp;"_"&amp;Y171)</f>
        <v/>
      </c>
      <c r="AA171">
        <f>SUBSTITUTE(SUBSTITUTE(SUBSTITUTE(SUBSTITUTE(SUBSTITUTE(INDEX(D171:K171,MIN(8,MAX(1,C171))),"年","/"),"月","/"),"日",""),"-","/"),".","/")</f>
        <v/>
      </c>
      <c r="AB171">
        <f>IFERROR(MATCH(O171,入力!$C$5:$C$44,0),"")</f>
        <v/>
      </c>
      <c r="AC171">
        <f>IF(AB171="","",INDEX(入力!$AH$5:$AH$44,AB171))</f>
        <v/>
      </c>
      <c r="AD171">
        <f>IF(INDEX($D171:$K171,IF(M171=1,2,1))=AC171,1,IF(INDEX($D171:$K171,IF(M171=1,2,1))&amp;INDEX($D171:$K171,IF(M171=1,2,1)+1)=AC171,2,IF(INDEX($D171:$K171,IF(M171=1,2,1))&amp;INDEX($D171:$K171,IF(M171=1,2,1)+1)&amp;INDEX($D171:$K171,IF(M171=1,2,1)+2)=AC171,3,IF(AB171&lt;&gt;"",2,IF(ISNUMBER(MATCH(INDEX($D171:$K171,IF(M171=1,2,1)),入力!$AH$5:$AH$44,0)),1,IF(ISNUMBER(MATCH(INDEX($D171:$K171,IF(M171=1,2,1))&amp;INDEX($D171:$K171,IF(M171=1,2,1)+1),入力!$AH$5:$AH$44,0)),2,IF(ISNUMBER(MATCH(INDEX($D171:$K171,IF(M171=1,2,1))&amp;INDEX($D171:$K171,IF(M171=1,2,1)+1)&amp;INDEX($D171:$K171,IF(M171=1,2,1)+2),入力!$AH$5:$AH$44,0)),3,2)))))))</f>
        <v/>
      </c>
      <c r="AE171">
        <f>IF(V171="","",IF(AND(V171="反映",N(Y171)&gt;20),"要確認（この生徒の取込が20件を超えました）",V171))</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",""),入力!$AH$5:$AH$44,0),"")))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$405,T172,$R$6:$R$405,R172,$X$6:$X$405,"&lt;"&amp;X172))&gt;0,"重複","反映")))))</f>
        <v/>
      </c>
      <c r="W172">
        <f>IF(V172="反映",1,0)</f>
        <v/>
      </c>
      <c r="X172" t="n">
        <v>172</v>
      </c>
      <c r="Y172">
        <f>IF(W172=0,"",COUNTIFS($T$6:$T$405,T172,$W$6:$W$405,1,$S$6:$S$405,"&lt;"&amp;S172)+COUNTIFS($T$6:$T$405,T172,$W$6:$W$405,1,$S$6:$S$405,S172,$X$6:$X$405,"&lt;"&amp;X172)+1)</f>
        <v/>
      </c>
      <c r="Z172">
        <f>IF(Y172="","",T172&amp;"_"&amp;Y172)</f>
        <v/>
      </c>
      <c r="AA172">
        <f>SUBSTITUTE(SUBSTITUTE(SUBSTITUTE(SUBSTITUTE(SUBSTITUTE(INDEX(D172:K172,MIN(8,MAX(1,C172))),"年","/"),"月","/"),"日",""),"-","/"),".","/")</f>
        <v/>
      </c>
      <c r="AB172">
        <f>IFERROR(MATCH(O172,入力!$C$5:$C$44,0),"")</f>
        <v/>
      </c>
      <c r="AC172">
        <f>IF(AB172="","",INDEX(入力!$AH$5:$AH$44,AB172))</f>
        <v/>
      </c>
      <c r="AD172">
        <f>IF(INDEX($D172:$K172,IF(M172=1,2,1))=AC172,1,IF(INDEX($D172:$K172,IF(M172=1,2,1))&amp;INDEX($D172:$K172,IF(M172=1,2,1)+1)=AC172,2,IF(INDEX($D172:$K172,IF(M172=1,2,1))&amp;INDEX($D172:$K172,IF(M172=1,2,1)+1)&amp;INDEX($D172:$K172,IF(M172=1,2,1)+2)=AC172,3,IF(AB172&lt;&gt;"",2,IF(ISNUMBER(MATCH(INDEX($D172:$K172,IF(M172=1,2,1)),入力!$AH$5:$AH$44,0)),1,IF(ISNUMBER(MATCH(INDEX($D172:$K172,IF(M172=1,2,1))&amp;INDEX($D172:$K172,IF(M172=1,2,1)+1),入力!$AH$5:$AH$44,0)),2,IF(ISNUMBER(MATCH(INDEX($D172:$K172,IF(M172=1,2,1))&amp;INDEX($D172:$K172,IF(M172=1,2,1)+1)&amp;INDEX($D172:$K172,IF(M172=1,2,1)+2),入力!$AH$5:$AH$44,0)),3,2)))))))</f>
        <v/>
      </c>
      <c r="AE172">
        <f>IF(V172="","",IF(AND(V172="反映",N(Y172)&gt;20),"要確認（この生徒の取込が20件を超えました）",V172))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",""),入力!$AH$5:$AH$44,0),"")))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$405,T173,$R$6:$R$405,R173,$X$6:$X$405,"&lt;"&amp;X173))&gt;0,"重複","反映")))))</f>
        <v/>
      </c>
      <c r="W173">
        <f>IF(V173="反映",1,0)</f>
        <v/>
      </c>
      <c r="X173" t="n">
        <v>173</v>
      </c>
      <c r="Y173">
        <f>IF(W173=0,"",COUNTIFS($T$6:$T$405,T173,$W$6:$W$405,1,$S$6:$S$405,"&lt;"&amp;S173)+COUNTIFS($T$6:$T$405,T173,$W$6:$W$405,1,$S$6:$S$405,S173,$X$6:$X$405,"&lt;"&amp;X173)+1)</f>
        <v/>
      </c>
      <c r="Z173">
        <f>IF(Y173="","",T173&amp;"_"&amp;Y173)</f>
        <v/>
      </c>
      <c r="AA173">
        <f>SUBSTITUTE(SUBSTITUTE(SUBSTITUTE(SUBSTITUTE(SUBSTITUTE(INDEX(D173:K173,MIN(8,MAX(1,C173))),"年","/"),"月","/"),"日",""),"-","/"),".","/")</f>
        <v/>
      </c>
      <c r="AB173">
        <f>IFERROR(MATCH(O173,入力!$C$5:$C$44,0),"")</f>
        <v/>
      </c>
      <c r="AC173">
        <f>IF(AB173="","",INDEX(入力!$AH$5:$AH$44,AB173))</f>
        <v/>
      </c>
      <c r="AD173">
        <f>IF(INDEX($D173:$K173,IF(M173=1,2,1))=AC173,1,IF(INDEX($D173:$K173,IF(M173=1,2,1))&amp;INDEX($D173:$K173,IF(M173=1,2,1)+1)=AC173,2,IF(INDEX($D173:$K173,IF(M173=1,2,1))&amp;INDEX($D173:$K173,IF(M173=1,2,1)+1)&amp;INDEX($D173:$K173,IF(M173=1,2,1)+2)=AC173,3,IF(AB173&lt;&gt;"",2,IF(ISNUMBER(MATCH(INDEX($D173:$K173,IF(M173=1,2,1)),入力!$AH$5:$AH$44,0)),1,IF(ISNUMBER(MATCH(INDEX($D173:$K173,IF(M173=1,2,1))&amp;INDEX($D173:$K173,IF(M173=1,2,1)+1),入力!$AH$5:$AH$44,0)),2,IF(ISNUMBER(MATCH(INDEX($D173:$K173,IF(M173=1,2,1))&amp;INDEX($D173:$K173,IF(M173=1,2,1)+1)&amp;INDEX($D173:$K173,IF(M173=1,2,1)+2),入力!$AH$5:$AH$44,0)),3,2)))))))</f>
        <v/>
      </c>
      <c r="AE173">
        <f>IF(V173="","",IF(AND(V173="反映",N(Y173)&gt;20),"要確認（この生徒の取込が20件を超えました）",V173))</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",""),入力!$AH$5:$AH$44,0),"")))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$405,T174,$R$6:$R$405,R174,$X$6:$X$405,"&lt;"&amp;X174))&gt;0,"重複","反映")))))</f>
        <v/>
      </c>
      <c r="W174">
        <f>IF(V174="反映",1,0)</f>
        <v/>
      </c>
      <c r="X174" t="n">
        <v>174</v>
      </c>
      <c r="Y174">
        <f>IF(W174=0,"",COUNTIFS($T$6:$T$405,T174,$W$6:$W$405,1,$S$6:$S$405,"&lt;"&amp;S174)+COUNTIFS($T$6:$T$405,T174,$W$6:$W$405,1,$S$6:$S$405,S174,$X$6:$X$405,"&lt;"&amp;X174)+1)</f>
        <v/>
      </c>
      <c r="Z174">
        <f>IF(Y174="","",T174&amp;"_"&amp;Y174)</f>
        <v/>
      </c>
      <c r="AA174">
        <f>SUBSTITUTE(SUBSTITUTE(SUBSTITUTE(SUBSTITUTE(SUBSTITUTE(INDEX(D174:K174,MIN(8,MAX(1,C174))),"年","/"),"月","/"),"日",""),"-","/"),".","/")</f>
        <v/>
      </c>
      <c r="AB174">
        <f>IFERROR(MATCH(O174,入力!$C$5:$C$44,0),"")</f>
        <v/>
      </c>
      <c r="AC174">
        <f>IF(AB174="","",INDEX(入力!$AH$5:$AH$44,AB174))</f>
        <v/>
      </c>
      <c r="AD174">
        <f>IF(INDEX($D174:$K174,IF(M174=1,2,1))=AC174,1,IF(INDEX($D174:$K174,IF(M174=1,2,1))&amp;INDEX($D174:$K174,IF(M174=1,2,1)+1)=AC174,2,IF(INDEX($D174:$K174,IF(M174=1,2,1))&amp;INDEX($D174:$K174,IF(M174=1,2,1)+1)&amp;INDEX($D174:$K174,IF(M174=1,2,1)+2)=AC174,3,IF(AB174&lt;&gt;"",2,IF(ISNUMBER(MATCH(INDEX($D174:$K174,IF(M174=1,2,1)),入力!$AH$5:$AH$44,0)),1,IF(ISNUMBER(MATCH(INDEX($D174:$K174,IF(M174=1,2,1))&amp;INDEX($D174:$K174,IF(M174=1,2,1)+1),入力!$AH$5:$AH$44,0)),2,IF(ISNUMBER(MATCH(INDEX($D174:$K174,IF(M174=1,2,1))&amp;INDEX($D174:$K174,IF(M174=1,2,1)+1)&amp;INDEX($D174:$K174,IF(M174=1,2,1)+2),入力!$AH$5:$AH$44,0)),3,2)))))))</f>
        <v/>
      </c>
      <c r="AE174">
        <f>IF(V174="","",IF(AND(V174="反映",N(Y174)&gt;20),"要確認（この生徒の取込が20件を超えました）",V174))</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",""),入力!$AH$5:$AH$44,0),"")))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$405,T175,$R$6:$R$405,R175,$X$6:$X$405,"&lt;"&amp;X175))&gt;0,"重複","反映")))))</f>
        <v/>
      </c>
      <c r="W175">
        <f>IF(V175="反映",1,0)</f>
        <v/>
      </c>
      <c r="X175" t="n">
        <v>175</v>
      </c>
      <c r="Y175">
        <f>IF(W175=0,"",COUNTIFS($T$6:$T$405,T175,$W$6:$W$405,1,$S$6:$S$405,"&lt;"&amp;S175)+COUNTIFS($T$6:$T$405,T175,$W$6:$W$405,1,$S$6:$S$405,S175,$X$6:$X$405,"&lt;"&amp;X175)+1)</f>
        <v/>
      </c>
      <c r="Z175">
        <f>IF(Y175="","",T175&amp;"_"&amp;Y175)</f>
        <v/>
      </c>
      <c r="AA175">
        <f>SUBSTITUTE(SUBSTITUTE(SUBSTITUTE(SUBSTITUTE(SUBSTITUTE(INDEX(D175:K175,MIN(8,MAX(1,C175))),"年","/"),"月","/"),"日",""),"-","/"),".","/")</f>
        <v/>
      </c>
      <c r="AB175">
        <f>IFERROR(MATCH(O175,入力!$C$5:$C$44,0),"")</f>
        <v/>
      </c>
      <c r="AC175">
        <f>IF(AB175="","",INDEX(入力!$AH$5:$AH$44,AB175))</f>
        <v/>
      </c>
      <c r="AD175">
        <f>IF(INDEX($D175:$K175,IF(M175=1,2,1))=AC175,1,IF(INDEX($D175:$K175,IF(M175=1,2,1))&amp;INDEX($D175:$K175,IF(M175=1,2,1)+1)=AC175,2,IF(INDEX($D175:$K175,IF(M175=1,2,1))&amp;INDEX($D175:$K175,IF(M175=1,2,1)+1)&amp;INDEX($D175:$K175,IF(M175=1,2,1)+2)=AC175,3,IF(AB175&lt;&gt;"",2,IF(ISNUMBER(MATCH(INDEX($D175:$K175,IF(M175=1,2,1)),入力!$AH$5:$AH$44,0)),1,IF(ISNUMBER(MATCH(INDEX($D175:$K175,IF(M175=1,2,1))&amp;INDEX($D175:$K175,IF(M175=1,2,1)+1),入力!$AH$5:$AH$44,0)),2,IF(ISNUMBER(MATCH(INDEX($D175:$K175,IF(M175=1,2,1))&amp;INDEX($D175:$K175,IF(M175=1,2,1)+1)&amp;INDEX($D175:$K175,IF(M175=1,2,1)+2),入力!$AH$5:$AH$44,0)),3,2)))))))</f>
        <v/>
      </c>
      <c r="AE175">
        <f>IF(V175="","",IF(AND(V175="反映",N(Y175)&gt;20),"要確認（この生徒の取込が20件を超えました）",V175))</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",""),入力!$AH$5:$AH$44,0),"")))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$405,T176,$R$6:$R$405,R176,$X$6:$X$405,"&lt;"&amp;X176))&gt;0,"重複","反映")))))</f>
        <v/>
      </c>
      <c r="W176">
        <f>IF(V176="反映",1,0)</f>
        <v/>
      </c>
      <c r="X176" t="n">
        <v>176</v>
      </c>
      <c r="Y176">
        <f>IF(W176=0,"",COUNTIFS($T$6:$T$405,T176,$W$6:$W$405,1,$S$6:$S$405,"&lt;"&amp;S176)+COUNTIFS($T$6:$T$405,T176,$W$6:$W$405,1,$S$6:$S$405,S176,$X$6:$X$405,"&lt;"&amp;X176)+1)</f>
        <v/>
      </c>
      <c r="Z176">
        <f>IF(Y176="","",T176&amp;"_"&amp;Y176)</f>
        <v/>
      </c>
      <c r="AA176">
        <f>SUBSTITUTE(SUBSTITUTE(SUBSTITUTE(SUBSTITUTE(SUBSTITUTE(INDEX(D176:K176,MIN(8,MAX(1,C176))),"年","/"),"月","/"),"日",""),"-","/"),".","/")</f>
        <v/>
      </c>
      <c r="AB176">
        <f>IFERROR(MATCH(O176,入力!$C$5:$C$44,0),"")</f>
        <v/>
      </c>
      <c r="AC176">
        <f>IF(AB176="","",INDEX(入力!$AH$5:$AH$44,AB176))</f>
        <v/>
      </c>
      <c r="AD176">
        <f>IF(INDEX($D176:$K176,IF(M176=1,2,1))=AC176,1,IF(INDEX($D176:$K176,IF(M176=1,2,1))&amp;INDEX($D176:$K176,IF(M176=1,2,1)+1)=AC176,2,IF(INDEX($D176:$K176,IF(M176=1,2,1))&amp;INDEX($D176:$K176,IF(M176=1,2,1)+1)&amp;INDEX($D176:$K176,IF(M176=1,2,1)+2)=AC176,3,IF(AB176&lt;&gt;"",2,IF(ISNUMBER(MATCH(INDEX($D176:$K176,IF(M176=1,2,1)),入力!$AH$5:$AH$44,0)),1,IF(ISNUMBER(MATCH(INDEX($D176:$K176,IF(M176=1,2,1))&amp;INDEX($D176:$K176,IF(M176=1,2,1)+1),入力!$AH$5:$AH$44,0)),2,IF(ISNUMBER(MATCH(INDEX($D176:$K176,IF(M176=1,2,1))&amp;INDEX($D176:$K176,IF(M176=1,2,1)+1)&amp;INDEX($D176:$K176,IF(M176=1,2,1)+2),入力!$AH$5:$AH$44,0)),3,2)))))))</f>
        <v/>
      </c>
      <c r="AE176">
        <f>IF(V176="","",IF(AND(V176="反映",N(Y176)&gt;20),"要確認（この生徒の取込が20件を超えました）",V176))</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",""),入力!$AH$5:$AH$44,0),"")))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$405,T177,$R$6:$R$405,R177,$X$6:$X$405,"&lt;"&amp;X177))&gt;0,"重複","反映")))))</f>
        <v/>
      </c>
      <c r="W177">
        <f>IF(V177="反映",1,0)</f>
        <v/>
      </c>
      <c r="X177" t="n">
        <v>177</v>
      </c>
      <c r="Y177">
        <f>IF(W177=0,"",COUNTIFS($T$6:$T$405,T177,$W$6:$W$405,1,$S$6:$S$405,"&lt;"&amp;S177)+COUNTIFS($T$6:$T$405,T177,$W$6:$W$405,1,$S$6:$S$405,S177,$X$6:$X$405,"&lt;"&amp;X177)+1)</f>
        <v/>
      </c>
      <c r="Z177">
        <f>IF(Y177="","",T177&amp;"_"&amp;Y177)</f>
        <v/>
      </c>
      <c r="AA177">
        <f>SUBSTITUTE(SUBSTITUTE(SUBSTITUTE(SUBSTITUTE(SUBSTITUTE(INDEX(D177:K177,MIN(8,MAX(1,C177))),"年","/"),"月","/"),"日",""),"-","/"),".","/")</f>
        <v/>
      </c>
      <c r="AB177">
        <f>IFERROR(MATCH(O177,入力!$C$5:$C$44,0),"")</f>
        <v/>
      </c>
      <c r="AC177">
        <f>IF(AB177="","",INDEX(入力!$AH$5:$AH$44,AB177))</f>
        <v/>
      </c>
      <c r="AD177">
        <f>IF(INDEX($D177:$K177,IF(M177=1,2,1))=AC177,1,IF(INDEX($D177:$K177,IF(M177=1,2,1))&amp;INDEX($D177:$K177,IF(M177=1,2,1)+1)=AC177,2,IF(INDEX($D177:$K177,IF(M177=1,2,1))&amp;INDEX($D177:$K177,IF(M177=1,2,1)+1)&amp;INDEX($D177:$K177,IF(M177=1,2,1)+2)=AC177,3,IF(AB177&lt;&gt;"",2,IF(ISNUMBER(MATCH(INDEX($D177:$K177,IF(M177=1,2,1)),入力!$AH$5:$AH$44,0)),1,IF(ISNUMBER(MATCH(INDEX($D177:$K177,IF(M177=1,2,1))&amp;INDEX($D177:$K177,IF(M177=1,2,1)+1),入力!$AH$5:$AH$44,0)),2,IF(ISNUMBER(MATCH(INDEX($D177:$K177,IF(M177=1,2,1))&amp;INDEX($D177:$K177,IF(M177=1,2,1)+1)&amp;INDEX($D177:$K177,IF(M177=1,2,1)+2),入力!$AH$5:$AH$44,0)),3,2)))))))</f>
        <v/>
      </c>
      <c r="AE177">
        <f>IF(V177="","",IF(AND(V177="反映",N(Y177)&gt;20),"要確認（この生徒の取込が20件を超えました）",V177))</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",""),入力!$AH$5:$AH$44,0),"")))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$405,T178,$R$6:$R$405,R178,$X$6:$X$405,"&lt;"&amp;X178))&gt;0,"重複","反映")))))</f>
        <v/>
      </c>
      <c r="W178">
        <f>IF(V178="反映",1,0)</f>
        <v/>
      </c>
      <c r="X178" t="n">
        <v>178</v>
      </c>
      <c r="Y178">
        <f>IF(W178=0,"",COUNTIFS($T$6:$T$405,T178,$W$6:$W$405,1,$S$6:$S$405,"&lt;"&amp;S178)+COUNTIFS($T$6:$T$405,T178,$W$6:$W$405,1,$S$6:$S$405,S178,$X$6:$X$405,"&lt;"&amp;X178)+1)</f>
        <v/>
      </c>
      <c r="Z178">
        <f>IF(Y178="","",T178&amp;"_"&amp;Y178)</f>
        <v/>
      </c>
      <c r="AA178">
        <f>SUBSTITUTE(SUBSTITUTE(SUBSTITUTE(SUBSTITUTE(SUBSTITUTE(INDEX(D178:K178,MIN(8,MAX(1,C178))),"年","/"),"月","/"),"日",""),"-","/"),".","/")</f>
        <v/>
      </c>
      <c r="AB178">
        <f>IFERROR(MATCH(O178,入力!$C$5:$C$44,0),"")</f>
        <v/>
      </c>
      <c r="AC178">
        <f>IF(AB178="","",INDEX(入力!$AH$5:$AH$44,AB178))</f>
        <v/>
      </c>
      <c r="AD178">
        <f>IF(INDEX($D178:$K178,IF(M178=1,2,1))=AC178,1,IF(INDEX($D178:$K178,IF(M178=1,2,1))&amp;INDEX($D178:$K178,IF(M178=1,2,1)+1)=AC178,2,IF(INDEX($D178:$K178,IF(M178=1,2,1))&amp;INDEX($D178:$K178,IF(M178=1,2,1)+1)&amp;INDEX($D178:$K178,IF(M178=1,2,1)+2)=AC178,3,IF(AB178&lt;&gt;"",2,IF(ISNUMBER(MATCH(INDEX($D178:$K178,IF(M178=1,2,1)),入力!$AH$5:$AH$44,0)),1,IF(ISNUMBER(MATCH(INDEX($D178:$K178,IF(M178=1,2,1))&amp;INDEX($D178:$K178,IF(M178=1,2,1)+1),入力!$AH$5:$AH$44,0)),2,IF(ISNUMBER(MATCH(INDEX($D178:$K178,IF(M178=1,2,1))&amp;INDEX($D178:$K178,IF(M178=1,2,1)+1)&amp;INDEX($D178:$K178,IF(M178=1,2,1)+2),入力!$AH$5:$AH$44,0)),3,2)))))))</f>
        <v/>
      </c>
      <c r="AE178">
        <f>IF(V178="","",IF(AND(V178="反映",N(Y178)&gt;20),"要確認（この生徒の取込が20件を超えました）",V178))</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",""),入力!$AH$5:$AH$44,0),"")))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$405,T179,$R$6:$R$405,R179,$X$6:$X$405,"&lt;"&amp;X179))&gt;0,"重複","反映")))))</f>
        <v/>
      </c>
      <c r="W179">
        <f>IF(V179="反映",1,0)</f>
        <v/>
      </c>
      <c r="X179" t="n">
        <v>179</v>
      </c>
      <c r="Y179">
        <f>IF(W179=0,"",COUNTIFS($T$6:$T$405,T179,$W$6:$W$405,1,$S$6:$S$405,"&lt;"&amp;S179)+COUNTIFS($T$6:$T$405,T179,$W$6:$W$405,1,$S$6:$S$405,S179,$X$6:$X$405,"&lt;"&amp;X179)+1)</f>
        <v/>
      </c>
      <c r="Z179">
        <f>IF(Y179="","",T179&amp;"_"&amp;Y179)</f>
        <v/>
      </c>
      <c r="AA179">
        <f>SUBSTITUTE(SUBSTITUTE(SUBSTITUTE(SUBSTITUTE(SUBSTITUTE(INDEX(D179:K179,MIN(8,MAX(1,C179))),"年","/"),"月","/"),"日",""),"-","/"),".","/")</f>
        <v/>
      </c>
      <c r="AB179">
        <f>IFERROR(MATCH(O179,入力!$C$5:$C$44,0),"")</f>
        <v/>
      </c>
      <c r="AC179">
        <f>IF(AB179="","",INDEX(入力!$AH$5:$AH$44,AB179))</f>
        <v/>
      </c>
      <c r="AD179">
        <f>IF(INDEX($D179:$K179,IF(M179=1,2,1))=AC179,1,IF(INDEX($D179:$K179,IF(M179=1,2,1))&amp;INDEX($D179:$K179,IF(M179=1,2,1)+1)=AC179,2,IF(INDEX($D179:$K179,IF(M179=1,2,1))&amp;INDEX($D179:$K179,IF(M179=1,2,1)+1)&amp;INDEX($D179:$K179,IF(M179=1,2,1)+2)=AC179,3,IF(AB179&lt;&gt;"",2,IF(ISNUMBER(MATCH(INDEX($D179:$K179,IF(M179=1,2,1)),入力!$AH$5:$AH$44,0)),1,IF(ISNUMBER(MATCH(INDEX($D179:$K179,IF(M179=1,2,1))&amp;INDEX($D179:$K179,IF(M179=1,2,1)+1),入力!$AH$5:$AH$44,0)),2,IF(ISNUMBER(MATCH(INDEX($D179:$K179,IF(M179=1,2,1))&amp;INDEX($D179:$K179,IF(M179=1,2,1)+1)&amp;INDEX($D179:$K179,IF(M179=1,2,1)+2),入力!$AH$5:$AH$44,0)),3,2)))))))</f>
        <v/>
      </c>
      <c r="AE179">
        <f>IF(V179="","",IF(AND(V179="反映",N(Y179)&gt;20),"要確認（この生徒の取込が20件を超えました）",V179))</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",""),入力!$AH$5:$AH$44,0),"")))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$405,T180,$R$6:$R$405,R180,$X$6:$X$405,"&lt;"&amp;X180))&gt;0,"重複","反映")))))</f>
        <v/>
      </c>
      <c r="W180">
        <f>IF(V180="反映",1,0)</f>
        <v/>
      </c>
      <c r="X180" t="n">
        <v>180</v>
      </c>
      <c r="Y180">
        <f>IF(W180=0,"",COUNTIFS($T$6:$T$405,T180,$W$6:$W$405,1,$S$6:$S$405,"&lt;"&amp;S180)+COUNTIFS($T$6:$T$405,T180,$W$6:$W$405,1,$S$6:$S$405,S180,$X$6:$X$405,"&lt;"&amp;X180)+1)</f>
        <v/>
      </c>
      <c r="Z180">
        <f>IF(Y180="","",T180&amp;"_"&amp;Y180)</f>
        <v/>
      </c>
      <c r="AA180">
        <f>SUBSTITUTE(SUBSTITUTE(SUBSTITUTE(SUBSTITUTE(SUBSTITUTE(INDEX(D180:K180,MIN(8,MAX(1,C180))),"年","/"),"月","/"),"日",""),"-","/"),".","/")</f>
        <v/>
      </c>
      <c r="AB180">
        <f>IFERROR(MATCH(O180,入力!$C$5:$C$44,0),"")</f>
        <v/>
      </c>
      <c r="AC180">
        <f>IF(AB180="","",INDEX(入力!$AH$5:$AH$44,AB180))</f>
        <v/>
      </c>
      <c r="AD180">
        <f>IF(INDEX($D180:$K180,IF(M180=1,2,1))=AC180,1,IF(INDEX($D180:$K180,IF(M180=1,2,1))&amp;INDEX($D180:$K180,IF(M180=1,2,1)+1)=AC180,2,IF(INDEX($D180:$K180,IF(M180=1,2,1))&amp;INDEX($D180:$K180,IF(M180=1,2,1)+1)&amp;INDEX($D180:$K180,IF(M180=1,2,1)+2)=AC180,3,IF(AB180&lt;&gt;"",2,IF(ISNUMBER(MATCH(INDEX($D180:$K180,IF(M180=1,2,1)),入力!$AH$5:$AH$44,0)),1,IF(ISNUMBER(MATCH(INDEX($D180:$K180,IF(M180=1,2,1))&amp;INDEX($D180:$K180,IF(M180=1,2,1)+1),入力!$AH$5:$AH$44,0)),2,IF(ISNUMBER(MATCH(INDEX($D180:$K180,IF(M180=1,2,1))&amp;INDEX($D180:$K180,IF(M180=1,2,1)+1)&amp;INDEX($D180:$K180,IF(M180=1,2,1)+2),入力!$AH$5:$AH$44,0)),3,2)))))))</f>
        <v/>
      </c>
      <c r="AE180">
        <f>IF(V180="","",IF(AND(V180="反映",N(Y180)&gt;20),"要確認（この生徒の取込が20件を超えました）",V180))</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",""),入力!$AH$5:$AH$44,0),"")))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$405,T181,$R$6:$R$405,R181,$X$6:$X$405,"&lt;"&amp;X181))&gt;0,"重複","反映")))))</f>
        <v/>
      </c>
      <c r="W181">
        <f>IF(V181="反映",1,0)</f>
        <v/>
      </c>
      <c r="X181" t="n">
        <v>181</v>
      </c>
      <c r="Y181">
        <f>IF(W181=0,"",COUNTIFS($T$6:$T$405,T181,$W$6:$W$405,1,$S$6:$S$405,"&lt;"&amp;S181)+COUNTIFS($T$6:$T$405,T181,$W$6:$W$405,1,$S$6:$S$405,S181,$X$6:$X$405,"&lt;"&amp;X181)+1)</f>
        <v/>
      </c>
      <c r="Z181">
        <f>IF(Y181="","",T181&amp;"_"&amp;Y181)</f>
        <v/>
      </c>
      <c r="AA181">
        <f>SUBSTITUTE(SUBSTITUTE(SUBSTITUTE(SUBSTITUTE(SUBSTITUTE(INDEX(D181:K181,MIN(8,MAX(1,C181))),"年","/"),"月","/"),"日",""),"-","/"),".","/")</f>
        <v/>
      </c>
      <c r="AB181">
        <f>IFERROR(MATCH(O181,入力!$C$5:$C$44,0),"")</f>
        <v/>
      </c>
      <c r="AC181">
        <f>IF(AB181="","",INDEX(入力!$AH$5:$AH$44,AB181))</f>
        <v/>
      </c>
      <c r="AD181">
        <f>IF(INDEX($D181:$K181,IF(M181=1,2,1))=AC181,1,IF(INDEX($D181:$K181,IF(M181=1,2,1))&amp;INDEX($D181:$K181,IF(M181=1,2,1)+1)=AC181,2,IF(INDEX($D181:$K181,IF(M181=1,2,1))&amp;INDEX($D181:$K181,IF(M181=1,2,1)+1)&amp;INDEX($D181:$K181,IF(M181=1,2,1)+2)=AC181,3,IF(AB181&lt;&gt;"",2,IF(ISNUMBER(MATCH(INDEX($D181:$K181,IF(M181=1,2,1)),入力!$AH$5:$AH$44,0)),1,IF(ISNUMBER(MATCH(INDEX($D181:$K181,IF(M181=1,2,1))&amp;INDEX($D181:$K181,IF(M181=1,2,1)+1),入力!$AH$5:$AH$44,0)),2,IF(ISNUMBER(MATCH(INDEX($D181:$K181,IF(M181=1,2,1))&amp;INDEX($D181:$K181,IF(M181=1,2,1)+1)&amp;INDEX($D181:$K181,IF(M181=1,2,1)+2),入力!$AH$5:$AH$44,0)),3,2)))))))</f>
        <v/>
      </c>
      <c r="AE181">
        <f>IF(V181="","",IF(AND(V181="反映",N(Y181)&gt;20),"要確認（この生徒の取込が20件を超えました）",V181))</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",""),入力!$AH$5:$AH$44,0),"")))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$405,T182,$R$6:$R$405,R182,$X$6:$X$405,"&lt;"&amp;X182))&gt;0,"重複","反映")))))</f>
        <v/>
      </c>
      <c r="W182">
        <f>IF(V182="反映",1,0)</f>
        <v/>
      </c>
      <c r="X182" t="n">
        <v>182</v>
      </c>
      <c r="Y182">
        <f>IF(W182=0,"",COUNTIFS($T$6:$T$405,T182,$W$6:$W$405,1,$S$6:$S$405,"&lt;"&amp;S182)+COUNTIFS($T$6:$T$405,T182,$W$6:$W$405,1,$S$6:$S$405,S182,$X$6:$X$405,"&lt;"&amp;X182)+1)</f>
        <v/>
      </c>
      <c r="Z182">
        <f>IF(Y182="","",T182&amp;"_"&amp;Y182)</f>
        <v/>
      </c>
      <c r="AA182">
        <f>SUBSTITUTE(SUBSTITUTE(SUBSTITUTE(SUBSTITUTE(SUBSTITUTE(INDEX(D182:K182,MIN(8,MAX(1,C182))),"年","/"),"月","/"),"日",""),"-","/"),".","/")</f>
        <v/>
      </c>
      <c r="AB182">
        <f>IFERROR(MATCH(O182,入力!$C$5:$C$44,0),"")</f>
        <v/>
      </c>
      <c r="AC182">
        <f>IF(AB182="","",INDEX(入力!$AH$5:$AH$44,AB182))</f>
        <v/>
      </c>
      <c r="AD182">
        <f>IF(INDEX($D182:$K182,IF(M182=1,2,1))=AC182,1,IF(INDEX($D182:$K182,IF(M182=1,2,1))&amp;INDEX($D182:$K182,IF(M182=1,2,1)+1)=AC182,2,IF(INDEX($D182:$K182,IF(M182=1,2,1))&amp;INDEX($D182:$K182,IF(M182=1,2,1)+1)&amp;INDEX($D182:$K182,IF(M182=1,2,1)+2)=AC182,3,IF(AB182&lt;&gt;"",2,IF(ISNUMBER(MATCH(INDEX($D182:$K182,IF(M182=1,2,1)),入力!$AH$5:$AH$44,0)),1,IF(ISNUMBER(MATCH(INDEX($D182:$K182,IF(M182=1,2,1))&amp;INDEX($D182:$K182,IF(M182=1,2,1)+1),入力!$AH$5:$AH$44,0)),2,IF(ISNUMBER(MATCH(INDEX($D182:$K182,IF(M182=1,2,1))&amp;INDEX($D182:$K182,IF(M182=1,2,1)+1)&amp;INDEX($D182:$K182,IF(M182=1,2,1)+2),入力!$AH$5:$AH$44,0)),3,2)))))))</f>
        <v/>
      </c>
      <c r="AE182">
        <f>IF(V182="","",IF(AND(V182="反映",N(Y182)&gt;20),"要確認（この生徒の取込が20件を超えました）",V182))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",""),入力!$AH$5:$AH$44,0),"")))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$405,T183,$R$6:$R$405,R183,$X$6:$X$405,"&lt;"&amp;X183))&gt;0,"重複","反映")))))</f>
        <v/>
      </c>
      <c r="W183">
        <f>IF(V183="反映",1,0)</f>
        <v/>
      </c>
      <c r="X183" t="n">
        <v>183</v>
      </c>
      <c r="Y183">
        <f>IF(W183=0,"",COUNTIFS($T$6:$T$405,T183,$W$6:$W$405,1,$S$6:$S$405,"&lt;"&amp;S183)+COUNTIFS($T$6:$T$405,T183,$W$6:$W$405,1,$S$6:$S$405,S183,$X$6:$X$405,"&lt;"&amp;X183)+1)</f>
        <v/>
      </c>
      <c r="Z183">
        <f>IF(Y183="","",T183&amp;"_"&amp;Y183)</f>
        <v/>
      </c>
      <c r="AA183">
        <f>SUBSTITUTE(SUBSTITUTE(SUBSTITUTE(SUBSTITUTE(SUBSTITUTE(INDEX(D183:K183,MIN(8,MAX(1,C183))),"年","/"),"月","/"),"日",""),"-","/"),".","/")</f>
        <v/>
      </c>
      <c r="AB183">
        <f>IFERROR(MATCH(O183,入力!$C$5:$C$44,0),"")</f>
        <v/>
      </c>
      <c r="AC183">
        <f>IF(AB183="","",INDEX(入力!$AH$5:$AH$44,AB183))</f>
        <v/>
      </c>
      <c r="AD183">
        <f>IF(INDEX($D183:$K183,IF(M183=1,2,1))=AC183,1,IF(INDEX($D183:$K183,IF(M183=1,2,1))&amp;INDEX($D183:$K183,IF(M183=1,2,1)+1)=AC183,2,IF(INDEX($D183:$K183,IF(M183=1,2,1))&amp;INDEX($D183:$K183,IF(M183=1,2,1)+1)&amp;INDEX($D183:$K183,IF(M183=1,2,1)+2)=AC183,3,IF(AB183&lt;&gt;"",2,IF(ISNUMBER(MATCH(INDEX($D183:$K183,IF(M183=1,2,1)),入力!$AH$5:$AH$44,0)),1,IF(ISNUMBER(MATCH(INDEX($D183:$K183,IF(M183=1,2,1))&amp;INDEX($D183:$K183,IF(M183=1,2,1)+1),入力!$AH$5:$AH$44,0)),2,IF(ISNUMBER(MATCH(INDEX($D183:$K183,IF(M183=1,2,1))&amp;INDEX($D183:$K183,IF(M183=1,2,1)+1)&amp;INDEX($D183:$K183,IF(M183=1,2,1)+2),入力!$AH$5:$AH$44,0)),3,2)))))))</f>
        <v/>
      </c>
      <c r="AE183">
        <f>IF(V183="","",IF(AND(V183="反映",N(Y183)&gt;20),"要確認（この生徒の取込が20件を超えました）",V183))</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",""),入力!$AH$5:$AH$44,0),"")))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$405,T184,$R$6:$R$405,R184,$X$6:$X$405,"&lt;"&amp;X184))&gt;0,"重複","反映")))))</f>
        <v/>
      </c>
      <c r="W184">
        <f>IF(V184="反映",1,0)</f>
        <v/>
      </c>
      <c r="X184" t="n">
        <v>184</v>
      </c>
      <c r="Y184">
        <f>IF(W184=0,"",COUNTIFS($T$6:$T$405,T184,$W$6:$W$405,1,$S$6:$S$405,"&lt;"&amp;S184)+COUNTIFS($T$6:$T$405,T184,$W$6:$W$405,1,$S$6:$S$405,S184,$X$6:$X$405,"&lt;"&amp;X184)+1)</f>
        <v/>
      </c>
      <c r="Z184">
        <f>IF(Y184="","",T184&amp;"_"&amp;Y184)</f>
        <v/>
      </c>
      <c r="AA184">
        <f>SUBSTITUTE(SUBSTITUTE(SUBSTITUTE(SUBSTITUTE(SUBSTITUTE(INDEX(D184:K184,MIN(8,MAX(1,C184))),"年","/"),"月","/"),"日",""),"-","/"),".","/")</f>
        <v/>
      </c>
      <c r="AB184">
        <f>IFERROR(MATCH(O184,入力!$C$5:$C$44,0),"")</f>
        <v/>
      </c>
      <c r="AC184">
        <f>IF(AB184="","",INDEX(入力!$AH$5:$AH$44,AB184))</f>
        <v/>
      </c>
      <c r="AD184">
        <f>IF(INDEX($D184:$K184,IF(M184=1,2,1))=AC184,1,IF(INDEX($D184:$K184,IF(M184=1,2,1))&amp;INDEX($D184:$K184,IF(M184=1,2,1)+1)=AC184,2,IF(INDEX($D184:$K184,IF(M184=1,2,1))&amp;INDEX($D184:$K184,IF(M184=1,2,1)+1)&amp;INDEX($D184:$K184,IF(M184=1,2,1)+2)=AC184,3,IF(AB184&lt;&gt;"",2,IF(ISNUMBER(MATCH(INDEX($D184:$K184,IF(M184=1,2,1)),入力!$AH$5:$AH$44,0)),1,IF(ISNUMBER(MATCH(INDEX($D184:$K184,IF(M184=1,2,1))&amp;INDEX($D184:$K184,IF(M184=1,2,1)+1),入力!$AH$5:$AH$44,0)),2,IF(ISNUMBER(MATCH(INDEX($D184:$K184,IF(M184=1,2,1))&amp;INDEX($D184:$K184,IF(M184=1,2,1)+1)&amp;INDEX($D184:$K184,IF(M184=1,2,1)+2),入力!$AH$5:$AH$44,0)),3,2)))))))</f>
        <v/>
      </c>
      <c r="AE184">
        <f>IF(V184="","",IF(AND(V184="反映",N(Y184)&gt;20),"要確認（この生徒の取込が20件を超えました）",V184))</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",""),入力!$AH$5:$AH$44,0),"")))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$405,T185,$R$6:$R$405,R185,$X$6:$X$405,"&lt;"&amp;X185))&gt;0,"重複","反映")))))</f>
        <v/>
      </c>
      <c r="W185">
        <f>IF(V185="反映",1,0)</f>
        <v/>
      </c>
      <c r="X185" t="n">
        <v>185</v>
      </c>
      <c r="Y185">
        <f>IF(W185=0,"",COUNTIFS($T$6:$T$405,T185,$W$6:$W$405,1,$S$6:$S$405,"&lt;"&amp;S185)+COUNTIFS($T$6:$T$405,T185,$W$6:$W$405,1,$S$6:$S$405,S185,$X$6:$X$405,"&lt;"&amp;X185)+1)</f>
        <v/>
      </c>
      <c r="Z185">
        <f>IF(Y185="","",T185&amp;"_"&amp;Y185)</f>
        <v/>
      </c>
      <c r="AA185">
        <f>SUBSTITUTE(SUBSTITUTE(SUBSTITUTE(SUBSTITUTE(SUBSTITUTE(INDEX(D185:K185,MIN(8,MAX(1,C185))),"年","/"),"月","/"),"日",""),"-","/"),".","/")</f>
        <v/>
      </c>
      <c r="AB185">
        <f>IFERROR(MATCH(O185,入力!$C$5:$C$44,0),"")</f>
        <v/>
      </c>
      <c r="AC185">
        <f>IF(AB185="","",INDEX(入力!$AH$5:$AH$44,AB185))</f>
        <v/>
      </c>
      <c r="AD185">
        <f>IF(INDEX($D185:$K185,IF(M185=1,2,1))=AC185,1,IF(INDEX($D185:$K185,IF(M185=1,2,1))&amp;INDEX($D185:$K185,IF(M185=1,2,1)+1)=AC185,2,IF(INDEX($D185:$K185,IF(M185=1,2,1))&amp;INDEX($D185:$K185,IF(M185=1,2,1)+1)&amp;INDEX($D185:$K185,IF(M185=1,2,1)+2)=AC185,3,IF(AB185&lt;&gt;"",2,IF(ISNUMBER(MATCH(INDEX($D185:$K185,IF(M185=1,2,1)),入力!$AH$5:$AH$44,0)),1,IF(ISNUMBER(MATCH(INDEX($D185:$K185,IF(M185=1,2,1))&amp;INDEX($D185:$K185,IF(M185=1,2,1)+1),入力!$AH$5:$AH$44,0)),2,IF(ISNUMBER(MATCH(INDEX($D185:$K185,IF(M185=1,2,1))&amp;INDEX($D185:$K185,IF(M185=1,2,1)+1)&amp;INDEX($D185:$K185,IF(M185=1,2,1)+2),入力!$AH$5:$AH$44,0)),3,2)))))))</f>
        <v/>
      </c>
      <c r="AE185">
        <f>IF(V185="","",IF(AND(V185="反映",N(Y185)&gt;20),"要確認（この生徒の取込が20件を超えました）",V185))</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",""),入力!$AH$5:$AH$44,0),"")))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$405,T186,$R$6:$R$405,R186,$X$6:$X$405,"&lt;"&amp;X186))&gt;0,"重複","反映")))))</f>
        <v/>
      </c>
      <c r="W186">
        <f>IF(V186="反映",1,0)</f>
        <v/>
      </c>
      <c r="X186" t="n">
        <v>186</v>
      </c>
      <c r="Y186">
        <f>IF(W186=0,"",COUNTIFS($T$6:$T$405,T186,$W$6:$W$405,1,$S$6:$S$405,"&lt;"&amp;S186)+COUNTIFS($T$6:$T$405,T186,$W$6:$W$405,1,$S$6:$S$405,S186,$X$6:$X$405,"&lt;"&amp;X186)+1)</f>
        <v/>
      </c>
      <c r="Z186">
        <f>IF(Y186="","",T186&amp;"_"&amp;Y186)</f>
        <v/>
      </c>
      <c r="AA186">
        <f>SUBSTITUTE(SUBSTITUTE(SUBSTITUTE(SUBSTITUTE(SUBSTITUTE(INDEX(D186:K186,MIN(8,MAX(1,C186))),"年","/"),"月","/"),"日",""),"-","/"),".","/")</f>
        <v/>
      </c>
      <c r="AB186">
        <f>IFERROR(MATCH(O186,入力!$C$5:$C$44,0),"")</f>
        <v/>
      </c>
      <c r="AC186">
        <f>IF(AB186="","",INDEX(入力!$AH$5:$AH$44,AB186))</f>
        <v/>
      </c>
      <c r="AD186">
        <f>IF(INDEX($D186:$K186,IF(M186=1,2,1))=AC186,1,IF(INDEX($D186:$K186,IF(M186=1,2,1))&amp;INDEX($D186:$K186,IF(M186=1,2,1)+1)=AC186,2,IF(INDEX($D186:$K186,IF(M186=1,2,1))&amp;INDEX($D186:$K186,IF(M186=1,2,1)+1)&amp;INDEX($D186:$K186,IF(M186=1,2,1)+2)=AC186,3,IF(AB186&lt;&gt;"",2,IF(ISNUMBER(MATCH(INDEX($D186:$K186,IF(M186=1,2,1)),入力!$AH$5:$AH$44,0)),1,IF(ISNUMBER(MATCH(INDEX($D186:$K186,IF(M186=1,2,1))&amp;INDEX($D186:$K186,IF(M186=1,2,1)+1),入力!$AH$5:$AH$44,0)),2,IF(ISNUMBER(MATCH(INDEX($D186:$K186,IF(M186=1,2,1))&amp;INDEX($D186:$K186,IF(M186=1,2,1)+1)&amp;INDEX($D186:$K186,IF(M186=1,2,1)+2),入力!$AH$5:$AH$44,0)),3,2)))))))</f>
        <v/>
      </c>
      <c r="AE186">
        <f>IF(V186="","",IF(AND(V186="反映",N(Y186)&gt;20),"要確認（この生徒の取込が20件を超えました）",V186))</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",""),入力!$AH$5:$AH$44,0),"")))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$405,T187,$R$6:$R$405,R187,$X$6:$X$405,"&lt;"&amp;X187))&gt;0,"重複","反映")))))</f>
        <v/>
      </c>
      <c r="W187">
        <f>IF(V187="反映",1,0)</f>
        <v/>
      </c>
      <c r="X187" t="n">
        <v>187</v>
      </c>
      <c r="Y187">
        <f>IF(W187=0,"",COUNTIFS($T$6:$T$405,T187,$W$6:$W$405,1,$S$6:$S$405,"&lt;"&amp;S187)+COUNTIFS($T$6:$T$405,T187,$W$6:$W$405,1,$S$6:$S$405,S187,$X$6:$X$405,"&lt;"&amp;X187)+1)</f>
        <v/>
      </c>
      <c r="Z187">
        <f>IF(Y187="","",T187&amp;"_"&amp;Y187)</f>
        <v/>
      </c>
      <c r="AA187">
        <f>SUBSTITUTE(SUBSTITUTE(SUBSTITUTE(SUBSTITUTE(SUBSTITUTE(INDEX(D187:K187,MIN(8,MAX(1,C187))),"年","/"),"月","/"),"日",""),"-","/"),".","/")</f>
        <v/>
      </c>
      <c r="AB187">
        <f>IFERROR(MATCH(O187,入力!$C$5:$C$44,0),"")</f>
        <v/>
      </c>
      <c r="AC187">
        <f>IF(AB187="","",INDEX(入力!$AH$5:$AH$44,AB187))</f>
        <v/>
      </c>
      <c r="AD187">
        <f>IF(INDEX($D187:$K187,IF(M187=1,2,1))=AC187,1,IF(INDEX($D187:$K187,IF(M187=1,2,1))&amp;INDEX($D187:$K187,IF(M187=1,2,1)+1)=AC187,2,IF(INDEX($D187:$K187,IF(M187=1,2,1))&amp;INDEX($D187:$K187,IF(M187=1,2,1)+1)&amp;INDEX($D187:$K187,IF(M187=1,2,1)+2)=AC187,3,IF(AB187&lt;&gt;"",2,IF(ISNUMBER(MATCH(INDEX($D187:$K187,IF(M187=1,2,1)),入力!$AH$5:$AH$44,0)),1,IF(ISNUMBER(MATCH(INDEX($D187:$K187,IF(M187=1,2,1))&amp;INDEX($D187:$K187,IF(M187=1,2,1)+1),入力!$AH$5:$AH$44,0)),2,IF(ISNUMBER(MATCH(INDEX($D187:$K187,IF(M187=1,2,1))&amp;INDEX($D187:$K187,IF(M187=1,2,1)+1)&amp;INDEX($D187:$K187,IF(M187=1,2,1)+2),入力!$AH$5:$AH$44,0)),3,2)))))))</f>
        <v/>
      </c>
      <c r="AE187">
        <f>IF(V187="","",IF(AND(V187="反映",N(Y187)&gt;20),"要確認（この生徒の取込が20件を超えました）",V187))</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",""),入力!$AH$5:$AH$44,0),"")))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$405,T188,$R$6:$R$405,R188,$X$6:$X$405,"&lt;"&amp;X188))&gt;0,"重複","反映")))))</f>
        <v/>
      </c>
      <c r="W188">
        <f>IF(V188="反映",1,0)</f>
        <v/>
      </c>
      <c r="X188" t="n">
        <v>188</v>
      </c>
      <c r="Y188">
        <f>IF(W188=0,"",COUNTIFS($T$6:$T$405,T188,$W$6:$W$405,1,$S$6:$S$405,"&lt;"&amp;S188)+COUNTIFS($T$6:$T$405,T188,$W$6:$W$405,1,$S$6:$S$405,S188,$X$6:$X$405,"&lt;"&amp;X188)+1)</f>
        <v/>
      </c>
      <c r="Z188">
        <f>IF(Y188="","",T188&amp;"_"&amp;Y188)</f>
        <v/>
      </c>
      <c r="AA188">
        <f>SUBSTITUTE(SUBSTITUTE(SUBSTITUTE(SUBSTITUTE(SUBSTITUTE(INDEX(D188:K188,MIN(8,MAX(1,C188))),"年","/"),"月","/"),"日",""),"-","/"),".","/")</f>
        <v/>
      </c>
      <c r="AB188">
        <f>IFERROR(MATCH(O188,入力!$C$5:$C$44,0),"")</f>
        <v/>
      </c>
      <c r="AC188">
        <f>IF(AB188="","",INDEX(入力!$AH$5:$AH$44,AB188))</f>
        <v/>
      </c>
      <c r="AD188">
        <f>IF(INDEX($D188:$K188,IF(M188=1,2,1))=AC188,1,IF(INDEX($D188:$K188,IF(M188=1,2,1))&amp;INDEX($D188:$K188,IF(M188=1,2,1)+1)=AC188,2,IF(INDEX($D188:$K188,IF(M188=1,2,1))&amp;INDEX($D188:$K188,IF(M188=1,2,1)+1)&amp;INDEX($D188:$K188,IF(M188=1,2,1)+2)=AC188,3,IF(AB188&lt;&gt;"",2,IF(ISNUMBER(MATCH(INDEX($D188:$K188,IF(M188=1,2,1)),入力!$AH$5:$AH$44,0)),1,IF(ISNUMBER(MATCH(INDEX($D188:$K188,IF(M188=1,2,1))&amp;INDEX($D188:$K188,IF(M188=1,2,1)+1),入力!$AH$5:$AH$44,0)),2,IF(ISNUMBER(MATCH(INDEX($D188:$K188,IF(M188=1,2,1))&amp;INDEX($D188:$K188,IF(M188=1,2,1)+1)&amp;INDEX($D188:$K188,IF(M188=1,2,1)+2),入力!$AH$5:$AH$44,0)),3,2)))))))</f>
        <v/>
      </c>
      <c r="AE188">
        <f>IF(V188="","",IF(AND(V188="反映",N(Y188)&gt;20),"要確認（この生徒の取込が20件を超えました）",V188))</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",""),入力!$AH$5:$AH$44,0),"")))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$405,T189,$R$6:$R$405,R189,$X$6:$X$405,"&lt;"&amp;X189))&gt;0,"重複","反映")))))</f>
        <v/>
      </c>
      <c r="W189">
        <f>IF(V189="反映",1,0)</f>
        <v/>
      </c>
      <c r="X189" t="n">
        <v>189</v>
      </c>
      <c r="Y189">
        <f>IF(W189=0,"",COUNTIFS($T$6:$T$405,T189,$W$6:$W$405,1,$S$6:$S$405,"&lt;"&amp;S189)+COUNTIFS($T$6:$T$405,T189,$W$6:$W$405,1,$S$6:$S$405,S189,$X$6:$X$405,"&lt;"&amp;X189)+1)</f>
        <v/>
      </c>
      <c r="Z189">
        <f>IF(Y189="","",T189&amp;"_"&amp;Y189)</f>
        <v/>
      </c>
      <c r="AA189">
        <f>SUBSTITUTE(SUBSTITUTE(SUBSTITUTE(SUBSTITUTE(SUBSTITUTE(INDEX(D189:K189,MIN(8,MAX(1,C189))),"年","/"),"月","/"),"日",""),"-","/"),".","/")</f>
        <v/>
      </c>
      <c r="AB189">
        <f>IFERROR(MATCH(O189,入力!$C$5:$C$44,0),"")</f>
        <v/>
      </c>
      <c r="AC189">
        <f>IF(AB189="","",INDEX(入力!$AH$5:$AH$44,AB189))</f>
        <v/>
      </c>
      <c r="AD189">
        <f>IF(INDEX($D189:$K189,IF(M189=1,2,1))=AC189,1,IF(INDEX($D189:$K189,IF(M189=1,2,1))&amp;INDEX($D189:$K189,IF(M189=1,2,1)+1)=AC189,2,IF(INDEX($D189:$K189,IF(M189=1,2,1))&amp;INDEX($D189:$K189,IF(M189=1,2,1)+1)&amp;INDEX($D189:$K189,IF(M189=1,2,1)+2)=AC189,3,IF(AB189&lt;&gt;"",2,IF(ISNUMBER(MATCH(INDEX($D189:$K189,IF(M189=1,2,1)),入力!$AH$5:$AH$44,0)),1,IF(ISNUMBER(MATCH(INDEX($D189:$K189,IF(M189=1,2,1))&amp;INDEX($D189:$K189,IF(M189=1,2,1)+1),入力!$AH$5:$AH$44,0)),2,IF(ISNUMBER(MATCH(INDEX($D189:$K189,IF(M189=1,2,1))&amp;INDEX($D189:$K189,IF(M189=1,2,1)+1)&amp;INDEX($D189:$K189,IF(M189=1,2,1)+2),入力!$AH$5:$AH$44,0)),3,2)))))))</f>
        <v/>
      </c>
      <c r="AE189">
        <f>IF(V189="","",IF(AND(V189="反映",N(Y189)&gt;20),"要確認（この生徒の取込が20件を超えました）",V189))</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",""),入力!$AH$5:$AH$44,0),"")))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$405,T190,$R$6:$R$405,R190,$X$6:$X$405,"&lt;"&amp;X190))&gt;0,"重複","反映")))))</f>
        <v/>
      </c>
      <c r="W190">
        <f>IF(V190="反映",1,0)</f>
        <v/>
      </c>
      <c r="X190" t="n">
        <v>190</v>
      </c>
      <c r="Y190">
        <f>IF(W190=0,"",COUNTIFS($T$6:$T$405,T190,$W$6:$W$405,1,$S$6:$S$405,"&lt;"&amp;S190)+COUNTIFS($T$6:$T$405,T190,$W$6:$W$405,1,$S$6:$S$405,S190,$X$6:$X$405,"&lt;"&amp;X190)+1)</f>
        <v/>
      </c>
      <c r="Z190">
        <f>IF(Y190="","",T190&amp;"_"&amp;Y190)</f>
        <v/>
      </c>
      <c r="AA190">
        <f>SUBSTITUTE(SUBSTITUTE(SUBSTITUTE(SUBSTITUTE(SUBSTITUTE(INDEX(D190:K190,MIN(8,MAX(1,C190))),"年","/"),"月","/"),"日",""),"-","/"),".","/")</f>
        <v/>
      </c>
      <c r="AB190">
        <f>IFERROR(MATCH(O190,入力!$C$5:$C$44,0),"")</f>
        <v/>
      </c>
      <c r="AC190">
        <f>IF(AB190="","",INDEX(入力!$AH$5:$AH$44,AB190))</f>
        <v/>
      </c>
      <c r="AD190">
        <f>IF(INDEX($D190:$K190,IF(M190=1,2,1))=AC190,1,IF(INDEX($D190:$K190,IF(M190=1,2,1))&amp;INDEX($D190:$K190,IF(M190=1,2,1)+1)=AC190,2,IF(INDEX($D190:$K190,IF(M190=1,2,1))&amp;INDEX($D190:$K190,IF(M190=1,2,1)+1)&amp;INDEX($D190:$K190,IF(M190=1,2,1)+2)=AC190,3,IF(AB190&lt;&gt;"",2,IF(ISNUMBER(MATCH(INDEX($D190:$K190,IF(M190=1,2,1)),入力!$AH$5:$AH$44,0)),1,IF(ISNUMBER(MATCH(INDEX($D190:$K190,IF(M190=1,2,1))&amp;INDEX($D190:$K190,IF(M190=1,2,1)+1),入力!$AH$5:$AH$44,0)),2,IF(ISNUMBER(MATCH(INDEX($D190:$K190,IF(M190=1,2,1))&amp;INDEX($D190:$K190,IF(M190=1,2,1)+1)&amp;INDEX($D190:$K190,IF(M190=1,2,1)+2),入力!$AH$5:$AH$44,0)),3,2)))))))</f>
        <v/>
      </c>
      <c r="AE190">
        <f>IF(V190="","",IF(AND(V190="反映",N(Y190)&gt;20),"要確認（この生徒の取込が20件を超えました）",V190))</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",""),入力!$AH$5:$AH$44,0),"")))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$405,T191,$R$6:$R$405,R191,$X$6:$X$405,"&lt;"&amp;X191))&gt;0,"重複","反映")))))</f>
        <v/>
      </c>
      <c r="W191">
        <f>IF(V191="反映",1,0)</f>
        <v/>
      </c>
      <c r="X191" t="n">
        <v>191</v>
      </c>
      <c r="Y191">
        <f>IF(W191=0,"",COUNTIFS($T$6:$T$405,T191,$W$6:$W$405,1,$S$6:$S$405,"&lt;"&amp;S191)+COUNTIFS($T$6:$T$405,T191,$W$6:$W$405,1,$S$6:$S$405,S191,$X$6:$X$405,"&lt;"&amp;X191)+1)</f>
        <v/>
      </c>
      <c r="Z191">
        <f>IF(Y191="","",T191&amp;"_"&amp;Y191)</f>
        <v/>
      </c>
      <c r="AA191">
        <f>SUBSTITUTE(SUBSTITUTE(SUBSTITUTE(SUBSTITUTE(SUBSTITUTE(INDEX(D191:K191,MIN(8,MAX(1,C191))),"年","/"),"月","/"),"日",""),"-","/"),".","/")</f>
        <v/>
      </c>
      <c r="AB191">
        <f>IFERROR(MATCH(O191,入力!$C$5:$C$44,0),"")</f>
        <v/>
      </c>
      <c r="AC191">
        <f>IF(AB191="","",INDEX(入力!$AH$5:$AH$44,AB191))</f>
        <v/>
      </c>
      <c r="AD191">
        <f>IF(INDEX($D191:$K191,IF(M191=1,2,1))=AC191,1,IF(INDEX($D191:$K191,IF(M191=1,2,1))&amp;INDEX($D191:$K191,IF(M191=1,2,1)+1)=AC191,2,IF(INDEX($D191:$K191,IF(M191=1,2,1))&amp;INDEX($D191:$K191,IF(M191=1,2,1)+1)&amp;INDEX($D191:$K191,IF(M191=1,2,1)+2)=AC191,3,IF(AB191&lt;&gt;"",2,IF(ISNUMBER(MATCH(INDEX($D191:$K191,IF(M191=1,2,1)),入力!$AH$5:$AH$44,0)),1,IF(ISNUMBER(MATCH(INDEX($D191:$K191,IF(M191=1,2,1))&amp;INDEX($D191:$K191,IF(M191=1,2,1)+1),入力!$AH$5:$AH$44,0)),2,IF(ISNUMBER(MATCH(INDEX($D191:$K191,IF(M191=1,2,1))&amp;INDEX($D191:$K191,IF(M191=1,2,1)+1)&amp;INDEX($D191:$K191,IF(M191=1,2,1)+2),入力!$AH$5:$AH$44,0)),3,2)))))))</f>
        <v/>
      </c>
      <c r="AE191">
        <f>IF(V191="","",IF(AND(V191="反映",N(Y191)&gt;20),"要確認（この生徒の取込が20件を超えました）",V191))</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",""),入力!$AH$5:$AH$44,0),"")))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$405,T192,$R$6:$R$405,R192,$X$6:$X$405,"&lt;"&amp;X192))&gt;0,"重複","反映")))))</f>
        <v/>
      </c>
      <c r="W192">
        <f>IF(V192="反映",1,0)</f>
        <v/>
      </c>
      <c r="X192" t="n">
        <v>192</v>
      </c>
      <c r="Y192">
        <f>IF(W192=0,"",COUNTIFS($T$6:$T$405,T192,$W$6:$W$405,1,$S$6:$S$405,"&lt;"&amp;S192)+COUNTIFS($T$6:$T$405,T192,$W$6:$W$405,1,$S$6:$S$405,S192,$X$6:$X$405,"&lt;"&amp;X192)+1)</f>
        <v/>
      </c>
      <c r="Z192">
        <f>IF(Y192="","",T192&amp;"_"&amp;Y192)</f>
        <v/>
      </c>
      <c r="AA192">
        <f>SUBSTITUTE(SUBSTITUTE(SUBSTITUTE(SUBSTITUTE(SUBSTITUTE(INDEX(D192:K192,MIN(8,MAX(1,C192))),"年","/"),"月","/"),"日",""),"-","/"),".","/")</f>
        <v/>
      </c>
      <c r="AB192">
        <f>IFERROR(MATCH(O192,入力!$C$5:$C$44,0),"")</f>
        <v/>
      </c>
      <c r="AC192">
        <f>IF(AB192="","",INDEX(入力!$AH$5:$AH$44,AB192))</f>
        <v/>
      </c>
      <c r="AD192">
        <f>IF(INDEX($D192:$K192,IF(M192=1,2,1))=AC192,1,IF(INDEX($D192:$K192,IF(M192=1,2,1))&amp;INDEX($D192:$K192,IF(M192=1,2,1)+1)=AC192,2,IF(INDEX($D192:$K192,IF(M192=1,2,1))&amp;INDEX($D192:$K192,IF(M192=1,2,1)+1)&amp;INDEX($D192:$K192,IF(M192=1,2,1)+2)=AC192,3,IF(AB192&lt;&gt;"",2,IF(ISNUMBER(MATCH(INDEX($D192:$K192,IF(M192=1,2,1)),入力!$AH$5:$AH$44,0)),1,IF(ISNUMBER(MATCH(INDEX($D192:$K192,IF(M192=1,2,1))&amp;INDEX($D192:$K192,IF(M192=1,2,1)+1),入力!$AH$5:$AH$44,0)),2,IF(ISNUMBER(MATCH(INDEX($D192:$K192,IF(M192=1,2,1))&amp;INDEX($D192:$K192,IF(M192=1,2,1)+1)&amp;INDEX($D192:$K192,IF(M192=1,2,1)+2),入力!$AH$5:$AH$44,0)),3,2)))))))</f>
        <v/>
      </c>
      <c r="AE192">
        <f>IF(V192="","",IF(AND(V192="反映",N(Y192)&gt;20),"要確認（この生徒の取込が20件を超えました）",V192))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",""),入力!$AH$5:$AH$44,0),"")))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$405,T193,$R$6:$R$405,R193,$X$6:$X$405,"&lt;"&amp;X193))&gt;0,"重複","反映")))))</f>
        <v/>
      </c>
      <c r="W193">
        <f>IF(V193="反映",1,0)</f>
        <v/>
      </c>
      <c r="X193" t="n">
        <v>193</v>
      </c>
      <c r="Y193">
        <f>IF(W193=0,"",COUNTIFS($T$6:$T$405,T193,$W$6:$W$405,1,$S$6:$S$405,"&lt;"&amp;S193)+COUNTIFS($T$6:$T$405,T193,$W$6:$W$405,1,$S$6:$S$405,S193,$X$6:$X$405,"&lt;"&amp;X193)+1)</f>
        <v/>
      </c>
      <c r="Z193">
        <f>IF(Y193="","",T193&amp;"_"&amp;Y193)</f>
        <v/>
      </c>
      <c r="AA193">
        <f>SUBSTITUTE(SUBSTITUTE(SUBSTITUTE(SUBSTITUTE(SUBSTITUTE(INDEX(D193:K193,MIN(8,MAX(1,C193))),"年","/"),"月","/"),"日",""),"-","/"),".","/")</f>
        <v/>
      </c>
      <c r="AB193">
        <f>IFERROR(MATCH(O193,入力!$C$5:$C$44,0),"")</f>
        <v/>
      </c>
      <c r="AC193">
        <f>IF(AB193="","",INDEX(入力!$AH$5:$AH$44,AB193))</f>
        <v/>
      </c>
      <c r="AD193">
        <f>IF(INDEX($D193:$K193,IF(M193=1,2,1))=AC193,1,IF(INDEX($D193:$K193,IF(M193=1,2,1))&amp;INDEX($D193:$K193,IF(M193=1,2,1)+1)=AC193,2,IF(INDEX($D193:$K193,IF(M193=1,2,1))&amp;INDEX($D193:$K193,IF(M193=1,2,1)+1)&amp;INDEX($D193:$K193,IF(M193=1,2,1)+2)=AC193,3,IF(AB193&lt;&gt;"",2,IF(ISNUMBER(MATCH(INDEX($D193:$K193,IF(M193=1,2,1)),入力!$AH$5:$AH$44,0)),1,IF(ISNUMBER(MATCH(INDEX($D193:$K193,IF(M193=1,2,1))&amp;INDEX($D193:$K193,IF(M193=1,2,1)+1),入力!$AH$5:$AH$44,0)),2,IF(ISNUMBER(MATCH(INDEX($D193:$K193,IF(M193=1,2,1))&amp;INDEX($D193:$K193,IF(M193=1,2,1)+1)&amp;INDEX($D193:$K193,IF(M193=1,2,1)+2),入力!$AH$5:$AH$44,0)),3,2)))))))</f>
        <v/>
      </c>
      <c r="AE193">
        <f>IF(V193="","",IF(AND(V193="反映",N(Y193)&gt;20),"要確認（この生徒の取込が20件を超えました）",V193))</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",""),入力!$AH$5:$AH$44,0),"")))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$405,T194,$R$6:$R$405,R194,$X$6:$X$405,"&lt;"&amp;X194))&gt;0,"重複","反映")))))</f>
        <v/>
      </c>
      <c r="W194">
        <f>IF(V194="反映",1,0)</f>
        <v/>
      </c>
      <c r="X194" t="n">
        <v>194</v>
      </c>
      <c r="Y194">
        <f>IF(W194=0,"",COUNTIFS($T$6:$T$405,T194,$W$6:$W$405,1,$S$6:$S$405,"&lt;"&amp;S194)+COUNTIFS($T$6:$T$405,T194,$W$6:$W$405,1,$S$6:$S$405,S194,$X$6:$X$405,"&lt;"&amp;X194)+1)</f>
        <v/>
      </c>
      <c r="Z194">
        <f>IF(Y194="","",T194&amp;"_"&amp;Y194)</f>
        <v/>
      </c>
      <c r="AA194">
        <f>SUBSTITUTE(SUBSTITUTE(SUBSTITUTE(SUBSTITUTE(SUBSTITUTE(INDEX(D194:K194,MIN(8,MAX(1,C194))),"年","/"),"月","/"),"日",""),"-","/"),".","/")</f>
        <v/>
      </c>
      <c r="AB194">
        <f>IFERROR(MATCH(O194,入力!$C$5:$C$44,0),"")</f>
        <v/>
      </c>
      <c r="AC194">
        <f>IF(AB194="","",INDEX(入力!$AH$5:$AH$44,AB194))</f>
        <v/>
      </c>
      <c r="AD194">
        <f>IF(INDEX($D194:$K194,IF(M194=1,2,1))=AC194,1,IF(INDEX($D194:$K194,IF(M194=1,2,1))&amp;INDEX($D194:$K194,IF(M194=1,2,1)+1)=AC194,2,IF(INDEX($D194:$K194,IF(M194=1,2,1))&amp;INDEX($D194:$K194,IF(M194=1,2,1)+1)&amp;INDEX($D194:$K194,IF(M194=1,2,1)+2)=AC194,3,IF(AB194&lt;&gt;"",2,IF(ISNUMBER(MATCH(INDEX($D194:$K194,IF(M194=1,2,1)),入力!$AH$5:$AH$44,0)),1,IF(ISNUMBER(MATCH(INDEX($D194:$K194,IF(M194=1,2,1))&amp;INDEX($D194:$K194,IF(M194=1,2,1)+1),入力!$AH$5:$AH$44,0)),2,IF(ISNUMBER(MATCH(INDEX($D194:$K194,IF(M194=1,2,1))&amp;INDEX($D194:$K194,IF(M194=1,2,1)+1)&amp;INDEX($D194:$K194,IF(M194=1,2,1)+2),入力!$AH$5:$AH$44,0)),3,2)))))))</f>
        <v/>
      </c>
      <c r="AE194">
        <f>IF(V194="","",IF(AND(V194="反映",N(Y194)&gt;20),"要確認（この生徒の取込が20件を超えました）",V194))</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",""),入力!$AH$5:$AH$44,0),"")))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$405,T195,$R$6:$R$405,R195,$X$6:$X$405,"&lt;"&amp;X195))&gt;0,"重複","反映")))))</f>
        <v/>
      </c>
      <c r="W195">
        <f>IF(V195="反映",1,0)</f>
        <v/>
      </c>
      <c r="X195" t="n">
        <v>195</v>
      </c>
      <c r="Y195">
        <f>IF(W195=0,"",COUNTIFS($T$6:$T$405,T195,$W$6:$W$405,1,$S$6:$S$405,"&lt;"&amp;S195)+COUNTIFS($T$6:$T$405,T195,$W$6:$W$405,1,$S$6:$S$405,S195,$X$6:$X$405,"&lt;"&amp;X195)+1)</f>
        <v/>
      </c>
      <c r="Z195">
        <f>IF(Y195="","",T195&amp;"_"&amp;Y195)</f>
        <v/>
      </c>
      <c r="AA195">
        <f>SUBSTITUTE(SUBSTITUTE(SUBSTITUTE(SUBSTITUTE(SUBSTITUTE(INDEX(D195:K195,MIN(8,MAX(1,C195))),"年","/"),"月","/"),"日",""),"-","/"),".","/")</f>
        <v/>
      </c>
      <c r="AB195">
        <f>IFERROR(MATCH(O195,入力!$C$5:$C$44,0),"")</f>
        <v/>
      </c>
      <c r="AC195">
        <f>IF(AB195="","",INDEX(入力!$AH$5:$AH$44,AB195))</f>
        <v/>
      </c>
      <c r="AD195">
        <f>IF(INDEX($D195:$K195,IF(M195=1,2,1))=AC195,1,IF(INDEX($D195:$K195,IF(M195=1,2,1))&amp;INDEX($D195:$K195,IF(M195=1,2,1)+1)=AC195,2,IF(INDEX($D195:$K195,IF(M195=1,2,1))&amp;INDEX($D195:$K195,IF(M195=1,2,1)+1)&amp;INDEX($D195:$K195,IF(M195=1,2,1)+2)=AC195,3,IF(AB195&lt;&gt;"",2,IF(ISNUMBER(MATCH(INDEX($D195:$K195,IF(M195=1,2,1)),入力!$AH$5:$AH$44,0)),1,IF(ISNUMBER(MATCH(INDEX($D195:$K195,IF(M195=1,2,1))&amp;INDEX($D195:$K195,IF(M195=1,2,1)+1),入力!$AH$5:$AH$44,0)),2,IF(ISNUMBER(MATCH(INDEX($D195:$K195,IF(M195=1,2,1))&amp;INDEX($D195:$K195,IF(M195=1,2,1)+1)&amp;INDEX($D195:$K195,IF(M195=1,2,1)+2),入力!$AH$5:$AH$44,0)),3,2)))))))</f>
        <v/>
      </c>
      <c r="AE195">
        <f>IF(V195="","",IF(AND(V195="反映",N(Y195)&gt;20),"要確認（この生徒の取込が20件を超えました）",V195))</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",""),入力!$AH$5:$AH$44,0),"")))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$405,T196,$R$6:$R$405,R196,$X$6:$X$405,"&lt;"&amp;X196))&gt;0,"重複","反映")))))</f>
        <v/>
      </c>
      <c r="W196">
        <f>IF(V196="反映",1,0)</f>
        <v/>
      </c>
      <c r="X196" t="n">
        <v>196</v>
      </c>
      <c r="Y196">
        <f>IF(W196=0,"",COUNTIFS($T$6:$T$405,T196,$W$6:$W$405,1,$S$6:$S$405,"&lt;"&amp;S196)+COUNTIFS($T$6:$T$405,T196,$W$6:$W$405,1,$S$6:$S$405,S196,$X$6:$X$405,"&lt;"&amp;X196)+1)</f>
        <v/>
      </c>
      <c r="Z196">
        <f>IF(Y196="","",T196&amp;"_"&amp;Y196)</f>
        <v/>
      </c>
      <c r="AA196">
        <f>SUBSTITUTE(SUBSTITUTE(SUBSTITUTE(SUBSTITUTE(SUBSTITUTE(INDEX(D196:K196,MIN(8,MAX(1,C196))),"年","/"),"月","/"),"日",""),"-","/"),".","/")</f>
        <v/>
      </c>
      <c r="AB196">
        <f>IFERROR(MATCH(O196,入力!$C$5:$C$44,0),"")</f>
        <v/>
      </c>
      <c r="AC196">
        <f>IF(AB196="","",INDEX(入力!$AH$5:$AH$44,AB196))</f>
        <v/>
      </c>
      <c r="AD196">
        <f>IF(INDEX($D196:$K196,IF(M196=1,2,1))=AC196,1,IF(INDEX($D196:$K196,IF(M196=1,2,1))&amp;INDEX($D196:$K196,IF(M196=1,2,1)+1)=AC196,2,IF(INDEX($D196:$K196,IF(M196=1,2,1))&amp;INDEX($D196:$K196,IF(M196=1,2,1)+1)&amp;INDEX($D196:$K196,IF(M196=1,2,1)+2)=AC196,3,IF(AB196&lt;&gt;"",2,IF(ISNUMBER(MATCH(INDEX($D196:$K196,IF(M196=1,2,1)),入力!$AH$5:$AH$44,0)),1,IF(ISNUMBER(MATCH(INDEX($D196:$K196,IF(M196=1,2,1))&amp;INDEX($D196:$K196,IF(M196=1,2,1)+1),入力!$AH$5:$AH$44,0)),2,IF(ISNUMBER(MATCH(INDEX($D196:$K196,IF(M196=1,2,1))&amp;INDEX($D196:$K196,IF(M196=1,2,1)+1)&amp;INDEX($D196:$K196,IF(M196=1,2,1)+2),入力!$AH$5:$AH$44,0)),3,2)))))))</f>
        <v/>
      </c>
      <c r="AE196">
        <f>IF(V196="","",IF(AND(V196="反映",N(Y196)&gt;20),"要確認（この生徒の取込が20件を超えました）",V196))</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",""),入力!$AH$5:$AH$44,0),"")))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$405,T197,$R$6:$R$405,R197,$X$6:$X$405,"&lt;"&amp;X197))&gt;0,"重複","反映")))))</f>
        <v/>
      </c>
      <c r="W197">
        <f>IF(V197="反映",1,0)</f>
        <v/>
      </c>
      <c r="X197" t="n">
        <v>197</v>
      </c>
      <c r="Y197">
        <f>IF(W197=0,"",COUNTIFS($T$6:$T$405,T197,$W$6:$W$405,1,$S$6:$S$405,"&lt;"&amp;S197)+COUNTIFS($T$6:$T$405,T197,$W$6:$W$405,1,$S$6:$S$405,S197,$X$6:$X$405,"&lt;"&amp;X197)+1)</f>
        <v/>
      </c>
      <c r="Z197">
        <f>IF(Y197="","",T197&amp;"_"&amp;Y197)</f>
        <v/>
      </c>
      <c r="AA197">
        <f>SUBSTITUTE(SUBSTITUTE(SUBSTITUTE(SUBSTITUTE(SUBSTITUTE(INDEX(D197:K197,MIN(8,MAX(1,C197))),"年","/"),"月","/"),"日",""),"-","/"),".","/")</f>
        <v/>
      </c>
      <c r="AB197">
        <f>IFERROR(MATCH(O197,入力!$C$5:$C$44,0),"")</f>
        <v/>
      </c>
      <c r="AC197">
        <f>IF(AB197="","",INDEX(入力!$AH$5:$AH$44,AB197))</f>
        <v/>
      </c>
      <c r="AD197">
        <f>IF(INDEX($D197:$K197,IF(M197=1,2,1))=AC197,1,IF(INDEX($D197:$K197,IF(M197=1,2,1))&amp;INDEX($D197:$K197,IF(M197=1,2,1)+1)=AC197,2,IF(INDEX($D197:$K197,IF(M197=1,2,1))&amp;INDEX($D197:$K197,IF(M197=1,2,1)+1)&amp;INDEX($D197:$K197,IF(M197=1,2,1)+2)=AC197,3,IF(AB197&lt;&gt;"",2,IF(ISNUMBER(MATCH(INDEX($D197:$K197,IF(M197=1,2,1)),入力!$AH$5:$AH$44,0)),1,IF(ISNUMBER(MATCH(INDEX($D197:$K197,IF(M197=1,2,1))&amp;INDEX($D197:$K197,IF(M197=1,2,1)+1),入力!$AH$5:$AH$44,0)),2,IF(ISNUMBER(MATCH(INDEX($D197:$K197,IF(M197=1,2,1))&amp;INDEX($D197:$K197,IF(M197=1,2,1)+1)&amp;INDEX($D197:$K197,IF(M197=1,2,1)+2),入力!$AH$5:$AH$44,0)),3,2)))))))</f>
        <v/>
      </c>
      <c r="AE197">
        <f>IF(V197="","",IF(AND(V197="反映",N(Y197)&gt;20),"要確認（この生徒の取込が20件を超えました）",V197))</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",""),入力!$AH$5:$AH$44,0),"")))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$405,T198,$R$6:$R$405,R198,$X$6:$X$405,"&lt;"&amp;X198))&gt;0,"重複","反映")))))</f>
        <v/>
      </c>
      <c r="W198">
        <f>IF(V198="反映",1,0)</f>
        <v/>
      </c>
      <c r="X198" t="n">
        <v>198</v>
      </c>
      <c r="Y198">
        <f>IF(W198=0,"",COUNTIFS($T$6:$T$405,T198,$W$6:$W$405,1,$S$6:$S$405,"&lt;"&amp;S198)+COUNTIFS($T$6:$T$405,T198,$W$6:$W$405,1,$S$6:$S$405,S198,$X$6:$X$405,"&lt;"&amp;X198)+1)</f>
        <v/>
      </c>
      <c r="Z198">
        <f>IF(Y198="","",T198&amp;"_"&amp;Y198)</f>
        <v/>
      </c>
      <c r="AA198">
        <f>SUBSTITUTE(SUBSTITUTE(SUBSTITUTE(SUBSTITUTE(SUBSTITUTE(INDEX(D198:K198,MIN(8,MAX(1,C198))),"年","/"),"月","/"),"日",""),"-","/"),".","/")</f>
        <v/>
      </c>
      <c r="AB198">
        <f>IFERROR(MATCH(O198,入力!$C$5:$C$44,0),"")</f>
        <v/>
      </c>
      <c r="AC198">
        <f>IF(AB198="","",INDEX(入力!$AH$5:$AH$44,AB198))</f>
        <v/>
      </c>
      <c r="AD198">
        <f>IF(INDEX($D198:$K198,IF(M198=1,2,1))=AC198,1,IF(INDEX($D198:$K198,IF(M198=1,2,1))&amp;INDEX($D198:$K198,IF(M198=1,2,1)+1)=AC198,2,IF(INDEX($D198:$K198,IF(M198=1,2,1))&amp;INDEX($D198:$K198,IF(M198=1,2,1)+1)&amp;INDEX($D198:$K198,IF(M198=1,2,1)+2)=AC198,3,IF(AB198&lt;&gt;"",2,IF(ISNUMBER(MATCH(INDEX($D198:$K198,IF(M198=1,2,1)),入力!$AH$5:$AH$44,0)),1,IF(ISNUMBER(MATCH(INDEX($D198:$K198,IF(M198=1,2,1))&amp;INDEX($D198:$K198,IF(M198=1,2,1)+1),入力!$AH$5:$AH$44,0)),2,IF(ISNUMBER(MATCH(INDEX($D198:$K198,IF(M198=1,2,1))&amp;INDEX($D198:$K198,IF(M198=1,2,1)+1)&amp;INDEX($D198:$K198,IF(M198=1,2,1)+2),入力!$AH$5:$AH$44,0)),3,2)))))))</f>
        <v/>
      </c>
      <c r="AE198">
        <f>IF(V198="","",IF(AND(V198="反映",N(Y198)&gt;20),"要確認（この生徒の取込が20件を超えました）",V198))</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",""),入力!$AH$5:$AH$44,0),"")))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$405,T199,$R$6:$R$405,R199,$X$6:$X$405,"&lt;"&amp;X199))&gt;0,"重複","反映")))))</f>
        <v/>
      </c>
      <c r="W199">
        <f>IF(V199="反映",1,0)</f>
        <v/>
      </c>
      <c r="X199" t="n">
        <v>199</v>
      </c>
      <c r="Y199">
        <f>IF(W199=0,"",COUNTIFS($T$6:$T$405,T199,$W$6:$W$405,1,$S$6:$S$405,"&lt;"&amp;S199)+COUNTIFS($T$6:$T$405,T199,$W$6:$W$405,1,$S$6:$S$405,S199,$X$6:$X$405,"&lt;"&amp;X199)+1)</f>
        <v/>
      </c>
      <c r="Z199">
        <f>IF(Y199="","",T199&amp;"_"&amp;Y199)</f>
        <v/>
      </c>
      <c r="AA199">
        <f>SUBSTITUTE(SUBSTITUTE(SUBSTITUTE(SUBSTITUTE(SUBSTITUTE(INDEX(D199:K199,MIN(8,MAX(1,C199))),"年","/"),"月","/"),"日",""),"-","/"),".","/")</f>
        <v/>
      </c>
      <c r="AB199">
        <f>IFERROR(MATCH(O199,入力!$C$5:$C$44,0),"")</f>
        <v/>
      </c>
      <c r="AC199">
        <f>IF(AB199="","",INDEX(入力!$AH$5:$AH$44,AB199))</f>
        <v/>
      </c>
      <c r="AD199">
        <f>IF(INDEX($D199:$K199,IF(M199=1,2,1))=AC199,1,IF(INDEX($D199:$K199,IF(M199=1,2,1))&amp;INDEX($D199:$K199,IF(M199=1,2,1)+1)=AC199,2,IF(INDEX($D199:$K199,IF(M199=1,2,1))&amp;INDEX($D199:$K199,IF(M199=1,2,1)+1)&amp;INDEX($D199:$K199,IF(M199=1,2,1)+2)=AC199,3,IF(AB199&lt;&gt;"",2,IF(ISNUMBER(MATCH(INDEX($D199:$K199,IF(M199=1,2,1)),入力!$AH$5:$AH$44,0)),1,IF(ISNUMBER(MATCH(INDEX($D199:$K199,IF(M199=1,2,1))&amp;INDEX($D199:$K199,IF(M199=1,2,1)+1),入力!$AH$5:$AH$44,0)),2,IF(ISNUMBER(MATCH(INDEX($D199:$K199,IF(M199=1,2,1))&amp;INDEX($D199:$K199,IF(M199=1,2,1)+1)&amp;INDEX($D199:$K199,IF(M199=1,2,1)+2),入力!$AH$5:$AH$44,0)),3,2)))))))</f>
        <v/>
      </c>
      <c r="AE199">
        <f>IF(V199="","",IF(AND(V199="反映",N(Y199)&gt;20),"要確認（この生徒の取込が20件を超えました）",V199))</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",""),入力!$AH$5:$AH$44,0),"")))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$405,T200,$R$6:$R$405,R200,$X$6:$X$405,"&lt;"&amp;X200))&gt;0,"重複","反映")))))</f>
        <v/>
      </c>
      <c r="W200">
        <f>IF(V200="反映",1,0)</f>
        <v/>
      </c>
      <c r="X200" t="n">
        <v>200</v>
      </c>
      <c r="Y200">
        <f>IF(W200=0,"",COUNTIFS($T$6:$T$405,T200,$W$6:$W$405,1,$S$6:$S$405,"&lt;"&amp;S200)+COUNTIFS($T$6:$T$405,T200,$W$6:$W$405,1,$S$6:$S$405,S200,$X$6:$X$405,"&lt;"&amp;X200)+1)</f>
        <v/>
      </c>
      <c r="Z200">
        <f>IF(Y200="","",T200&amp;"_"&amp;Y200)</f>
        <v/>
      </c>
      <c r="AA200">
        <f>SUBSTITUTE(SUBSTITUTE(SUBSTITUTE(SUBSTITUTE(SUBSTITUTE(INDEX(D200:K200,MIN(8,MAX(1,C200))),"年","/"),"月","/"),"日",""),"-","/"),".","/")</f>
        <v/>
      </c>
      <c r="AB200">
        <f>IFERROR(MATCH(O200,入力!$C$5:$C$44,0),"")</f>
        <v/>
      </c>
      <c r="AC200">
        <f>IF(AB200="","",INDEX(入力!$AH$5:$AH$44,AB200))</f>
        <v/>
      </c>
      <c r="AD200">
        <f>IF(INDEX($D200:$K200,IF(M200=1,2,1))=AC200,1,IF(INDEX($D200:$K200,IF(M200=1,2,1))&amp;INDEX($D200:$K200,IF(M200=1,2,1)+1)=AC200,2,IF(INDEX($D200:$K200,IF(M200=1,2,1))&amp;INDEX($D200:$K200,IF(M200=1,2,1)+1)&amp;INDEX($D200:$K200,IF(M200=1,2,1)+2)=AC200,3,IF(AB200&lt;&gt;"",2,IF(ISNUMBER(MATCH(INDEX($D200:$K200,IF(M200=1,2,1)),入力!$AH$5:$AH$44,0)),1,IF(ISNUMBER(MATCH(INDEX($D200:$K200,IF(M200=1,2,1))&amp;INDEX($D200:$K200,IF(M200=1,2,1)+1),入力!$AH$5:$AH$44,0)),2,IF(ISNUMBER(MATCH(INDEX($D200:$K200,IF(M200=1,2,1))&amp;INDEX($D200:$K200,IF(M200=1,2,1)+1)&amp;INDEX($D200:$K200,IF(M200=1,2,1)+2),入力!$AH$5:$AH$44,0)),3,2)))))))</f>
        <v/>
      </c>
      <c r="AE200">
        <f>IF(V200="","",IF(AND(V200="反映",N(Y200)&gt;20),"要確認（この生徒の取込が20件を超えました）",V200))</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",""),入力!$AH$5:$AH$44,0),"")))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$405,T201,$R$6:$R$405,R201,$X$6:$X$405,"&lt;"&amp;X201))&gt;0,"重複","反映")))))</f>
        <v/>
      </c>
      <c r="W201">
        <f>IF(V201="反映",1,0)</f>
        <v/>
      </c>
      <c r="X201" t="n">
        <v>201</v>
      </c>
      <c r="Y201">
        <f>IF(W201=0,"",COUNTIFS($T$6:$T$405,T201,$W$6:$W$405,1,$S$6:$S$405,"&lt;"&amp;S201)+COUNTIFS($T$6:$T$405,T201,$W$6:$W$405,1,$S$6:$S$405,S201,$X$6:$X$405,"&lt;"&amp;X201)+1)</f>
        <v/>
      </c>
      <c r="Z201">
        <f>IF(Y201="","",T201&amp;"_"&amp;Y201)</f>
        <v/>
      </c>
      <c r="AA201">
        <f>SUBSTITUTE(SUBSTITUTE(SUBSTITUTE(SUBSTITUTE(SUBSTITUTE(INDEX(D201:K201,MIN(8,MAX(1,C201))),"年","/"),"月","/"),"日",""),"-","/"),".","/")</f>
        <v/>
      </c>
      <c r="AB201">
        <f>IFERROR(MATCH(O201,入力!$C$5:$C$44,0),"")</f>
        <v/>
      </c>
      <c r="AC201">
        <f>IF(AB201="","",INDEX(入力!$AH$5:$AH$44,AB201))</f>
        <v/>
      </c>
      <c r="AD201">
        <f>IF(INDEX($D201:$K201,IF(M201=1,2,1))=AC201,1,IF(INDEX($D201:$K201,IF(M201=1,2,1))&amp;INDEX($D201:$K201,IF(M201=1,2,1)+1)=AC201,2,IF(INDEX($D201:$K201,IF(M201=1,2,1))&amp;INDEX($D201:$K201,IF(M201=1,2,1)+1)&amp;INDEX($D201:$K201,IF(M201=1,2,1)+2)=AC201,3,IF(AB201&lt;&gt;"",2,IF(ISNUMBER(MATCH(INDEX($D201:$K201,IF(M201=1,2,1)),入力!$AH$5:$AH$44,0)),1,IF(ISNUMBER(MATCH(INDEX($D201:$K201,IF(M201=1,2,1))&amp;INDEX($D201:$K201,IF(M201=1,2,1)+1),入力!$AH$5:$AH$44,0)),2,IF(ISNUMBER(MATCH(INDEX($D201:$K201,IF(M201=1,2,1))&amp;INDEX($D201:$K201,IF(M201=1,2,1)+1)&amp;INDEX($D201:$K201,IF(M201=1,2,1)+2),入力!$AH$5:$AH$44,0)),3,2)))))))</f>
        <v/>
      </c>
      <c r="AE201">
        <f>IF(V201="","",IF(AND(V201="反映",N(Y201)&gt;20),"要確認（この生徒の取込が20件を超えました）",V201))</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",""),入力!$AH$5:$AH$44,0),"")))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$405,T202,$R$6:$R$405,R202,$X$6:$X$405,"&lt;"&amp;X202))&gt;0,"重複","反映")))))</f>
        <v/>
      </c>
      <c r="W202">
        <f>IF(V202="反映",1,0)</f>
        <v/>
      </c>
      <c r="X202" t="n">
        <v>202</v>
      </c>
      <c r="Y202">
        <f>IF(W202=0,"",COUNTIFS($T$6:$T$405,T202,$W$6:$W$405,1,$S$6:$S$405,"&lt;"&amp;S202)+COUNTIFS($T$6:$T$405,T202,$W$6:$W$405,1,$S$6:$S$405,S202,$X$6:$X$405,"&lt;"&amp;X202)+1)</f>
        <v/>
      </c>
      <c r="Z202">
        <f>IF(Y202="","",T202&amp;"_"&amp;Y202)</f>
        <v/>
      </c>
      <c r="AA202">
        <f>SUBSTITUTE(SUBSTITUTE(SUBSTITUTE(SUBSTITUTE(SUBSTITUTE(INDEX(D202:K202,MIN(8,MAX(1,C202))),"年","/"),"月","/"),"日",""),"-","/"),".","/")</f>
        <v/>
      </c>
      <c r="AB202">
        <f>IFERROR(MATCH(O202,入力!$C$5:$C$44,0),"")</f>
        <v/>
      </c>
      <c r="AC202">
        <f>IF(AB202="","",INDEX(入力!$AH$5:$AH$44,AB202))</f>
        <v/>
      </c>
      <c r="AD202">
        <f>IF(INDEX($D202:$K202,IF(M202=1,2,1))=AC202,1,IF(INDEX($D202:$K202,IF(M202=1,2,1))&amp;INDEX($D202:$K202,IF(M202=1,2,1)+1)=AC202,2,IF(INDEX($D202:$K202,IF(M202=1,2,1))&amp;INDEX($D202:$K202,IF(M202=1,2,1)+1)&amp;INDEX($D202:$K202,IF(M202=1,2,1)+2)=AC202,3,IF(AB202&lt;&gt;"",2,IF(ISNUMBER(MATCH(INDEX($D202:$K202,IF(M202=1,2,1)),入力!$AH$5:$AH$44,0)),1,IF(ISNUMBER(MATCH(INDEX($D202:$K202,IF(M202=1,2,1))&amp;INDEX($D202:$K202,IF(M202=1,2,1)+1),入力!$AH$5:$AH$44,0)),2,IF(ISNUMBER(MATCH(INDEX($D202:$K202,IF(M202=1,2,1))&amp;INDEX($D202:$K202,IF(M202=1,2,1)+1)&amp;INDEX($D202:$K202,IF(M202=1,2,1)+2),入力!$AH$5:$AH$44,0)),3,2)))))))</f>
        <v/>
      </c>
      <c r="AE202">
        <f>IF(V202="","",IF(AND(V202="反映",N(Y202)&gt;20),"要確認（この生徒の取込が20件を超えました）",V202))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",""),入力!$AH$5:$AH$44,0),"")))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$405,T203,$R$6:$R$405,R203,$X$6:$X$405,"&lt;"&amp;X203))&gt;0,"重複","反映")))))</f>
        <v/>
      </c>
      <c r="W203">
        <f>IF(V203="反映",1,0)</f>
        <v/>
      </c>
      <c r="X203" t="n">
        <v>203</v>
      </c>
      <c r="Y203">
        <f>IF(W203=0,"",COUNTIFS($T$6:$T$405,T203,$W$6:$W$405,1,$S$6:$S$405,"&lt;"&amp;S203)+COUNTIFS($T$6:$T$405,T203,$W$6:$W$405,1,$S$6:$S$405,S203,$X$6:$X$405,"&lt;"&amp;X203)+1)</f>
        <v/>
      </c>
      <c r="Z203">
        <f>IF(Y203="","",T203&amp;"_"&amp;Y203)</f>
        <v/>
      </c>
      <c r="AA203">
        <f>SUBSTITUTE(SUBSTITUTE(SUBSTITUTE(SUBSTITUTE(SUBSTITUTE(INDEX(D203:K203,MIN(8,MAX(1,C203))),"年","/"),"月","/"),"日",""),"-","/"),".","/")</f>
        <v/>
      </c>
      <c r="AB203">
        <f>IFERROR(MATCH(O203,入力!$C$5:$C$44,0),"")</f>
        <v/>
      </c>
      <c r="AC203">
        <f>IF(AB203="","",INDEX(入力!$AH$5:$AH$44,AB203))</f>
        <v/>
      </c>
      <c r="AD203">
        <f>IF(INDEX($D203:$K203,IF(M203=1,2,1))=AC203,1,IF(INDEX($D203:$K203,IF(M203=1,2,1))&amp;INDEX($D203:$K203,IF(M203=1,2,1)+1)=AC203,2,IF(INDEX($D203:$K203,IF(M203=1,2,1))&amp;INDEX($D203:$K203,IF(M203=1,2,1)+1)&amp;INDEX($D203:$K203,IF(M203=1,2,1)+2)=AC203,3,IF(AB203&lt;&gt;"",2,IF(ISNUMBER(MATCH(INDEX($D203:$K203,IF(M203=1,2,1)),入力!$AH$5:$AH$44,0)),1,IF(ISNUMBER(MATCH(INDEX($D203:$K203,IF(M203=1,2,1))&amp;INDEX($D203:$K203,IF(M203=1,2,1)+1),入力!$AH$5:$AH$44,0)),2,IF(ISNUMBER(MATCH(INDEX($D203:$K203,IF(M203=1,2,1))&amp;INDEX($D203:$K203,IF(M203=1,2,1)+1)&amp;INDEX($D203:$K203,IF(M203=1,2,1)+2),入力!$AH$5:$AH$44,0)),3,2)))))))</f>
        <v/>
      </c>
      <c r="AE203">
        <f>IF(V203="","",IF(AND(V203="反映",N(Y203)&gt;20),"要確認（この生徒の取込が20件を超えました）",V203))</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",""),入力!$AH$5:$AH$44,0),"")))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$405,T204,$R$6:$R$405,R204,$X$6:$X$405,"&lt;"&amp;X204))&gt;0,"重複","反映")))))</f>
        <v/>
      </c>
      <c r="W204">
        <f>IF(V204="反映",1,0)</f>
        <v/>
      </c>
      <c r="X204" t="n">
        <v>204</v>
      </c>
      <c r="Y204">
        <f>IF(W204=0,"",COUNTIFS($T$6:$T$405,T204,$W$6:$W$405,1,$S$6:$S$405,"&lt;"&amp;S204)+COUNTIFS($T$6:$T$405,T204,$W$6:$W$405,1,$S$6:$S$405,S204,$X$6:$X$405,"&lt;"&amp;X204)+1)</f>
        <v/>
      </c>
      <c r="Z204">
        <f>IF(Y204="","",T204&amp;"_"&amp;Y204)</f>
        <v/>
      </c>
      <c r="AA204">
        <f>SUBSTITUTE(SUBSTITUTE(SUBSTITUTE(SUBSTITUTE(SUBSTITUTE(INDEX(D204:K204,MIN(8,MAX(1,C204))),"年","/"),"月","/"),"日",""),"-","/"),".","/")</f>
        <v/>
      </c>
      <c r="AB204">
        <f>IFERROR(MATCH(O204,入力!$C$5:$C$44,0),"")</f>
        <v/>
      </c>
      <c r="AC204">
        <f>IF(AB204="","",INDEX(入力!$AH$5:$AH$44,AB204))</f>
        <v/>
      </c>
      <c r="AD204">
        <f>IF(INDEX($D204:$K204,IF(M204=1,2,1))=AC204,1,IF(INDEX($D204:$K204,IF(M204=1,2,1))&amp;INDEX($D204:$K204,IF(M204=1,2,1)+1)=AC204,2,IF(INDEX($D204:$K204,IF(M204=1,2,1))&amp;INDEX($D204:$K204,IF(M204=1,2,1)+1)&amp;INDEX($D204:$K204,IF(M204=1,2,1)+2)=AC204,3,IF(AB204&lt;&gt;"",2,IF(ISNUMBER(MATCH(INDEX($D204:$K204,IF(M204=1,2,1)),入力!$AH$5:$AH$44,0)),1,IF(ISNUMBER(MATCH(INDEX($D204:$K204,IF(M204=1,2,1))&amp;INDEX($D204:$K204,IF(M204=1,2,1)+1),入力!$AH$5:$AH$44,0)),2,IF(ISNUMBER(MATCH(INDEX($D204:$K204,IF(M204=1,2,1))&amp;INDEX($D204:$K204,IF(M204=1,2,1)+1)&amp;INDEX($D204:$K204,IF(M204=1,2,1)+2),入力!$AH$5:$AH$44,0)),3,2)))))))</f>
        <v/>
      </c>
      <c r="AE204">
        <f>IF(V204="","",IF(AND(V204="反映",N(Y204)&gt;20),"要確認（この生徒の取込が20件を超えました）",V204))</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",""),入力!$AH$5:$AH$44,0),"")))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$405,T205,$R$6:$R$405,R205,$X$6:$X$405,"&lt;"&amp;X205))&gt;0,"重複","反映")))))</f>
        <v/>
      </c>
      <c r="W205">
        <f>IF(V205="反映",1,0)</f>
        <v/>
      </c>
      <c r="X205" t="n">
        <v>205</v>
      </c>
      <c r="Y205">
        <f>IF(W205=0,"",COUNTIFS($T$6:$T$405,T205,$W$6:$W$405,1,$S$6:$S$405,"&lt;"&amp;S205)+COUNTIFS($T$6:$T$405,T205,$W$6:$W$405,1,$S$6:$S$405,S205,$X$6:$X$405,"&lt;"&amp;X205)+1)</f>
        <v/>
      </c>
      <c r="Z205">
        <f>IF(Y205="","",T205&amp;"_"&amp;Y205)</f>
        <v/>
      </c>
      <c r="AA205">
        <f>SUBSTITUTE(SUBSTITUTE(SUBSTITUTE(SUBSTITUTE(SUBSTITUTE(INDEX(D205:K205,MIN(8,MAX(1,C205))),"年","/"),"月","/"),"日",""),"-","/"),".","/")</f>
        <v/>
      </c>
      <c r="AB205">
        <f>IFERROR(MATCH(O205,入力!$C$5:$C$44,0),"")</f>
        <v/>
      </c>
      <c r="AC205">
        <f>IF(AB205="","",INDEX(入力!$AH$5:$AH$44,AB205))</f>
        <v/>
      </c>
      <c r="AD205">
        <f>IF(INDEX($D205:$K205,IF(M205=1,2,1))=AC205,1,IF(INDEX($D205:$K205,IF(M205=1,2,1))&amp;INDEX($D205:$K205,IF(M205=1,2,1)+1)=AC205,2,IF(INDEX($D205:$K205,IF(M205=1,2,1))&amp;INDEX($D205:$K205,IF(M205=1,2,1)+1)&amp;INDEX($D205:$K205,IF(M205=1,2,1)+2)=AC205,3,IF(AB205&lt;&gt;"",2,IF(ISNUMBER(MATCH(INDEX($D205:$K205,IF(M205=1,2,1)),入力!$AH$5:$AH$44,0)),1,IF(ISNUMBER(MATCH(INDEX($D205:$K205,IF(M205=1,2,1))&amp;INDEX($D205:$K205,IF(M205=1,2,1)+1),入力!$AH$5:$AH$44,0)),2,IF(ISNUMBER(MATCH(INDEX($D205:$K205,IF(M205=1,2,1))&amp;INDEX($D205:$K205,IF(M205=1,2,1)+1)&amp;INDEX($D205:$K205,IF(M205=1,2,1)+2),入力!$AH$5:$AH$44,0)),3,2)))))))</f>
        <v/>
      </c>
      <c r="AE205">
        <f>IF(V205="","",IF(AND(V205="反映",N(Y205)&gt;20),"要確認（この生徒の取込が20件を超えました）",V205))</f>
        <v/>
      </c>
    </row>
    <row r="206">
      <c r="A206" s="138" t="n"/>
      <c r="B206">
        <f>TRIM(SUBSTITUTE(SUBSTITUTE(SUBSTITUTE(A206,CHAR(9)," "),"　"," "),CHAR(160)," "))</f>
        <v/>
      </c>
      <c r="C206">
        <f>IF(B206="",0,LEN(B206)-LEN(SUBSTITUTE(B206," ",""))+1)</f>
        <v/>
      </c>
      <c r="D206">
        <f>IF(C206&gt;=1,TRIM(MID(SUBSTITUTE(B206," ",REPT(" ",200)),1,200)),"")</f>
        <v/>
      </c>
      <c r="E206">
        <f>IF(C206&gt;=2,TRIM(MID(SUBSTITUTE(B206," ",REPT(" ",200)),201,200)),"")</f>
        <v/>
      </c>
      <c r="F206">
        <f>IF(C206&gt;=3,TRIM(MID(SUBSTITUTE(B206," ",REPT(" ",200)),401,200)),"")</f>
        <v/>
      </c>
      <c r="G206">
        <f>IF(C206&gt;=4,TRIM(MID(SUBSTITUTE(B206," ",REPT(" ",200)),601,200)),"")</f>
        <v/>
      </c>
      <c r="H206">
        <f>IF(C206&gt;=5,TRIM(MID(SUBSTITUTE(B206," ",REPT(" ",200)),801,200)),"")</f>
        <v/>
      </c>
      <c r="I206">
        <f>IF(C206&gt;=6,TRIM(MID(SUBSTITUTE(B206," ",REPT(" ",200)),1001,200)),"")</f>
        <v/>
      </c>
      <c r="J206">
        <f>IF(C206&gt;=7,TRIM(MID(SUBSTITUTE(B206," ",REPT(" ",200)),1201,200)),"")</f>
        <v/>
      </c>
      <c r="K206">
        <f>IF(C206&gt;=8,TRIM(MID(SUBSTITUTE(B206," ",REPT(" ",200)),1401,200)),"")</f>
        <v/>
      </c>
      <c r="L206">
        <f>SUBSTITUTE(SUBSTITUTE(SUBSTITUTE(D206,"年","-"),"組","-"),"番","")</f>
        <v/>
      </c>
      <c r="M206">
        <f>IF(D206="",0,IF(ISNUMBER(VALUE(SUBSTITUTE(L206,"-",""))),1,0))</f>
        <v/>
      </c>
      <c r="N206">
        <f>IF(M206=0,"",IFERROR(VALUE(TRIM(MID(SUBSTITUTE(L206,"-",REPT(" ",100)),101,100))),""))</f>
        <v/>
      </c>
      <c r="O206">
        <f>IF(M206=0,"",IFERROR(VALUE(TRIM(RIGHT(SUBSTITUTE(L206,"-",REPT(" ",100)),100))),""))</f>
        <v/>
      </c>
      <c r="P206">
        <f>IF(B206="","",TRIM(INDEX($D206:$K206,IF(M206=1,2,1))&amp;IF(AD206&gt;=2," "&amp;INDEX($D206:$K206,IF(M206=1,2,1)+1),"")&amp;IF(AD206&gt;=3," "&amp;INDEX($D206:$K206,IF(M206=1,2,1)+2),"")))</f>
        <v/>
      </c>
      <c r="Q206">
        <f>IF(C206&lt;2,"",TRIM(IF(AND(2&gt;=(IF(M206=1,2,1)+AD206),2&lt;=C206-IF(S206="",0,1)),E206&amp;" ","")&amp;IF(AND(3&gt;=(IF(M206=1,2,1)+AD206),3&lt;=C206-IF(S206="",0,1)),F206&amp;" ","")&amp;IF(AND(4&gt;=(IF(M206=1,2,1)+AD206),4&lt;=C206-IF(S206="",0,1)),G206&amp;" ","")&amp;IF(AND(5&gt;=(IF(M206=1,2,1)+AD206),5&lt;=C206-IF(S206="",0,1)),H206&amp;" ","")&amp;IF(AND(6&gt;=(IF(M206=1,2,1)+AD206),6&lt;=C206-IF(S206="",0,1)),I206&amp;" ","")&amp;IF(AND(7&gt;=(IF(M206=1,2,1)+AD206),7&lt;=C206-IF(S206="",0,1)),J206&amp;" ","")&amp;IF(AND(8&gt;=(IF(M206=1,2,1)+AD206),8&lt;=C206-IF(S206="",0,1)),K206&amp;" ","")))</f>
        <v/>
      </c>
      <c r="R206">
        <f>IF(Q206="","",IFERROR(INDEX(資格マスタ!$B:$B,MATCH(ASC(SUBSTITUTE(SUBSTITUTE(Q206," ",""),"　","")),資格マスタ!$D:$D,0)),Q206))</f>
        <v/>
      </c>
      <c r="S206" s="139">
        <f>IF(C206&lt;2,"",IFERROR(IF(OR(LEFT(INDEX(D206:K206,MIN(8,MAX(1,C206))),2)="令和",LEFT(INDEX(D206:K206,MIN(8,MAX(1,C206))),2)="平成",LEFT(INDEX(D206:K206,MIN(8,MAX(1,C206))),2)="昭和"),DATE(VALUE(MID(INDEX(D206:K206,MIN(8,MAX(1,C206))),3,FIND("年",INDEX(D206:K206,MIN(8,MAX(1,C206))))-3))+IF(LEFT(INDEX(D206:K206,MIN(8,MAX(1,C206))),2)="令和",2018,IF(LEFT(INDEX(D206:K206,MIN(8,MAX(1,C206))),2)="平成",1988,1925)),VALUE(MID(INDEX(D206:K206,MIN(8,MAX(1,C206))),FIND("年",INDEX(D206:K206,MIN(8,MAX(1,C206))))+1,FIND("月",INDEX(D206:K206,MIN(8,MAX(1,C206))))-FIND("年",INDEX(D206:K206,MIN(8,MAX(1,C206))))-1)),IFERROR(VALUE(SUBSTITUTE(MID(INDEX(D206:K206,MIN(8,MAX(1,C206))),FIND("月",INDEX(D206:K206,MIN(8,MAX(1,C206))))+1,10),"日","")),1)),DATE(VALUE(TRIM(MID(SUBSTITUTE(AA206,"/",REPT(" ",50)),1,50))),VALUE(TRIM(MID(SUBSTITUTE(AA206,"/",REPT(" ",50)),51,50))),IFERROR(VALUE(TRIM(MID(SUBSTITUTE(AA206,"/",REPT(" ",50)),101,50))),1))),IFERROR(DATEVALUE(INDEX(D206:K206,MIN(8,MAX(1,C206)))),"")))</f>
        <v/>
      </c>
      <c r="T206">
        <f>IF(B206="","",IF(AB206&lt;&gt;"",AB206,IFERROR(MATCH(SUBSTITUTE(SUBSTITUTE(P206," ",""),"　",""),入力!$AH$5:$AH$44,0),"")))</f>
        <v/>
      </c>
      <c r="U206">
        <f>IF(T206="","",INDEX(入力!$D$5:$D$44,T206))</f>
        <v/>
      </c>
      <c r="V206">
        <f>IF(B206="","",IF(T206="","要確認（名簿と照合できません）",IF(R206="","要確認（資格名がありません）",IF(S206="","要確認（取得日が読めません）",IF((IF(INDEX(入力!$N$5:$N$44,T206)=R206,1,0)+IF(INDEX(入力!$P$5:$P$44,T206)=R206,1,0)+IF(INDEX(入力!$R$5:$R$44,T206)=R206,1,0)+IF(INDEX(入力!$T$5:$T$44,T206)=R206,1,0)+IF(INDEX(入力!$V$5:$V$44,T206)=R206,1,0)+IF(INDEX(入力!$X$5:$X$44,T206)=R206,1,0))+(COUNTIFS($T$6:$T$405,T206,$R$6:$R$405,R206,$X$6:$X$405,"&lt;"&amp;X206))&gt;0,"重複","反映")))))</f>
        <v/>
      </c>
      <c r="W206">
        <f>IF(V206="反映",1,0)</f>
        <v/>
      </c>
      <c r="X206" t="n">
        <v>206</v>
      </c>
      <c r="Y206">
        <f>IF(W206=0,"",COUNTIFS($T$6:$T$405,T206,$W$6:$W$405,1,$S$6:$S$405,"&lt;"&amp;S206)+COUNTIFS($T$6:$T$405,T206,$W$6:$W$405,1,$S$6:$S$405,S206,$X$6:$X$405,"&lt;"&amp;X206)+1)</f>
        <v/>
      </c>
      <c r="Z206">
        <f>IF(Y206="","",T206&amp;"_"&amp;Y206)</f>
        <v/>
      </c>
      <c r="AA206">
        <f>SUBSTITUTE(SUBSTITUTE(SUBSTITUTE(SUBSTITUTE(SUBSTITUTE(INDEX(D206:K206,MIN(8,MAX(1,C206))),"年","/"),"月","/"),"日",""),"-","/"),".","/")</f>
        <v/>
      </c>
      <c r="AB206">
        <f>IFERROR(MATCH(O206,入力!$C$5:$C$44,0),"")</f>
        <v/>
      </c>
      <c r="AC206">
        <f>IF(AB206="","",INDEX(入力!$AH$5:$AH$44,AB206))</f>
        <v/>
      </c>
      <c r="AD206">
        <f>IF(INDEX($D206:$K206,IF(M206=1,2,1))=AC206,1,IF(INDEX($D206:$K206,IF(M206=1,2,1))&amp;INDEX($D206:$K206,IF(M206=1,2,1)+1)=AC206,2,IF(INDEX($D206:$K206,IF(M206=1,2,1))&amp;INDEX($D206:$K206,IF(M206=1,2,1)+1)&amp;INDEX($D206:$K206,IF(M206=1,2,1)+2)=AC206,3,IF(AB206&lt;&gt;"",2,IF(ISNUMBER(MATCH(INDEX($D206:$K206,IF(M206=1,2,1)),入力!$AH$5:$AH$44,0)),1,IF(ISNUMBER(MATCH(INDEX($D206:$K206,IF(M206=1,2,1))&amp;INDEX($D206:$K206,IF(M206=1,2,1)+1),入力!$AH$5:$AH$44,0)),2,IF(ISNUMBER(MATCH(INDEX($D206:$K206,IF(M206=1,2,1))&amp;INDEX($D206:$K206,IF(M206=1,2,1)+1)&amp;INDEX($D206:$K206,IF(M206=1,2,1)+2),入力!$AH$5:$AH$44,0)),3,2)))))))</f>
        <v/>
      </c>
      <c r="AE206">
        <f>IF(V206="","",IF(AND(V206="反映",N(Y206)&gt;20),"要確認（この生徒の取込が20件を超えました）",V206))</f>
        <v/>
      </c>
    </row>
    <row r="207">
      <c r="A207" s="138" t="n"/>
      <c r="B207">
        <f>TRIM(SUBSTITUTE(SUBSTITUTE(SUBSTITUTE(A207,CHAR(9)," "),"　"," "),CHAR(160)," "))</f>
        <v/>
      </c>
      <c r="C207">
        <f>IF(B207="",0,LEN(B207)-LEN(SUBSTITUTE(B207," ",""))+1)</f>
        <v/>
      </c>
      <c r="D207">
        <f>IF(C207&gt;=1,TRIM(MID(SUBSTITUTE(B207," ",REPT(" ",200)),1,200)),"")</f>
        <v/>
      </c>
      <c r="E207">
        <f>IF(C207&gt;=2,TRIM(MID(SUBSTITUTE(B207," ",REPT(" ",200)),201,200)),"")</f>
        <v/>
      </c>
      <c r="F207">
        <f>IF(C207&gt;=3,TRIM(MID(SUBSTITUTE(B207," ",REPT(" ",200)),401,200)),"")</f>
        <v/>
      </c>
      <c r="G207">
        <f>IF(C207&gt;=4,TRIM(MID(SUBSTITUTE(B207," ",REPT(" ",200)),601,200)),"")</f>
        <v/>
      </c>
      <c r="H207">
        <f>IF(C207&gt;=5,TRIM(MID(SUBSTITUTE(B207," ",REPT(" ",200)),801,200)),"")</f>
        <v/>
      </c>
      <c r="I207">
        <f>IF(C207&gt;=6,TRIM(MID(SUBSTITUTE(B207," ",REPT(" ",200)),1001,200)),"")</f>
        <v/>
      </c>
      <c r="J207">
        <f>IF(C207&gt;=7,TRIM(MID(SUBSTITUTE(B207," ",REPT(" ",200)),1201,200)),"")</f>
        <v/>
      </c>
      <c r="K207">
        <f>IF(C207&gt;=8,TRIM(MID(SUBSTITUTE(B207," ",REPT(" ",200)),1401,200)),"")</f>
        <v/>
      </c>
      <c r="L207">
        <f>SUBSTITUTE(SUBSTITUTE(SUBSTITUTE(D207,"年","-"),"組","-"),"番","")</f>
        <v/>
      </c>
      <c r="M207">
        <f>IF(D207="",0,IF(ISNUMBER(VALUE(SUBSTITUTE(L207,"-",""))),1,0))</f>
        <v/>
      </c>
      <c r="N207">
        <f>IF(M207=0,"",IFERROR(VALUE(TRIM(MID(SUBSTITUTE(L207,"-",REPT(" ",100)),101,100))),""))</f>
        <v/>
      </c>
      <c r="O207">
        <f>IF(M207=0,"",IFERROR(VALUE(TRIM(RIGHT(SUBSTITUTE(L207,"-",REPT(" ",100)),100))),""))</f>
        <v/>
      </c>
      <c r="P207">
        <f>IF(B207="","",TRIM(INDEX($D207:$K207,IF(M207=1,2,1))&amp;IF(AD207&gt;=2," "&amp;INDEX($D207:$K207,IF(M207=1,2,1)+1),"")&amp;IF(AD207&gt;=3," "&amp;INDEX($D207:$K207,IF(M207=1,2,1)+2),"")))</f>
        <v/>
      </c>
      <c r="Q207">
        <f>IF(C207&lt;2,"",TRIM(IF(AND(2&gt;=(IF(M207=1,2,1)+AD207),2&lt;=C207-IF(S207="",0,1)),E207&amp;" ","")&amp;IF(AND(3&gt;=(IF(M207=1,2,1)+AD207),3&lt;=C207-IF(S207="",0,1)),F207&amp;" ","")&amp;IF(AND(4&gt;=(IF(M207=1,2,1)+AD207),4&lt;=C207-IF(S207="",0,1)),G207&amp;" ","")&amp;IF(AND(5&gt;=(IF(M207=1,2,1)+AD207),5&lt;=C207-IF(S207="",0,1)),H207&amp;" ","")&amp;IF(AND(6&gt;=(IF(M207=1,2,1)+AD207),6&lt;=C207-IF(S207="",0,1)),I207&amp;" ","")&amp;IF(AND(7&gt;=(IF(M207=1,2,1)+AD207),7&lt;=C207-IF(S207="",0,1)),J207&amp;" ","")&amp;IF(AND(8&gt;=(IF(M207=1,2,1)+AD207),8&lt;=C207-IF(S207="",0,1)),K207&amp;" ","")))</f>
        <v/>
      </c>
      <c r="R207">
        <f>IF(Q207="","",IFERROR(INDEX(資格マスタ!$B:$B,MATCH(ASC(SUBSTITUTE(SUBSTITUTE(Q207," ",""),"　","")),資格マスタ!$D:$D,0)),Q207))</f>
        <v/>
      </c>
      <c r="S207" s="139">
        <f>IF(C207&lt;2,"",IFERROR(IF(OR(LEFT(INDEX(D207:K207,MIN(8,MAX(1,C207))),2)="令和",LEFT(INDEX(D207:K207,MIN(8,MAX(1,C207))),2)="平成",LEFT(INDEX(D207:K207,MIN(8,MAX(1,C207))),2)="昭和"),DATE(VALUE(MID(INDEX(D207:K207,MIN(8,MAX(1,C207))),3,FIND("年",INDEX(D207:K207,MIN(8,MAX(1,C207))))-3))+IF(LEFT(INDEX(D207:K207,MIN(8,MAX(1,C207))),2)="令和",2018,IF(LEFT(INDEX(D207:K207,MIN(8,MAX(1,C207))),2)="平成",1988,1925)),VALUE(MID(INDEX(D207:K207,MIN(8,MAX(1,C207))),FIND("年",INDEX(D207:K207,MIN(8,MAX(1,C207))))+1,FIND("月",INDEX(D207:K207,MIN(8,MAX(1,C207))))-FIND("年",INDEX(D207:K207,MIN(8,MAX(1,C207))))-1)),IFERROR(VALUE(SUBSTITUTE(MID(INDEX(D207:K207,MIN(8,MAX(1,C207))),FIND("月",INDEX(D207:K207,MIN(8,MAX(1,C207))))+1,10),"日","")),1)),DATE(VALUE(TRIM(MID(SUBSTITUTE(AA207,"/",REPT(" ",50)),1,50))),VALUE(TRIM(MID(SUBSTITUTE(AA207,"/",REPT(" ",50)),51,50))),IFERROR(VALUE(TRIM(MID(SUBSTITUTE(AA207,"/",REPT(" ",50)),101,50))),1))),IFERROR(DATEVALUE(INDEX(D207:K207,MIN(8,MAX(1,C207)))),"")))</f>
        <v/>
      </c>
      <c r="T207">
        <f>IF(B207="","",IF(AB207&lt;&gt;"",AB207,IFERROR(MATCH(SUBSTITUTE(SUBSTITUTE(P207," ",""),"　",""),入力!$AH$5:$AH$44,0),"")))</f>
        <v/>
      </c>
      <c r="U207">
        <f>IF(T207="","",INDEX(入力!$D$5:$D$44,T207))</f>
        <v/>
      </c>
      <c r="V207">
        <f>IF(B207="","",IF(T207="","要確認（名簿と照合できません）",IF(R207="","要確認（資格名がありません）",IF(S207="","要確認（取得日が読めません）",IF((IF(INDEX(入力!$N$5:$N$44,T207)=R207,1,0)+IF(INDEX(入力!$P$5:$P$44,T207)=R207,1,0)+IF(INDEX(入力!$R$5:$R$44,T207)=R207,1,0)+IF(INDEX(入力!$T$5:$T$44,T207)=R207,1,0)+IF(INDEX(入力!$V$5:$V$44,T207)=R207,1,0)+IF(INDEX(入力!$X$5:$X$44,T207)=R207,1,0))+(COUNTIFS($T$6:$T$405,T207,$R$6:$R$405,R207,$X$6:$X$405,"&lt;"&amp;X207))&gt;0,"重複","反映")))))</f>
        <v/>
      </c>
      <c r="W207">
        <f>IF(V207="反映",1,0)</f>
        <v/>
      </c>
      <c r="X207" t="n">
        <v>207</v>
      </c>
      <c r="Y207">
        <f>IF(W207=0,"",COUNTIFS($T$6:$T$405,T207,$W$6:$W$405,1,$S$6:$S$405,"&lt;"&amp;S207)+COUNTIFS($T$6:$T$405,T207,$W$6:$W$405,1,$S$6:$S$405,S207,$X$6:$X$405,"&lt;"&amp;X207)+1)</f>
        <v/>
      </c>
      <c r="Z207">
        <f>IF(Y207="","",T207&amp;"_"&amp;Y207)</f>
        <v/>
      </c>
      <c r="AA207">
        <f>SUBSTITUTE(SUBSTITUTE(SUBSTITUTE(SUBSTITUTE(SUBSTITUTE(INDEX(D207:K207,MIN(8,MAX(1,C207))),"年","/"),"月","/"),"日",""),"-","/"),".","/")</f>
        <v/>
      </c>
      <c r="AB207">
        <f>IFERROR(MATCH(O207,入力!$C$5:$C$44,0),"")</f>
        <v/>
      </c>
      <c r="AC207">
        <f>IF(AB207="","",INDEX(入力!$AH$5:$AH$44,AB207))</f>
        <v/>
      </c>
      <c r="AD207">
        <f>IF(INDEX($D207:$K207,IF(M207=1,2,1))=AC207,1,IF(INDEX($D207:$K207,IF(M207=1,2,1))&amp;INDEX($D207:$K207,IF(M207=1,2,1)+1)=AC207,2,IF(INDEX($D207:$K207,IF(M207=1,2,1))&amp;INDEX($D207:$K207,IF(M207=1,2,1)+1)&amp;INDEX($D207:$K207,IF(M207=1,2,1)+2)=AC207,3,IF(AB207&lt;&gt;"",2,IF(ISNUMBER(MATCH(INDEX($D207:$K207,IF(M207=1,2,1)),入力!$AH$5:$AH$44,0)),1,IF(ISNUMBER(MATCH(INDEX($D207:$K207,IF(M207=1,2,1))&amp;INDEX($D207:$K207,IF(M207=1,2,1)+1),入力!$AH$5:$AH$44,0)),2,IF(ISNUMBER(MATCH(INDEX($D207:$K207,IF(M207=1,2,1))&amp;INDEX($D207:$K207,IF(M207=1,2,1)+1)&amp;INDEX($D207:$K207,IF(M207=1,2,1)+2),入力!$AH$5:$AH$44,0)),3,2)))))))</f>
        <v/>
      </c>
      <c r="AE207">
        <f>IF(V207="","",IF(AND(V207="反映",N(Y207)&gt;20),"要確認（この生徒の取込が20件を超えました）",V207))</f>
        <v/>
      </c>
    </row>
    <row r="208">
      <c r="A208" s="138" t="n"/>
      <c r="B208">
        <f>TRIM(SUBSTITUTE(SUBSTITUTE(SUBSTITUTE(A208,CHAR(9)," "),"　"," "),CHAR(160)," "))</f>
        <v/>
      </c>
      <c r="C208">
        <f>IF(B208="",0,LEN(B208)-LEN(SUBSTITUTE(B208," ",""))+1)</f>
        <v/>
      </c>
      <c r="D208">
        <f>IF(C208&gt;=1,TRIM(MID(SUBSTITUTE(B208," ",REPT(" ",200)),1,200)),"")</f>
        <v/>
      </c>
      <c r="E208">
        <f>IF(C208&gt;=2,TRIM(MID(SUBSTITUTE(B208," ",REPT(" ",200)),201,200)),"")</f>
        <v/>
      </c>
      <c r="F208">
        <f>IF(C208&gt;=3,TRIM(MID(SUBSTITUTE(B208," ",REPT(" ",200)),401,200)),"")</f>
        <v/>
      </c>
      <c r="G208">
        <f>IF(C208&gt;=4,TRIM(MID(SUBSTITUTE(B208," ",REPT(" ",200)),601,200)),"")</f>
        <v/>
      </c>
      <c r="H208">
        <f>IF(C208&gt;=5,TRIM(MID(SUBSTITUTE(B208," ",REPT(" ",200)),801,200)),"")</f>
        <v/>
      </c>
      <c r="I208">
        <f>IF(C208&gt;=6,TRIM(MID(SUBSTITUTE(B208," ",REPT(" ",200)),1001,200)),"")</f>
        <v/>
      </c>
      <c r="J208">
        <f>IF(C208&gt;=7,TRIM(MID(SUBSTITUTE(B208," ",REPT(" ",200)),1201,200)),"")</f>
        <v/>
      </c>
      <c r="K208">
        <f>IF(C208&gt;=8,TRIM(MID(SUBSTITUTE(B208," ",REPT(" ",200)),1401,200)),"")</f>
        <v/>
      </c>
      <c r="L208">
        <f>SUBSTITUTE(SUBSTITUTE(SUBSTITUTE(D208,"年","-"),"組","-"),"番","")</f>
        <v/>
      </c>
      <c r="M208">
        <f>IF(D208="",0,IF(ISNUMBER(VALUE(SUBSTITUTE(L208,"-",""))),1,0))</f>
        <v/>
      </c>
      <c r="N208">
        <f>IF(M208=0,"",IFERROR(VALUE(TRIM(MID(SUBSTITUTE(L208,"-",REPT(" ",100)),101,100))),""))</f>
        <v/>
      </c>
      <c r="O208">
        <f>IF(M208=0,"",IFERROR(VALUE(TRIM(RIGHT(SUBSTITUTE(L208,"-",REPT(" ",100)),100))),""))</f>
        <v/>
      </c>
      <c r="P208">
        <f>IF(B208="","",TRIM(INDEX($D208:$K208,IF(M208=1,2,1))&amp;IF(AD208&gt;=2," "&amp;INDEX($D208:$K208,IF(M208=1,2,1)+1),"")&amp;IF(AD208&gt;=3," "&amp;INDEX($D208:$K208,IF(M208=1,2,1)+2),"")))</f>
        <v/>
      </c>
      <c r="Q208">
        <f>IF(C208&lt;2,"",TRIM(IF(AND(2&gt;=(IF(M208=1,2,1)+AD208),2&lt;=C208-IF(S208="",0,1)),E208&amp;" ","")&amp;IF(AND(3&gt;=(IF(M208=1,2,1)+AD208),3&lt;=C208-IF(S208="",0,1)),F208&amp;" ","")&amp;IF(AND(4&gt;=(IF(M208=1,2,1)+AD208),4&lt;=C208-IF(S208="",0,1)),G208&amp;" ","")&amp;IF(AND(5&gt;=(IF(M208=1,2,1)+AD208),5&lt;=C208-IF(S208="",0,1)),H208&amp;" ","")&amp;IF(AND(6&gt;=(IF(M208=1,2,1)+AD208),6&lt;=C208-IF(S208="",0,1)),I208&amp;" ","")&amp;IF(AND(7&gt;=(IF(M208=1,2,1)+AD208),7&lt;=C208-IF(S208="",0,1)),J208&amp;" ","")&amp;IF(AND(8&gt;=(IF(M208=1,2,1)+AD208),8&lt;=C208-IF(S208="",0,1)),K208&amp;" ","")))</f>
        <v/>
      </c>
      <c r="R208">
        <f>IF(Q208="","",IFERROR(INDEX(資格マスタ!$B:$B,MATCH(ASC(SUBSTITUTE(SUBSTITUTE(Q208," ",""),"　","")),資格マスタ!$D:$D,0)),Q208))</f>
        <v/>
      </c>
      <c r="S208" s="139">
        <f>IF(C208&lt;2,"",IFERROR(IF(OR(LEFT(INDEX(D208:K208,MIN(8,MAX(1,C208))),2)="令和",LEFT(INDEX(D208:K208,MIN(8,MAX(1,C208))),2)="平成",LEFT(INDEX(D208:K208,MIN(8,MAX(1,C208))),2)="昭和"),DATE(VALUE(MID(INDEX(D208:K208,MIN(8,MAX(1,C208))),3,FIND("年",INDEX(D208:K208,MIN(8,MAX(1,C208))))-3))+IF(LEFT(INDEX(D208:K208,MIN(8,MAX(1,C208))),2)="令和",2018,IF(LEFT(INDEX(D208:K208,MIN(8,MAX(1,C208))),2)="平成",1988,1925)),VALUE(MID(INDEX(D208:K208,MIN(8,MAX(1,C208))),FIND("年",INDEX(D208:K208,MIN(8,MAX(1,C208))))+1,FIND("月",INDEX(D208:K208,MIN(8,MAX(1,C208))))-FIND("年",INDEX(D208:K208,MIN(8,MAX(1,C208))))-1)),IFERROR(VALUE(SUBSTITUTE(MID(INDEX(D208:K208,MIN(8,MAX(1,C208))),FIND("月",INDEX(D208:K208,MIN(8,MAX(1,C208))))+1,10),"日","")),1)),DATE(VALUE(TRIM(MID(SUBSTITUTE(AA208,"/",REPT(" ",50)),1,50))),VALUE(TRIM(MID(SUBSTITUTE(AA208,"/",REPT(" ",50)),51,50))),IFERROR(VALUE(TRIM(MID(SUBSTITUTE(AA208,"/",REPT(" ",50)),101,50))),1))),IFERROR(DATEVALUE(INDEX(D208:K208,MIN(8,MAX(1,C208)))),"")))</f>
        <v/>
      </c>
      <c r="T208">
        <f>IF(B208="","",IF(AB208&lt;&gt;"",AB208,IFERROR(MATCH(SUBSTITUTE(SUBSTITUTE(P208," ",""),"　",""),入力!$AH$5:$AH$44,0),"")))</f>
        <v/>
      </c>
      <c r="U208">
        <f>IF(T208="","",INDEX(入力!$D$5:$D$44,T208))</f>
        <v/>
      </c>
      <c r="V208">
        <f>IF(B208="","",IF(T208="","要確認（名簿と照合できません）",IF(R208="","要確認（資格名がありません）",IF(S208="","要確認（取得日が読めません）",IF((IF(INDEX(入力!$N$5:$N$44,T208)=R208,1,0)+IF(INDEX(入力!$P$5:$P$44,T208)=R208,1,0)+IF(INDEX(入力!$R$5:$R$44,T208)=R208,1,0)+IF(INDEX(入力!$T$5:$T$44,T208)=R208,1,0)+IF(INDEX(入力!$V$5:$V$44,T208)=R208,1,0)+IF(INDEX(入力!$X$5:$X$44,T208)=R208,1,0))+(COUNTIFS($T$6:$T$405,T208,$R$6:$R$405,R208,$X$6:$X$405,"&lt;"&amp;X208))&gt;0,"重複","反映")))))</f>
        <v/>
      </c>
      <c r="W208">
        <f>IF(V208="反映",1,0)</f>
        <v/>
      </c>
      <c r="X208" t="n">
        <v>208</v>
      </c>
      <c r="Y208">
        <f>IF(W208=0,"",COUNTIFS($T$6:$T$405,T208,$W$6:$W$405,1,$S$6:$S$405,"&lt;"&amp;S208)+COUNTIFS($T$6:$T$405,T208,$W$6:$W$405,1,$S$6:$S$405,S208,$X$6:$X$405,"&lt;"&amp;X208)+1)</f>
        <v/>
      </c>
      <c r="Z208">
        <f>IF(Y208="","",T208&amp;"_"&amp;Y208)</f>
        <v/>
      </c>
      <c r="AA208">
        <f>SUBSTITUTE(SUBSTITUTE(SUBSTITUTE(SUBSTITUTE(SUBSTITUTE(INDEX(D208:K208,MIN(8,MAX(1,C208))),"年","/"),"月","/"),"日",""),"-","/"),".","/")</f>
        <v/>
      </c>
      <c r="AB208">
        <f>IFERROR(MATCH(O208,入力!$C$5:$C$44,0),"")</f>
        <v/>
      </c>
      <c r="AC208">
        <f>IF(AB208="","",INDEX(入力!$AH$5:$AH$44,AB208))</f>
        <v/>
      </c>
      <c r="AD208">
        <f>IF(INDEX($D208:$K208,IF(M208=1,2,1))=AC208,1,IF(INDEX($D208:$K208,IF(M208=1,2,1))&amp;INDEX($D208:$K208,IF(M208=1,2,1)+1)=AC208,2,IF(INDEX($D208:$K208,IF(M208=1,2,1))&amp;INDEX($D208:$K208,IF(M208=1,2,1)+1)&amp;INDEX($D208:$K208,IF(M208=1,2,1)+2)=AC208,3,IF(AB208&lt;&gt;"",2,IF(ISNUMBER(MATCH(INDEX($D208:$K208,IF(M208=1,2,1)),入力!$AH$5:$AH$44,0)),1,IF(ISNUMBER(MATCH(INDEX($D208:$K208,IF(M208=1,2,1))&amp;INDEX($D208:$K208,IF(M208=1,2,1)+1),入力!$AH$5:$AH$44,0)),2,IF(ISNUMBER(MATCH(INDEX($D208:$K208,IF(M208=1,2,1))&amp;INDEX($D208:$K208,IF(M208=1,2,1)+1)&amp;INDEX($D208:$K208,IF(M208=1,2,1)+2),入力!$AH$5:$AH$44,0)),3,2)))))))</f>
        <v/>
      </c>
      <c r="AE208">
        <f>IF(V208="","",IF(AND(V208="反映",N(Y208)&gt;20),"要確認（この生徒の取込が20件を超えました）",V208))</f>
        <v/>
      </c>
    </row>
    <row r="209">
      <c r="A209" s="138" t="n"/>
      <c r="B209">
        <f>TRIM(SUBSTITUTE(SUBSTITUTE(SUBSTITUTE(A209,CHAR(9)," "),"　"," "),CHAR(160)," "))</f>
        <v/>
      </c>
      <c r="C209">
        <f>IF(B209="",0,LEN(B209)-LEN(SUBSTITUTE(B209," ",""))+1)</f>
        <v/>
      </c>
      <c r="D209">
        <f>IF(C209&gt;=1,TRIM(MID(SUBSTITUTE(B209," ",REPT(" ",200)),1,200)),"")</f>
        <v/>
      </c>
      <c r="E209">
        <f>IF(C209&gt;=2,TRIM(MID(SUBSTITUTE(B209," ",REPT(" ",200)),201,200)),"")</f>
        <v/>
      </c>
      <c r="F209">
        <f>IF(C209&gt;=3,TRIM(MID(SUBSTITUTE(B209," ",REPT(" ",200)),401,200)),"")</f>
        <v/>
      </c>
      <c r="G209">
        <f>IF(C209&gt;=4,TRIM(MID(SUBSTITUTE(B209," ",REPT(" ",200)),601,200)),"")</f>
        <v/>
      </c>
      <c r="H209">
        <f>IF(C209&gt;=5,TRIM(MID(SUBSTITUTE(B209," ",REPT(" ",200)),801,200)),"")</f>
        <v/>
      </c>
      <c r="I209">
        <f>IF(C209&gt;=6,TRIM(MID(SUBSTITUTE(B209," ",REPT(" ",200)),1001,200)),"")</f>
        <v/>
      </c>
      <c r="J209">
        <f>IF(C209&gt;=7,TRIM(MID(SUBSTITUTE(B209," ",REPT(" ",200)),1201,200)),"")</f>
        <v/>
      </c>
      <c r="K209">
        <f>IF(C209&gt;=8,TRIM(MID(SUBSTITUTE(B209," ",REPT(" ",200)),1401,200)),"")</f>
        <v/>
      </c>
      <c r="L209">
        <f>SUBSTITUTE(SUBSTITUTE(SUBSTITUTE(D209,"年","-"),"組","-"),"番","")</f>
        <v/>
      </c>
      <c r="M209">
        <f>IF(D209="",0,IF(ISNUMBER(VALUE(SUBSTITUTE(L209,"-",""))),1,0))</f>
        <v/>
      </c>
      <c r="N209">
        <f>IF(M209=0,"",IFERROR(VALUE(TRIM(MID(SUBSTITUTE(L209,"-",REPT(" ",100)),101,100))),""))</f>
        <v/>
      </c>
      <c r="O209">
        <f>IF(M209=0,"",IFERROR(VALUE(TRIM(RIGHT(SUBSTITUTE(L209,"-",REPT(" ",100)),100))),""))</f>
        <v/>
      </c>
      <c r="P209">
        <f>IF(B209="","",TRIM(INDEX($D209:$K209,IF(M209=1,2,1))&amp;IF(AD209&gt;=2," "&amp;INDEX($D209:$K209,IF(M209=1,2,1)+1),"")&amp;IF(AD209&gt;=3," "&amp;INDEX($D209:$K209,IF(M209=1,2,1)+2),"")))</f>
        <v/>
      </c>
      <c r="Q209">
        <f>IF(C209&lt;2,"",TRIM(IF(AND(2&gt;=(IF(M209=1,2,1)+AD209),2&lt;=C209-IF(S209="",0,1)),E209&amp;" ","")&amp;IF(AND(3&gt;=(IF(M209=1,2,1)+AD209),3&lt;=C209-IF(S209="",0,1)),F209&amp;" ","")&amp;IF(AND(4&gt;=(IF(M209=1,2,1)+AD209),4&lt;=C209-IF(S209="",0,1)),G209&amp;" ","")&amp;IF(AND(5&gt;=(IF(M209=1,2,1)+AD209),5&lt;=C209-IF(S209="",0,1)),H209&amp;" ","")&amp;IF(AND(6&gt;=(IF(M209=1,2,1)+AD209),6&lt;=C209-IF(S209="",0,1)),I209&amp;" ","")&amp;IF(AND(7&gt;=(IF(M209=1,2,1)+AD209),7&lt;=C209-IF(S209="",0,1)),J209&amp;" ","")&amp;IF(AND(8&gt;=(IF(M209=1,2,1)+AD209),8&lt;=C209-IF(S209="",0,1)),K209&amp;" ","")))</f>
        <v/>
      </c>
      <c r="R209">
        <f>IF(Q209="","",IFERROR(INDEX(資格マスタ!$B:$B,MATCH(ASC(SUBSTITUTE(SUBSTITUTE(Q209," ",""),"　","")),資格マスタ!$D:$D,0)),Q209))</f>
        <v/>
      </c>
      <c r="S209" s="139">
        <f>IF(C209&lt;2,"",IFERROR(IF(OR(LEFT(INDEX(D209:K209,MIN(8,MAX(1,C209))),2)="令和",LEFT(INDEX(D209:K209,MIN(8,MAX(1,C209))),2)="平成",LEFT(INDEX(D209:K209,MIN(8,MAX(1,C209))),2)="昭和"),DATE(VALUE(MID(INDEX(D209:K209,MIN(8,MAX(1,C209))),3,FIND("年",INDEX(D209:K209,MIN(8,MAX(1,C209))))-3))+IF(LEFT(INDEX(D209:K209,MIN(8,MAX(1,C209))),2)="令和",2018,IF(LEFT(INDEX(D209:K209,MIN(8,MAX(1,C209))),2)="平成",1988,1925)),VALUE(MID(INDEX(D209:K209,MIN(8,MAX(1,C209))),FIND("年",INDEX(D209:K209,MIN(8,MAX(1,C209))))+1,FIND("月",INDEX(D209:K209,MIN(8,MAX(1,C209))))-FIND("年",INDEX(D209:K209,MIN(8,MAX(1,C209))))-1)),IFERROR(VALUE(SUBSTITUTE(MID(INDEX(D209:K209,MIN(8,MAX(1,C209))),FIND("月",INDEX(D209:K209,MIN(8,MAX(1,C209))))+1,10),"日","")),1)),DATE(VALUE(TRIM(MID(SUBSTITUTE(AA209,"/",REPT(" ",50)),1,50))),VALUE(TRIM(MID(SUBSTITUTE(AA209,"/",REPT(" ",50)),51,50))),IFERROR(VALUE(TRIM(MID(SUBSTITUTE(AA209,"/",REPT(" ",50)),101,50))),1))),IFERROR(DATEVALUE(INDEX(D209:K209,MIN(8,MAX(1,C209)))),"")))</f>
        <v/>
      </c>
      <c r="T209">
        <f>IF(B209="","",IF(AB209&lt;&gt;"",AB209,IFERROR(MATCH(SUBSTITUTE(SUBSTITUTE(P209," ",""),"　",""),入力!$AH$5:$AH$44,0),"")))</f>
        <v/>
      </c>
      <c r="U209">
        <f>IF(T209="","",INDEX(入力!$D$5:$D$44,T209))</f>
        <v/>
      </c>
      <c r="V209">
        <f>IF(B209="","",IF(T209="","要確認（名簿と照合できません）",IF(R209="","要確認（資格名がありません）",IF(S209="","要確認（取得日が読めません）",IF((IF(INDEX(入力!$N$5:$N$44,T209)=R209,1,0)+IF(INDEX(入力!$P$5:$P$44,T209)=R209,1,0)+IF(INDEX(入力!$R$5:$R$44,T209)=R209,1,0)+IF(INDEX(入力!$T$5:$T$44,T209)=R209,1,0)+IF(INDEX(入力!$V$5:$V$44,T209)=R209,1,0)+IF(INDEX(入力!$X$5:$X$44,T209)=R209,1,0))+(COUNTIFS($T$6:$T$405,T209,$R$6:$R$405,R209,$X$6:$X$405,"&lt;"&amp;X209))&gt;0,"重複","反映")))))</f>
        <v/>
      </c>
      <c r="W209">
        <f>IF(V209="反映",1,0)</f>
        <v/>
      </c>
      <c r="X209" t="n">
        <v>209</v>
      </c>
      <c r="Y209">
        <f>IF(W209=0,"",COUNTIFS($T$6:$T$405,T209,$W$6:$W$405,1,$S$6:$S$405,"&lt;"&amp;S209)+COUNTIFS($T$6:$T$405,T209,$W$6:$W$405,1,$S$6:$S$405,S209,$X$6:$X$405,"&lt;"&amp;X209)+1)</f>
        <v/>
      </c>
      <c r="Z209">
        <f>IF(Y209="","",T209&amp;"_"&amp;Y209)</f>
        <v/>
      </c>
      <c r="AA209">
        <f>SUBSTITUTE(SUBSTITUTE(SUBSTITUTE(SUBSTITUTE(SUBSTITUTE(INDEX(D209:K209,MIN(8,MAX(1,C209))),"年","/"),"月","/"),"日",""),"-","/"),".","/")</f>
        <v/>
      </c>
      <c r="AB209">
        <f>IFERROR(MATCH(O209,入力!$C$5:$C$44,0),"")</f>
        <v/>
      </c>
      <c r="AC209">
        <f>IF(AB209="","",INDEX(入力!$AH$5:$AH$44,AB209))</f>
        <v/>
      </c>
      <c r="AD209">
        <f>IF(INDEX($D209:$K209,IF(M209=1,2,1))=AC209,1,IF(INDEX($D209:$K209,IF(M209=1,2,1))&amp;INDEX($D209:$K209,IF(M209=1,2,1)+1)=AC209,2,IF(INDEX($D209:$K209,IF(M209=1,2,1))&amp;INDEX($D209:$K209,IF(M209=1,2,1)+1)&amp;INDEX($D209:$K209,IF(M209=1,2,1)+2)=AC209,3,IF(AB209&lt;&gt;"",2,IF(ISNUMBER(MATCH(INDEX($D209:$K209,IF(M209=1,2,1)),入力!$AH$5:$AH$44,0)),1,IF(ISNUMBER(MATCH(INDEX($D209:$K209,IF(M209=1,2,1))&amp;INDEX($D209:$K209,IF(M209=1,2,1)+1),入力!$AH$5:$AH$44,0)),2,IF(ISNUMBER(MATCH(INDEX($D209:$K209,IF(M209=1,2,1))&amp;INDEX($D209:$K209,IF(M209=1,2,1)+1)&amp;INDEX($D209:$K209,IF(M209=1,2,1)+2),入力!$AH$5:$AH$44,0)),3,2)))))))</f>
        <v/>
      </c>
      <c r="AE209">
        <f>IF(V209="","",IF(AND(V209="反映",N(Y209)&gt;20),"要確認（この生徒の取込が20件を超えました）",V209))</f>
        <v/>
      </c>
    </row>
    <row r="210">
      <c r="A210" s="138" t="n"/>
      <c r="B210">
        <f>TRIM(SUBSTITUTE(SUBSTITUTE(SUBSTITUTE(A210,CHAR(9)," "),"　"," "),CHAR(160)," "))</f>
        <v/>
      </c>
      <c r="C210">
        <f>IF(B210="",0,LEN(B210)-LEN(SUBSTITUTE(B210," ",""))+1)</f>
        <v/>
      </c>
      <c r="D210">
        <f>IF(C210&gt;=1,TRIM(MID(SUBSTITUTE(B210," ",REPT(" ",200)),1,200)),"")</f>
        <v/>
      </c>
      <c r="E210">
        <f>IF(C210&gt;=2,TRIM(MID(SUBSTITUTE(B210," ",REPT(" ",200)),201,200)),"")</f>
        <v/>
      </c>
      <c r="F210">
        <f>IF(C210&gt;=3,TRIM(MID(SUBSTITUTE(B210," ",REPT(" ",200)),401,200)),"")</f>
        <v/>
      </c>
      <c r="G210">
        <f>IF(C210&gt;=4,TRIM(MID(SUBSTITUTE(B210," ",REPT(" ",200)),601,200)),"")</f>
        <v/>
      </c>
      <c r="H210">
        <f>IF(C210&gt;=5,TRIM(MID(SUBSTITUTE(B210," ",REPT(" ",200)),801,200)),"")</f>
        <v/>
      </c>
      <c r="I210">
        <f>IF(C210&gt;=6,TRIM(MID(SUBSTITUTE(B210," ",REPT(" ",200)),1001,200)),"")</f>
        <v/>
      </c>
      <c r="J210">
        <f>IF(C210&gt;=7,TRIM(MID(SUBSTITUTE(B210," ",REPT(" ",200)),1201,200)),"")</f>
        <v/>
      </c>
      <c r="K210">
        <f>IF(C210&gt;=8,TRIM(MID(SUBSTITUTE(B210," ",REPT(" ",200)),1401,200)),"")</f>
        <v/>
      </c>
      <c r="L210">
        <f>SUBSTITUTE(SUBSTITUTE(SUBSTITUTE(D210,"年","-"),"組","-"),"番","")</f>
        <v/>
      </c>
      <c r="M210">
        <f>IF(D210="",0,IF(ISNUMBER(VALUE(SUBSTITUTE(L210,"-",""))),1,0))</f>
        <v/>
      </c>
      <c r="N210">
        <f>IF(M210=0,"",IFERROR(VALUE(TRIM(MID(SUBSTITUTE(L210,"-",REPT(" ",100)),101,100))),""))</f>
        <v/>
      </c>
      <c r="O210">
        <f>IF(M210=0,"",IFERROR(VALUE(TRIM(RIGHT(SUBSTITUTE(L210,"-",REPT(" ",100)),100))),""))</f>
        <v/>
      </c>
      <c r="P210">
        <f>IF(B210="","",TRIM(INDEX($D210:$K210,IF(M210=1,2,1))&amp;IF(AD210&gt;=2," "&amp;INDEX($D210:$K210,IF(M210=1,2,1)+1),"")&amp;IF(AD210&gt;=3," "&amp;INDEX($D210:$K210,IF(M210=1,2,1)+2),"")))</f>
        <v/>
      </c>
      <c r="Q210">
        <f>IF(C210&lt;2,"",TRIM(IF(AND(2&gt;=(IF(M210=1,2,1)+AD210),2&lt;=C210-IF(S210="",0,1)),E210&amp;" ","")&amp;IF(AND(3&gt;=(IF(M210=1,2,1)+AD210),3&lt;=C210-IF(S210="",0,1)),F210&amp;" ","")&amp;IF(AND(4&gt;=(IF(M210=1,2,1)+AD210),4&lt;=C210-IF(S210="",0,1)),G210&amp;" ","")&amp;IF(AND(5&gt;=(IF(M210=1,2,1)+AD210),5&lt;=C210-IF(S210="",0,1)),H210&amp;" ","")&amp;IF(AND(6&gt;=(IF(M210=1,2,1)+AD210),6&lt;=C210-IF(S210="",0,1)),I210&amp;" ","")&amp;IF(AND(7&gt;=(IF(M210=1,2,1)+AD210),7&lt;=C210-IF(S210="",0,1)),J210&amp;" ","")&amp;IF(AND(8&gt;=(IF(M210=1,2,1)+AD210),8&lt;=C210-IF(S210="",0,1)),K210&amp;" ","")))</f>
        <v/>
      </c>
      <c r="R210">
        <f>IF(Q210="","",IFERROR(INDEX(資格マスタ!$B:$B,MATCH(ASC(SUBSTITUTE(SUBSTITUTE(Q210," ",""),"　","")),資格マスタ!$D:$D,0)),Q210))</f>
        <v/>
      </c>
      <c r="S210" s="139">
        <f>IF(C210&lt;2,"",IFERROR(IF(OR(LEFT(INDEX(D210:K210,MIN(8,MAX(1,C210))),2)="令和",LEFT(INDEX(D210:K210,MIN(8,MAX(1,C210))),2)="平成",LEFT(INDEX(D210:K210,MIN(8,MAX(1,C210))),2)="昭和"),DATE(VALUE(MID(INDEX(D210:K210,MIN(8,MAX(1,C210))),3,FIND("年",INDEX(D210:K210,MIN(8,MAX(1,C210))))-3))+IF(LEFT(INDEX(D210:K210,MIN(8,MAX(1,C210))),2)="令和",2018,IF(LEFT(INDEX(D210:K210,MIN(8,MAX(1,C210))),2)="平成",1988,1925)),VALUE(MID(INDEX(D210:K210,MIN(8,MAX(1,C210))),FIND("年",INDEX(D210:K210,MIN(8,MAX(1,C210))))+1,FIND("月",INDEX(D210:K210,MIN(8,MAX(1,C210))))-FIND("年",INDEX(D210:K210,MIN(8,MAX(1,C210))))-1)),IFERROR(VALUE(SUBSTITUTE(MID(INDEX(D210:K210,MIN(8,MAX(1,C210))),FIND("月",INDEX(D210:K210,MIN(8,MAX(1,C210))))+1,10),"日","")),1)),DATE(VALUE(TRIM(MID(SUBSTITUTE(AA210,"/",REPT(" ",50)),1,50))),VALUE(TRIM(MID(SUBSTITUTE(AA210,"/",REPT(" ",50)),51,50))),IFERROR(VALUE(TRIM(MID(SUBSTITUTE(AA210,"/",REPT(" ",50)),101,50))),1))),IFERROR(DATEVALUE(INDEX(D210:K210,MIN(8,MAX(1,C210)))),"")))</f>
        <v/>
      </c>
      <c r="T210">
        <f>IF(B210="","",IF(AB210&lt;&gt;"",AB210,IFERROR(MATCH(SUBSTITUTE(SUBSTITUTE(P210," ",""),"　",""),入力!$AH$5:$AH$44,0),"")))</f>
        <v/>
      </c>
      <c r="U210">
        <f>IF(T210="","",INDEX(入力!$D$5:$D$44,T210))</f>
        <v/>
      </c>
      <c r="V210">
        <f>IF(B210="","",IF(T210="","要確認（名簿と照合できません）",IF(R210="","要確認（資格名がありません）",IF(S210="","要確認（取得日が読めません）",IF((IF(INDEX(入力!$N$5:$N$44,T210)=R210,1,0)+IF(INDEX(入力!$P$5:$P$44,T210)=R210,1,0)+IF(INDEX(入力!$R$5:$R$44,T210)=R210,1,0)+IF(INDEX(入力!$T$5:$T$44,T210)=R210,1,0)+IF(INDEX(入力!$V$5:$V$44,T210)=R210,1,0)+IF(INDEX(入力!$X$5:$X$44,T210)=R210,1,0))+(COUNTIFS($T$6:$T$405,T210,$R$6:$R$405,R210,$X$6:$X$405,"&lt;"&amp;X210))&gt;0,"重複","反映")))))</f>
        <v/>
      </c>
      <c r="W210">
        <f>IF(V210="反映",1,0)</f>
        <v/>
      </c>
      <c r="X210" t="n">
        <v>210</v>
      </c>
      <c r="Y210">
        <f>IF(W210=0,"",COUNTIFS($T$6:$T$405,T210,$W$6:$W$405,1,$S$6:$S$405,"&lt;"&amp;S210)+COUNTIFS($T$6:$T$405,T210,$W$6:$W$405,1,$S$6:$S$405,S210,$X$6:$X$405,"&lt;"&amp;X210)+1)</f>
        <v/>
      </c>
      <c r="Z210">
        <f>IF(Y210="","",T210&amp;"_"&amp;Y210)</f>
        <v/>
      </c>
      <c r="AA210">
        <f>SUBSTITUTE(SUBSTITUTE(SUBSTITUTE(SUBSTITUTE(SUBSTITUTE(INDEX(D210:K210,MIN(8,MAX(1,C210))),"年","/"),"月","/"),"日",""),"-","/"),".","/")</f>
        <v/>
      </c>
      <c r="AB210">
        <f>IFERROR(MATCH(O210,入力!$C$5:$C$44,0),"")</f>
        <v/>
      </c>
      <c r="AC210">
        <f>IF(AB210="","",INDEX(入力!$AH$5:$AH$44,AB210))</f>
        <v/>
      </c>
      <c r="AD210">
        <f>IF(INDEX($D210:$K210,IF(M210=1,2,1))=AC210,1,IF(INDEX($D210:$K210,IF(M210=1,2,1))&amp;INDEX($D210:$K210,IF(M210=1,2,1)+1)=AC210,2,IF(INDEX($D210:$K210,IF(M210=1,2,1))&amp;INDEX($D210:$K210,IF(M210=1,2,1)+1)&amp;INDEX($D210:$K210,IF(M210=1,2,1)+2)=AC210,3,IF(AB210&lt;&gt;"",2,IF(ISNUMBER(MATCH(INDEX($D210:$K210,IF(M210=1,2,1)),入力!$AH$5:$AH$44,0)),1,IF(ISNUMBER(MATCH(INDEX($D210:$K210,IF(M210=1,2,1))&amp;INDEX($D210:$K210,IF(M210=1,2,1)+1),入力!$AH$5:$AH$44,0)),2,IF(ISNUMBER(MATCH(INDEX($D210:$K210,IF(M210=1,2,1))&amp;INDEX($D210:$K210,IF(M210=1,2,1)+1)&amp;INDEX($D210:$K210,IF(M210=1,2,1)+2),入力!$AH$5:$AH$44,0)),3,2)))))))</f>
        <v/>
      </c>
      <c r="AE210">
        <f>IF(V210="","",IF(AND(V210="反映",N(Y210)&gt;20),"要確認（この生徒の取込が20件を超えました）",V210))</f>
        <v/>
      </c>
    </row>
    <row r="211">
      <c r="A211" s="138" t="n"/>
      <c r="B211">
        <f>TRIM(SUBSTITUTE(SUBSTITUTE(SUBSTITUTE(A211,CHAR(9)," "),"　"," "),CHAR(160)," "))</f>
        <v/>
      </c>
      <c r="C211">
        <f>IF(B211="",0,LEN(B211)-LEN(SUBSTITUTE(B211," ",""))+1)</f>
        <v/>
      </c>
      <c r="D211">
        <f>IF(C211&gt;=1,TRIM(MID(SUBSTITUTE(B211," ",REPT(" ",200)),1,200)),"")</f>
        <v/>
      </c>
      <c r="E211">
        <f>IF(C211&gt;=2,TRIM(MID(SUBSTITUTE(B211," ",REPT(" ",200)),201,200)),"")</f>
        <v/>
      </c>
      <c r="F211">
        <f>IF(C211&gt;=3,TRIM(MID(SUBSTITUTE(B211," ",REPT(" ",200)),401,200)),"")</f>
        <v/>
      </c>
      <c r="G211">
        <f>IF(C211&gt;=4,TRIM(MID(SUBSTITUTE(B211," ",REPT(" ",200)),601,200)),"")</f>
        <v/>
      </c>
      <c r="H211">
        <f>IF(C211&gt;=5,TRIM(MID(SUBSTITUTE(B211," ",REPT(" ",200)),801,200)),"")</f>
        <v/>
      </c>
      <c r="I211">
        <f>IF(C211&gt;=6,TRIM(MID(SUBSTITUTE(B211," ",REPT(" ",200)),1001,200)),"")</f>
        <v/>
      </c>
      <c r="J211">
        <f>IF(C211&gt;=7,TRIM(MID(SUBSTITUTE(B211," ",REPT(" ",200)),1201,200)),"")</f>
        <v/>
      </c>
      <c r="K211">
        <f>IF(C211&gt;=8,TRIM(MID(SUBSTITUTE(B211," ",REPT(" ",200)),1401,200)),"")</f>
        <v/>
      </c>
      <c r="L211">
        <f>SUBSTITUTE(SUBSTITUTE(SUBSTITUTE(D211,"年","-"),"組","-"),"番","")</f>
        <v/>
      </c>
      <c r="M211">
        <f>IF(D211="",0,IF(ISNUMBER(VALUE(SUBSTITUTE(L211,"-",""))),1,0))</f>
        <v/>
      </c>
      <c r="N211">
        <f>IF(M211=0,"",IFERROR(VALUE(TRIM(MID(SUBSTITUTE(L211,"-",REPT(" ",100)),101,100))),""))</f>
        <v/>
      </c>
      <c r="O211">
        <f>IF(M211=0,"",IFERROR(VALUE(TRIM(RIGHT(SUBSTITUTE(L211,"-",REPT(" ",100)),100))),""))</f>
        <v/>
      </c>
      <c r="P211">
        <f>IF(B211="","",TRIM(INDEX($D211:$K211,IF(M211=1,2,1))&amp;IF(AD211&gt;=2," "&amp;INDEX($D211:$K211,IF(M211=1,2,1)+1),"")&amp;IF(AD211&gt;=3," "&amp;INDEX($D211:$K211,IF(M211=1,2,1)+2),"")))</f>
        <v/>
      </c>
      <c r="Q211">
        <f>IF(C211&lt;2,"",TRIM(IF(AND(2&gt;=(IF(M211=1,2,1)+AD211),2&lt;=C211-IF(S211="",0,1)),E211&amp;" ","")&amp;IF(AND(3&gt;=(IF(M211=1,2,1)+AD211),3&lt;=C211-IF(S211="",0,1)),F211&amp;" ","")&amp;IF(AND(4&gt;=(IF(M211=1,2,1)+AD211),4&lt;=C211-IF(S211="",0,1)),G211&amp;" ","")&amp;IF(AND(5&gt;=(IF(M211=1,2,1)+AD211),5&lt;=C211-IF(S211="",0,1)),H211&amp;" ","")&amp;IF(AND(6&gt;=(IF(M211=1,2,1)+AD211),6&lt;=C211-IF(S211="",0,1)),I211&amp;" ","")&amp;IF(AND(7&gt;=(IF(M211=1,2,1)+AD211),7&lt;=C211-IF(S211="",0,1)),J211&amp;" ","")&amp;IF(AND(8&gt;=(IF(M211=1,2,1)+AD211),8&lt;=C211-IF(S211="",0,1)),K211&amp;" ","")))</f>
        <v/>
      </c>
      <c r="R211">
        <f>IF(Q211="","",IFERROR(INDEX(資格マスタ!$B:$B,MATCH(ASC(SUBSTITUTE(SUBSTITUTE(Q211," ",""),"　","")),資格マスタ!$D:$D,0)),Q211))</f>
        <v/>
      </c>
      <c r="S211" s="139">
        <f>IF(C211&lt;2,"",IFERROR(IF(OR(LEFT(INDEX(D211:K211,MIN(8,MAX(1,C211))),2)="令和",LEFT(INDEX(D211:K211,MIN(8,MAX(1,C211))),2)="平成",LEFT(INDEX(D211:K211,MIN(8,MAX(1,C211))),2)="昭和"),DATE(VALUE(MID(INDEX(D211:K211,MIN(8,MAX(1,C211))),3,FIND("年",INDEX(D211:K211,MIN(8,MAX(1,C211))))-3))+IF(LEFT(INDEX(D211:K211,MIN(8,MAX(1,C211))),2)="令和",2018,IF(LEFT(INDEX(D211:K211,MIN(8,MAX(1,C211))),2)="平成",1988,1925)),VALUE(MID(INDEX(D211:K211,MIN(8,MAX(1,C211))),FIND("年",INDEX(D211:K211,MIN(8,MAX(1,C211))))+1,FIND("月",INDEX(D211:K211,MIN(8,MAX(1,C211))))-FIND("年",INDEX(D211:K211,MIN(8,MAX(1,C211))))-1)),IFERROR(VALUE(SUBSTITUTE(MID(INDEX(D211:K211,MIN(8,MAX(1,C211))),FIND("月",INDEX(D211:K211,MIN(8,MAX(1,C211))))+1,10),"日","")),1)),DATE(VALUE(TRIM(MID(SUBSTITUTE(AA211,"/",REPT(" ",50)),1,50))),VALUE(TRIM(MID(SUBSTITUTE(AA211,"/",REPT(" ",50)),51,50))),IFERROR(VALUE(TRIM(MID(SUBSTITUTE(AA211,"/",REPT(" ",50)),101,50))),1))),IFERROR(DATEVALUE(INDEX(D211:K211,MIN(8,MAX(1,C211)))),"")))</f>
        <v/>
      </c>
      <c r="T211">
        <f>IF(B211="","",IF(AB211&lt;&gt;"",AB211,IFERROR(MATCH(SUBSTITUTE(SUBSTITUTE(P211," ",""),"　",""),入力!$AH$5:$AH$44,0),"")))</f>
        <v/>
      </c>
      <c r="U211">
        <f>IF(T211="","",INDEX(入力!$D$5:$D$44,T211))</f>
        <v/>
      </c>
      <c r="V211">
        <f>IF(B211="","",IF(T211="","要確認（名簿と照合できません）",IF(R211="","要確認（資格名がありません）",IF(S211="","要確認（取得日が読めません）",IF((IF(INDEX(入力!$N$5:$N$44,T211)=R211,1,0)+IF(INDEX(入力!$P$5:$P$44,T211)=R211,1,0)+IF(INDEX(入力!$R$5:$R$44,T211)=R211,1,0)+IF(INDEX(入力!$T$5:$T$44,T211)=R211,1,0)+IF(INDEX(入力!$V$5:$V$44,T211)=R211,1,0)+IF(INDEX(入力!$X$5:$X$44,T211)=R211,1,0))+(COUNTIFS($T$6:$T$405,T211,$R$6:$R$405,R211,$X$6:$X$405,"&lt;"&amp;X211))&gt;0,"重複","反映")))))</f>
        <v/>
      </c>
      <c r="W211">
        <f>IF(V211="反映",1,0)</f>
        <v/>
      </c>
      <c r="X211" t="n">
        <v>211</v>
      </c>
      <c r="Y211">
        <f>IF(W211=0,"",COUNTIFS($T$6:$T$405,T211,$W$6:$W$405,1,$S$6:$S$405,"&lt;"&amp;S211)+COUNTIFS($T$6:$T$405,T211,$W$6:$W$405,1,$S$6:$S$405,S211,$X$6:$X$405,"&lt;"&amp;X211)+1)</f>
        <v/>
      </c>
      <c r="Z211">
        <f>IF(Y211="","",T211&amp;"_"&amp;Y211)</f>
        <v/>
      </c>
      <c r="AA211">
        <f>SUBSTITUTE(SUBSTITUTE(SUBSTITUTE(SUBSTITUTE(SUBSTITUTE(INDEX(D211:K211,MIN(8,MAX(1,C211))),"年","/"),"月","/"),"日",""),"-","/"),".","/")</f>
        <v/>
      </c>
      <c r="AB211">
        <f>IFERROR(MATCH(O211,入力!$C$5:$C$44,0),"")</f>
        <v/>
      </c>
      <c r="AC211">
        <f>IF(AB211="","",INDEX(入力!$AH$5:$AH$44,AB211))</f>
        <v/>
      </c>
      <c r="AD211">
        <f>IF(INDEX($D211:$K211,IF(M211=1,2,1))=AC211,1,IF(INDEX($D211:$K211,IF(M211=1,2,1))&amp;INDEX($D211:$K211,IF(M211=1,2,1)+1)=AC211,2,IF(INDEX($D211:$K211,IF(M211=1,2,1))&amp;INDEX($D211:$K211,IF(M211=1,2,1)+1)&amp;INDEX($D211:$K211,IF(M211=1,2,1)+2)=AC211,3,IF(AB211&lt;&gt;"",2,IF(ISNUMBER(MATCH(INDEX($D211:$K211,IF(M211=1,2,1)),入力!$AH$5:$AH$44,0)),1,IF(ISNUMBER(MATCH(INDEX($D211:$K211,IF(M211=1,2,1))&amp;INDEX($D211:$K211,IF(M211=1,2,1)+1),入力!$AH$5:$AH$44,0)),2,IF(ISNUMBER(MATCH(INDEX($D211:$K211,IF(M211=1,2,1))&amp;INDEX($D211:$K211,IF(M211=1,2,1)+1)&amp;INDEX($D211:$K211,IF(M211=1,2,1)+2),入力!$AH$5:$AH$44,0)),3,2)))))))</f>
        <v/>
      </c>
      <c r="AE211">
        <f>IF(V211="","",IF(AND(V211="反映",N(Y211)&gt;20),"要確認（この生徒の取込が20件を超えました）",V211))</f>
        <v/>
      </c>
    </row>
    <row r="212">
      <c r="A212" s="138" t="n"/>
      <c r="B212">
        <f>TRIM(SUBSTITUTE(SUBSTITUTE(SUBSTITUTE(A212,CHAR(9)," "),"　"," "),CHAR(160)," "))</f>
        <v/>
      </c>
      <c r="C212">
        <f>IF(B212="",0,LEN(B212)-LEN(SUBSTITUTE(B212," ",""))+1)</f>
        <v/>
      </c>
      <c r="D212">
        <f>IF(C212&gt;=1,TRIM(MID(SUBSTITUTE(B212," ",REPT(" ",200)),1,200)),"")</f>
        <v/>
      </c>
      <c r="E212">
        <f>IF(C212&gt;=2,TRIM(MID(SUBSTITUTE(B212," ",REPT(" ",200)),201,200)),"")</f>
        <v/>
      </c>
      <c r="F212">
        <f>IF(C212&gt;=3,TRIM(MID(SUBSTITUTE(B212," ",REPT(" ",200)),401,200)),"")</f>
        <v/>
      </c>
      <c r="G212">
        <f>IF(C212&gt;=4,TRIM(MID(SUBSTITUTE(B212," ",REPT(" ",200)),601,200)),"")</f>
        <v/>
      </c>
      <c r="H212">
        <f>IF(C212&gt;=5,TRIM(MID(SUBSTITUTE(B212," ",REPT(" ",200)),801,200)),"")</f>
        <v/>
      </c>
      <c r="I212">
        <f>IF(C212&gt;=6,TRIM(MID(SUBSTITUTE(B212," ",REPT(" ",200)),1001,200)),"")</f>
        <v/>
      </c>
      <c r="J212">
        <f>IF(C212&gt;=7,TRIM(MID(SUBSTITUTE(B212," ",REPT(" ",200)),1201,200)),"")</f>
        <v/>
      </c>
      <c r="K212">
        <f>IF(C212&gt;=8,TRIM(MID(SUBSTITUTE(B212," ",REPT(" ",200)),1401,200)),"")</f>
        <v/>
      </c>
      <c r="L212">
        <f>SUBSTITUTE(SUBSTITUTE(SUBSTITUTE(D212,"年","-"),"組","-"),"番","")</f>
        <v/>
      </c>
      <c r="M212">
        <f>IF(D212="",0,IF(ISNUMBER(VALUE(SUBSTITUTE(L212,"-",""))),1,0))</f>
        <v/>
      </c>
      <c r="N212">
        <f>IF(M212=0,"",IFERROR(VALUE(TRIM(MID(SUBSTITUTE(L212,"-",REPT(" ",100)),101,100))),""))</f>
        <v/>
      </c>
      <c r="O212">
        <f>IF(M212=0,"",IFERROR(VALUE(TRIM(RIGHT(SUBSTITUTE(L212,"-",REPT(" ",100)),100))),""))</f>
        <v/>
      </c>
      <c r="P212">
        <f>IF(B212="","",TRIM(INDEX($D212:$K212,IF(M212=1,2,1))&amp;IF(AD212&gt;=2," "&amp;INDEX($D212:$K212,IF(M212=1,2,1)+1),"")&amp;IF(AD212&gt;=3," "&amp;INDEX($D212:$K212,IF(M212=1,2,1)+2),"")))</f>
        <v/>
      </c>
      <c r="Q212">
        <f>IF(C212&lt;2,"",TRIM(IF(AND(2&gt;=(IF(M212=1,2,1)+AD212),2&lt;=C212-IF(S212="",0,1)),E212&amp;" ","")&amp;IF(AND(3&gt;=(IF(M212=1,2,1)+AD212),3&lt;=C212-IF(S212="",0,1)),F212&amp;" ","")&amp;IF(AND(4&gt;=(IF(M212=1,2,1)+AD212),4&lt;=C212-IF(S212="",0,1)),G212&amp;" ","")&amp;IF(AND(5&gt;=(IF(M212=1,2,1)+AD212),5&lt;=C212-IF(S212="",0,1)),H212&amp;" ","")&amp;IF(AND(6&gt;=(IF(M212=1,2,1)+AD212),6&lt;=C212-IF(S212="",0,1)),I212&amp;" ","")&amp;IF(AND(7&gt;=(IF(M212=1,2,1)+AD212),7&lt;=C212-IF(S212="",0,1)),J212&amp;" ","")&amp;IF(AND(8&gt;=(IF(M212=1,2,1)+AD212),8&lt;=C212-IF(S212="",0,1)),K212&amp;" ","")))</f>
        <v/>
      </c>
      <c r="R212">
        <f>IF(Q212="","",IFERROR(INDEX(資格マスタ!$B:$B,MATCH(ASC(SUBSTITUTE(SUBSTITUTE(Q212," ",""),"　","")),資格マスタ!$D:$D,0)),Q212))</f>
        <v/>
      </c>
      <c r="S212" s="139">
        <f>IF(C212&lt;2,"",IFERROR(IF(OR(LEFT(INDEX(D212:K212,MIN(8,MAX(1,C212))),2)="令和",LEFT(INDEX(D212:K212,MIN(8,MAX(1,C212))),2)="平成",LEFT(INDEX(D212:K212,MIN(8,MAX(1,C212))),2)="昭和"),DATE(VALUE(MID(INDEX(D212:K212,MIN(8,MAX(1,C212))),3,FIND("年",INDEX(D212:K212,MIN(8,MAX(1,C212))))-3))+IF(LEFT(INDEX(D212:K212,MIN(8,MAX(1,C212))),2)="令和",2018,IF(LEFT(INDEX(D212:K212,MIN(8,MAX(1,C212))),2)="平成",1988,1925)),VALUE(MID(INDEX(D212:K212,MIN(8,MAX(1,C212))),FIND("年",INDEX(D212:K212,MIN(8,MAX(1,C212))))+1,FIND("月",INDEX(D212:K212,MIN(8,MAX(1,C212))))-FIND("年",INDEX(D212:K212,MIN(8,MAX(1,C212))))-1)),IFERROR(VALUE(SUBSTITUTE(MID(INDEX(D212:K212,MIN(8,MAX(1,C212))),FIND("月",INDEX(D212:K212,MIN(8,MAX(1,C212))))+1,10),"日","")),1)),DATE(VALUE(TRIM(MID(SUBSTITUTE(AA212,"/",REPT(" ",50)),1,50))),VALUE(TRIM(MID(SUBSTITUTE(AA212,"/",REPT(" ",50)),51,50))),IFERROR(VALUE(TRIM(MID(SUBSTITUTE(AA212,"/",REPT(" ",50)),101,50))),1))),IFERROR(DATEVALUE(INDEX(D212:K212,MIN(8,MAX(1,C212)))),"")))</f>
        <v/>
      </c>
      <c r="T212">
        <f>IF(B212="","",IF(AB212&lt;&gt;"",AB212,IFERROR(MATCH(SUBSTITUTE(SUBSTITUTE(P212," ",""),"　",""),入力!$AH$5:$AH$44,0),"")))</f>
        <v/>
      </c>
      <c r="U212">
        <f>IF(T212="","",INDEX(入力!$D$5:$D$44,T212))</f>
        <v/>
      </c>
      <c r="V212">
        <f>IF(B212="","",IF(T212="","要確認（名簿と照合できません）",IF(R212="","要確認（資格名がありません）",IF(S212="","要確認（取得日が読めません）",IF((IF(INDEX(入力!$N$5:$N$44,T212)=R212,1,0)+IF(INDEX(入力!$P$5:$P$44,T212)=R212,1,0)+IF(INDEX(入力!$R$5:$R$44,T212)=R212,1,0)+IF(INDEX(入力!$T$5:$T$44,T212)=R212,1,0)+IF(INDEX(入力!$V$5:$V$44,T212)=R212,1,0)+IF(INDEX(入力!$X$5:$X$44,T212)=R212,1,0))+(COUNTIFS($T$6:$T$405,T212,$R$6:$R$405,R212,$X$6:$X$405,"&lt;"&amp;X212))&gt;0,"重複","反映")))))</f>
        <v/>
      </c>
      <c r="W212">
        <f>IF(V212="反映",1,0)</f>
        <v/>
      </c>
      <c r="X212" t="n">
        <v>212</v>
      </c>
      <c r="Y212">
        <f>IF(W212=0,"",COUNTIFS($T$6:$T$405,T212,$W$6:$W$405,1,$S$6:$S$405,"&lt;"&amp;S212)+COUNTIFS($T$6:$T$405,T212,$W$6:$W$405,1,$S$6:$S$405,S212,$X$6:$X$405,"&lt;"&amp;X212)+1)</f>
        <v/>
      </c>
      <c r="Z212">
        <f>IF(Y212="","",T212&amp;"_"&amp;Y212)</f>
        <v/>
      </c>
      <c r="AA212">
        <f>SUBSTITUTE(SUBSTITUTE(SUBSTITUTE(SUBSTITUTE(SUBSTITUTE(INDEX(D212:K212,MIN(8,MAX(1,C212))),"年","/"),"月","/"),"日",""),"-","/"),".","/")</f>
        <v/>
      </c>
      <c r="AB212">
        <f>IFERROR(MATCH(O212,入力!$C$5:$C$44,0),"")</f>
        <v/>
      </c>
      <c r="AC212">
        <f>IF(AB212="","",INDEX(入力!$AH$5:$AH$44,AB212))</f>
        <v/>
      </c>
      <c r="AD212">
        <f>IF(INDEX($D212:$K212,IF(M212=1,2,1))=AC212,1,IF(INDEX($D212:$K212,IF(M212=1,2,1))&amp;INDEX($D212:$K212,IF(M212=1,2,1)+1)=AC212,2,IF(INDEX($D212:$K212,IF(M212=1,2,1))&amp;INDEX($D212:$K212,IF(M212=1,2,1)+1)&amp;INDEX($D212:$K212,IF(M212=1,2,1)+2)=AC212,3,IF(AB212&lt;&gt;"",2,IF(ISNUMBER(MATCH(INDEX($D212:$K212,IF(M212=1,2,1)),入力!$AH$5:$AH$44,0)),1,IF(ISNUMBER(MATCH(INDEX($D212:$K212,IF(M212=1,2,1))&amp;INDEX($D212:$K212,IF(M212=1,2,1)+1),入力!$AH$5:$AH$44,0)),2,IF(ISNUMBER(MATCH(INDEX($D212:$K212,IF(M212=1,2,1))&amp;INDEX($D212:$K212,IF(M212=1,2,1)+1)&amp;INDEX($D212:$K212,IF(M212=1,2,1)+2),入力!$AH$5:$AH$44,0)),3,2)))))))</f>
        <v/>
      </c>
      <c r="AE212">
        <f>IF(V212="","",IF(AND(V212="反映",N(Y212)&gt;20),"要確認（この生徒の取込が20件を超えました）",V212))</f>
        <v/>
      </c>
    </row>
    <row r="213">
      <c r="A213" s="138" t="n"/>
      <c r="B213">
        <f>TRIM(SUBSTITUTE(SUBSTITUTE(SUBSTITUTE(A213,CHAR(9)," "),"　"," "),CHAR(160)," "))</f>
        <v/>
      </c>
      <c r="C213">
        <f>IF(B213="",0,LEN(B213)-LEN(SUBSTITUTE(B213," ",""))+1)</f>
        <v/>
      </c>
      <c r="D213">
        <f>IF(C213&gt;=1,TRIM(MID(SUBSTITUTE(B213," ",REPT(" ",200)),1,200)),"")</f>
        <v/>
      </c>
      <c r="E213">
        <f>IF(C213&gt;=2,TRIM(MID(SUBSTITUTE(B213," ",REPT(" ",200)),201,200)),"")</f>
        <v/>
      </c>
      <c r="F213">
        <f>IF(C213&gt;=3,TRIM(MID(SUBSTITUTE(B213," ",REPT(" ",200)),401,200)),"")</f>
        <v/>
      </c>
      <c r="G213">
        <f>IF(C213&gt;=4,TRIM(MID(SUBSTITUTE(B213," ",REPT(" ",200)),601,200)),"")</f>
        <v/>
      </c>
      <c r="H213">
        <f>IF(C213&gt;=5,TRIM(MID(SUBSTITUTE(B213," ",REPT(" ",200)),801,200)),"")</f>
        <v/>
      </c>
      <c r="I213">
        <f>IF(C213&gt;=6,TRIM(MID(SUBSTITUTE(B213," ",REPT(" ",200)),1001,200)),"")</f>
        <v/>
      </c>
      <c r="J213">
        <f>IF(C213&gt;=7,TRIM(MID(SUBSTITUTE(B213," ",REPT(" ",200)),1201,200)),"")</f>
        <v/>
      </c>
      <c r="K213">
        <f>IF(C213&gt;=8,TRIM(MID(SUBSTITUTE(B213," ",REPT(" ",200)),1401,200)),"")</f>
        <v/>
      </c>
      <c r="L213">
        <f>SUBSTITUTE(SUBSTITUTE(SUBSTITUTE(D213,"年","-"),"組","-"),"番","")</f>
        <v/>
      </c>
      <c r="M213">
        <f>IF(D213="",0,IF(ISNUMBER(VALUE(SUBSTITUTE(L213,"-",""))),1,0))</f>
        <v/>
      </c>
      <c r="N213">
        <f>IF(M213=0,"",IFERROR(VALUE(TRIM(MID(SUBSTITUTE(L213,"-",REPT(" ",100)),101,100))),""))</f>
        <v/>
      </c>
      <c r="O213">
        <f>IF(M213=0,"",IFERROR(VALUE(TRIM(RIGHT(SUBSTITUTE(L213,"-",REPT(" ",100)),100))),""))</f>
        <v/>
      </c>
      <c r="P213">
        <f>IF(B213="","",TRIM(INDEX($D213:$K213,IF(M213=1,2,1))&amp;IF(AD213&gt;=2," "&amp;INDEX($D213:$K213,IF(M213=1,2,1)+1),"")&amp;IF(AD213&gt;=3," "&amp;INDEX($D213:$K213,IF(M213=1,2,1)+2),"")))</f>
        <v/>
      </c>
      <c r="Q213">
        <f>IF(C213&lt;2,"",TRIM(IF(AND(2&gt;=(IF(M213=1,2,1)+AD213),2&lt;=C213-IF(S213="",0,1)),E213&amp;" ","")&amp;IF(AND(3&gt;=(IF(M213=1,2,1)+AD213),3&lt;=C213-IF(S213="",0,1)),F213&amp;" ","")&amp;IF(AND(4&gt;=(IF(M213=1,2,1)+AD213),4&lt;=C213-IF(S213="",0,1)),G213&amp;" ","")&amp;IF(AND(5&gt;=(IF(M213=1,2,1)+AD213),5&lt;=C213-IF(S213="",0,1)),H213&amp;" ","")&amp;IF(AND(6&gt;=(IF(M213=1,2,1)+AD213),6&lt;=C213-IF(S213="",0,1)),I213&amp;" ","")&amp;IF(AND(7&gt;=(IF(M213=1,2,1)+AD213),7&lt;=C213-IF(S213="",0,1)),J213&amp;" ","")&amp;IF(AND(8&gt;=(IF(M213=1,2,1)+AD213),8&lt;=C213-IF(S213="",0,1)),K213&amp;" ","")))</f>
        <v/>
      </c>
      <c r="R213">
        <f>IF(Q213="","",IFERROR(INDEX(資格マスタ!$B:$B,MATCH(ASC(SUBSTITUTE(SUBSTITUTE(Q213," ",""),"　","")),資格マスタ!$D:$D,0)),Q213))</f>
        <v/>
      </c>
      <c r="S213" s="139">
        <f>IF(C213&lt;2,"",IFERROR(IF(OR(LEFT(INDEX(D213:K213,MIN(8,MAX(1,C213))),2)="令和",LEFT(INDEX(D213:K213,MIN(8,MAX(1,C213))),2)="平成",LEFT(INDEX(D213:K213,MIN(8,MAX(1,C213))),2)="昭和"),DATE(VALUE(MID(INDEX(D213:K213,MIN(8,MAX(1,C213))),3,FIND("年",INDEX(D213:K213,MIN(8,MAX(1,C213))))-3))+IF(LEFT(INDEX(D213:K213,MIN(8,MAX(1,C213))),2)="令和",2018,IF(LEFT(INDEX(D213:K213,MIN(8,MAX(1,C213))),2)="平成",1988,1925)),VALUE(MID(INDEX(D213:K213,MIN(8,MAX(1,C213))),FIND("年",INDEX(D213:K213,MIN(8,MAX(1,C213))))+1,FIND("月",INDEX(D213:K213,MIN(8,MAX(1,C213))))-FIND("年",INDEX(D213:K213,MIN(8,MAX(1,C213))))-1)),IFERROR(VALUE(SUBSTITUTE(MID(INDEX(D213:K213,MIN(8,MAX(1,C213))),FIND("月",INDEX(D213:K213,MIN(8,MAX(1,C213))))+1,10),"日","")),1)),DATE(VALUE(TRIM(MID(SUBSTITUTE(AA213,"/",REPT(" ",50)),1,50))),VALUE(TRIM(MID(SUBSTITUTE(AA213,"/",REPT(" ",50)),51,50))),IFERROR(VALUE(TRIM(MID(SUBSTITUTE(AA213,"/",REPT(" ",50)),101,50))),1))),IFERROR(DATEVALUE(INDEX(D213:K213,MIN(8,MAX(1,C213)))),"")))</f>
        <v/>
      </c>
      <c r="T213">
        <f>IF(B213="","",IF(AB213&lt;&gt;"",AB213,IFERROR(MATCH(SUBSTITUTE(SUBSTITUTE(P213," ",""),"　",""),入力!$AH$5:$AH$44,0),"")))</f>
        <v/>
      </c>
      <c r="U213">
        <f>IF(T213="","",INDEX(入力!$D$5:$D$44,T213))</f>
        <v/>
      </c>
      <c r="V213">
        <f>IF(B213="","",IF(T213="","要確認（名簿と照合できません）",IF(R213="","要確認（資格名がありません）",IF(S213="","要確認（取得日が読めません）",IF((IF(INDEX(入力!$N$5:$N$44,T213)=R213,1,0)+IF(INDEX(入力!$P$5:$P$44,T213)=R213,1,0)+IF(INDEX(入力!$R$5:$R$44,T213)=R213,1,0)+IF(INDEX(入力!$T$5:$T$44,T213)=R213,1,0)+IF(INDEX(入力!$V$5:$V$44,T213)=R213,1,0)+IF(INDEX(入力!$X$5:$X$44,T213)=R213,1,0))+(COUNTIFS($T$6:$T$405,T213,$R$6:$R$405,R213,$X$6:$X$405,"&lt;"&amp;X213))&gt;0,"重複","反映")))))</f>
        <v/>
      </c>
      <c r="W213">
        <f>IF(V213="反映",1,0)</f>
        <v/>
      </c>
      <c r="X213" t="n">
        <v>213</v>
      </c>
      <c r="Y213">
        <f>IF(W213=0,"",COUNTIFS($T$6:$T$405,T213,$W$6:$W$405,1,$S$6:$S$405,"&lt;"&amp;S213)+COUNTIFS($T$6:$T$405,T213,$W$6:$W$405,1,$S$6:$S$405,S213,$X$6:$X$405,"&lt;"&amp;X213)+1)</f>
        <v/>
      </c>
      <c r="Z213">
        <f>IF(Y213="","",T213&amp;"_"&amp;Y213)</f>
        <v/>
      </c>
      <c r="AA213">
        <f>SUBSTITUTE(SUBSTITUTE(SUBSTITUTE(SUBSTITUTE(SUBSTITUTE(INDEX(D213:K213,MIN(8,MAX(1,C213))),"年","/"),"月","/"),"日",""),"-","/"),".","/")</f>
        <v/>
      </c>
      <c r="AB213">
        <f>IFERROR(MATCH(O213,入力!$C$5:$C$44,0),"")</f>
        <v/>
      </c>
      <c r="AC213">
        <f>IF(AB213="","",INDEX(入力!$AH$5:$AH$44,AB213))</f>
        <v/>
      </c>
      <c r="AD213">
        <f>IF(INDEX($D213:$K213,IF(M213=1,2,1))=AC213,1,IF(INDEX($D213:$K213,IF(M213=1,2,1))&amp;INDEX($D213:$K213,IF(M213=1,2,1)+1)=AC213,2,IF(INDEX($D213:$K213,IF(M213=1,2,1))&amp;INDEX($D213:$K213,IF(M213=1,2,1)+1)&amp;INDEX($D213:$K213,IF(M213=1,2,1)+2)=AC213,3,IF(AB213&lt;&gt;"",2,IF(ISNUMBER(MATCH(INDEX($D213:$K213,IF(M213=1,2,1)),入力!$AH$5:$AH$44,0)),1,IF(ISNUMBER(MATCH(INDEX($D213:$K213,IF(M213=1,2,1))&amp;INDEX($D213:$K213,IF(M213=1,2,1)+1),入力!$AH$5:$AH$44,0)),2,IF(ISNUMBER(MATCH(INDEX($D213:$K213,IF(M213=1,2,1))&amp;INDEX($D213:$K213,IF(M213=1,2,1)+1)&amp;INDEX($D213:$K213,IF(M213=1,2,1)+2),入力!$AH$5:$AH$44,0)),3,2)))))))</f>
        <v/>
      </c>
      <c r="AE213">
        <f>IF(V213="","",IF(AND(V213="反映",N(Y213)&gt;20),"要確認（この生徒の取込が20件を超えました）",V213))</f>
        <v/>
      </c>
    </row>
    <row r="214">
      <c r="A214" s="138" t="n"/>
      <c r="B214">
        <f>TRIM(SUBSTITUTE(SUBSTITUTE(SUBSTITUTE(A214,CHAR(9)," "),"　"," "),CHAR(160)," "))</f>
        <v/>
      </c>
      <c r="C214">
        <f>IF(B214="",0,LEN(B214)-LEN(SUBSTITUTE(B214," ",""))+1)</f>
        <v/>
      </c>
      <c r="D214">
        <f>IF(C214&gt;=1,TRIM(MID(SUBSTITUTE(B214," ",REPT(" ",200)),1,200)),"")</f>
        <v/>
      </c>
      <c r="E214">
        <f>IF(C214&gt;=2,TRIM(MID(SUBSTITUTE(B214," ",REPT(" ",200)),201,200)),"")</f>
        <v/>
      </c>
      <c r="F214">
        <f>IF(C214&gt;=3,TRIM(MID(SUBSTITUTE(B214," ",REPT(" ",200)),401,200)),"")</f>
        <v/>
      </c>
      <c r="G214">
        <f>IF(C214&gt;=4,TRIM(MID(SUBSTITUTE(B214," ",REPT(" ",200)),601,200)),"")</f>
        <v/>
      </c>
      <c r="H214">
        <f>IF(C214&gt;=5,TRIM(MID(SUBSTITUTE(B214," ",REPT(" ",200)),801,200)),"")</f>
        <v/>
      </c>
      <c r="I214">
        <f>IF(C214&gt;=6,TRIM(MID(SUBSTITUTE(B214," ",REPT(" ",200)),1001,200)),"")</f>
        <v/>
      </c>
      <c r="J214">
        <f>IF(C214&gt;=7,TRIM(MID(SUBSTITUTE(B214," ",REPT(" ",200)),1201,200)),"")</f>
        <v/>
      </c>
      <c r="K214">
        <f>IF(C214&gt;=8,TRIM(MID(SUBSTITUTE(B214," ",REPT(" ",200)),1401,200)),"")</f>
        <v/>
      </c>
      <c r="L214">
        <f>SUBSTITUTE(SUBSTITUTE(SUBSTITUTE(D214,"年","-"),"組","-"),"番","")</f>
        <v/>
      </c>
      <c r="M214">
        <f>IF(D214="",0,IF(ISNUMBER(VALUE(SUBSTITUTE(L214,"-",""))),1,0))</f>
        <v/>
      </c>
      <c r="N214">
        <f>IF(M214=0,"",IFERROR(VALUE(TRIM(MID(SUBSTITUTE(L214,"-",REPT(" ",100)),101,100))),""))</f>
        <v/>
      </c>
      <c r="O214">
        <f>IF(M214=0,"",IFERROR(VALUE(TRIM(RIGHT(SUBSTITUTE(L214,"-",REPT(" ",100)),100))),""))</f>
        <v/>
      </c>
      <c r="P214">
        <f>IF(B214="","",TRIM(INDEX($D214:$K214,IF(M214=1,2,1))&amp;IF(AD214&gt;=2," "&amp;INDEX($D214:$K214,IF(M214=1,2,1)+1),"")&amp;IF(AD214&gt;=3," "&amp;INDEX($D214:$K214,IF(M214=1,2,1)+2),"")))</f>
        <v/>
      </c>
      <c r="Q214">
        <f>IF(C214&lt;2,"",TRIM(IF(AND(2&gt;=(IF(M214=1,2,1)+AD214),2&lt;=C214-IF(S214="",0,1)),E214&amp;" ","")&amp;IF(AND(3&gt;=(IF(M214=1,2,1)+AD214),3&lt;=C214-IF(S214="",0,1)),F214&amp;" ","")&amp;IF(AND(4&gt;=(IF(M214=1,2,1)+AD214),4&lt;=C214-IF(S214="",0,1)),G214&amp;" ","")&amp;IF(AND(5&gt;=(IF(M214=1,2,1)+AD214),5&lt;=C214-IF(S214="",0,1)),H214&amp;" ","")&amp;IF(AND(6&gt;=(IF(M214=1,2,1)+AD214),6&lt;=C214-IF(S214="",0,1)),I214&amp;" ","")&amp;IF(AND(7&gt;=(IF(M214=1,2,1)+AD214),7&lt;=C214-IF(S214="",0,1)),J214&amp;" ","")&amp;IF(AND(8&gt;=(IF(M214=1,2,1)+AD214),8&lt;=C214-IF(S214="",0,1)),K214&amp;" ","")))</f>
        <v/>
      </c>
      <c r="R214">
        <f>IF(Q214="","",IFERROR(INDEX(資格マスタ!$B:$B,MATCH(ASC(SUBSTITUTE(SUBSTITUTE(Q214," ",""),"　","")),資格マスタ!$D:$D,0)),Q214))</f>
        <v/>
      </c>
      <c r="S214" s="139">
        <f>IF(C214&lt;2,"",IFERROR(IF(OR(LEFT(INDEX(D214:K214,MIN(8,MAX(1,C214))),2)="令和",LEFT(INDEX(D214:K214,MIN(8,MAX(1,C214))),2)="平成",LEFT(INDEX(D214:K214,MIN(8,MAX(1,C214))),2)="昭和"),DATE(VALUE(MID(INDEX(D214:K214,MIN(8,MAX(1,C214))),3,FIND("年",INDEX(D214:K214,MIN(8,MAX(1,C214))))-3))+IF(LEFT(INDEX(D214:K214,MIN(8,MAX(1,C214))),2)="令和",2018,IF(LEFT(INDEX(D214:K214,MIN(8,MAX(1,C214))),2)="平成",1988,1925)),VALUE(MID(INDEX(D214:K214,MIN(8,MAX(1,C214))),FIND("年",INDEX(D214:K214,MIN(8,MAX(1,C214))))+1,FIND("月",INDEX(D214:K214,MIN(8,MAX(1,C214))))-FIND("年",INDEX(D214:K214,MIN(8,MAX(1,C214))))-1)),IFERROR(VALUE(SUBSTITUTE(MID(INDEX(D214:K214,MIN(8,MAX(1,C214))),FIND("月",INDEX(D214:K214,MIN(8,MAX(1,C214))))+1,10),"日","")),1)),DATE(VALUE(TRIM(MID(SUBSTITUTE(AA214,"/",REPT(" ",50)),1,50))),VALUE(TRIM(MID(SUBSTITUTE(AA214,"/",REPT(" ",50)),51,50))),IFERROR(VALUE(TRIM(MID(SUBSTITUTE(AA214,"/",REPT(" ",50)),101,50))),1))),IFERROR(DATEVALUE(INDEX(D214:K214,MIN(8,MAX(1,C214)))),"")))</f>
        <v/>
      </c>
      <c r="T214">
        <f>IF(B214="","",IF(AB214&lt;&gt;"",AB214,IFERROR(MATCH(SUBSTITUTE(SUBSTITUTE(P214," ",""),"　",""),入力!$AH$5:$AH$44,0),"")))</f>
        <v/>
      </c>
      <c r="U214">
        <f>IF(T214="","",INDEX(入力!$D$5:$D$44,T214))</f>
        <v/>
      </c>
      <c r="V214">
        <f>IF(B214="","",IF(T214="","要確認（名簿と照合できません）",IF(R214="","要確認（資格名がありません）",IF(S214="","要確認（取得日が読めません）",IF((IF(INDEX(入力!$N$5:$N$44,T214)=R214,1,0)+IF(INDEX(入力!$P$5:$P$44,T214)=R214,1,0)+IF(INDEX(入力!$R$5:$R$44,T214)=R214,1,0)+IF(INDEX(入力!$T$5:$T$44,T214)=R214,1,0)+IF(INDEX(入力!$V$5:$V$44,T214)=R214,1,0)+IF(INDEX(入力!$X$5:$X$44,T214)=R214,1,0))+(COUNTIFS($T$6:$T$405,T214,$R$6:$R$405,R214,$X$6:$X$405,"&lt;"&amp;X214))&gt;0,"重複","反映")))))</f>
        <v/>
      </c>
      <c r="W214">
        <f>IF(V214="反映",1,0)</f>
        <v/>
      </c>
      <c r="X214" t="n">
        <v>214</v>
      </c>
      <c r="Y214">
        <f>IF(W214=0,"",COUNTIFS($T$6:$T$405,T214,$W$6:$W$405,1,$S$6:$S$405,"&lt;"&amp;S214)+COUNTIFS($T$6:$T$405,T214,$W$6:$W$405,1,$S$6:$S$405,S214,$X$6:$X$405,"&lt;"&amp;X214)+1)</f>
        <v/>
      </c>
      <c r="Z214">
        <f>IF(Y214="","",T214&amp;"_"&amp;Y214)</f>
        <v/>
      </c>
      <c r="AA214">
        <f>SUBSTITUTE(SUBSTITUTE(SUBSTITUTE(SUBSTITUTE(SUBSTITUTE(INDEX(D214:K214,MIN(8,MAX(1,C214))),"年","/"),"月","/"),"日",""),"-","/"),".","/")</f>
        <v/>
      </c>
      <c r="AB214">
        <f>IFERROR(MATCH(O214,入力!$C$5:$C$44,0),"")</f>
        <v/>
      </c>
      <c r="AC214">
        <f>IF(AB214="","",INDEX(入力!$AH$5:$AH$44,AB214))</f>
        <v/>
      </c>
      <c r="AD214">
        <f>IF(INDEX($D214:$K214,IF(M214=1,2,1))=AC214,1,IF(INDEX($D214:$K214,IF(M214=1,2,1))&amp;INDEX($D214:$K214,IF(M214=1,2,1)+1)=AC214,2,IF(INDEX($D214:$K214,IF(M214=1,2,1))&amp;INDEX($D214:$K214,IF(M214=1,2,1)+1)&amp;INDEX($D214:$K214,IF(M214=1,2,1)+2)=AC214,3,IF(AB214&lt;&gt;"",2,IF(ISNUMBER(MATCH(INDEX($D214:$K214,IF(M214=1,2,1)),入力!$AH$5:$AH$44,0)),1,IF(ISNUMBER(MATCH(INDEX($D214:$K214,IF(M214=1,2,1))&amp;INDEX($D214:$K214,IF(M214=1,2,1)+1),入力!$AH$5:$AH$44,0)),2,IF(ISNUMBER(MATCH(INDEX($D214:$K214,IF(M214=1,2,1))&amp;INDEX($D214:$K214,IF(M214=1,2,1)+1)&amp;INDEX($D214:$K214,IF(M214=1,2,1)+2),入力!$AH$5:$AH$44,0)),3,2)))))))</f>
        <v/>
      </c>
      <c r="AE214">
        <f>IF(V214="","",IF(AND(V214="反映",N(Y214)&gt;20),"要確認（この生徒の取込が20件を超えました）",V214))</f>
        <v/>
      </c>
    </row>
    <row r="215">
      <c r="A215" s="138" t="n"/>
      <c r="B215">
        <f>TRIM(SUBSTITUTE(SUBSTITUTE(SUBSTITUTE(A215,CHAR(9)," "),"　"," "),CHAR(160)," "))</f>
        <v/>
      </c>
      <c r="C215">
        <f>IF(B215="",0,LEN(B215)-LEN(SUBSTITUTE(B215," ",""))+1)</f>
        <v/>
      </c>
      <c r="D215">
        <f>IF(C215&gt;=1,TRIM(MID(SUBSTITUTE(B215," ",REPT(" ",200)),1,200)),"")</f>
        <v/>
      </c>
      <c r="E215">
        <f>IF(C215&gt;=2,TRIM(MID(SUBSTITUTE(B215," ",REPT(" ",200)),201,200)),"")</f>
        <v/>
      </c>
      <c r="F215">
        <f>IF(C215&gt;=3,TRIM(MID(SUBSTITUTE(B215," ",REPT(" ",200)),401,200)),"")</f>
        <v/>
      </c>
      <c r="G215">
        <f>IF(C215&gt;=4,TRIM(MID(SUBSTITUTE(B215," ",REPT(" ",200)),601,200)),"")</f>
        <v/>
      </c>
      <c r="H215">
        <f>IF(C215&gt;=5,TRIM(MID(SUBSTITUTE(B215," ",REPT(" ",200)),801,200)),"")</f>
        <v/>
      </c>
      <c r="I215">
        <f>IF(C215&gt;=6,TRIM(MID(SUBSTITUTE(B215," ",REPT(" ",200)),1001,200)),"")</f>
        <v/>
      </c>
      <c r="J215">
        <f>IF(C215&gt;=7,TRIM(MID(SUBSTITUTE(B215," ",REPT(" ",200)),1201,200)),"")</f>
        <v/>
      </c>
      <c r="K215">
        <f>IF(C215&gt;=8,TRIM(MID(SUBSTITUTE(B215," ",REPT(" ",200)),1401,200)),"")</f>
        <v/>
      </c>
      <c r="L215">
        <f>SUBSTITUTE(SUBSTITUTE(SUBSTITUTE(D215,"年","-"),"組","-"),"番","")</f>
        <v/>
      </c>
      <c r="M215">
        <f>IF(D215="",0,IF(ISNUMBER(VALUE(SUBSTITUTE(L215,"-",""))),1,0))</f>
        <v/>
      </c>
      <c r="N215">
        <f>IF(M215=0,"",IFERROR(VALUE(TRIM(MID(SUBSTITUTE(L215,"-",REPT(" ",100)),101,100))),""))</f>
        <v/>
      </c>
      <c r="O215">
        <f>IF(M215=0,"",IFERROR(VALUE(TRIM(RIGHT(SUBSTITUTE(L215,"-",REPT(" ",100)),100))),""))</f>
        <v/>
      </c>
      <c r="P215">
        <f>IF(B215="","",TRIM(INDEX($D215:$K215,IF(M215=1,2,1))&amp;IF(AD215&gt;=2," "&amp;INDEX($D215:$K215,IF(M215=1,2,1)+1),"")&amp;IF(AD215&gt;=3," "&amp;INDEX($D215:$K215,IF(M215=1,2,1)+2),"")))</f>
        <v/>
      </c>
      <c r="Q215">
        <f>IF(C215&lt;2,"",TRIM(IF(AND(2&gt;=(IF(M215=1,2,1)+AD215),2&lt;=C215-IF(S215="",0,1)),E215&amp;" ","")&amp;IF(AND(3&gt;=(IF(M215=1,2,1)+AD215),3&lt;=C215-IF(S215="",0,1)),F215&amp;" ","")&amp;IF(AND(4&gt;=(IF(M215=1,2,1)+AD215),4&lt;=C215-IF(S215="",0,1)),G215&amp;" ","")&amp;IF(AND(5&gt;=(IF(M215=1,2,1)+AD215),5&lt;=C215-IF(S215="",0,1)),H215&amp;" ","")&amp;IF(AND(6&gt;=(IF(M215=1,2,1)+AD215),6&lt;=C215-IF(S215="",0,1)),I215&amp;" ","")&amp;IF(AND(7&gt;=(IF(M215=1,2,1)+AD215),7&lt;=C215-IF(S215="",0,1)),J215&amp;" ","")&amp;IF(AND(8&gt;=(IF(M215=1,2,1)+AD215),8&lt;=C215-IF(S215="",0,1)),K215&amp;" ","")))</f>
        <v/>
      </c>
      <c r="R215">
        <f>IF(Q215="","",IFERROR(INDEX(資格マスタ!$B:$B,MATCH(ASC(SUBSTITUTE(SUBSTITUTE(Q215," ",""),"　","")),資格マスタ!$D:$D,0)),Q215))</f>
        <v/>
      </c>
      <c r="S215" s="139">
        <f>IF(C215&lt;2,"",IFERROR(IF(OR(LEFT(INDEX(D215:K215,MIN(8,MAX(1,C215))),2)="令和",LEFT(INDEX(D215:K215,MIN(8,MAX(1,C215))),2)="平成",LEFT(INDEX(D215:K215,MIN(8,MAX(1,C215))),2)="昭和"),DATE(VALUE(MID(INDEX(D215:K215,MIN(8,MAX(1,C215))),3,FIND("年",INDEX(D215:K215,MIN(8,MAX(1,C215))))-3))+IF(LEFT(INDEX(D215:K215,MIN(8,MAX(1,C215))),2)="令和",2018,IF(LEFT(INDEX(D215:K215,MIN(8,MAX(1,C215))),2)="平成",1988,1925)),VALUE(MID(INDEX(D215:K215,MIN(8,MAX(1,C215))),FIND("年",INDEX(D215:K215,MIN(8,MAX(1,C215))))+1,FIND("月",INDEX(D215:K215,MIN(8,MAX(1,C215))))-FIND("年",INDEX(D215:K215,MIN(8,MAX(1,C215))))-1)),IFERROR(VALUE(SUBSTITUTE(MID(INDEX(D215:K215,MIN(8,MAX(1,C215))),FIND("月",INDEX(D215:K215,MIN(8,MAX(1,C215))))+1,10),"日","")),1)),DATE(VALUE(TRIM(MID(SUBSTITUTE(AA215,"/",REPT(" ",50)),1,50))),VALUE(TRIM(MID(SUBSTITUTE(AA215,"/",REPT(" ",50)),51,50))),IFERROR(VALUE(TRIM(MID(SUBSTITUTE(AA215,"/",REPT(" ",50)),101,50))),1))),IFERROR(DATEVALUE(INDEX(D215:K215,MIN(8,MAX(1,C215)))),"")))</f>
        <v/>
      </c>
      <c r="T215">
        <f>IF(B215="","",IF(AB215&lt;&gt;"",AB215,IFERROR(MATCH(SUBSTITUTE(SUBSTITUTE(P215," ",""),"　",""),入力!$AH$5:$AH$44,0),"")))</f>
        <v/>
      </c>
      <c r="U215">
        <f>IF(T215="","",INDEX(入力!$D$5:$D$44,T215))</f>
        <v/>
      </c>
      <c r="V215">
        <f>IF(B215="","",IF(T215="","要確認（名簿と照合できません）",IF(R215="","要確認（資格名がありません）",IF(S215="","要確認（取得日が読めません）",IF((IF(INDEX(入力!$N$5:$N$44,T215)=R215,1,0)+IF(INDEX(入力!$P$5:$P$44,T215)=R215,1,0)+IF(INDEX(入力!$R$5:$R$44,T215)=R215,1,0)+IF(INDEX(入力!$T$5:$T$44,T215)=R215,1,0)+IF(INDEX(入力!$V$5:$V$44,T215)=R215,1,0)+IF(INDEX(入力!$X$5:$X$44,T215)=R215,1,0))+(COUNTIFS($T$6:$T$405,T215,$R$6:$R$405,R215,$X$6:$X$405,"&lt;"&amp;X215))&gt;0,"重複","反映")))))</f>
        <v/>
      </c>
      <c r="W215">
        <f>IF(V215="反映",1,0)</f>
        <v/>
      </c>
      <c r="X215" t="n">
        <v>215</v>
      </c>
      <c r="Y215">
        <f>IF(W215=0,"",COUNTIFS($T$6:$T$405,T215,$W$6:$W$405,1,$S$6:$S$405,"&lt;"&amp;S215)+COUNTIFS($T$6:$T$405,T215,$W$6:$W$405,1,$S$6:$S$405,S215,$X$6:$X$405,"&lt;"&amp;X215)+1)</f>
        <v/>
      </c>
      <c r="Z215">
        <f>IF(Y215="","",T215&amp;"_"&amp;Y215)</f>
        <v/>
      </c>
      <c r="AA215">
        <f>SUBSTITUTE(SUBSTITUTE(SUBSTITUTE(SUBSTITUTE(SUBSTITUTE(INDEX(D215:K215,MIN(8,MAX(1,C215))),"年","/"),"月","/"),"日",""),"-","/"),".","/")</f>
        <v/>
      </c>
      <c r="AB215">
        <f>IFERROR(MATCH(O215,入力!$C$5:$C$44,0),"")</f>
        <v/>
      </c>
      <c r="AC215">
        <f>IF(AB215="","",INDEX(入力!$AH$5:$AH$44,AB215))</f>
        <v/>
      </c>
      <c r="AD215">
        <f>IF(INDEX($D215:$K215,IF(M215=1,2,1))=AC215,1,IF(INDEX($D215:$K215,IF(M215=1,2,1))&amp;INDEX($D215:$K215,IF(M215=1,2,1)+1)=AC215,2,IF(INDEX($D215:$K215,IF(M215=1,2,1))&amp;INDEX($D215:$K215,IF(M215=1,2,1)+1)&amp;INDEX($D215:$K215,IF(M215=1,2,1)+2)=AC215,3,IF(AB215&lt;&gt;"",2,IF(ISNUMBER(MATCH(INDEX($D215:$K215,IF(M215=1,2,1)),入力!$AH$5:$AH$44,0)),1,IF(ISNUMBER(MATCH(INDEX($D215:$K215,IF(M215=1,2,1))&amp;INDEX($D215:$K215,IF(M215=1,2,1)+1),入力!$AH$5:$AH$44,0)),2,IF(ISNUMBER(MATCH(INDEX($D215:$K215,IF(M215=1,2,1))&amp;INDEX($D215:$K215,IF(M215=1,2,1)+1)&amp;INDEX($D215:$K215,IF(M215=1,2,1)+2),入力!$AH$5:$AH$44,0)),3,2)))))))</f>
        <v/>
      </c>
      <c r="AE215">
        <f>IF(V215="","",IF(AND(V215="反映",N(Y215)&gt;20),"要確認（この生徒の取込が20件を超えました）",V215))</f>
        <v/>
      </c>
    </row>
    <row r="216">
      <c r="A216" s="138" t="n"/>
      <c r="B216">
        <f>TRIM(SUBSTITUTE(SUBSTITUTE(SUBSTITUTE(A216,CHAR(9)," "),"　"," "),CHAR(160)," "))</f>
        <v/>
      </c>
      <c r="C216">
        <f>IF(B216="",0,LEN(B216)-LEN(SUBSTITUTE(B216," ",""))+1)</f>
        <v/>
      </c>
      <c r="D216">
        <f>IF(C216&gt;=1,TRIM(MID(SUBSTITUTE(B216," ",REPT(" ",200)),1,200)),"")</f>
        <v/>
      </c>
      <c r="E216">
        <f>IF(C216&gt;=2,TRIM(MID(SUBSTITUTE(B216," ",REPT(" ",200)),201,200)),"")</f>
        <v/>
      </c>
      <c r="F216">
        <f>IF(C216&gt;=3,TRIM(MID(SUBSTITUTE(B216," ",REPT(" ",200)),401,200)),"")</f>
        <v/>
      </c>
      <c r="G216">
        <f>IF(C216&gt;=4,TRIM(MID(SUBSTITUTE(B216," ",REPT(" ",200)),601,200)),"")</f>
        <v/>
      </c>
      <c r="H216">
        <f>IF(C216&gt;=5,TRIM(MID(SUBSTITUTE(B216," ",REPT(" ",200)),801,200)),"")</f>
        <v/>
      </c>
      <c r="I216">
        <f>IF(C216&gt;=6,TRIM(MID(SUBSTITUTE(B216," ",REPT(" ",200)),1001,200)),"")</f>
        <v/>
      </c>
      <c r="J216">
        <f>IF(C216&gt;=7,TRIM(MID(SUBSTITUTE(B216," ",REPT(" ",200)),1201,200)),"")</f>
        <v/>
      </c>
      <c r="K216">
        <f>IF(C216&gt;=8,TRIM(MID(SUBSTITUTE(B216," ",REPT(" ",200)),1401,200)),"")</f>
        <v/>
      </c>
      <c r="L216">
        <f>SUBSTITUTE(SUBSTITUTE(SUBSTITUTE(D216,"年","-"),"組","-"),"番","")</f>
        <v/>
      </c>
      <c r="M216">
        <f>IF(D216="",0,IF(ISNUMBER(VALUE(SUBSTITUTE(L216,"-",""))),1,0))</f>
        <v/>
      </c>
      <c r="N216">
        <f>IF(M216=0,"",IFERROR(VALUE(TRIM(MID(SUBSTITUTE(L216,"-",REPT(" ",100)),101,100))),""))</f>
        <v/>
      </c>
      <c r="O216">
        <f>IF(M216=0,"",IFERROR(VALUE(TRIM(RIGHT(SUBSTITUTE(L216,"-",REPT(" ",100)),100))),""))</f>
        <v/>
      </c>
      <c r="P216">
        <f>IF(B216="","",TRIM(INDEX($D216:$K216,IF(M216=1,2,1))&amp;IF(AD216&gt;=2," "&amp;INDEX($D216:$K216,IF(M216=1,2,1)+1),"")&amp;IF(AD216&gt;=3," "&amp;INDEX($D216:$K216,IF(M216=1,2,1)+2),"")))</f>
        <v/>
      </c>
      <c r="Q216">
        <f>IF(C216&lt;2,"",TRIM(IF(AND(2&gt;=(IF(M216=1,2,1)+AD216),2&lt;=C216-IF(S216="",0,1)),E216&amp;" ","")&amp;IF(AND(3&gt;=(IF(M216=1,2,1)+AD216),3&lt;=C216-IF(S216="",0,1)),F216&amp;" ","")&amp;IF(AND(4&gt;=(IF(M216=1,2,1)+AD216),4&lt;=C216-IF(S216="",0,1)),G216&amp;" ","")&amp;IF(AND(5&gt;=(IF(M216=1,2,1)+AD216),5&lt;=C216-IF(S216="",0,1)),H216&amp;" ","")&amp;IF(AND(6&gt;=(IF(M216=1,2,1)+AD216),6&lt;=C216-IF(S216="",0,1)),I216&amp;" ","")&amp;IF(AND(7&gt;=(IF(M216=1,2,1)+AD216),7&lt;=C216-IF(S216="",0,1)),J216&amp;" ","")&amp;IF(AND(8&gt;=(IF(M216=1,2,1)+AD216),8&lt;=C216-IF(S216="",0,1)),K216&amp;" ","")))</f>
        <v/>
      </c>
      <c r="R216">
        <f>IF(Q216="","",IFERROR(INDEX(資格マスタ!$B:$B,MATCH(ASC(SUBSTITUTE(SUBSTITUTE(Q216," ",""),"　","")),資格マスタ!$D:$D,0)),Q216))</f>
        <v/>
      </c>
      <c r="S216" s="139">
        <f>IF(C216&lt;2,"",IFERROR(IF(OR(LEFT(INDEX(D216:K216,MIN(8,MAX(1,C216))),2)="令和",LEFT(INDEX(D216:K216,MIN(8,MAX(1,C216))),2)="平成",LEFT(INDEX(D216:K216,MIN(8,MAX(1,C216))),2)="昭和"),DATE(VALUE(MID(INDEX(D216:K216,MIN(8,MAX(1,C216))),3,FIND("年",INDEX(D216:K216,MIN(8,MAX(1,C216))))-3))+IF(LEFT(INDEX(D216:K216,MIN(8,MAX(1,C216))),2)="令和",2018,IF(LEFT(INDEX(D216:K216,MIN(8,MAX(1,C216))),2)="平成",1988,1925)),VALUE(MID(INDEX(D216:K216,MIN(8,MAX(1,C216))),FIND("年",INDEX(D216:K216,MIN(8,MAX(1,C216))))+1,FIND("月",INDEX(D216:K216,MIN(8,MAX(1,C216))))-FIND("年",INDEX(D216:K216,MIN(8,MAX(1,C216))))-1)),IFERROR(VALUE(SUBSTITUTE(MID(INDEX(D216:K216,MIN(8,MAX(1,C216))),FIND("月",INDEX(D216:K216,MIN(8,MAX(1,C216))))+1,10),"日","")),1)),DATE(VALUE(TRIM(MID(SUBSTITUTE(AA216,"/",REPT(" ",50)),1,50))),VALUE(TRIM(MID(SUBSTITUTE(AA216,"/",REPT(" ",50)),51,50))),IFERROR(VALUE(TRIM(MID(SUBSTITUTE(AA216,"/",REPT(" ",50)),101,50))),1))),IFERROR(DATEVALUE(INDEX(D216:K216,MIN(8,MAX(1,C216)))),"")))</f>
        <v/>
      </c>
      <c r="T216">
        <f>IF(B216="","",IF(AB216&lt;&gt;"",AB216,IFERROR(MATCH(SUBSTITUTE(SUBSTITUTE(P216," ",""),"　",""),入力!$AH$5:$AH$44,0),"")))</f>
        <v/>
      </c>
      <c r="U216">
        <f>IF(T216="","",INDEX(入力!$D$5:$D$44,T216))</f>
        <v/>
      </c>
      <c r="V216">
        <f>IF(B216="","",IF(T216="","要確認（名簿と照合できません）",IF(R216="","要確認（資格名がありません）",IF(S216="","要確認（取得日が読めません）",IF((IF(INDEX(入力!$N$5:$N$44,T216)=R216,1,0)+IF(INDEX(入力!$P$5:$P$44,T216)=R216,1,0)+IF(INDEX(入力!$R$5:$R$44,T216)=R216,1,0)+IF(INDEX(入力!$T$5:$T$44,T216)=R216,1,0)+IF(INDEX(入力!$V$5:$V$44,T216)=R216,1,0)+IF(INDEX(入力!$X$5:$X$44,T216)=R216,1,0))+(COUNTIFS($T$6:$T$405,T216,$R$6:$R$405,R216,$X$6:$X$405,"&lt;"&amp;X216))&gt;0,"重複","反映")))))</f>
        <v/>
      </c>
      <c r="W216">
        <f>IF(V216="反映",1,0)</f>
        <v/>
      </c>
      <c r="X216" t="n">
        <v>216</v>
      </c>
      <c r="Y216">
        <f>IF(W216=0,"",COUNTIFS($T$6:$T$405,T216,$W$6:$W$405,1,$S$6:$S$405,"&lt;"&amp;S216)+COUNTIFS($T$6:$T$405,T216,$W$6:$W$405,1,$S$6:$S$405,S216,$X$6:$X$405,"&lt;"&amp;X216)+1)</f>
        <v/>
      </c>
      <c r="Z216">
        <f>IF(Y216="","",T216&amp;"_"&amp;Y216)</f>
        <v/>
      </c>
      <c r="AA216">
        <f>SUBSTITUTE(SUBSTITUTE(SUBSTITUTE(SUBSTITUTE(SUBSTITUTE(INDEX(D216:K216,MIN(8,MAX(1,C216))),"年","/"),"月","/"),"日",""),"-","/"),".","/")</f>
        <v/>
      </c>
      <c r="AB216">
        <f>IFERROR(MATCH(O216,入力!$C$5:$C$44,0),"")</f>
        <v/>
      </c>
      <c r="AC216">
        <f>IF(AB216="","",INDEX(入力!$AH$5:$AH$44,AB216))</f>
        <v/>
      </c>
      <c r="AD216">
        <f>IF(INDEX($D216:$K216,IF(M216=1,2,1))=AC216,1,IF(INDEX($D216:$K216,IF(M216=1,2,1))&amp;INDEX($D216:$K216,IF(M216=1,2,1)+1)=AC216,2,IF(INDEX($D216:$K216,IF(M216=1,2,1))&amp;INDEX($D216:$K216,IF(M216=1,2,1)+1)&amp;INDEX($D216:$K216,IF(M216=1,2,1)+2)=AC216,3,IF(AB216&lt;&gt;"",2,IF(ISNUMBER(MATCH(INDEX($D216:$K216,IF(M216=1,2,1)),入力!$AH$5:$AH$44,0)),1,IF(ISNUMBER(MATCH(INDEX($D216:$K216,IF(M216=1,2,1))&amp;INDEX($D216:$K216,IF(M216=1,2,1)+1),入力!$AH$5:$AH$44,0)),2,IF(ISNUMBER(MATCH(INDEX($D216:$K216,IF(M216=1,2,1))&amp;INDEX($D216:$K216,IF(M216=1,2,1)+1)&amp;INDEX($D216:$K216,IF(M216=1,2,1)+2),入力!$AH$5:$AH$44,0)),3,2)))))))</f>
        <v/>
      </c>
      <c r="AE216">
        <f>IF(V216="","",IF(AND(V216="反映",N(Y216)&gt;20),"要確認（この生徒の取込が20件を超えました）",V216))</f>
        <v/>
      </c>
    </row>
    <row r="217">
      <c r="A217" s="138" t="n"/>
      <c r="B217">
        <f>TRIM(SUBSTITUTE(SUBSTITUTE(SUBSTITUTE(A217,CHAR(9)," "),"　"," "),CHAR(160)," "))</f>
        <v/>
      </c>
      <c r="C217">
        <f>IF(B217="",0,LEN(B217)-LEN(SUBSTITUTE(B217," ",""))+1)</f>
        <v/>
      </c>
      <c r="D217">
        <f>IF(C217&gt;=1,TRIM(MID(SUBSTITUTE(B217," ",REPT(" ",200)),1,200)),"")</f>
        <v/>
      </c>
      <c r="E217">
        <f>IF(C217&gt;=2,TRIM(MID(SUBSTITUTE(B217," ",REPT(" ",200)),201,200)),"")</f>
        <v/>
      </c>
      <c r="F217">
        <f>IF(C217&gt;=3,TRIM(MID(SUBSTITUTE(B217," ",REPT(" ",200)),401,200)),"")</f>
        <v/>
      </c>
      <c r="G217">
        <f>IF(C217&gt;=4,TRIM(MID(SUBSTITUTE(B217," ",REPT(" ",200)),601,200)),"")</f>
        <v/>
      </c>
      <c r="H217">
        <f>IF(C217&gt;=5,TRIM(MID(SUBSTITUTE(B217," ",REPT(" ",200)),801,200)),"")</f>
        <v/>
      </c>
      <c r="I217">
        <f>IF(C217&gt;=6,TRIM(MID(SUBSTITUTE(B217," ",REPT(" ",200)),1001,200)),"")</f>
        <v/>
      </c>
      <c r="J217">
        <f>IF(C217&gt;=7,TRIM(MID(SUBSTITUTE(B217," ",REPT(" ",200)),1201,200)),"")</f>
        <v/>
      </c>
      <c r="K217">
        <f>IF(C217&gt;=8,TRIM(MID(SUBSTITUTE(B217," ",REPT(" ",200)),1401,200)),"")</f>
        <v/>
      </c>
      <c r="L217">
        <f>SUBSTITUTE(SUBSTITUTE(SUBSTITUTE(D217,"年","-"),"組","-"),"番","")</f>
        <v/>
      </c>
      <c r="M217">
        <f>IF(D217="",0,IF(ISNUMBER(VALUE(SUBSTITUTE(L217,"-",""))),1,0))</f>
        <v/>
      </c>
      <c r="N217">
        <f>IF(M217=0,"",IFERROR(VALUE(TRIM(MID(SUBSTITUTE(L217,"-",REPT(" ",100)),101,100))),""))</f>
        <v/>
      </c>
      <c r="O217">
        <f>IF(M217=0,"",IFERROR(VALUE(TRIM(RIGHT(SUBSTITUTE(L217,"-",REPT(" ",100)),100))),""))</f>
        <v/>
      </c>
      <c r="P217">
        <f>IF(B217="","",TRIM(INDEX($D217:$K217,IF(M217=1,2,1))&amp;IF(AD217&gt;=2," "&amp;INDEX($D217:$K217,IF(M217=1,2,1)+1),"")&amp;IF(AD217&gt;=3," "&amp;INDEX($D217:$K217,IF(M217=1,2,1)+2),"")))</f>
        <v/>
      </c>
      <c r="Q217">
        <f>IF(C217&lt;2,"",TRIM(IF(AND(2&gt;=(IF(M217=1,2,1)+AD217),2&lt;=C217-IF(S217="",0,1)),E217&amp;" ","")&amp;IF(AND(3&gt;=(IF(M217=1,2,1)+AD217),3&lt;=C217-IF(S217="",0,1)),F217&amp;" ","")&amp;IF(AND(4&gt;=(IF(M217=1,2,1)+AD217),4&lt;=C217-IF(S217="",0,1)),G217&amp;" ","")&amp;IF(AND(5&gt;=(IF(M217=1,2,1)+AD217),5&lt;=C217-IF(S217="",0,1)),H217&amp;" ","")&amp;IF(AND(6&gt;=(IF(M217=1,2,1)+AD217),6&lt;=C217-IF(S217="",0,1)),I217&amp;" ","")&amp;IF(AND(7&gt;=(IF(M217=1,2,1)+AD217),7&lt;=C217-IF(S217="",0,1)),J217&amp;" ","")&amp;IF(AND(8&gt;=(IF(M217=1,2,1)+AD217),8&lt;=C217-IF(S217="",0,1)),K217&amp;" ","")))</f>
        <v/>
      </c>
      <c r="R217">
        <f>IF(Q217="","",IFERROR(INDEX(資格マスタ!$B:$B,MATCH(ASC(SUBSTITUTE(SUBSTITUTE(Q217," ",""),"　","")),資格マスタ!$D:$D,0)),Q217))</f>
        <v/>
      </c>
      <c r="S217" s="139">
        <f>IF(C217&lt;2,"",IFERROR(IF(OR(LEFT(INDEX(D217:K217,MIN(8,MAX(1,C217))),2)="令和",LEFT(INDEX(D217:K217,MIN(8,MAX(1,C217))),2)="平成",LEFT(INDEX(D217:K217,MIN(8,MAX(1,C217))),2)="昭和"),DATE(VALUE(MID(INDEX(D217:K217,MIN(8,MAX(1,C217))),3,FIND("年",INDEX(D217:K217,MIN(8,MAX(1,C217))))-3))+IF(LEFT(INDEX(D217:K217,MIN(8,MAX(1,C217))),2)="令和",2018,IF(LEFT(INDEX(D217:K217,MIN(8,MAX(1,C217))),2)="平成",1988,1925)),VALUE(MID(INDEX(D217:K217,MIN(8,MAX(1,C217))),FIND("年",INDEX(D217:K217,MIN(8,MAX(1,C217))))+1,FIND("月",INDEX(D217:K217,MIN(8,MAX(1,C217))))-FIND("年",INDEX(D217:K217,MIN(8,MAX(1,C217))))-1)),IFERROR(VALUE(SUBSTITUTE(MID(INDEX(D217:K217,MIN(8,MAX(1,C217))),FIND("月",INDEX(D217:K217,MIN(8,MAX(1,C217))))+1,10),"日","")),1)),DATE(VALUE(TRIM(MID(SUBSTITUTE(AA217,"/",REPT(" ",50)),1,50))),VALUE(TRIM(MID(SUBSTITUTE(AA217,"/",REPT(" ",50)),51,50))),IFERROR(VALUE(TRIM(MID(SUBSTITUTE(AA217,"/",REPT(" ",50)),101,50))),1))),IFERROR(DATEVALUE(INDEX(D217:K217,MIN(8,MAX(1,C217)))),"")))</f>
        <v/>
      </c>
      <c r="T217">
        <f>IF(B217="","",IF(AB217&lt;&gt;"",AB217,IFERROR(MATCH(SUBSTITUTE(SUBSTITUTE(P217," ",""),"　",""),入力!$AH$5:$AH$44,0),"")))</f>
        <v/>
      </c>
      <c r="U217">
        <f>IF(T217="","",INDEX(入力!$D$5:$D$44,T217))</f>
        <v/>
      </c>
      <c r="V217">
        <f>IF(B217="","",IF(T217="","要確認（名簿と照合できません）",IF(R217="","要確認（資格名がありません）",IF(S217="","要確認（取得日が読めません）",IF((IF(INDEX(入力!$N$5:$N$44,T217)=R217,1,0)+IF(INDEX(入力!$P$5:$P$44,T217)=R217,1,0)+IF(INDEX(入力!$R$5:$R$44,T217)=R217,1,0)+IF(INDEX(入力!$T$5:$T$44,T217)=R217,1,0)+IF(INDEX(入力!$V$5:$V$44,T217)=R217,1,0)+IF(INDEX(入力!$X$5:$X$44,T217)=R217,1,0))+(COUNTIFS($T$6:$T$405,T217,$R$6:$R$405,R217,$X$6:$X$405,"&lt;"&amp;X217))&gt;0,"重複","反映")))))</f>
        <v/>
      </c>
      <c r="W217">
        <f>IF(V217="反映",1,0)</f>
        <v/>
      </c>
      <c r="X217" t="n">
        <v>217</v>
      </c>
      <c r="Y217">
        <f>IF(W217=0,"",COUNTIFS($T$6:$T$405,T217,$W$6:$W$405,1,$S$6:$S$405,"&lt;"&amp;S217)+COUNTIFS($T$6:$T$405,T217,$W$6:$W$405,1,$S$6:$S$405,S217,$X$6:$X$405,"&lt;"&amp;X217)+1)</f>
        <v/>
      </c>
      <c r="Z217">
        <f>IF(Y217="","",T217&amp;"_"&amp;Y217)</f>
        <v/>
      </c>
      <c r="AA217">
        <f>SUBSTITUTE(SUBSTITUTE(SUBSTITUTE(SUBSTITUTE(SUBSTITUTE(INDEX(D217:K217,MIN(8,MAX(1,C217))),"年","/"),"月","/"),"日",""),"-","/"),".","/")</f>
        <v/>
      </c>
      <c r="AB217">
        <f>IFERROR(MATCH(O217,入力!$C$5:$C$44,0),"")</f>
        <v/>
      </c>
      <c r="AC217">
        <f>IF(AB217="","",INDEX(入力!$AH$5:$AH$44,AB217))</f>
        <v/>
      </c>
      <c r="AD217">
        <f>IF(INDEX($D217:$K217,IF(M217=1,2,1))=AC217,1,IF(INDEX($D217:$K217,IF(M217=1,2,1))&amp;INDEX($D217:$K217,IF(M217=1,2,1)+1)=AC217,2,IF(INDEX($D217:$K217,IF(M217=1,2,1))&amp;INDEX($D217:$K217,IF(M217=1,2,1)+1)&amp;INDEX($D217:$K217,IF(M217=1,2,1)+2)=AC217,3,IF(AB217&lt;&gt;"",2,IF(ISNUMBER(MATCH(INDEX($D217:$K217,IF(M217=1,2,1)),入力!$AH$5:$AH$44,0)),1,IF(ISNUMBER(MATCH(INDEX($D217:$K217,IF(M217=1,2,1))&amp;INDEX($D217:$K217,IF(M217=1,2,1)+1),入力!$AH$5:$AH$44,0)),2,IF(ISNUMBER(MATCH(INDEX($D217:$K217,IF(M217=1,2,1))&amp;INDEX($D217:$K217,IF(M217=1,2,1)+1)&amp;INDEX($D217:$K217,IF(M217=1,2,1)+2),入力!$AH$5:$AH$44,0)),3,2)))))))</f>
        <v/>
      </c>
      <c r="AE217">
        <f>IF(V217="","",IF(AND(V217="反映",N(Y217)&gt;20),"要確認（この生徒の取込が20件を超えました）",V217))</f>
        <v/>
      </c>
    </row>
    <row r="218">
      <c r="A218" s="138" t="n"/>
      <c r="B218">
        <f>TRIM(SUBSTITUTE(SUBSTITUTE(SUBSTITUTE(A218,CHAR(9)," "),"　"," "),CHAR(160)," "))</f>
        <v/>
      </c>
      <c r="C218">
        <f>IF(B218="",0,LEN(B218)-LEN(SUBSTITUTE(B218," ",""))+1)</f>
        <v/>
      </c>
      <c r="D218">
        <f>IF(C218&gt;=1,TRIM(MID(SUBSTITUTE(B218," ",REPT(" ",200)),1,200)),"")</f>
        <v/>
      </c>
      <c r="E218">
        <f>IF(C218&gt;=2,TRIM(MID(SUBSTITUTE(B218," ",REPT(" ",200)),201,200)),"")</f>
        <v/>
      </c>
      <c r="F218">
        <f>IF(C218&gt;=3,TRIM(MID(SUBSTITUTE(B218," ",REPT(" ",200)),401,200)),"")</f>
        <v/>
      </c>
      <c r="G218">
        <f>IF(C218&gt;=4,TRIM(MID(SUBSTITUTE(B218," ",REPT(" ",200)),601,200)),"")</f>
        <v/>
      </c>
      <c r="H218">
        <f>IF(C218&gt;=5,TRIM(MID(SUBSTITUTE(B218," ",REPT(" ",200)),801,200)),"")</f>
        <v/>
      </c>
      <c r="I218">
        <f>IF(C218&gt;=6,TRIM(MID(SUBSTITUTE(B218," ",REPT(" ",200)),1001,200)),"")</f>
        <v/>
      </c>
      <c r="J218">
        <f>IF(C218&gt;=7,TRIM(MID(SUBSTITUTE(B218," ",REPT(" ",200)),1201,200)),"")</f>
        <v/>
      </c>
      <c r="K218">
        <f>IF(C218&gt;=8,TRIM(MID(SUBSTITUTE(B218," ",REPT(" ",200)),1401,200)),"")</f>
        <v/>
      </c>
      <c r="L218">
        <f>SUBSTITUTE(SUBSTITUTE(SUBSTITUTE(D218,"年","-"),"組","-"),"番","")</f>
        <v/>
      </c>
      <c r="M218">
        <f>IF(D218="",0,IF(ISNUMBER(VALUE(SUBSTITUTE(L218,"-",""))),1,0))</f>
        <v/>
      </c>
      <c r="N218">
        <f>IF(M218=0,"",IFERROR(VALUE(TRIM(MID(SUBSTITUTE(L218,"-",REPT(" ",100)),101,100))),""))</f>
        <v/>
      </c>
      <c r="O218">
        <f>IF(M218=0,"",IFERROR(VALUE(TRIM(RIGHT(SUBSTITUTE(L218,"-",REPT(" ",100)),100))),""))</f>
        <v/>
      </c>
      <c r="P218">
        <f>IF(B218="","",TRIM(INDEX($D218:$K218,IF(M218=1,2,1))&amp;IF(AD218&gt;=2," "&amp;INDEX($D218:$K218,IF(M218=1,2,1)+1),"")&amp;IF(AD218&gt;=3," "&amp;INDEX($D218:$K218,IF(M218=1,2,1)+2),"")))</f>
        <v/>
      </c>
      <c r="Q218">
        <f>IF(C218&lt;2,"",TRIM(IF(AND(2&gt;=(IF(M218=1,2,1)+AD218),2&lt;=C218-IF(S218="",0,1)),E218&amp;" ","")&amp;IF(AND(3&gt;=(IF(M218=1,2,1)+AD218),3&lt;=C218-IF(S218="",0,1)),F218&amp;" ","")&amp;IF(AND(4&gt;=(IF(M218=1,2,1)+AD218),4&lt;=C218-IF(S218="",0,1)),G218&amp;" ","")&amp;IF(AND(5&gt;=(IF(M218=1,2,1)+AD218),5&lt;=C218-IF(S218="",0,1)),H218&amp;" ","")&amp;IF(AND(6&gt;=(IF(M218=1,2,1)+AD218),6&lt;=C218-IF(S218="",0,1)),I218&amp;" ","")&amp;IF(AND(7&gt;=(IF(M218=1,2,1)+AD218),7&lt;=C218-IF(S218="",0,1)),J218&amp;" ","")&amp;IF(AND(8&gt;=(IF(M218=1,2,1)+AD218),8&lt;=C218-IF(S218="",0,1)),K218&amp;" ","")))</f>
        <v/>
      </c>
      <c r="R218">
        <f>IF(Q218="","",IFERROR(INDEX(資格マスタ!$B:$B,MATCH(ASC(SUBSTITUTE(SUBSTITUTE(Q218," ",""),"　","")),資格マスタ!$D:$D,0)),Q218))</f>
        <v/>
      </c>
      <c r="S218" s="139">
        <f>IF(C218&lt;2,"",IFERROR(IF(OR(LEFT(INDEX(D218:K218,MIN(8,MAX(1,C218))),2)="令和",LEFT(INDEX(D218:K218,MIN(8,MAX(1,C218))),2)="平成",LEFT(INDEX(D218:K218,MIN(8,MAX(1,C218))),2)="昭和"),DATE(VALUE(MID(INDEX(D218:K218,MIN(8,MAX(1,C218))),3,FIND("年",INDEX(D218:K218,MIN(8,MAX(1,C218))))-3))+IF(LEFT(INDEX(D218:K218,MIN(8,MAX(1,C218))),2)="令和",2018,IF(LEFT(INDEX(D218:K218,MIN(8,MAX(1,C218))),2)="平成",1988,1925)),VALUE(MID(INDEX(D218:K218,MIN(8,MAX(1,C218))),FIND("年",INDEX(D218:K218,MIN(8,MAX(1,C218))))+1,FIND("月",INDEX(D218:K218,MIN(8,MAX(1,C218))))-FIND("年",INDEX(D218:K218,MIN(8,MAX(1,C218))))-1)),IFERROR(VALUE(SUBSTITUTE(MID(INDEX(D218:K218,MIN(8,MAX(1,C218))),FIND("月",INDEX(D218:K218,MIN(8,MAX(1,C218))))+1,10),"日","")),1)),DATE(VALUE(TRIM(MID(SUBSTITUTE(AA218,"/",REPT(" ",50)),1,50))),VALUE(TRIM(MID(SUBSTITUTE(AA218,"/",REPT(" ",50)),51,50))),IFERROR(VALUE(TRIM(MID(SUBSTITUTE(AA218,"/",REPT(" ",50)),101,50))),1))),IFERROR(DATEVALUE(INDEX(D218:K218,MIN(8,MAX(1,C218)))),"")))</f>
        <v/>
      </c>
      <c r="T218">
        <f>IF(B218="","",IF(AB218&lt;&gt;"",AB218,IFERROR(MATCH(SUBSTITUTE(SUBSTITUTE(P218," ",""),"　",""),入力!$AH$5:$AH$44,0),"")))</f>
        <v/>
      </c>
      <c r="U218">
        <f>IF(T218="","",INDEX(入力!$D$5:$D$44,T218))</f>
        <v/>
      </c>
      <c r="V218">
        <f>IF(B218="","",IF(T218="","要確認（名簿と照合できません）",IF(R218="","要確認（資格名がありません）",IF(S218="","要確認（取得日が読めません）",IF((IF(INDEX(入力!$N$5:$N$44,T218)=R218,1,0)+IF(INDEX(入力!$P$5:$P$44,T218)=R218,1,0)+IF(INDEX(入力!$R$5:$R$44,T218)=R218,1,0)+IF(INDEX(入力!$T$5:$T$44,T218)=R218,1,0)+IF(INDEX(入力!$V$5:$V$44,T218)=R218,1,0)+IF(INDEX(入力!$X$5:$X$44,T218)=R218,1,0))+(COUNTIFS($T$6:$T$405,T218,$R$6:$R$405,R218,$X$6:$X$405,"&lt;"&amp;X218))&gt;0,"重複","反映")))))</f>
        <v/>
      </c>
      <c r="W218">
        <f>IF(V218="反映",1,0)</f>
        <v/>
      </c>
      <c r="X218" t="n">
        <v>218</v>
      </c>
      <c r="Y218">
        <f>IF(W218=0,"",COUNTIFS($T$6:$T$405,T218,$W$6:$W$405,1,$S$6:$S$405,"&lt;"&amp;S218)+COUNTIFS($T$6:$T$405,T218,$W$6:$W$405,1,$S$6:$S$405,S218,$X$6:$X$405,"&lt;"&amp;X218)+1)</f>
        <v/>
      </c>
      <c r="Z218">
        <f>IF(Y218="","",T218&amp;"_"&amp;Y218)</f>
        <v/>
      </c>
      <c r="AA218">
        <f>SUBSTITUTE(SUBSTITUTE(SUBSTITUTE(SUBSTITUTE(SUBSTITUTE(INDEX(D218:K218,MIN(8,MAX(1,C218))),"年","/"),"月","/"),"日",""),"-","/"),".","/")</f>
        <v/>
      </c>
      <c r="AB218">
        <f>IFERROR(MATCH(O218,入力!$C$5:$C$44,0),"")</f>
        <v/>
      </c>
      <c r="AC218">
        <f>IF(AB218="","",INDEX(入力!$AH$5:$AH$44,AB218))</f>
        <v/>
      </c>
      <c r="AD218">
        <f>IF(INDEX($D218:$K218,IF(M218=1,2,1))=AC218,1,IF(INDEX($D218:$K218,IF(M218=1,2,1))&amp;INDEX($D218:$K218,IF(M218=1,2,1)+1)=AC218,2,IF(INDEX($D218:$K218,IF(M218=1,2,1))&amp;INDEX($D218:$K218,IF(M218=1,2,1)+1)&amp;INDEX($D218:$K218,IF(M218=1,2,1)+2)=AC218,3,IF(AB218&lt;&gt;"",2,IF(ISNUMBER(MATCH(INDEX($D218:$K218,IF(M218=1,2,1)),入力!$AH$5:$AH$44,0)),1,IF(ISNUMBER(MATCH(INDEX($D218:$K218,IF(M218=1,2,1))&amp;INDEX($D218:$K218,IF(M218=1,2,1)+1),入力!$AH$5:$AH$44,0)),2,IF(ISNUMBER(MATCH(INDEX($D218:$K218,IF(M218=1,2,1))&amp;INDEX($D218:$K218,IF(M218=1,2,1)+1)&amp;INDEX($D218:$K218,IF(M218=1,2,1)+2),入力!$AH$5:$AH$44,0)),3,2)))))))</f>
        <v/>
      </c>
      <c r="AE218">
        <f>IF(V218="","",IF(AND(V218="反映",N(Y218)&gt;20),"要確認（この生徒の取込が20件を超えました）",V218))</f>
        <v/>
      </c>
    </row>
    <row r="219">
      <c r="A219" s="138" t="n"/>
      <c r="B219">
        <f>TRIM(SUBSTITUTE(SUBSTITUTE(SUBSTITUTE(A219,CHAR(9)," "),"　"," "),CHAR(160)," "))</f>
        <v/>
      </c>
      <c r="C219">
        <f>IF(B219="",0,LEN(B219)-LEN(SUBSTITUTE(B219," ",""))+1)</f>
        <v/>
      </c>
      <c r="D219">
        <f>IF(C219&gt;=1,TRIM(MID(SUBSTITUTE(B219," ",REPT(" ",200)),1,200)),"")</f>
        <v/>
      </c>
      <c r="E219">
        <f>IF(C219&gt;=2,TRIM(MID(SUBSTITUTE(B219," ",REPT(" ",200)),201,200)),"")</f>
        <v/>
      </c>
      <c r="F219">
        <f>IF(C219&gt;=3,TRIM(MID(SUBSTITUTE(B219," ",REPT(" ",200)),401,200)),"")</f>
        <v/>
      </c>
      <c r="G219">
        <f>IF(C219&gt;=4,TRIM(MID(SUBSTITUTE(B219," ",REPT(" ",200)),601,200)),"")</f>
        <v/>
      </c>
      <c r="H219">
        <f>IF(C219&gt;=5,TRIM(MID(SUBSTITUTE(B219," ",REPT(" ",200)),801,200)),"")</f>
        <v/>
      </c>
      <c r="I219">
        <f>IF(C219&gt;=6,TRIM(MID(SUBSTITUTE(B219," ",REPT(" ",200)),1001,200)),"")</f>
        <v/>
      </c>
      <c r="J219">
        <f>IF(C219&gt;=7,TRIM(MID(SUBSTITUTE(B219," ",REPT(" ",200)),1201,200)),"")</f>
        <v/>
      </c>
      <c r="K219">
        <f>IF(C219&gt;=8,TRIM(MID(SUBSTITUTE(B219," ",REPT(" ",200)),1401,200)),"")</f>
        <v/>
      </c>
      <c r="L219">
        <f>SUBSTITUTE(SUBSTITUTE(SUBSTITUTE(D219,"年","-"),"組","-"),"番","")</f>
        <v/>
      </c>
      <c r="M219">
        <f>IF(D219="",0,IF(ISNUMBER(VALUE(SUBSTITUTE(L219,"-",""))),1,0))</f>
        <v/>
      </c>
      <c r="N219">
        <f>IF(M219=0,"",IFERROR(VALUE(TRIM(MID(SUBSTITUTE(L219,"-",REPT(" ",100)),101,100))),""))</f>
        <v/>
      </c>
      <c r="O219">
        <f>IF(M219=0,"",IFERROR(VALUE(TRIM(RIGHT(SUBSTITUTE(L219,"-",REPT(" ",100)),100))),""))</f>
        <v/>
      </c>
      <c r="P219">
        <f>IF(B219="","",TRIM(INDEX($D219:$K219,IF(M219=1,2,1))&amp;IF(AD219&gt;=2," "&amp;INDEX($D219:$K219,IF(M219=1,2,1)+1),"")&amp;IF(AD219&gt;=3," "&amp;INDEX($D219:$K219,IF(M219=1,2,1)+2),"")))</f>
        <v/>
      </c>
      <c r="Q219">
        <f>IF(C219&lt;2,"",TRIM(IF(AND(2&gt;=(IF(M219=1,2,1)+AD219),2&lt;=C219-IF(S219="",0,1)),E219&amp;" ","")&amp;IF(AND(3&gt;=(IF(M219=1,2,1)+AD219),3&lt;=C219-IF(S219="",0,1)),F219&amp;" ","")&amp;IF(AND(4&gt;=(IF(M219=1,2,1)+AD219),4&lt;=C219-IF(S219="",0,1)),G219&amp;" ","")&amp;IF(AND(5&gt;=(IF(M219=1,2,1)+AD219),5&lt;=C219-IF(S219="",0,1)),H219&amp;" ","")&amp;IF(AND(6&gt;=(IF(M219=1,2,1)+AD219),6&lt;=C219-IF(S219="",0,1)),I219&amp;" ","")&amp;IF(AND(7&gt;=(IF(M219=1,2,1)+AD219),7&lt;=C219-IF(S219="",0,1)),J219&amp;" ","")&amp;IF(AND(8&gt;=(IF(M219=1,2,1)+AD219),8&lt;=C219-IF(S219="",0,1)),K219&amp;" ","")))</f>
        <v/>
      </c>
      <c r="R219">
        <f>IF(Q219="","",IFERROR(INDEX(資格マスタ!$B:$B,MATCH(ASC(SUBSTITUTE(SUBSTITUTE(Q219," ",""),"　","")),資格マスタ!$D:$D,0)),Q219))</f>
        <v/>
      </c>
      <c r="S219" s="139">
        <f>IF(C219&lt;2,"",IFERROR(IF(OR(LEFT(INDEX(D219:K219,MIN(8,MAX(1,C219))),2)="令和",LEFT(INDEX(D219:K219,MIN(8,MAX(1,C219))),2)="平成",LEFT(INDEX(D219:K219,MIN(8,MAX(1,C219))),2)="昭和"),DATE(VALUE(MID(INDEX(D219:K219,MIN(8,MAX(1,C219))),3,FIND("年",INDEX(D219:K219,MIN(8,MAX(1,C219))))-3))+IF(LEFT(INDEX(D219:K219,MIN(8,MAX(1,C219))),2)="令和",2018,IF(LEFT(INDEX(D219:K219,MIN(8,MAX(1,C219))),2)="平成",1988,1925)),VALUE(MID(INDEX(D219:K219,MIN(8,MAX(1,C219))),FIND("年",INDEX(D219:K219,MIN(8,MAX(1,C219))))+1,FIND("月",INDEX(D219:K219,MIN(8,MAX(1,C219))))-FIND("年",INDEX(D219:K219,MIN(8,MAX(1,C219))))-1)),IFERROR(VALUE(SUBSTITUTE(MID(INDEX(D219:K219,MIN(8,MAX(1,C219))),FIND("月",INDEX(D219:K219,MIN(8,MAX(1,C219))))+1,10),"日","")),1)),DATE(VALUE(TRIM(MID(SUBSTITUTE(AA219,"/",REPT(" ",50)),1,50))),VALUE(TRIM(MID(SUBSTITUTE(AA219,"/",REPT(" ",50)),51,50))),IFERROR(VALUE(TRIM(MID(SUBSTITUTE(AA219,"/",REPT(" ",50)),101,50))),1))),IFERROR(DATEVALUE(INDEX(D219:K219,MIN(8,MAX(1,C219)))),"")))</f>
        <v/>
      </c>
      <c r="T219">
        <f>IF(B219="","",IF(AB219&lt;&gt;"",AB219,IFERROR(MATCH(SUBSTITUTE(SUBSTITUTE(P219," ",""),"　",""),入力!$AH$5:$AH$44,0),"")))</f>
        <v/>
      </c>
      <c r="U219">
        <f>IF(T219="","",INDEX(入力!$D$5:$D$44,T219))</f>
        <v/>
      </c>
      <c r="V219">
        <f>IF(B219="","",IF(T219="","要確認（名簿と照合できません）",IF(R219="","要確認（資格名がありません）",IF(S219="","要確認（取得日が読めません）",IF((IF(INDEX(入力!$N$5:$N$44,T219)=R219,1,0)+IF(INDEX(入力!$P$5:$P$44,T219)=R219,1,0)+IF(INDEX(入力!$R$5:$R$44,T219)=R219,1,0)+IF(INDEX(入力!$T$5:$T$44,T219)=R219,1,0)+IF(INDEX(入力!$V$5:$V$44,T219)=R219,1,0)+IF(INDEX(入力!$X$5:$X$44,T219)=R219,1,0))+(COUNTIFS($T$6:$T$405,T219,$R$6:$R$405,R219,$X$6:$X$405,"&lt;"&amp;X219))&gt;0,"重複","反映")))))</f>
        <v/>
      </c>
      <c r="W219">
        <f>IF(V219="反映",1,0)</f>
        <v/>
      </c>
      <c r="X219" t="n">
        <v>219</v>
      </c>
      <c r="Y219">
        <f>IF(W219=0,"",COUNTIFS($T$6:$T$405,T219,$W$6:$W$405,1,$S$6:$S$405,"&lt;"&amp;S219)+COUNTIFS($T$6:$T$405,T219,$W$6:$W$405,1,$S$6:$S$405,S219,$X$6:$X$405,"&lt;"&amp;X219)+1)</f>
        <v/>
      </c>
      <c r="Z219">
        <f>IF(Y219="","",T219&amp;"_"&amp;Y219)</f>
        <v/>
      </c>
      <c r="AA219">
        <f>SUBSTITUTE(SUBSTITUTE(SUBSTITUTE(SUBSTITUTE(SUBSTITUTE(INDEX(D219:K219,MIN(8,MAX(1,C219))),"年","/"),"月","/"),"日",""),"-","/"),".","/")</f>
        <v/>
      </c>
      <c r="AB219">
        <f>IFERROR(MATCH(O219,入力!$C$5:$C$44,0),"")</f>
        <v/>
      </c>
      <c r="AC219">
        <f>IF(AB219="","",INDEX(入力!$AH$5:$AH$44,AB219))</f>
        <v/>
      </c>
      <c r="AD219">
        <f>IF(INDEX($D219:$K219,IF(M219=1,2,1))=AC219,1,IF(INDEX($D219:$K219,IF(M219=1,2,1))&amp;INDEX($D219:$K219,IF(M219=1,2,1)+1)=AC219,2,IF(INDEX($D219:$K219,IF(M219=1,2,1))&amp;INDEX($D219:$K219,IF(M219=1,2,1)+1)&amp;INDEX($D219:$K219,IF(M219=1,2,1)+2)=AC219,3,IF(AB219&lt;&gt;"",2,IF(ISNUMBER(MATCH(INDEX($D219:$K219,IF(M219=1,2,1)),入力!$AH$5:$AH$44,0)),1,IF(ISNUMBER(MATCH(INDEX($D219:$K219,IF(M219=1,2,1))&amp;INDEX($D219:$K219,IF(M219=1,2,1)+1),入力!$AH$5:$AH$44,0)),2,IF(ISNUMBER(MATCH(INDEX($D219:$K219,IF(M219=1,2,1))&amp;INDEX($D219:$K219,IF(M219=1,2,1)+1)&amp;INDEX($D219:$K219,IF(M219=1,2,1)+2),入力!$AH$5:$AH$44,0)),3,2)))))))</f>
        <v/>
      </c>
      <c r="AE219">
        <f>IF(V219="","",IF(AND(V219="反映",N(Y219)&gt;20),"要確認（この生徒の取込が20件を超えました）",V219))</f>
        <v/>
      </c>
    </row>
    <row r="220">
      <c r="A220" s="138" t="n"/>
      <c r="B220">
        <f>TRIM(SUBSTITUTE(SUBSTITUTE(SUBSTITUTE(A220,CHAR(9)," "),"　"," "),CHAR(160)," "))</f>
        <v/>
      </c>
      <c r="C220">
        <f>IF(B220="",0,LEN(B220)-LEN(SUBSTITUTE(B220," ",""))+1)</f>
        <v/>
      </c>
      <c r="D220">
        <f>IF(C220&gt;=1,TRIM(MID(SUBSTITUTE(B220," ",REPT(" ",200)),1,200)),"")</f>
        <v/>
      </c>
      <c r="E220">
        <f>IF(C220&gt;=2,TRIM(MID(SUBSTITUTE(B220," ",REPT(" ",200)),201,200)),"")</f>
        <v/>
      </c>
      <c r="F220">
        <f>IF(C220&gt;=3,TRIM(MID(SUBSTITUTE(B220," ",REPT(" ",200)),401,200)),"")</f>
        <v/>
      </c>
      <c r="G220">
        <f>IF(C220&gt;=4,TRIM(MID(SUBSTITUTE(B220," ",REPT(" ",200)),601,200)),"")</f>
        <v/>
      </c>
      <c r="H220">
        <f>IF(C220&gt;=5,TRIM(MID(SUBSTITUTE(B220," ",REPT(" ",200)),801,200)),"")</f>
        <v/>
      </c>
      <c r="I220">
        <f>IF(C220&gt;=6,TRIM(MID(SUBSTITUTE(B220," ",REPT(" ",200)),1001,200)),"")</f>
        <v/>
      </c>
      <c r="J220">
        <f>IF(C220&gt;=7,TRIM(MID(SUBSTITUTE(B220," ",REPT(" ",200)),1201,200)),"")</f>
        <v/>
      </c>
      <c r="K220">
        <f>IF(C220&gt;=8,TRIM(MID(SUBSTITUTE(B220," ",REPT(" ",200)),1401,200)),"")</f>
        <v/>
      </c>
      <c r="L220">
        <f>SUBSTITUTE(SUBSTITUTE(SUBSTITUTE(D220,"年","-"),"組","-"),"番","")</f>
        <v/>
      </c>
      <c r="M220">
        <f>IF(D220="",0,IF(ISNUMBER(VALUE(SUBSTITUTE(L220,"-",""))),1,0))</f>
        <v/>
      </c>
      <c r="N220">
        <f>IF(M220=0,"",IFERROR(VALUE(TRIM(MID(SUBSTITUTE(L220,"-",REPT(" ",100)),101,100))),""))</f>
        <v/>
      </c>
      <c r="O220">
        <f>IF(M220=0,"",IFERROR(VALUE(TRIM(RIGHT(SUBSTITUTE(L220,"-",REPT(" ",100)),100))),""))</f>
        <v/>
      </c>
      <c r="P220">
        <f>IF(B220="","",TRIM(INDEX($D220:$K220,IF(M220=1,2,1))&amp;IF(AD220&gt;=2," "&amp;INDEX($D220:$K220,IF(M220=1,2,1)+1),"")&amp;IF(AD220&gt;=3," "&amp;INDEX($D220:$K220,IF(M220=1,2,1)+2),"")))</f>
        <v/>
      </c>
      <c r="Q220">
        <f>IF(C220&lt;2,"",TRIM(IF(AND(2&gt;=(IF(M220=1,2,1)+AD220),2&lt;=C220-IF(S220="",0,1)),E220&amp;" ","")&amp;IF(AND(3&gt;=(IF(M220=1,2,1)+AD220),3&lt;=C220-IF(S220="",0,1)),F220&amp;" ","")&amp;IF(AND(4&gt;=(IF(M220=1,2,1)+AD220),4&lt;=C220-IF(S220="",0,1)),G220&amp;" ","")&amp;IF(AND(5&gt;=(IF(M220=1,2,1)+AD220),5&lt;=C220-IF(S220="",0,1)),H220&amp;" ","")&amp;IF(AND(6&gt;=(IF(M220=1,2,1)+AD220),6&lt;=C220-IF(S220="",0,1)),I220&amp;" ","")&amp;IF(AND(7&gt;=(IF(M220=1,2,1)+AD220),7&lt;=C220-IF(S220="",0,1)),J220&amp;" ","")&amp;IF(AND(8&gt;=(IF(M220=1,2,1)+AD220),8&lt;=C220-IF(S220="",0,1)),K220&amp;" ","")))</f>
        <v/>
      </c>
      <c r="R220">
        <f>IF(Q220="","",IFERROR(INDEX(資格マスタ!$B:$B,MATCH(ASC(SUBSTITUTE(SUBSTITUTE(Q220," ",""),"　","")),資格マスタ!$D:$D,0)),Q220))</f>
        <v/>
      </c>
      <c r="S220" s="139">
        <f>IF(C220&lt;2,"",IFERROR(IF(OR(LEFT(INDEX(D220:K220,MIN(8,MAX(1,C220))),2)="令和",LEFT(INDEX(D220:K220,MIN(8,MAX(1,C220))),2)="平成",LEFT(INDEX(D220:K220,MIN(8,MAX(1,C220))),2)="昭和"),DATE(VALUE(MID(INDEX(D220:K220,MIN(8,MAX(1,C220))),3,FIND("年",INDEX(D220:K220,MIN(8,MAX(1,C220))))-3))+IF(LEFT(INDEX(D220:K220,MIN(8,MAX(1,C220))),2)="令和",2018,IF(LEFT(INDEX(D220:K220,MIN(8,MAX(1,C220))),2)="平成",1988,1925)),VALUE(MID(INDEX(D220:K220,MIN(8,MAX(1,C220))),FIND("年",INDEX(D220:K220,MIN(8,MAX(1,C220))))+1,FIND("月",INDEX(D220:K220,MIN(8,MAX(1,C220))))-FIND("年",INDEX(D220:K220,MIN(8,MAX(1,C220))))-1)),IFERROR(VALUE(SUBSTITUTE(MID(INDEX(D220:K220,MIN(8,MAX(1,C220))),FIND("月",INDEX(D220:K220,MIN(8,MAX(1,C220))))+1,10),"日","")),1)),DATE(VALUE(TRIM(MID(SUBSTITUTE(AA220,"/",REPT(" ",50)),1,50))),VALUE(TRIM(MID(SUBSTITUTE(AA220,"/",REPT(" ",50)),51,50))),IFERROR(VALUE(TRIM(MID(SUBSTITUTE(AA220,"/",REPT(" ",50)),101,50))),1))),IFERROR(DATEVALUE(INDEX(D220:K220,MIN(8,MAX(1,C220)))),"")))</f>
        <v/>
      </c>
      <c r="T220">
        <f>IF(B220="","",IF(AB220&lt;&gt;"",AB220,IFERROR(MATCH(SUBSTITUTE(SUBSTITUTE(P220," ",""),"　",""),入力!$AH$5:$AH$44,0),"")))</f>
        <v/>
      </c>
      <c r="U220">
        <f>IF(T220="","",INDEX(入力!$D$5:$D$44,T220))</f>
        <v/>
      </c>
      <c r="V220">
        <f>IF(B220="","",IF(T220="","要確認（名簿と照合できません）",IF(R220="","要確認（資格名がありません）",IF(S220="","要確認（取得日が読めません）",IF((IF(INDEX(入力!$N$5:$N$44,T220)=R220,1,0)+IF(INDEX(入力!$P$5:$P$44,T220)=R220,1,0)+IF(INDEX(入力!$R$5:$R$44,T220)=R220,1,0)+IF(INDEX(入力!$T$5:$T$44,T220)=R220,1,0)+IF(INDEX(入力!$V$5:$V$44,T220)=R220,1,0)+IF(INDEX(入力!$X$5:$X$44,T220)=R220,1,0))+(COUNTIFS($T$6:$T$405,T220,$R$6:$R$405,R220,$X$6:$X$405,"&lt;"&amp;X220))&gt;0,"重複","反映")))))</f>
        <v/>
      </c>
      <c r="W220">
        <f>IF(V220="反映",1,0)</f>
        <v/>
      </c>
      <c r="X220" t="n">
        <v>220</v>
      </c>
      <c r="Y220">
        <f>IF(W220=0,"",COUNTIFS($T$6:$T$405,T220,$W$6:$W$405,1,$S$6:$S$405,"&lt;"&amp;S220)+COUNTIFS($T$6:$T$405,T220,$W$6:$W$405,1,$S$6:$S$405,S220,$X$6:$X$405,"&lt;"&amp;X220)+1)</f>
        <v/>
      </c>
      <c r="Z220">
        <f>IF(Y220="","",T220&amp;"_"&amp;Y220)</f>
        <v/>
      </c>
      <c r="AA220">
        <f>SUBSTITUTE(SUBSTITUTE(SUBSTITUTE(SUBSTITUTE(SUBSTITUTE(INDEX(D220:K220,MIN(8,MAX(1,C220))),"年","/"),"月","/"),"日",""),"-","/"),".","/")</f>
        <v/>
      </c>
      <c r="AB220">
        <f>IFERROR(MATCH(O220,入力!$C$5:$C$44,0),"")</f>
        <v/>
      </c>
      <c r="AC220">
        <f>IF(AB220="","",INDEX(入力!$AH$5:$AH$44,AB220))</f>
        <v/>
      </c>
      <c r="AD220">
        <f>IF(INDEX($D220:$K220,IF(M220=1,2,1))=AC220,1,IF(INDEX($D220:$K220,IF(M220=1,2,1))&amp;INDEX($D220:$K220,IF(M220=1,2,1)+1)=AC220,2,IF(INDEX($D220:$K220,IF(M220=1,2,1))&amp;INDEX($D220:$K220,IF(M220=1,2,1)+1)&amp;INDEX($D220:$K220,IF(M220=1,2,1)+2)=AC220,3,IF(AB220&lt;&gt;"",2,IF(ISNUMBER(MATCH(INDEX($D220:$K220,IF(M220=1,2,1)),入力!$AH$5:$AH$44,0)),1,IF(ISNUMBER(MATCH(INDEX($D220:$K220,IF(M220=1,2,1))&amp;INDEX($D220:$K220,IF(M220=1,2,1)+1),入力!$AH$5:$AH$44,0)),2,IF(ISNUMBER(MATCH(INDEX($D220:$K220,IF(M220=1,2,1))&amp;INDEX($D220:$K220,IF(M220=1,2,1)+1)&amp;INDEX($D220:$K220,IF(M220=1,2,1)+2),入力!$AH$5:$AH$44,0)),3,2)))))))</f>
        <v/>
      </c>
      <c r="AE220">
        <f>IF(V220="","",IF(AND(V220="反映",N(Y220)&gt;20),"要確認（この生徒の取込が20件を超えました）",V220))</f>
        <v/>
      </c>
    </row>
    <row r="221">
      <c r="A221" s="138" t="n"/>
      <c r="B221">
        <f>TRIM(SUBSTITUTE(SUBSTITUTE(SUBSTITUTE(A221,CHAR(9)," "),"　"," "),CHAR(160)," "))</f>
        <v/>
      </c>
      <c r="C221">
        <f>IF(B221="",0,LEN(B221)-LEN(SUBSTITUTE(B221," ",""))+1)</f>
        <v/>
      </c>
      <c r="D221">
        <f>IF(C221&gt;=1,TRIM(MID(SUBSTITUTE(B221," ",REPT(" ",200)),1,200)),"")</f>
        <v/>
      </c>
      <c r="E221">
        <f>IF(C221&gt;=2,TRIM(MID(SUBSTITUTE(B221," ",REPT(" ",200)),201,200)),"")</f>
        <v/>
      </c>
      <c r="F221">
        <f>IF(C221&gt;=3,TRIM(MID(SUBSTITUTE(B221," ",REPT(" ",200)),401,200)),"")</f>
        <v/>
      </c>
      <c r="G221">
        <f>IF(C221&gt;=4,TRIM(MID(SUBSTITUTE(B221," ",REPT(" ",200)),601,200)),"")</f>
        <v/>
      </c>
      <c r="H221">
        <f>IF(C221&gt;=5,TRIM(MID(SUBSTITUTE(B221," ",REPT(" ",200)),801,200)),"")</f>
        <v/>
      </c>
      <c r="I221">
        <f>IF(C221&gt;=6,TRIM(MID(SUBSTITUTE(B221," ",REPT(" ",200)),1001,200)),"")</f>
        <v/>
      </c>
      <c r="J221">
        <f>IF(C221&gt;=7,TRIM(MID(SUBSTITUTE(B221," ",REPT(" ",200)),1201,200)),"")</f>
        <v/>
      </c>
      <c r="K221">
        <f>IF(C221&gt;=8,TRIM(MID(SUBSTITUTE(B221," ",REPT(" ",200)),1401,200)),"")</f>
        <v/>
      </c>
      <c r="L221">
        <f>SUBSTITUTE(SUBSTITUTE(SUBSTITUTE(D221,"年","-"),"組","-"),"番","")</f>
        <v/>
      </c>
      <c r="M221">
        <f>IF(D221="",0,IF(ISNUMBER(VALUE(SUBSTITUTE(L221,"-",""))),1,0))</f>
        <v/>
      </c>
      <c r="N221">
        <f>IF(M221=0,"",IFERROR(VALUE(TRIM(MID(SUBSTITUTE(L221,"-",REPT(" ",100)),101,100))),""))</f>
        <v/>
      </c>
      <c r="O221">
        <f>IF(M221=0,"",IFERROR(VALUE(TRIM(RIGHT(SUBSTITUTE(L221,"-",REPT(" ",100)),100))),""))</f>
        <v/>
      </c>
      <c r="P221">
        <f>IF(B221="","",TRIM(INDEX($D221:$K221,IF(M221=1,2,1))&amp;IF(AD221&gt;=2," "&amp;INDEX($D221:$K221,IF(M221=1,2,1)+1),"")&amp;IF(AD221&gt;=3," "&amp;INDEX($D221:$K221,IF(M221=1,2,1)+2),"")))</f>
        <v/>
      </c>
      <c r="Q221">
        <f>IF(C221&lt;2,"",TRIM(IF(AND(2&gt;=(IF(M221=1,2,1)+AD221),2&lt;=C221-IF(S221="",0,1)),E221&amp;" ","")&amp;IF(AND(3&gt;=(IF(M221=1,2,1)+AD221),3&lt;=C221-IF(S221="",0,1)),F221&amp;" ","")&amp;IF(AND(4&gt;=(IF(M221=1,2,1)+AD221),4&lt;=C221-IF(S221="",0,1)),G221&amp;" ","")&amp;IF(AND(5&gt;=(IF(M221=1,2,1)+AD221),5&lt;=C221-IF(S221="",0,1)),H221&amp;" ","")&amp;IF(AND(6&gt;=(IF(M221=1,2,1)+AD221),6&lt;=C221-IF(S221="",0,1)),I221&amp;" ","")&amp;IF(AND(7&gt;=(IF(M221=1,2,1)+AD221),7&lt;=C221-IF(S221="",0,1)),J221&amp;" ","")&amp;IF(AND(8&gt;=(IF(M221=1,2,1)+AD221),8&lt;=C221-IF(S221="",0,1)),K221&amp;" ","")))</f>
        <v/>
      </c>
      <c r="R221">
        <f>IF(Q221="","",IFERROR(INDEX(資格マスタ!$B:$B,MATCH(ASC(SUBSTITUTE(SUBSTITUTE(Q221," ",""),"　","")),資格マスタ!$D:$D,0)),Q221))</f>
        <v/>
      </c>
      <c r="S221" s="139">
        <f>IF(C221&lt;2,"",IFERROR(IF(OR(LEFT(INDEX(D221:K221,MIN(8,MAX(1,C221))),2)="令和",LEFT(INDEX(D221:K221,MIN(8,MAX(1,C221))),2)="平成",LEFT(INDEX(D221:K221,MIN(8,MAX(1,C221))),2)="昭和"),DATE(VALUE(MID(INDEX(D221:K221,MIN(8,MAX(1,C221))),3,FIND("年",INDEX(D221:K221,MIN(8,MAX(1,C221))))-3))+IF(LEFT(INDEX(D221:K221,MIN(8,MAX(1,C221))),2)="令和",2018,IF(LEFT(INDEX(D221:K221,MIN(8,MAX(1,C221))),2)="平成",1988,1925)),VALUE(MID(INDEX(D221:K221,MIN(8,MAX(1,C221))),FIND("年",INDEX(D221:K221,MIN(8,MAX(1,C221))))+1,FIND("月",INDEX(D221:K221,MIN(8,MAX(1,C221))))-FIND("年",INDEX(D221:K221,MIN(8,MAX(1,C221))))-1)),IFERROR(VALUE(SUBSTITUTE(MID(INDEX(D221:K221,MIN(8,MAX(1,C221))),FIND("月",INDEX(D221:K221,MIN(8,MAX(1,C221))))+1,10),"日","")),1)),DATE(VALUE(TRIM(MID(SUBSTITUTE(AA221,"/",REPT(" ",50)),1,50))),VALUE(TRIM(MID(SUBSTITUTE(AA221,"/",REPT(" ",50)),51,50))),IFERROR(VALUE(TRIM(MID(SUBSTITUTE(AA221,"/",REPT(" ",50)),101,50))),1))),IFERROR(DATEVALUE(INDEX(D221:K221,MIN(8,MAX(1,C221)))),"")))</f>
        <v/>
      </c>
      <c r="T221">
        <f>IF(B221="","",IF(AB221&lt;&gt;"",AB221,IFERROR(MATCH(SUBSTITUTE(SUBSTITUTE(P221," ",""),"　",""),入力!$AH$5:$AH$44,0),"")))</f>
        <v/>
      </c>
      <c r="U221">
        <f>IF(T221="","",INDEX(入力!$D$5:$D$44,T221))</f>
        <v/>
      </c>
      <c r="V221">
        <f>IF(B221="","",IF(T221="","要確認（名簿と照合できません）",IF(R221="","要確認（資格名がありません）",IF(S221="","要確認（取得日が読めません）",IF((IF(INDEX(入力!$N$5:$N$44,T221)=R221,1,0)+IF(INDEX(入力!$P$5:$P$44,T221)=R221,1,0)+IF(INDEX(入力!$R$5:$R$44,T221)=R221,1,0)+IF(INDEX(入力!$T$5:$T$44,T221)=R221,1,0)+IF(INDEX(入力!$V$5:$V$44,T221)=R221,1,0)+IF(INDEX(入力!$X$5:$X$44,T221)=R221,1,0))+(COUNTIFS($T$6:$T$405,T221,$R$6:$R$405,R221,$X$6:$X$405,"&lt;"&amp;X221))&gt;0,"重複","反映")))))</f>
        <v/>
      </c>
      <c r="W221">
        <f>IF(V221="反映",1,0)</f>
        <v/>
      </c>
      <c r="X221" t="n">
        <v>221</v>
      </c>
      <c r="Y221">
        <f>IF(W221=0,"",COUNTIFS($T$6:$T$405,T221,$W$6:$W$405,1,$S$6:$S$405,"&lt;"&amp;S221)+COUNTIFS($T$6:$T$405,T221,$W$6:$W$405,1,$S$6:$S$405,S221,$X$6:$X$405,"&lt;"&amp;X221)+1)</f>
        <v/>
      </c>
      <c r="Z221">
        <f>IF(Y221="","",T221&amp;"_"&amp;Y221)</f>
        <v/>
      </c>
      <c r="AA221">
        <f>SUBSTITUTE(SUBSTITUTE(SUBSTITUTE(SUBSTITUTE(SUBSTITUTE(INDEX(D221:K221,MIN(8,MAX(1,C221))),"年","/"),"月","/"),"日",""),"-","/"),".","/")</f>
        <v/>
      </c>
      <c r="AB221">
        <f>IFERROR(MATCH(O221,入力!$C$5:$C$44,0),"")</f>
        <v/>
      </c>
      <c r="AC221">
        <f>IF(AB221="","",INDEX(入力!$AH$5:$AH$44,AB221))</f>
        <v/>
      </c>
      <c r="AD221">
        <f>IF(INDEX($D221:$K221,IF(M221=1,2,1))=AC221,1,IF(INDEX($D221:$K221,IF(M221=1,2,1))&amp;INDEX($D221:$K221,IF(M221=1,2,1)+1)=AC221,2,IF(INDEX($D221:$K221,IF(M221=1,2,1))&amp;INDEX($D221:$K221,IF(M221=1,2,1)+1)&amp;INDEX($D221:$K221,IF(M221=1,2,1)+2)=AC221,3,IF(AB221&lt;&gt;"",2,IF(ISNUMBER(MATCH(INDEX($D221:$K221,IF(M221=1,2,1)),入力!$AH$5:$AH$44,0)),1,IF(ISNUMBER(MATCH(INDEX($D221:$K221,IF(M221=1,2,1))&amp;INDEX($D221:$K221,IF(M221=1,2,1)+1),入力!$AH$5:$AH$44,0)),2,IF(ISNUMBER(MATCH(INDEX($D221:$K221,IF(M221=1,2,1))&amp;INDEX($D221:$K221,IF(M221=1,2,1)+1)&amp;INDEX($D221:$K221,IF(M221=1,2,1)+2),入力!$AH$5:$AH$44,0)),3,2)))))))</f>
        <v/>
      </c>
      <c r="AE221">
        <f>IF(V221="","",IF(AND(V221="反映",N(Y221)&gt;20),"要確認（この生徒の取込が20件を超えました）",V221))</f>
        <v/>
      </c>
    </row>
    <row r="222">
      <c r="A222" s="138" t="n"/>
      <c r="B222">
        <f>TRIM(SUBSTITUTE(SUBSTITUTE(SUBSTITUTE(A222,CHAR(9)," "),"　"," "),CHAR(160)," "))</f>
        <v/>
      </c>
      <c r="C222">
        <f>IF(B222="",0,LEN(B222)-LEN(SUBSTITUTE(B222," ",""))+1)</f>
        <v/>
      </c>
      <c r="D222">
        <f>IF(C222&gt;=1,TRIM(MID(SUBSTITUTE(B222," ",REPT(" ",200)),1,200)),"")</f>
        <v/>
      </c>
      <c r="E222">
        <f>IF(C222&gt;=2,TRIM(MID(SUBSTITUTE(B222," ",REPT(" ",200)),201,200)),"")</f>
        <v/>
      </c>
      <c r="F222">
        <f>IF(C222&gt;=3,TRIM(MID(SUBSTITUTE(B222," ",REPT(" ",200)),401,200)),"")</f>
        <v/>
      </c>
      <c r="G222">
        <f>IF(C222&gt;=4,TRIM(MID(SUBSTITUTE(B222," ",REPT(" ",200)),601,200)),"")</f>
        <v/>
      </c>
      <c r="H222">
        <f>IF(C222&gt;=5,TRIM(MID(SUBSTITUTE(B222," ",REPT(" ",200)),801,200)),"")</f>
        <v/>
      </c>
      <c r="I222">
        <f>IF(C222&gt;=6,TRIM(MID(SUBSTITUTE(B222," ",REPT(" ",200)),1001,200)),"")</f>
        <v/>
      </c>
      <c r="J222">
        <f>IF(C222&gt;=7,TRIM(MID(SUBSTITUTE(B222," ",REPT(" ",200)),1201,200)),"")</f>
        <v/>
      </c>
      <c r="K222">
        <f>IF(C222&gt;=8,TRIM(MID(SUBSTITUTE(B222," ",REPT(" ",200)),1401,200)),"")</f>
        <v/>
      </c>
      <c r="L222">
        <f>SUBSTITUTE(SUBSTITUTE(SUBSTITUTE(D222,"年","-"),"組","-"),"番","")</f>
        <v/>
      </c>
      <c r="M222">
        <f>IF(D222="",0,IF(ISNUMBER(VALUE(SUBSTITUTE(L222,"-",""))),1,0))</f>
        <v/>
      </c>
      <c r="N222">
        <f>IF(M222=0,"",IFERROR(VALUE(TRIM(MID(SUBSTITUTE(L222,"-",REPT(" ",100)),101,100))),""))</f>
        <v/>
      </c>
      <c r="O222">
        <f>IF(M222=0,"",IFERROR(VALUE(TRIM(RIGHT(SUBSTITUTE(L222,"-",REPT(" ",100)),100))),""))</f>
        <v/>
      </c>
      <c r="P222">
        <f>IF(B222="","",TRIM(INDEX($D222:$K222,IF(M222=1,2,1))&amp;IF(AD222&gt;=2," "&amp;INDEX($D222:$K222,IF(M222=1,2,1)+1),"")&amp;IF(AD222&gt;=3," "&amp;INDEX($D222:$K222,IF(M222=1,2,1)+2),"")))</f>
        <v/>
      </c>
      <c r="Q222">
        <f>IF(C222&lt;2,"",TRIM(IF(AND(2&gt;=(IF(M222=1,2,1)+AD222),2&lt;=C222-IF(S222="",0,1)),E222&amp;" ","")&amp;IF(AND(3&gt;=(IF(M222=1,2,1)+AD222),3&lt;=C222-IF(S222="",0,1)),F222&amp;" ","")&amp;IF(AND(4&gt;=(IF(M222=1,2,1)+AD222),4&lt;=C222-IF(S222="",0,1)),G222&amp;" ","")&amp;IF(AND(5&gt;=(IF(M222=1,2,1)+AD222),5&lt;=C222-IF(S222="",0,1)),H222&amp;" ","")&amp;IF(AND(6&gt;=(IF(M222=1,2,1)+AD222),6&lt;=C222-IF(S222="",0,1)),I222&amp;" ","")&amp;IF(AND(7&gt;=(IF(M222=1,2,1)+AD222),7&lt;=C222-IF(S222="",0,1)),J222&amp;" ","")&amp;IF(AND(8&gt;=(IF(M222=1,2,1)+AD222),8&lt;=C222-IF(S222="",0,1)),K222&amp;" ","")))</f>
        <v/>
      </c>
      <c r="R222">
        <f>IF(Q222="","",IFERROR(INDEX(資格マスタ!$B:$B,MATCH(ASC(SUBSTITUTE(SUBSTITUTE(Q222," ",""),"　","")),資格マスタ!$D:$D,0)),Q222))</f>
        <v/>
      </c>
      <c r="S222" s="139">
        <f>IF(C222&lt;2,"",IFERROR(IF(OR(LEFT(INDEX(D222:K222,MIN(8,MAX(1,C222))),2)="令和",LEFT(INDEX(D222:K222,MIN(8,MAX(1,C222))),2)="平成",LEFT(INDEX(D222:K222,MIN(8,MAX(1,C222))),2)="昭和"),DATE(VALUE(MID(INDEX(D222:K222,MIN(8,MAX(1,C222))),3,FIND("年",INDEX(D222:K222,MIN(8,MAX(1,C222))))-3))+IF(LEFT(INDEX(D222:K222,MIN(8,MAX(1,C222))),2)="令和",2018,IF(LEFT(INDEX(D222:K222,MIN(8,MAX(1,C222))),2)="平成",1988,1925)),VALUE(MID(INDEX(D222:K222,MIN(8,MAX(1,C222))),FIND("年",INDEX(D222:K222,MIN(8,MAX(1,C222))))+1,FIND("月",INDEX(D222:K222,MIN(8,MAX(1,C222))))-FIND("年",INDEX(D222:K222,MIN(8,MAX(1,C222))))-1)),IFERROR(VALUE(SUBSTITUTE(MID(INDEX(D222:K222,MIN(8,MAX(1,C222))),FIND("月",INDEX(D222:K222,MIN(8,MAX(1,C222))))+1,10),"日","")),1)),DATE(VALUE(TRIM(MID(SUBSTITUTE(AA222,"/",REPT(" ",50)),1,50))),VALUE(TRIM(MID(SUBSTITUTE(AA222,"/",REPT(" ",50)),51,50))),IFERROR(VALUE(TRIM(MID(SUBSTITUTE(AA222,"/",REPT(" ",50)),101,50))),1))),IFERROR(DATEVALUE(INDEX(D222:K222,MIN(8,MAX(1,C222)))),"")))</f>
        <v/>
      </c>
      <c r="T222">
        <f>IF(B222="","",IF(AB222&lt;&gt;"",AB222,IFERROR(MATCH(SUBSTITUTE(SUBSTITUTE(P222," ",""),"　",""),入力!$AH$5:$AH$44,0),"")))</f>
        <v/>
      </c>
      <c r="U222">
        <f>IF(T222="","",INDEX(入力!$D$5:$D$44,T222))</f>
        <v/>
      </c>
      <c r="V222">
        <f>IF(B222="","",IF(T222="","要確認（名簿と照合できません）",IF(R222="","要確認（資格名がありません）",IF(S222="","要確認（取得日が読めません）",IF((IF(INDEX(入力!$N$5:$N$44,T222)=R222,1,0)+IF(INDEX(入力!$P$5:$P$44,T222)=R222,1,0)+IF(INDEX(入力!$R$5:$R$44,T222)=R222,1,0)+IF(INDEX(入力!$T$5:$T$44,T222)=R222,1,0)+IF(INDEX(入力!$V$5:$V$44,T222)=R222,1,0)+IF(INDEX(入力!$X$5:$X$44,T222)=R222,1,0))+(COUNTIFS($T$6:$T$405,T222,$R$6:$R$405,R222,$X$6:$X$405,"&lt;"&amp;X222))&gt;0,"重複","反映")))))</f>
        <v/>
      </c>
      <c r="W222">
        <f>IF(V222="反映",1,0)</f>
        <v/>
      </c>
      <c r="X222" t="n">
        <v>222</v>
      </c>
      <c r="Y222">
        <f>IF(W222=0,"",COUNTIFS($T$6:$T$405,T222,$W$6:$W$405,1,$S$6:$S$405,"&lt;"&amp;S222)+COUNTIFS($T$6:$T$405,T222,$W$6:$W$405,1,$S$6:$S$405,S222,$X$6:$X$405,"&lt;"&amp;X222)+1)</f>
        <v/>
      </c>
      <c r="Z222">
        <f>IF(Y222="","",T222&amp;"_"&amp;Y222)</f>
        <v/>
      </c>
      <c r="AA222">
        <f>SUBSTITUTE(SUBSTITUTE(SUBSTITUTE(SUBSTITUTE(SUBSTITUTE(INDEX(D222:K222,MIN(8,MAX(1,C222))),"年","/"),"月","/"),"日",""),"-","/"),".","/")</f>
        <v/>
      </c>
      <c r="AB222">
        <f>IFERROR(MATCH(O222,入力!$C$5:$C$44,0),"")</f>
        <v/>
      </c>
      <c r="AC222">
        <f>IF(AB222="","",INDEX(入力!$AH$5:$AH$44,AB222))</f>
        <v/>
      </c>
      <c r="AD222">
        <f>IF(INDEX($D222:$K222,IF(M222=1,2,1))=AC222,1,IF(INDEX($D222:$K222,IF(M222=1,2,1))&amp;INDEX($D222:$K222,IF(M222=1,2,1)+1)=AC222,2,IF(INDEX($D222:$K222,IF(M222=1,2,1))&amp;INDEX($D222:$K222,IF(M222=1,2,1)+1)&amp;INDEX($D222:$K222,IF(M222=1,2,1)+2)=AC222,3,IF(AB222&lt;&gt;"",2,IF(ISNUMBER(MATCH(INDEX($D222:$K222,IF(M222=1,2,1)),入力!$AH$5:$AH$44,0)),1,IF(ISNUMBER(MATCH(INDEX($D222:$K222,IF(M222=1,2,1))&amp;INDEX($D222:$K222,IF(M222=1,2,1)+1),入力!$AH$5:$AH$44,0)),2,IF(ISNUMBER(MATCH(INDEX($D222:$K222,IF(M222=1,2,1))&amp;INDEX($D222:$K222,IF(M222=1,2,1)+1)&amp;INDEX($D222:$K222,IF(M222=1,2,1)+2),入力!$AH$5:$AH$44,0)),3,2)))))))</f>
        <v/>
      </c>
      <c r="AE222">
        <f>IF(V222="","",IF(AND(V222="反映",N(Y222)&gt;20),"要確認（この生徒の取込が20件を超えました）",V222))</f>
        <v/>
      </c>
    </row>
    <row r="223">
      <c r="A223" s="138" t="n"/>
      <c r="B223">
        <f>TRIM(SUBSTITUTE(SUBSTITUTE(SUBSTITUTE(A223,CHAR(9)," "),"　"," "),CHAR(160)," "))</f>
        <v/>
      </c>
      <c r="C223">
        <f>IF(B223="",0,LEN(B223)-LEN(SUBSTITUTE(B223," ",""))+1)</f>
        <v/>
      </c>
      <c r="D223">
        <f>IF(C223&gt;=1,TRIM(MID(SUBSTITUTE(B223," ",REPT(" ",200)),1,200)),"")</f>
        <v/>
      </c>
      <c r="E223">
        <f>IF(C223&gt;=2,TRIM(MID(SUBSTITUTE(B223," ",REPT(" ",200)),201,200)),"")</f>
        <v/>
      </c>
      <c r="F223">
        <f>IF(C223&gt;=3,TRIM(MID(SUBSTITUTE(B223," ",REPT(" ",200)),401,200)),"")</f>
        <v/>
      </c>
      <c r="G223">
        <f>IF(C223&gt;=4,TRIM(MID(SUBSTITUTE(B223," ",REPT(" ",200)),601,200)),"")</f>
        <v/>
      </c>
      <c r="H223">
        <f>IF(C223&gt;=5,TRIM(MID(SUBSTITUTE(B223," ",REPT(" ",200)),801,200)),"")</f>
        <v/>
      </c>
      <c r="I223">
        <f>IF(C223&gt;=6,TRIM(MID(SUBSTITUTE(B223," ",REPT(" ",200)),1001,200)),"")</f>
        <v/>
      </c>
      <c r="J223">
        <f>IF(C223&gt;=7,TRIM(MID(SUBSTITUTE(B223," ",REPT(" ",200)),1201,200)),"")</f>
        <v/>
      </c>
      <c r="K223">
        <f>IF(C223&gt;=8,TRIM(MID(SUBSTITUTE(B223," ",REPT(" ",200)),1401,200)),"")</f>
        <v/>
      </c>
      <c r="L223">
        <f>SUBSTITUTE(SUBSTITUTE(SUBSTITUTE(D223,"年","-"),"組","-"),"番","")</f>
        <v/>
      </c>
      <c r="M223">
        <f>IF(D223="",0,IF(ISNUMBER(VALUE(SUBSTITUTE(L223,"-",""))),1,0))</f>
        <v/>
      </c>
      <c r="N223">
        <f>IF(M223=0,"",IFERROR(VALUE(TRIM(MID(SUBSTITUTE(L223,"-",REPT(" ",100)),101,100))),""))</f>
        <v/>
      </c>
      <c r="O223">
        <f>IF(M223=0,"",IFERROR(VALUE(TRIM(RIGHT(SUBSTITUTE(L223,"-",REPT(" ",100)),100))),""))</f>
        <v/>
      </c>
      <c r="P223">
        <f>IF(B223="","",TRIM(INDEX($D223:$K223,IF(M223=1,2,1))&amp;IF(AD223&gt;=2," "&amp;INDEX($D223:$K223,IF(M223=1,2,1)+1),"")&amp;IF(AD223&gt;=3," "&amp;INDEX($D223:$K223,IF(M223=1,2,1)+2),"")))</f>
        <v/>
      </c>
      <c r="Q223">
        <f>IF(C223&lt;2,"",TRIM(IF(AND(2&gt;=(IF(M223=1,2,1)+AD223),2&lt;=C223-IF(S223="",0,1)),E223&amp;" ","")&amp;IF(AND(3&gt;=(IF(M223=1,2,1)+AD223),3&lt;=C223-IF(S223="",0,1)),F223&amp;" ","")&amp;IF(AND(4&gt;=(IF(M223=1,2,1)+AD223),4&lt;=C223-IF(S223="",0,1)),G223&amp;" ","")&amp;IF(AND(5&gt;=(IF(M223=1,2,1)+AD223),5&lt;=C223-IF(S223="",0,1)),H223&amp;" ","")&amp;IF(AND(6&gt;=(IF(M223=1,2,1)+AD223),6&lt;=C223-IF(S223="",0,1)),I223&amp;" ","")&amp;IF(AND(7&gt;=(IF(M223=1,2,1)+AD223),7&lt;=C223-IF(S223="",0,1)),J223&amp;" ","")&amp;IF(AND(8&gt;=(IF(M223=1,2,1)+AD223),8&lt;=C223-IF(S223="",0,1)),K223&amp;" ","")))</f>
        <v/>
      </c>
      <c r="R223">
        <f>IF(Q223="","",IFERROR(INDEX(資格マスタ!$B:$B,MATCH(ASC(SUBSTITUTE(SUBSTITUTE(Q223," ",""),"　","")),資格マスタ!$D:$D,0)),Q223))</f>
        <v/>
      </c>
      <c r="S223" s="139">
        <f>IF(C223&lt;2,"",IFERROR(IF(OR(LEFT(INDEX(D223:K223,MIN(8,MAX(1,C223))),2)="令和",LEFT(INDEX(D223:K223,MIN(8,MAX(1,C223))),2)="平成",LEFT(INDEX(D223:K223,MIN(8,MAX(1,C223))),2)="昭和"),DATE(VALUE(MID(INDEX(D223:K223,MIN(8,MAX(1,C223))),3,FIND("年",INDEX(D223:K223,MIN(8,MAX(1,C223))))-3))+IF(LEFT(INDEX(D223:K223,MIN(8,MAX(1,C223))),2)="令和",2018,IF(LEFT(INDEX(D223:K223,MIN(8,MAX(1,C223))),2)="平成",1988,1925)),VALUE(MID(INDEX(D223:K223,MIN(8,MAX(1,C223))),FIND("年",INDEX(D223:K223,MIN(8,MAX(1,C223))))+1,FIND("月",INDEX(D223:K223,MIN(8,MAX(1,C223))))-FIND("年",INDEX(D223:K223,MIN(8,MAX(1,C223))))-1)),IFERROR(VALUE(SUBSTITUTE(MID(INDEX(D223:K223,MIN(8,MAX(1,C223))),FIND("月",INDEX(D223:K223,MIN(8,MAX(1,C223))))+1,10),"日","")),1)),DATE(VALUE(TRIM(MID(SUBSTITUTE(AA223,"/",REPT(" ",50)),1,50))),VALUE(TRIM(MID(SUBSTITUTE(AA223,"/",REPT(" ",50)),51,50))),IFERROR(VALUE(TRIM(MID(SUBSTITUTE(AA223,"/",REPT(" ",50)),101,50))),1))),IFERROR(DATEVALUE(INDEX(D223:K223,MIN(8,MAX(1,C223)))),"")))</f>
        <v/>
      </c>
      <c r="T223">
        <f>IF(B223="","",IF(AB223&lt;&gt;"",AB223,IFERROR(MATCH(SUBSTITUTE(SUBSTITUTE(P223," ",""),"　",""),入力!$AH$5:$AH$44,0),"")))</f>
        <v/>
      </c>
      <c r="U223">
        <f>IF(T223="","",INDEX(入力!$D$5:$D$44,T223))</f>
        <v/>
      </c>
      <c r="V223">
        <f>IF(B223="","",IF(T223="","要確認（名簿と照合できません）",IF(R223="","要確認（資格名がありません）",IF(S223="","要確認（取得日が読めません）",IF((IF(INDEX(入力!$N$5:$N$44,T223)=R223,1,0)+IF(INDEX(入力!$P$5:$P$44,T223)=R223,1,0)+IF(INDEX(入力!$R$5:$R$44,T223)=R223,1,0)+IF(INDEX(入力!$T$5:$T$44,T223)=R223,1,0)+IF(INDEX(入力!$V$5:$V$44,T223)=R223,1,0)+IF(INDEX(入力!$X$5:$X$44,T223)=R223,1,0))+(COUNTIFS($T$6:$T$405,T223,$R$6:$R$405,R223,$X$6:$X$405,"&lt;"&amp;X223))&gt;0,"重複","反映")))))</f>
        <v/>
      </c>
      <c r="W223">
        <f>IF(V223="反映",1,0)</f>
        <v/>
      </c>
      <c r="X223" t="n">
        <v>223</v>
      </c>
      <c r="Y223">
        <f>IF(W223=0,"",COUNTIFS($T$6:$T$405,T223,$W$6:$W$405,1,$S$6:$S$405,"&lt;"&amp;S223)+COUNTIFS($T$6:$T$405,T223,$W$6:$W$405,1,$S$6:$S$405,S223,$X$6:$X$405,"&lt;"&amp;X223)+1)</f>
        <v/>
      </c>
      <c r="Z223">
        <f>IF(Y223="","",T223&amp;"_"&amp;Y223)</f>
        <v/>
      </c>
      <c r="AA223">
        <f>SUBSTITUTE(SUBSTITUTE(SUBSTITUTE(SUBSTITUTE(SUBSTITUTE(INDEX(D223:K223,MIN(8,MAX(1,C223))),"年","/"),"月","/"),"日",""),"-","/"),".","/")</f>
        <v/>
      </c>
      <c r="AB223">
        <f>IFERROR(MATCH(O223,入力!$C$5:$C$44,0),"")</f>
        <v/>
      </c>
      <c r="AC223">
        <f>IF(AB223="","",INDEX(入力!$AH$5:$AH$44,AB223))</f>
        <v/>
      </c>
      <c r="AD223">
        <f>IF(INDEX($D223:$K223,IF(M223=1,2,1))=AC223,1,IF(INDEX($D223:$K223,IF(M223=1,2,1))&amp;INDEX($D223:$K223,IF(M223=1,2,1)+1)=AC223,2,IF(INDEX($D223:$K223,IF(M223=1,2,1))&amp;INDEX($D223:$K223,IF(M223=1,2,1)+1)&amp;INDEX($D223:$K223,IF(M223=1,2,1)+2)=AC223,3,IF(AB223&lt;&gt;"",2,IF(ISNUMBER(MATCH(INDEX($D223:$K223,IF(M223=1,2,1)),入力!$AH$5:$AH$44,0)),1,IF(ISNUMBER(MATCH(INDEX($D223:$K223,IF(M223=1,2,1))&amp;INDEX($D223:$K223,IF(M223=1,2,1)+1),入力!$AH$5:$AH$44,0)),2,IF(ISNUMBER(MATCH(INDEX($D223:$K223,IF(M223=1,2,1))&amp;INDEX($D223:$K223,IF(M223=1,2,1)+1)&amp;INDEX($D223:$K223,IF(M223=1,2,1)+2),入力!$AH$5:$AH$44,0)),3,2)))))))</f>
        <v/>
      </c>
      <c r="AE223">
        <f>IF(V223="","",IF(AND(V223="反映",N(Y223)&gt;20),"要確認（この生徒の取込が20件を超えました）",V223))</f>
        <v/>
      </c>
    </row>
    <row r="224">
      <c r="A224" s="138" t="n"/>
      <c r="B224">
        <f>TRIM(SUBSTITUTE(SUBSTITUTE(SUBSTITUTE(A224,CHAR(9)," "),"　"," "),CHAR(160)," "))</f>
        <v/>
      </c>
      <c r="C224">
        <f>IF(B224="",0,LEN(B224)-LEN(SUBSTITUTE(B224," ",""))+1)</f>
        <v/>
      </c>
      <c r="D224">
        <f>IF(C224&gt;=1,TRIM(MID(SUBSTITUTE(B224," ",REPT(" ",200)),1,200)),"")</f>
        <v/>
      </c>
      <c r="E224">
        <f>IF(C224&gt;=2,TRIM(MID(SUBSTITUTE(B224," ",REPT(" ",200)),201,200)),"")</f>
        <v/>
      </c>
      <c r="F224">
        <f>IF(C224&gt;=3,TRIM(MID(SUBSTITUTE(B224," ",REPT(" ",200)),401,200)),"")</f>
        <v/>
      </c>
      <c r="G224">
        <f>IF(C224&gt;=4,TRIM(MID(SUBSTITUTE(B224," ",REPT(" ",200)),601,200)),"")</f>
        <v/>
      </c>
      <c r="H224">
        <f>IF(C224&gt;=5,TRIM(MID(SUBSTITUTE(B224," ",REPT(" ",200)),801,200)),"")</f>
        <v/>
      </c>
      <c r="I224">
        <f>IF(C224&gt;=6,TRIM(MID(SUBSTITUTE(B224," ",REPT(" ",200)),1001,200)),"")</f>
        <v/>
      </c>
      <c r="J224">
        <f>IF(C224&gt;=7,TRIM(MID(SUBSTITUTE(B224," ",REPT(" ",200)),1201,200)),"")</f>
        <v/>
      </c>
      <c r="K224">
        <f>IF(C224&gt;=8,TRIM(MID(SUBSTITUTE(B224," ",REPT(" ",200)),1401,200)),"")</f>
        <v/>
      </c>
      <c r="L224">
        <f>SUBSTITUTE(SUBSTITUTE(SUBSTITUTE(D224,"年","-"),"組","-"),"番","")</f>
        <v/>
      </c>
      <c r="M224">
        <f>IF(D224="",0,IF(ISNUMBER(VALUE(SUBSTITUTE(L224,"-",""))),1,0))</f>
        <v/>
      </c>
      <c r="N224">
        <f>IF(M224=0,"",IFERROR(VALUE(TRIM(MID(SUBSTITUTE(L224,"-",REPT(" ",100)),101,100))),""))</f>
        <v/>
      </c>
      <c r="O224">
        <f>IF(M224=0,"",IFERROR(VALUE(TRIM(RIGHT(SUBSTITUTE(L224,"-",REPT(" ",100)),100))),""))</f>
        <v/>
      </c>
      <c r="P224">
        <f>IF(B224="","",TRIM(INDEX($D224:$K224,IF(M224=1,2,1))&amp;IF(AD224&gt;=2," "&amp;INDEX($D224:$K224,IF(M224=1,2,1)+1),"")&amp;IF(AD224&gt;=3," "&amp;INDEX($D224:$K224,IF(M224=1,2,1)+2),"")))</f>
        <v/>
      </c>
      <c r="Q224">
        <f>IF(C224&lt;2,"",TRIM(IF(AND(2&gt;=(IF(M224=1,2,1)+AD224),2&lt;=C224-IF(S224="",0,1)),E224&amp;" ","")&amp;IF(AND(3&gt;=(IF(M224=1,2,1)+AD224),3&lt;=C224-IF(S224="",0,1)),F224&amp;" ","")&amp;IF(AND(4&gt;=(IF(M224=1,2,1)+AD224),4&lt;=C224-IF(S224="",0,1)),G224&amp;" ","")&amp;IF(AND(5&gt;=(IF(M224=1,2,1)+AD224),5&lt;=C224-IF(S224="",0,1)),H224&amp;" ","")&amp;IF(AND(6&gt;=(IF(M224=1,2,1)+AD224),6&lt;=C224-IF(S224="",0,1)),I224&amp;" ","")&amp;IF(AND(7&gt;=(IF(M224=1,2,1)+AD224),7&lt;=C224-IF(S224="",0,1)),J224&amp;" ","")&amp;IF(AND(8&gt;=(IF(M224=1,2,1)+AD224),8&lt;=C224-IF(S224="",0,1)),K224&amp;" ","")))</f>
        <v/>
      </c>
      <c r="R224">
        <f>IF(Q224="","",IFERROR(INDEX(資格マスタ!$B:$B,MATCH(ASC(SUBSTITUTE(SUBSTITUTE(Q224," ",""),"　","")),資格マスタ!$D:$D,0)),Q224))</f>
        <v/>
      </c>
      <c r="S224" s="139">
        <f>IF(C224&lt;2,"",IFERROR(IF(OR(LEFT(INDEX(D224:K224,MIN(8,MAX(1,C224))),2)="令和",LEFT(INDEX(D224:K224,MIN(8,MAX(1,C224))),2)="平成",LEFT(INDEX(D224:K224,MIN(8,MAX(1,C224))),2)="昭和"),DATE(VALUE(MID(INDEX(D224:K224,MIN(8,MAX(1,C224))),3,FIND("年",INDEX(D224:K224,MIN(8,MAX(1,C224))))-3))+IF(LEFT(INDEX(D224:K224,MIN(8,MAX(1,C224))),2)="令和",2018,IF(LEFT(INDEX(D224:K224,MIN(8,MAX(1,C224))),2)="平成",1988,1925)),VALUE(MID(INDEX(D224:K224,MIN(8,MAX(1,C224))),FIND("年",INDEX(D224:K224,MIN(8,MAX(1,C224))))+1,FIND("月",INDEX(D224:K224,MIN(8,MAX(1,C224))))-FIND("年",INDEX(D224:K224,MIN(8,MAX(1,C224))))-1)),IFERROR(VALUE(SUBSTITUTE(MID(INDEX(D224:K224,MIN(8,MAX(1,C224))),FIND("月",INDEX(D224:K224,MIN(8,MAX(1,C224))))+1,10),"日","")),1)),DATE(VALUE(TRIM(MID(SUBSTITUTE(AA224,"/",REPT(" ",50)),1,50))),VALUE(TRIM(MID(SUBSTITUTE(AA224,"/",REPT(" ",50)),51,50))),IFERROR(VALUE(TRIM(MID(SUBSTITUTE(AA224,"/",REPT(" ",50)),101,50))),1))),IFERROR(DATEVALUE(INDEX(D224:K224,MIN(8,MAX(1,C224)))),"")))</f>
        <v/>
      </c>
      <c r="T224">
        <f>IF(B224="","",IF(AB224&lt;&gt;"",AB224,IFERROR(MATCH(SUBSTITUTE(SUBSTITUTE(P224," ",""),"　",""),入力!$AH$5:$AH$44,0),"")))</f>
        <v/>
      </c>
      <c r="U224">
        <f>IF(T224="","",INDEX(入力!$D$5:$D$44,T224))</f>
        <v/>
      </c>
      <c r="V224">
        <f>IF(B224="","",IF(T224="","要確認（名簿と照合できません）",IF(R224="","要確認（資格名がありません）",IF(S224="","要確認（取得日が読めません）",IF((IF(INDEX(入力!$N$5:$N$44,T224)=R224,1,0)+IF(INDEX(入力!$P$5:$P$44,T224)=R224,1,0)+IF(INDEX(入力!$R$5:$R$44,T224)=R224,1,0)+IF(INDEX(入力!$T$5:$T$44,T224)=R224,1,0)+IF(INDEX(入力!$V$5:$V$44,T224)=R224,1,0)+IF(INDEX(入力!$X$5:$X$44,T224)=R224,1,0))+(COUNTIFS($T$6:$T$405,T224,$R$6:$R$405,R224,$X$6:$X$405,"&lt;"&amp;X224))&gt;0,"重複","反映")))))</f>
        <v/>
      </c>
      <c r="W224">
        <f>IF(V224="反映",1,0)</f>
        <v/>
      </c>
      <c r="X224" t="n">
        <v>224</v>
      </c>
      <c r="Y224">
        <f>IF(W224=0,"",COUNTIFS($T$6:$T$405,T224,$W$6:$W$405,1,$S$6:$S$405,"&lt;"&amp;S224)+COUNTIFS($T$6:$T$405,T224,$W$6:$W$405,1,$S$6:$S$405,S224,$X$6:$X$405,"&lt;"&amp;X224)+1)</f>
        <v/>
      </c>
      <c r="Z224">
        <f>IF(Y224="","",T224&amp;"_"&amp;Y224)</f>
        <v/>
      </c>
      <c r="AA224">
        <f>SUBSTITUTE(SUBSTITUTE(SUBSTITUTE(SUBSTITUTE(SUBSTITUTE(INDEX(D224:K224,MIN(8,MAX(1,C224))),"年","/"),"月","/"),"日",""),"-","/"),".","/")</f>
        <v/>
      </c>
      <c r="AB224">
        <f>IFERROR(MATCH(O224,入力!$C$5:$C$44,0),"")</f>
        <v/>
      </c>
      <c r="AC224">
        <f>IF(AB224="","",INDEX(入力!$AH$5:$AH$44,AB224))</f>
        <v/>
      </c>
      <c r="AD224">
        <f>IF(INDEX($D224:$K224,IF(M224=1,2,1))=AC224,1,IF(INDEX($D224:$K224,IF(M224=1,2,1))&amp;INDEX($D224:$K224,IF(M224=1,2,1)+1)=AC224,2,IF(INDEX($D224:$K224,IF(M224=1,2,1))&amp;INDEX($D224:$K224,IF(M224=1,2,1)+1)&amp;INDEX($D224:$K224,IF(M224=1,2,1)+2)=AC224,3,IF(AB224&lt;&gt;"",2,IF(ISNUMBER(MATCH(INDEX($D224:$K224,IF(M224=1,2,1)),入力!$AH$5:$AH$44,0)),1,IF(ISNUMBER(MATCH(INDEX($D224:$K224,IF(M224=1,2,1))&amp;INDEX($D224:$K224,IF(M224=1,2,1)+1),入力!$AH$5:$AH$44,0)),2,IF(ISNUMBER(MATCH(INDEX($D224:$K224,IF(M224=1,2,1))&amp;INDEX($D224:$K224,IF(M224=1,2,1)+1)&amp;INDEX($D224:$K224,IF(M224=1,2,1)+2),入力!$AH$5:$AH$44,0)),3,2)))))))</f>
        <v/>
      </c>
      <c r="AE224">
        <f>IF(V224="","",IF(AND(V224="反映",N(Y224)&gt;20),"要確認（この生徒の取込が20件を超えました）",V224))</f>
        <v/>
      </c>
    </row>
    <row r="225">
      <c r="A225" s="138" t="n"/>
      <c r="B225">
        <f>TRIM(SUBSTITUTE(SUBSTITUTE(SUBSTITUTE(A225,CHAR(9)," "),"　"," "),CHAR(160)," "))</f>
        <v/>
      </c>
      <c r="C225">
        <f>IF(B225="",0,LEN(B225)-LEN(SUBSTITUTE(B225," ",""))+1)</f>
        <v/>
      </c>
      <c r="D225">
        <f>IF(C225&gt;=1,TRIM(MID(SUBSTITUTE(B225," ",REPT(" ",200)),1,200)),"")</f>
        <v/>
      </c>
      <c r="E225">
        <f>IF(C225&gt;=2,TRIM(MID(SUBSTITUTE(B225," ",REPT(" ",200)),201,200)),"")</f>
        <v/>
      </c>
      <c r="F225">
        <f>IF(C225&gt;=3,TRIM(MID(SUBSTITUTE(B225," ",REPT(" ",200)),401,200)),"")</f>
        <v/>
      </c>
      <c r="G225">
        <f>IF(C225&gt;=4,TRIM(MID(SUBSTITUTE(B225," ",REPT(" ",200)),601,200)),"")</f>
        <v/>
      </c>
      <c r="H225">
        <f>IF(C225&gt;=5,TRIM(MID(SUBSTITUTE(B225," ",REPT(" ",200)),801,200)),"")</f>
        <v/>
      </c>
      <c r="I225">
        <f>IF(C225&gt;=6,TRIM(MID(SUBSTITUTE(B225," ",REPT(" ",200)),1001,200)),"")</f>
        <v/>
      </c>
      <c r="J225">
        <f>IF(C225&gt;=7,TRIM(MID(SUBSTITUTE(B225," ",REPT(" ",200)),1201,200)),"")</f>
        <v/>
      </c>
      <c r="K225">
        <f>IF(C225&gt;=8,TRIM(MID(SUBSTITUTE(B225," ",REPT(" ",200)),1401,200)),"")</f>
        <v/>
      </c>
      <c r="L225">
        <f>SUBSTITUTE(SUBSTITUTE(SUBSTITUTE(D225,"年","-"),"組","-"),"番","")</f>
        <v/>
      </c>
      <c r="M225">
        <f>IF(D225="",0,IF(ISNUMBER(VALUE(SUBSTITUTE(L225,"-",""))),1,0))</f>
        <v/>
      </c>
      <c r="N225">
        <f>IF(M225=0,"",IFERROR(VALUE(TRIM(MID(SUBSTITUTE(L225,"-",REPT(" ",100)),101,100))),""))</f>
        <v/>
      </c>
      <c r="O225">
        <f>IF(M225=0,"",IFERROR(VALUE(TRIM(RIGHT(SUBSTITUTE(L225,"-",REPT(" ",100)),100))),""))</f>
        <v/>
      </c>
      <c r="P225">
        <f>IF(B225="","",TRIM(INDEX($D225:$K225,IF(M225=1,2,1))&amp;IF(AD225&gt;=2," "&amp;INDEX($D225:$K225,IF(M225=1,2,1)+1),"")&amp;IF(AD225&gt;=3," "&amp;INDEX($D225:$K225,IF(M225=1,2,1)+2),"")))</f>
        <v/>
      </c>
      <c r="Q225">
        <f>IF(C225&lt;2,"",TRIM(IF(AND(2&gt;=(IF(M225=1,2,1)+AD225),2&lt;=C225-IF(S225="",0,1)),E225&amp;" ","")&amp;IF(AND(3&gt;=(IF(M225=1,2,1)+AD225),3&lt;=C225-IF(S225="",0,1)),F225&amp;" ","")&amp;IF(AND(4&gt;=(IF(M225=1,2,1)+AD225),4&lt;=C225-IF(S225="",0,1)),G225&amp;" ","")&amp;IF(AND(5&gt;=(IF(M225=1,2,1)+AD225),5&lt;=C225-IF(S225="",0,1)),H225&amp;" ","")&amp;IF(AND(6&gt;=(IF(M225=1,2,1)+AD225),6&lt;=C225-IF(S225="",0,1)),I225&amp;" ","")&amp;IF(AND(7&gt;=(IF(M225=1,2,1)+AD225),7&lt;=C225-IF(S225="",0,1)),J225&amp;" ","")&amp;IF(AND(8&gt;=(IF(M225=1,2,1)+AD225),8&lt;=C225-IF(S225="",0,1)),K225&amp;" ","")))</f>
        <v/>
      </c>
      <c r="R225">
        <f>IF(Q225="","",IFERROR(INDEX(資格マスタ!$B:$B,MATCH(ASC(SUBSTITUTE(SUBSTITUTE(Q225," ",""),"　","")),資格マスタ!$D:$D,0)),Q225))</f>
        <v/>
      </c>
      <c r="S225" s="139">
        <f>IF(C225&lt;2,"",IFERROR(IF(OR(LEFT(INDEX(D225:K225,MIN(8,MAX(1,C225))),2)="令和",LEFT(INDEX(D225:K225,MIN(8,MAX(1,C225))),2)="平成",LEFT(INDEX(D225:K225,MIN(8,MAX(1,C225))),2)="昭和"),DATE(VALUE(MID(INDEX(D225:K225,MIN(8,MAX(1,C225))),3,FIND("年",INDEX(D225:K225,MIN(8,MAX(1,C225))))-3))+IF(LEFT(INDEX(D225:K225,MIN(8,MAX(1,C225))),2)="令和",2018,IF(LEFT(INDEX(D225:K225,MIN(8,MAX(1,C225))),2)="平成",1988,1925)),VALUE(MID(INDEX(D225:K225,MIN(8,MAX(1,C225))),FIND("年",INDEX(D225:K225,MIN(8,MAX(1,C225))))+1,FIND("月",INDEX(D225:K225,MIN(8,MAX(1,C225))))-FIND("年",INDEX(D225:K225,MIN(8,MAX(1,C225))))-1)),IFERROR(VALUE(SUBSTITUTE(MID(INDEX(D225:K225,MIN(8,MAX(1,C225))),FIND("月",INDEX(D225:K225,MIN(8,MAX(1,C225))))+1,10),"日","")),1)),DATE(VALUE(TRIM(MID(SUBSTITUTE(AA225,"/",REPT(" ",50)),1,50))),VALUE(TRIM(MID(SUBSTITUTE(AA225,"/",REPT(" ",50)),51,50))),IFERROR(VALUE(TRIM(MID(SUBSTITUTE(AA225,"/",REPT(" ",50)),101,50))),1))),IFERROR(DATEVALUE(INDEX(D225:K225,MIN(8,MAX(1,C225)))),"")))</f>
        <v/>
      </c>
      <c r="T225">
        <f>IF(B225="","",IF(AB225&lt;&gt;"",AB225,IFERROR(MATCH(SUBSTITUTE(SUBSTITUTE(P225," ",""),"　",""),入力!$AH$5:$AH$44,0),"")))</f>
        <v/>
      </c>
      <c r="U225">
        <f>IF(T225="","",INDEX(入力!$D$5:$D$44,T225))</f>
        <v/>
      </c>
      <c r="V225">
        <f>IF(B225="","",IF(T225="","要確認（名簿と照合できません）",IF(R225="","要確認（資格名がありません）",IF(S225="","要確認（取得日が読めません）",IF((IF(INDEX(入力!$N$5:$N$44,T225)=R225,1,0)+IF(INDEX(入力!$P$5:$P$44,T225)=R225,1,0)+IF(INDEX(入力!$R$5:$R$44,T225)=R225,1,0)+IF(INDEX(入力!$T$5:$T$44,T225)=R225,1,0)+IF(INDEX(入力!$V$5:$V$44,T225)=R225,1,0)+IF(INDEX(入力!$X$5:$X$44,T225)=R225,1,0))+(COUNTIFS($T$6:$T$405,T225,$R$6:$R$405,R225,$X$6:$X$405,"&lt;"&amp;X225))&gt;0,"重複","反映")))))</f>
        <v/>
      </c>
      <c r="W225">
        <f>IF(V225="反映",1,0)</f>
        <v/>
      </c>
      <c r="X225" t="n">
        <v>225</v>
      </c>
      <c r="Y225">
        <f>IF(W225=0,"",COUNTIFS($T$6:$T$405,T225,$W$6:$W$405,1,$S$6:$S$405,"&lt;"&amp;S225)+COUNTIFS($T$6:$T$405,T225,$W$6:$W$405,1,$S$6:$S$405,S225,$X$6:$X$405,"&lt;"&amp;X225)+1)</f>
        <v/>
      </c>
      <c r="Z225">
        <f>IF(Y225="","",T225&amp;"_"&amp;Y225)</f>
        <v/>
      </c>
      <c r="AA225">
        <f>SUBSTITUTE(SUBSTITUTE(SUBSTITUTE(SUBSTITUTE(SUBSTITUTE(INDEX(D225:K225,MIN(8,MAX(1,C225))),"年","/"),"月","/"),"日",""),"-","/"),".","/")</f>
        <v/>
      </c>
      <c r="AB225">
        <f>IFERROR(MATCH(O225,入力!$C$5:$C$44,0),"")</f>
        <v/>
      </c>
      <c r="AC225">
        <f>IF(AB225="","",INDEX(入力!$AH$5:$AH$44,AB225))</f>
        <v/>
      </c>
      <c r="AD225">
        <f>IF(INDEX($D225:$K225,IF(M225=1,2,1))=AC225,1,IF(INDEX($D225:$K225,IF(M225=1,2,1))&amp;INDEX($D225:$K225,IF(M225=1,2,1)+1)=AC225,2,IF(INDEX($D225:$K225,IF(M225=1,2,1))&amp;INDEX($D225:$K225,IF(M225=1,2,1)+1)&amp;INDEX($D225:$K225,IF(M225=1,2,1)+2)=AC225,3,IF(AB225&lt;&gt;"",2,IF(ISNUMBER(MATCH(INDEX($D225:$K225,IF(M225=1,2,1)),入力!$AH$5:$AH$44,0)),1,IF(ISNUMBER(MATCH(INDEX($D225:$K225,IF(M225=1,2,1))&amp;INDEX($D225:$K225,IF(M225=1,2,1)+1),入力!$AH$5:$AH$44,0)),2,IF(ISNUMBER(MATCH(INDEX($D225:$K225,IF(M225=1,2,1))&amp;INDEX($D225:$K225,IF(M225=1,2,1)+1)&amp;INDEX($D225:$K225,IF(M225=1,2,1)+2),入力!$AH$5:$AH$44,0)),3,2)))))))</f>
        <v/>
      </c>
      <c r="AE225">
        <f>IF(V225="","",IF(AND(V225="反映",N(Y225)&gt;20),"要確認（この生徒の取込が20件を超えました）",V225))</f>
        <v/>
      </c>
    </row>
    <row r="226">
      <c r="A226" s="138" t="n"/>
      <c r="B226">
        <f>TRIM(SUBSTITUTE(SUBSTITUTE(SUBSTITUTE(A226,CHAR(9)," "),"　"," "),CHAR(160)," "))</f>
        <v/>
      </c>
      <c r="C226">
        <f>IF(B226="",0,LEN(B226)-LEN(SUBSTITUTE(B226," ",""))+1)</f>
        <v/>
      </c>
      <c r="D226">
        <f>IF(C226&gt;=1,TRIM(MID(SUBSTITUTE(B226," ",REPT(" ",200)),1,200)),"")</f>
        <v/>
      </c>
      <c r="E226">
        <f>IF(C226&gt;=2,TRIM(MID(SUBSTITUTE(B226," ",REPT(" ",200)),201,200)),"")</f>
        <v/>
      </c>
      <c r="F226">
        <f>IF(C226&gt;=3,TRIM(MID(SUBSTITUTE(B226," ",REPT(" ",200)),401,200)),"")</f>
        <v/>
      </c>
      <c r="G226">
        <f>IF(C226&gt;=4,TRIM(MID(SUBSTITUTE(B226," ",REPT(" ",200)),601,200)),"")</f>
        <v/>
      </c>
      <c r="H226">
        <f>IF(C226&gt;=5,TRIM(MID(SUBSTITUTE(B226," ",REPT(" ",200)),801,200)),"")</f>
        <v/>
      </c>
      <c r="I226">
        <f>IF(C226&gt;=6,TRIM(MID(SUBSTITUTE(B226," ",REPT(" ",200)),1001,200)),"")</f>
        <v/>
      </c>
      <c r="J226">
        <f>IF(C226&gt;=7,TRIM(MID(SUBSTITUTE(B226," ",REPT(" ",200)),1201,200)),"")</f>
        <v/>
      </c>
      <c r="K226">
        <f>IF(C226&gt;=8,TRIM(MID(SUBSTITUTE(B226," ",REPT(" ",200)),1401,200)),"")</f>
        <v/>
      </c>
      <c r="L226">
        <f>SUBSTITUTE(SUBSTITUTE(SUBSTITUTE(D226,"年","-"),"組","-"),"番","")</f>
        <v/>
      </c>
      <c r="M226">
        <f>IF(D226="",0,IF(ISNUMBER(VALUE(SUBSTITUTE(L226,"-",""))),1,0))</f>
        <v/>
      </c>
      <c r="N226">
        <f>IF(M226=0,"",IFERROR(VALUE(TRIM(MID(SUBSTITUTE(L226,"-",REPT(" ",100)),101,100))),""))</f>
        <v/>
      </c>
      <c r="O226">
        <f>IF(M226=0,"",IFERROR(VALUE(TRIM(RIGHT(SUBSTITUTE(L226,"-",REPT(" ",100)),100))),""))</f>
        <v/>
      </c>
      <c r="P226">
        <f>IF(B226="","",TRIM(INDEX($D226:$K226,IF(M226=1,2,1))&amp;IF(AD226&gt;=2," "&amp;INDEX($D226:$K226,IF(M226=1,2,1)+1),"")&amp;IF(AD226&gt;=3," "&amp;INDEX($D226:$K226,IF(M226=1,2,1)+2),"")))</f>
        <v/>
      </c>
      <c r="Q226">
        <f>IF(C226&lt;2,"",TRIM(IF(AND(2&gt;=(IF(M226=1,2,1)+AD226),2&lt;=C226-IF(S226="",0,1)),E226&amp;" ","")&amp;IF(AND(3&gt;=(IF(M226=1,2,1)+AD226),3&lt;=C226-IF(S226="",0,1)),F226&amp;" ","")&amp;IF(AND(4&gt;=(IF(M226=1,2,1)+AD226),4&lt;=C226-IF(S226="",0,1)),G226&amp;" ","")&amp;IF(AND(5&gt;=(IF(M226=1,2,1)+AD226),5&lt;=C226-IF(S226="",0,1)),H226&amp;" ","")&amp;IF(AND(6&gt;=(IF(M226=1,2,1)+AD226),6&lt;=C226-IF(S226="",0,1)),I226&amp;" ","")&amp;IF(AND(7&gt;=(IF(M226=1,2,1)+AD226),7&lt;=C226-IF(S226="",0,1)),J226&amp;" ","")&amp;IF(AND(8&gt;=(IF(M226=1,2,1)+AD226),8&lt;=C226-IF(S226="",0,1)),K226&amp;" ","")))</f>
        <v/>
      </c>
      <c r="R226">
        <f>IF(Q226="","",IFERROR(INDEX(資格マスタ!$B:$B,MATCH(ASC(SUBSTITUTE(SUBSTITUTE(Q226," ",""),"　","")),資格マスタ!$D:$D,0)),Q226))</f>
        <v/>
      </c>
      <c r="S226" s="139">
        <f>IF(C226&lt;2,"",IFERROR(IF(OR(LEFT(INDEX(D226:K226,MIN(8,MAX(1,C226))),2)="令和",LEFT(INDEX(D226:K226,MIN(8,MAX(1,C226))),2)="平成",LEFT(INDEX(D226:K226,MIN(8,MAX(1,C226))),2)="昭和"),DATE(VALUE(MID(INDEX(D226:K226,MIN(8,MAX(1,C226))),3,FIND("年",INDEX(D226:K226,MIN(8,MAX(1,C226))))-3))+IF(LEFT(INDEX(D226:K226,MIN(8,MAX(1,C226))),2)="令和",2018,IF(LEFT(INDEX(D226:K226,MIN(8,MAX(1,C226))),2)="平成",1988,1925)),VALUE(MID(INDEX(D226:K226,MIN(8,MAX(1,C226))),FIND("年",INDEX(D226:K226,MIN(8,MAX(1,C226))))+1,FIND("月",INDEX(D226:K226,MIN(8,MAX(1,C226))))-FIND("年",INDEX(D226:K226,MIN(8,MAX(1,C226))))-1)),IFERROR(VALUE(SUBSTITUTE(MID(INDEX(D226:K226,MIN(8,MAX(1,C226))),FIND("月",INDEX(D226:K226,MIN(8,MAX(1,C226))))+1,10),"日","")),1)),DATE(VALUE(TRIM(MID(SUBSTITUTE(AA226,"/",REPT(" ",50)),1,50))),VALUE(TRIM(MID(SUBSTITUTE(AA226,"/",REPT(" ",50)),51,50))),IFERROR(VALUE(TRIM(MID(SUBSTITUTE(AA226,"/",REPT(" ",50)),101,50))),1))),IFERROR(DATEVALUE(INDEX(D226:K226,MIN(8,MAX(1,C226)))),"")))</f>
        <v/>
      </c>
      <c r="T226">
        <f>IF(B226="","",IF(AB226&lt;&gt;"",AB226,IFERROR(MATCH(SUBSTITUTE(SUBSTITUTE(P226," ",""),"　",""),入力!$AH$5:$AH$44,0),"")))</f>
        <v/>
      </c>
      <c r="U226">
        <f>IF(T226="","",INDEX(入力!$D$5:$D$44,T226))</f>
        <v/>
      </c>
      <c r="V226">
        <f>IF(B226="","",IF(T226="","要確認（名簿と照合できません）",IF(R226="","要確認（資格名がありません）",IF(S226="","要確認（取得日が読めません）",IF((IF(INDEX(入力!$N$5:$N$44,T226)=R226,1,0)+IF(INDEX(入力!$P$5:$P$44,T226)=R226,1,0)+IF(INDEX(入力!$R$5:$R$44,T226)=R226,1,0)+IF(INDEX(入力!$T$5:$T$44,T226)=R226,1,0)+IF(INDEX(入力!$V$5:$V$44,T226)=R226,1,0)+IF(INDEX(入力!$X$5:$X$44,T226)=R226,1,0))+(COUNTIFS($T$6:$T$405,T226,$R$6:$R$405,R226,$X$6:$X$405,"&lt;"&amp;X226))&gt;0,"重複","反映")))))</f>
        <v/>
      </c>
      <c r="W226">
        <f>IF(V226="反映",1,0)</f>
        <v/>
      </c>
      <c r="X226" t="n">
        <v>226</v>
      </c>
      <c r="Y226">
        <f>IF(W226=0,"",COUNTIFS($T$6:$T$405,T226,$W$6:$W$405,1,$S$6:$S$405,"&lt;"&amp;S226)+COUNTIFS($T$6:$T$405,T226,$W$6:$W$405,1,$S$6:$S$405,S226,$X$6:$X$405,"&lt;"&amp;X226)+1)</f>
        <v/>
      </c>
      <c r="Z226">
        <f>IF(Y226="","",T226&amp;"_"&amp;Y226)</f>
        <v/>
      </c>
      <c r="AA226">
        <f>SUBSTITUTE(SUBSTITUTE(SUBSTITUTE(SUBSTITUTE(SUBSTITUTE(INDEX(D226:K226,MIN(8,MAX(1,C226))),"年","/"),"月","/"),"日",""),"-","/"),".","/")</f>
        <v/>
      </c>
      <c r="AB226">
        <f>IFERROR(MATCH(O226,入力!$C$5:$C$44,0),"")</f>
        <v/>
      </c>
      <c r="AC226">
        <f>IF(AB226="","",INDEX(入力!$AH$5:$AH$44,AB226))</f>
        <v/>
      </c>
      <c r="AD226">
        <f>IF(INDEX($D226:$K226,IF(M226=1,2,1))=AC226,1,IF(INDEX($D226:$K226,IF(M226=1,2,1))&amp;INDEX($D226:$K226,IF(M226=1,2,1)+1)=AC226,2,IF(INDEX($D226:$K226,IF(M226=1,2,1))&amp;INDEX($D226:$K226,IF(M226=1,2,1)+1)&amp;INDEX($D226:$K226,IF(M226=1,2,1)+2)=AC226,3,IF(AB226&lt;&gt;"",2,IF(ISNUMBER(MATCH(INDEX($D226:$K226,IF(M226=1,2,1)),入力!$AH$5:$AH$44,0)),1,IF(ISNUMBER(MATCH(INDEX($D226:$K226,IF(M226=1,2,1))&amp;INDEX($D226:$K226,IF(M226=1,2,1)+1),入力!$AH$5:$AH$44,0)),2,IF(ISNUMBER(MATCH(INDEX($D226:$K226,IF(M226=1,2,1))&amp;INDEX($D226:$K226,IF(M226=1,2,1)+1)&amp;INDEX($D226:$K226,IF(M226=1,2,1)+2),入力!$AH$5:$AH$44,0)),3,2)))))))</f>
        <v/>
      </c>
      <c r="AE226">
        <f>IF(V226="","",IF(AND(V226="反映",N(Y226)&gt;20),"要確認（この生徒の取込が20件を超えました）",V226))</f>
        <v/>
      </c>
    </row>
    <row r="227">
      <c r="A227" s="138" t="n"/>
      <c r="B227">
        <f>TRIM(SUBSTITUTE(SUBSTITUTE(SUBSTITUTE(A227,CHAR(9)," "),"　"," "),CHAR(160)," "))</f>
        <v/>
      </c>
      <c r="C227">
        <f>IF(B227="",0,LEN(B227)-LEN(SUBSTITUTE(B227," ",""))+1)</f>
        <v/>
      </c>
      <c r="D227">
        <f>IF(C227&gt;=1,TRIM(MID(SUBSTITUTE(B227," ",REPT(" ",200)),1,200)),"")</f>
        <v/>
      </c>
      <c r="E227">
        <f>IF(C227&gt;=2,TRIM(MID(SUBSTITUTE(B227," ",REPT(" ",200)),201,200)),"")</f>
        <v/>
      </c>
      <c r="F227">
        <f>IF(C227&gt;=3,TRIM(MID(SUBSTITUTE(B227," ",REPT(" ",200)),401,200)),"")</f>
        <v/>
      </c>
      <c r="G227">
        <f>IF(C227&gt;=4,TRIM(MID(SUBSTITUTE(B227," ",REPT(" ",200)),601,200)),"")</f>
        <v/>
      </c>
      <c r="H227">
        <f>IF(C227&gt;=5,TRIM(MID(SUBSTITUTE(B227," ",REPT(" ",200)),801,200)),"")</f>
        <v/>
      </c>
      <c r="I227">
        <f>IF(C227&gt;=6,TRIM(MID(SUBSTITUTE(B227," ",REPT(" ",200)),1001,200)),"")</f>
        <v/>
      </c>
      <c r="J227">
        <f>IF(C227&gt;=7,TRIM(MID(SUBSTITUTE(B227," ",REPT(" ",200)),1201,200)),"")</f>
        <v/>
      </c>
      <c r="K227">
        <f>IF(C227&gt;=8,TRIM(MID(SUBSTITUTE(B227," ",REPT(" ",200)),1401,200)),"")</f>
        <v/>
      </c>
      <c r="L227">
        <f>SUBSTITUTE(SUBSTITUTE(SUBSTITUTE(D227,"年","-"),"組","-"),"番","")</f>
        <v/>
      </c>
      <c r="M227">
        <f>IF(D227="",0,IF(ISNUMBER(VALUE(SUBSTITUTE(L227,"-",""))),1,0))</f>
        <v/>
      </c>
      <c r="N227">
        <f>IF(M227=0,"",IFERROR(VALUE(TRIM(MID(SUBSTITUTE(L227,"-",REPT(" ",100)),101,100))),""))</f>
        <v/>
      </c>
      <c r="O227">
        <f>IF(M227=0,"",IFERROR(VALUE(TRIM(RIGHT(SUBSTITUTE(L227,"-",REPT(" ",100)),100))),""))</f>
        <v/>
      </c>
      <c r="P227">
        <f>IF(B227="","",TRIM(INDEX($D227:$K227,IF(M227=1,2,1))&amp;IF(AD227&gt;=2," "&amp;INDEX($D227:$K227,IF(M227=1,2,1)+1),"")&amp;IF(AD227&gt;=3," "&amp;INDEX($D227:$K227,IF(M227=1,2,1)+2),"")))</f>
        <v/>
      </c>
      <c r="Q227">
        <f>IF(C227&lt;2,"",TRIM(IF(AND(2&gt;=(IF(M227=1,2,1)+AD227),2&lt;=C227-IF(S227="",0,1)),E227&amp;" ","")&amp;IF(AND(3&gt;=(IF(M227=1,2,1)+AD227),3&lt;=C227-IF(S227="",0,1)),F227&amp;" ","")&amp;IF(AND(4&gt;=(IF(M227=1,2,1)+AD227),4&lt;=C227-IF(S227="",0,1)),G227&amp;" ","")&amp;IF(AND(5&gt;=(IF(M227=1,2,1)+AD227),5&lt;=C227-IF(S227="",0,1)),H227&amp;" ","")&amp;IF(AND(6&gt;=(IF(M227=1,2,1)+AD227),6&lt;=C227-IF(S227="",0,1)),I227&amp;" ","")&amp;IF(AND(7&gt;=(IF(M227=1,2,1)+AD227),7&lt;=C227-IF(S227="",0,1)),J227&amp;" ","")&amp;IF(AND(8&gt;=(IF(M227=1,2,1)+AD227),8&lt;=C227-IF(S227="",0,1)),K227&amp;" ","")))</f>
        <v/>
      </c>
      <c r="R227">
        <f>IF(Q227="","",IFERROR(INDEX(資格マスタ!$B:$B,MATCH(ASC(SUBSTITUTE(SUBSTITUTE(Q227," ",""),"　","")),資格マスタ!$D:$D,0)),Q227))</f>
        <v/>
      </c>
      <c r="S227" s="139">
        <f>IF(C227&lt;2,"",IFERROR(IF(OR(LEFT(INDEX(D227:K227,MIN(8,MAX(1,C227))),2)="令和",LEFT(INDEX(D227:K227,MIN(8,MAX(1,C227))),2)="平成",LEFT(INDEX(D227:K227,MIN(8,MAX(1,C227))),2)="昭和"),DATE(VALUE(MID(INDEX(D227:K227,MIN(8,MAX(1,C227))),3,FIND("年",INDEX(D227:K227,MIN(8,MAX(1,C227))))-3))+IF(LEFT(INDEX(D227:K227,MIN(8,MAX(1,C227))),2)="令和",2018,IF(LEFT(INDEX(D227:K227,MIN(8,MAX(1,C227))),2)="平成",1988,1925)),VALUE(MID(INDEX(D227:K227,MIN(8,MAX(1,C227))),FIND("年",INDEX(D227:K227,MIN(8,MAX(1,C227))))+1,FIND("月",INDEX(D227:K227,MIN(8,MAX(1,C227))))-FIND("年",INDEX(D227:K227,MIN(8,MAX(1,C227))))-1)),IFERROR(VALUE(SUBSTITUTE(MID(INDEX(D227:K227,MIN(8,MAX(1,C227))),FIND("月",INDEX(D227:K227,MIN(8,MAX(1,C227))))+1,10),"日","")),1)),DATE(VALUE(TRIM(MID(SUBSTITUTE(AA227,"/",REPT(" ",50)),1,50))),VALUE(TRIM(MID(SUBSTITUTE(AA227,"/",REPT(" ",50)),51,50))),IFERROR(VALUE(TRIM(MID(SUBSTITUTE(AA227,"/",REPT(" ",50)),101,50))),1))),IFERROR(DATEVALUE(INDEX(D227:K227,MIN(8,MAX(1,C227)))),"")))</f>
        <v/>
      </c>
      <c r="T227">
        <f>IF(B227="","",IF(AB227&lt;&gt;"",AB227,IFERROR(MATCH(SUBSTITUTE(SUBSTITUTE(P227," ",""),"　",""),入力!$AH$5:$AH$44,0),"")))</f>
        <v/>
      </c>
      <c r="U227">
        <f>IF(T227="","",INDEX(入力!$D$5:$D$44,T227))</f>
        <v/>
      </c>
      <c r="V227">
        <f>IF(B227="","",IF(T227="","要確認（名簿と照合できません）",IF(R227="","要確認（資格名がありません）",IF(S227="","要確認（取得日が読めません）",IF((IF(INDEX(入力!$N$5:$N$44,T227)=R227,1,0)+IF(INDEX(入力!$P$5:$P$44,T227)=R227,1,0)+IF(INDEX(入力!$R$5:$R$44,T227)=R227,1,0)+IF(INDEX(入力!$T$5:$T$44,T227)=R227,1,0)+IF(INDEX(入力!$V$5:$V$44,T227)=R227,1,0)+IF(INDEX(入力!$X$5:$X$44,T227)=R227,1,0))+(COUNTIFS($T$6:$T$405,T227,$R$6:$R$405,R227,$X$6:$X$405,"&lt;"&amp;X227))&gt;0,"重複","反映")))))</f>
        <v/>
      </c>
      <c r="W227">
        <f>IF(V227="反映",1,0)</f>
        <v/>
      </c>
      <c r="X227" t="n">
        <v>227</v>
      </c>
      <c r="Y227">
        <f>IF(W227=0,"",COUNTIFS($T$6:$T$405,T227,$W$6:$W$405,1,$S$6:$S$405,"&lt;"&amp;S227)+COUNTIFS($T$6:$T$405,T227,$W$6:$W$405,1,$S$6:$S$405,S227,$X$6:$X$405,"&lt;"&amp;X227)+1)</f>
        <v/>
      </c>
      <c r="Z227">
        <f>IF(Y227="","",T227&amp;"_"&amp;Y227)</f>
        <v/>
      </c>
      <c r="AA227">
        <f>SUBSTITUTE(SUBSTITUTE(SUBSTITUTE(SUBSTITUTE(SUBSTITUTE(INDEX(D227:K227,MIN(8,MAX(1,C227))),"年","/"),"月","/"),"日",""),"-","/"),".","/")</f>
        <v/>
      </c>
      <c r="AB227">
        <f>IFERROR(MATCH(O227,入力!$C$5:$C$44,0),"")</f>
        <v/>
      </c>
      <c r="AC227">
        <f>IF(AB227="","",INDEX(入力!$AH$5:$AH$44,AB227))</f>
        <v/>
      </c>
      <c r="AD227">
        <f>IF(INDEX($D227:$K227,IF(M227=1,2,1))=AC227,1,IF(INDEX($D227:$K227,IF(M227=1,2,1))&amp;INDEX($D227:$K227,IF(M227=1,2,1)+1)=AC227,2,IF(INDEX($D227:$K227,IF(M227=1,2,1))&amp;INDEX($D227:$K227,IF(M227=1,2,1)+1)&amp;INDEX($D227:$K227,IF(M227=1,2,1)+2)=AC227,3,IF(AB227&lt;&gt;"",2,IF(ISNUMBER(MATCH(INDEX($D227:$K227,IF(M227=1,2,1)),入力!$AH$5:$AH$44,0)),1,IF(ISNUMBER(MATCH(INDEX($D227:$K227,IF(M227=1,2,1))&amp;INDEX($D227:$K227,IF(M227=1,2,1)+1),入力!$AH$5:$AH$44,0)),2,IF(ISNUMBER(MATCH(INDEX($D227:$K227,IF(M227=1,2,1))&amp;INDEX($D227:$K227,IF(M227=1,2,1)+1)&amp;INDEX($D227:$K227,IF(M227=1,2,1)+2),入力!$AH$5:$AH$44,0)),3,2)))))))</f>
        <v/>
      </c>
      <c r="AE227">
        <f>IF(V227="","",IF(AND(V227="反映",N(Y227)&gt;20),"要確認（この生徒の取込が20件を超えました）",V227))</f>
        <v/>
      </c>
    </row>
    <row r="228">
      <c r="A228" s="138" t="n"/>
      <c r="B228">
        <f>TRIM(SUBSTITUTE(SUBSTITUTE(SUBSTITUTE(A228,CHAR(9)," "),"　"," "),CHAR(160)," "))</f>
        <v/>
      </c>
      <c r="C228">
        <f>IF(B228="",0,LEN(B228)-LEN(SUBSTITUTE(B228," ",""))+1)</f>
        <v/>
      </c>
      <c r="D228">
        <f>IF(C228&gt;=1,TRIM(MID(SUBSTITUTE(B228," ",REPT(" ",200)),1,200)),"")</f>
        <v/>
      </c>
      <c r="E228">
        <f>IF(C228&gt;=2,TRIM(MID(SUBSTITUTE(B228," ",REPT(" ",200)),201,200)),"")</f>
        <v/>
      </c>
      <c r="F228">
        <f>IF(C228&gt;=3,TRIM(MID(SUBSTITUTE(B228," ",REPT(" ",200)),401,200)),"")</f>
        <v/>
      </c>
      <c r="G228">
        <f>IF(C228&gt;=4,TRIM(MID(SUBSTITUTE(B228," ",REPT(" ",200)),601,200)),"")</f>
        <v/>
      </c>
      <c r="H228">
        <f>IF(C228&gt;=5,TRIM(MID(SUBSTITUTE(B228," ",REPT(" ",200)),801,200)),"")</f>
        <v/>
      </c>
      <c r="I228">
        <f>IF(C228&gt;=6,TRIM(MID(SUBSTITUTE(B228," ",REPT(" ",200)),1001,200)),"")</f>
        <v/>
      </c>
      <c r="J228">
        <f>IF(C228&gt;=7,TRIM(MID(SUBSTITUTE(B228," ",REPT(" ",200)),1201,200)),"")</f>
        <v/>
      </c>
      <c r="K228">
        <f>IF(C228&gt;=8,TRIM(MID(SUBSTITUTE(B228," ",REPT(" ",200)),1401,200)),"")</f>
        <v/>
      </c>
      <c r="L228">
        <f>SUBSTITUTE(SUBSTITUTE(SUBSTITUTE(D228,"年","-"),"組","-"),"番","")</f>
        <v/>
      </c>
      <c r="M228">
        <f>IF(D228="",0,IF(ISNUMBER(VALUE(SUBSTITUTE(L228,"-",""))),1,0))</f>
        <v/>
      </c>
      <c r="N228">
        <f>IF(M228=0,"",IFERROR(VALUE(TRIM(MID(SUBSTITUTE(L228,"-",REPT(" ",100)),101,100))),""))</f>
        <v/>
      </c>
      <c r="O228">
        <f>IF(M228=0,"",IFERROR(VALUE(TRIM(RIGHT(SUBSTITUTE(L228,"-",REPT(" ",100)),100))),""))</f>
        <v/>
      </c>
      <c r="P228">
        <f>IF(B228="","",TRIM(INDEX($D228:$K228,IF(M228=1,2,1))&amp;IF(AD228&gt;=2," "&amp;INDEX($D228:$K228,IF(M228=1,2,1)+1),"")&amp;IF(AD228&gt;=3," "&amp;INDEX($D228:$K228,IF(M228=1,2,1)+2),"")))</f>
        <v/>
      </c>
      <c r="Q228">
        <f>IF(C228&lt;2,"",TRIM(IF(AND(2&gt;=(IF(M228=1,2,1)+AD228),2&lt;=C228-IF(S228="",0,1)),E228&amp;" ","")&amp;IF(AND(3&gt;=(IF(M228=1,2,1)+AD228),3&lt;=C228-IF(S228="",0,1)),F228&amp;" ","")&amp;IF(AND(4&gt;=(IF(M228=1,2,1)+AD228),4&lt;=C228-IF(S228="",0,1)),G228&amp;" ","")&amp;IF(AND(5&gt;=(IF(M228=1,2,1)+AD228),5&lt;=C228-IF(S228="",0,1)),H228&amp;" ","")&amp;IF(AND(6&gt;=(IF(M228=1,2,1)+AD228),6&lt;=C228-IF(S228="",0,1)),I228&amp;" ","")&amp;IF(AND(7&gt;=(IF(M228=1,2,1)+AD228),7&lt;=C228-IF(S228="",0,1)),J228&amp;" ","")&amp;IF(AND(8&gt;=(IF(M228=1,2,1)+AD228),8&lt;=C228-IF(S228="",0,1)),K228&amp;" ","")))</f>
        <v/>
      </c>
      <c r="R228">
        <f>IF(Q228="","",IFERROR(INDEX(資格マスタ!$B:$B,MATCH(ASC(SUBSTITUTE(SUBSTITUTE(Q228," ",""),"　","")),資格マスタ!$D:$D,0)),Q228))</f>
        <v/>
      </c>
      <c r="S228" s="139">
        <f>IF(C228&lt;2,"",IFERROR(IF(OR(LEFT(INDEX(D228:K228,MIN(8,MAX(1,C228))),2)="令和",LEFT(INDEX(D228:K228,MIN(8,MAX(1,C228))),2)="平成",LEFT(INDEX(D228:K228,MIN(8,MAX(1,C228))),2)="昭和"),DATE(VALUE(MID(INDEX(D228:K228,MIN(8,MAX(1,C228))),3,FIND("年",INDEX(D228:K228,MIN(8,MAX(1,C228))))-3))+IF(LEFT(INDEX(D228:K228,MIN(8,MAX(1,C228))),2)="令和",2018,IF(LEFT(INDEX(D228:K228,MIN(8,MAX(1,C228))),2)="平成",1988,1925)),VALUE(MID(INDEX(D228:K228,MIN(8,MAX(1,C228))),FIND("年",INDEX(D228:K228,MIN(8,MAX(1,C228))))+1,FIND("月",INDEX(D228:K228,MIN(8,MAX(1,C228))))-FIND("年",INDEX(D228:K228,MIN(8,MAX(1,C228))))-1)),IFERROR(VALUE(SUBSTITUTE(MID(INDEX(D228:K228,MIN(8,MAX(1,C228))),FIND("月",INDEX(D228:K228,MIN(8,MAX(1,C228))))+1,10),"日","")),1)),DATE(VALUE(TRIM(MID(SUBSTITUTE(AA228,"/",REPT(" ",50)),1,50))),VALUE(TRIM(MID(SUBSTITUTE(AA228,"/",REPT(" ",50)),51,50))),IFERROR(VALUE(TRIM(MID(SUBSTITUTE(AA228,"/",REPT(" ",50)),101,50))),1))),IFERROR(DATEVALUE(INDEX(D228:K228,MIN(8,MAX(1,C228)))),"")))</f>
        <v/>
      </c>
      <c r="T228">
        <f>IF(B228="","",IF(AB228&lt;&gt;"",AB228,IFERROR(MATCH(SUBSTITUTE(SUBSTITUTE(P228," ",""),"　",""),入力!$AH$5:$AH$44,0),"")))</f>
        <v/>
      </c>
      <c r="U228">
        <f>IF(T228="","",INDEX(入力!$D$5:$D$44,T228))</f>
        <v/>
      </c>
      <c r="V228">
        <f>IF(B228="","",IF(T228="","要確認（名簿と照合できません）",IF(R228="","要確認（資格名がありません）",IF(S228="","要確認（取得日が読めません）",IF((IF(INDEX(入力!$N$5:$N$44,T228)=R228,1,0)+IF(INDEX(入力!$P$5:$P$44,T228)=R228,1,0)+IF(INDEX(入力!$R$5:$R$44,T228)=R228,1,0)+IF(INDEX(入力!$T$5:$T$44,T228)=R228,1,0)+IF(INDEX(入力!$V$5:$V$44,T228)=R228,1,0)+IF(INDEX(入力!$X$5:$X$44,T228)=R228,1,0))+(COUNTIFS($T$6:$T$405,T228,$R$6:$R$405,R228,$X$6:$X$405,"&lt;"&amp;X228))&gt;0,"重複","反映")))))</f>
        <v/>
      </c>
      <c r="W228">
        <f>IF(V228="反映",1,0)</f>
        <v/>
      </c>
      <c r="X228" t="n">
        <v>228</v>
      </c>
      <c r="Y228">
        <f>IF(W228=0,"",COUNTIFS($T$6:$T$405,T228,$W$6:$W$405,1,$S$6:$S$405,"&lt;"&amp;S228)+COUNTIFS($T$6:$T$405,T228,$W$6:$W$405,1,$S$6:$S$405,S228,$X$6:$X$405,"&lt;"&amp;X228)+1)</f>
        <v/>
      </c>
      <c r="Z228">
        <f>IF(Y228="","",T228&amp;"_"&amp;Y228)</f>
        <v/>
      </c>
      <c r="AA228">
        <f>SUBSTITUTE(SUBSTITUTE(SUBSTITUTE(SUBSTITUTE(SUBSTITUTE(INDEX(D228:K228,MIN(8,MAX(1,C228))),"年","/"),"月","/"),"日",""),"-","/"),".","/")</f>
        <v/>
      </c>
      <c r="AB228">
        <f>IFERROR(MATCH(O228,入力!$C$5:$C$44,0),"")</f>
        <v/>
      </c>
      <c r="AC228">
        <f>IF(AB228="","",INDEX(入力!$AH$5:$AH$44,AB228))</f>
        <v/>
      </c>
      <c r="AD228">
        <f>IF(INDEX($D228:$K228,IF(M228=1,2,1))=AC228,1,IF(INDEX($D228:$K228,IF(M228=1,2,1))&amp;INDEX($D228:$K228,IF(M228=1,2,1)+1)=AC228,2,IF(INDEX($D228:$K228,IF(M228=1,2,1))&amp;INDEX($D228:$K228,IF(M228=1,2,1)+1)&amp;INDEX($D228:$K228,IF(M228=1,2,1)+2)=AC228,3,IF(AB228&lt;&gt;"",2,IF(ISNUMBER(MATCH(INDEX($D228:$K228,IF(M228=1,2,1)),入力!$AH$5:$AH$44,0)),1,IF(ISNUMBER(MATCH(INDEX($D228:$K228,IF(M228=1,2,1))&amp;INDEX($D228:$K228,IF(M228=1,2,1)+1),入力!$AH$5:$AH$44,0)),2,IF(ISNUMBER(MATCH(INDEX($D228:$K228,IF(M228=1,2,1))&amp;INDEX($D228:$K228,IF(M228=1,2,1)+1)&amp;INDEX($D228:$K228,IF(M228=1,2,1)+2),入力!$AH$5:$AH$44,0)),3,2)))))))</f>
        <v/>
      </c>
      <c r="AE228">
        <f>IF(V228="","",IF(AND(V228="反映",N(Y228)&gt;20),"要確認（この生徒の取込が20件を超えました）",V228))</f>
        <v/>
      </c>
    </row>
    <row r="229">
      <c r="A229" s="138" t="n"/>
      <c r="B229">
        <f>TRIM(SUBSTITUTE(SUBSTITUTE(SUBSTITUTE(A229,CHAR(9)," "),"　"," "),CHAR(160)," "))</f>
        <v/>
      </c>
      <c r="C229">
        <f>IF(B229="",0,LEN(B229)-LEN(SUBSTITUTE(B229," ",""))+1)</f>
        <v/>
      </c>
      <c r="D229">
        <f>IF(C229&gt;=1,TRIM(MID(SUBSTITUTE(B229," ",REPT(" ",200)),1,200)),"")</f>
        <v/>
      </c>
      <c r="E229">
        <f>IF(C229&gt;=2,TRIM(MID(SUBSTITUTE(B229," ",REPT(" ",200)),201,200)),"")</f>
        <v/>
      </c>
      <c r="F229">
        <f>IF(C229&gt;=3,TRIM(MID(SUBSTITUTE(B229," ",REPT(" ",200)),401,200)),"")</f>
        <v/>
      </c>
      <c r="G229">
        <f>IF(C229&gt;=4,TRIM(MID(SUBSTITUTE(B229," ",REPT(" ",200)),601,200)),"")</f>
        <v/>
      </c>
      <c r="H229">
        <f>IF(C229&gt;=5,TRIM(MID(SUBSTITUTE(B229," ",REPT(" ",200)),801,200)),"")</f>
        <v/>
      </c>
      <c r="I229">
        <f>IF(C229&gt;=6,TRIM(MID(SUBSTITUTE(B229," ",REPT(" ",200)),1001,200)),"")</f>
        <v/>
      </c>
      <c r="J229">
        <f>IF(C229&gt;=7,TRIM(MID(SUBSTITUTE(B229," ",REPT(" ",200)),1201,200)),"")</f>
        <v/>
      </c>
      <c r="K229">
        <f>IF(C229&gt;=8,TRIM(MID(SUBSTITUTE(B229," ",REPT(" ",200)),1401,200)),"")</f>
        <v/>
      </c>
      <c r="L229">
        <f>SUBSTITUTE(SUBSTITUTE(SUBSTITUTE(D229,"年","-"),"組","-"),"番","")</f>
        <v/>
      </c>
      <c r="M229">
        <f>IF(D229="",0,IF(ISNUMBER(VALUE(SUBSTITUTE(L229,"-",""))),1,0))</f>
        <v/>
      </c>
      <c r="N229">
        <f>IF(M229=0,"",IFERROR(VALUE(TRIM(MID(SUBSTITUTE(L229,"-",REPT(" ",100)),101,100))),""))</f>
        <v/>
      </c>
      <c r="O229">
        <f>IF(M229=0,"",IFERROR(VALUE(TRIM(RIGHT(SUBSTITUTE(L229,"-",REPT(" ",100)),100))),""))</f>
        <v/>
      </c>
      <c r="P229">
        <f>IF(B229="","",TRIM(INDEX($D229:$K229,IF(M229=1,2,1))&amp;IF(AD229&gt;=2," "&amp;INDEX($D229:$K229,IF(M229=1,2,1)+1),"")&amp;IF(AD229&gt;=3," "&amp;INDEX($D229:$K229,IF(M229=1,2,1)+2),"")))</f>
        <v/>
      </c>
      <c r="Q229">
        <f>IF(C229&lt;2,"",TRIM(IF(AND(2&gt;=(IF(M229=1,2,1)+AD229),2&lt;=C229-IF(S229="",0,1)),E229&amp;" ","")&amp;IF(AND(3&gt;=(IF(M229=1,2,1)+AD229),3&lt;=C229-IF(S229="",0,1)),F229&amp;" ","")&amp;IF(AND(4&gt;=(IF(M229=1,2,1)+AD229),4&lt;=C229-IF(S229="",0,1)),G229&amp;" ","")&amp;IF(AND(5&gt;=(IF(M229=1,2,1)+AD229),5&lt;=C229-IF(S229="",0,1)),H229&amp;" ","")&amp;IF(AND(6&gt;=(IF(M229=1,2,1)+AD229),6&lt;=C229-IF(S229="",0,1)),I229&amp;" ","")&amp;IF(AND(7&gt;=(IF(M229=1,2,1)+AD229),7&lt;=C229-IF(S229="",0,1)),J229&amp;" ","")&amp;IF(AND(8&gt;=(IF(M229=1,2,1)+AD229),8&lt;=C229-IF(S229="",0,1)),K229&amp;" ","")))</f>
        <v/>
      </c>
      <c r="R229">
        <f>IF(Q229="","",IFERROR(INDEX(資格マスタ!$B:$B,MATCH(ASC(SUBSTITUTE(SUBSTITUTE(Q229," ",""),"　","")),資格マスタ!$D:$D,0)),Q229))</f>
        <v/>
      </c>
      <c r="S229" s="139">
        <f>IF(C229&lt;2,"",IFERROR(IF(OR(LEFT(INDEX(D229:K229,MIN(8,MAX(1,C229))),2)="令和",LEFT(INDEX(D229:K229,MIN(8,MAX(1,C229))),2)="平成",LEFT(INDEX(D229:K229,MIN(8,MAX(1,C229))),2)="昭和"),DATE(VALUE(MID(INDEX(D229:K229,MIN(8,MAX(1,C229))),3,FIND("年",INDEX(D229:K229,MIN(8,MAX(1,C229))))-3))+IF(LEFT(INDEX(D229:K229,MIN(8,MAX(1,C229))),2)="令和",2018,IF(LEFT(INDEX(D229:K229,MIN(8,MAX(1,C229))),2)="平成",1988,1925)),VALUE(MID(INDEX(D229:K229,MIN(8,MAX(1,C229))),FIND("年",INDEX(D229:K229,MIN(8,MAX(1,C229))))+1,FIND("月",INDEX(D229:K229,MIN(8,MAX(1,C229))))-FIND("年",INDEX(D229:K229,MIN(8,MAX(1,C229))))-1)),IFERROR(VALUE(SUBSTITUTE(MID(INDEX(D229:K229,MIN(8,MAX(1,C229))),FIND("月",INDEX(D229:K229,MIN(8,MAX(1,C229))))+1,10),"日","")),1)),DATE(VALUE(TRIM(MID(SUBSTITUTE(AA229,"/",REPT(" ",50)),1,50))),VALUE(TRIM(MID(SUBSTITUTE(AA229,"/",REPT(" ",50)),51,50))),IFERROR(VALUE(TRIM(MID(SUBSTITUTE(AA229,"/",REPT(" ",50)),101,50))),1))),IFERROR(DATEVALUE(INDEX(D229:K229,MIN(8,MAX(1,C229)))),"")))</f>
        <v/>
      </c>
      <c r="T229">
        <f>IF(B229="","",IF(AB229&lt;&gt;"",AB229,IFERROR(MATCH(SUBSTITUTE(SUBSTITUTE(P229," ",""),"　",""),入力!$AH$5:$AH$44,0),"")))</f>
        <v/>
      </c>
      <c r="U229">
        <f>IF(T229="","",INDEX(入力!$D$5:$D$44,T229))</f>
        <v/>
      </c>
      <c r="V229">
        <f>IF(B229="","",IF(T229="","要確認（名簿と照合できません）",IF(R229="","要確認（資格名がありません）",IF(S229="","要確認（取得日が読めません）",IF((IF(INDEX(入力!$N$5:$N$44,T229)=R229,1,0)+IF(INDEX(入力!$P$5:$P$44,T229)=R229,1,0)+IF(INDEX(入力!$R$5:$R$44,T229)=R229,1,0)+IF(INDEX(入力!$T$5:$T$44,T229)=R229,1,0)+IF(INDEX(入力!$V$5:$V$44,T229)=R229,1,0)+IF(INDEX(入力!$X$5:$X$44,T229)=R229,1,0))+(COUNTIFS($T$6:$T$405,T229,$R$6:$R$405,R229,$X$6:$X$405,"&lt;"&amp;X229))&gt;0,"重複","反映")))))</f>
        <v/>
      </c>
      <c r="W229">
        <f>IF(V229="反映",1,0)</f>
        <v/>
      </c>
      <c r="X229" t="n">
        <v>229</v>
      </c>
      <c r="Y229">
        <f>IF(W229=0,"",COUNTIFS($T$6:$T$405,T229,$W$6:$W$405,1,$S$6:$S$405,"&lt;"&amp;S229)+COUNTIFS($T$6:$T$405,T229,$W$6:$W$405,1,$S$6:$S$405,S229,$X$6:$X$405,"&lt;"&amp;X229)+1)</f>
        <v/>
      </c>
      <c r="Z229">
        <f>IF(Y229="","",T229&amp;"_"&amp;Y229)</f>
        <v/>
      </c>
      <c r="AA229">
        <f>SUBSTITUTE(SUBSTITUTE(SUBSTITUTE(SUBSTITUTE(SUBSTITUTE(INDEX(D229:K229,MIN(8,MAX(1,C229))),"年","/"),"月","/"),"日",""),"-","/"),".","/")</f>
        <v/>
      </c>
      <c r="AB229">
        <f>IFERROR(MATCH(O229,入力!$C$5:$C$44,0),"")</f>
        <v/>
      </c>
      <c r="AC229">
        <f>IF(AB229="","",INDEX(入力!$AH$5:$AH$44,AB229))</f>
        <v/>
      </c>
      <c r="AD229">
        <f>IF(INDEX($D229:$K229,IF(M229=1,2,1))=AC229,1,IF(INDEX($D229:$K229,IF(M229=1,2,1))&amp;INDEX($D229:$K229,IF(M229=1,2,1)+1)=AC229,2,IF(INDEX($D229:$K229,IF(M229=1,2,1))&amp;INDEX($D229:$K229,IF(M229=1,2,1)+1)&amp;INDEX($D229:$K229,IF(M229=1,2,1)+2)=AC229,3,IF(AB229&lt;&gt;"",2,IF(ISNUMBER(MATCH(INDEX($D229:$K229,IF(M229=1,2,1)),入力!$AH$5:$AH$44,0)),1,IF(ISNUMBER(MATCH(INDEX($D229:$K229,IF(M229=1,2,1))&amp;INDEX($D229:$K229,IF(M229=1,2,1)+1),入力!$AH$5:$AH$44,0)),2,IF(ISNUMBER(MATCH(INDEX($D229:$K229,IF(M229=1,2,1))&amp;INDEX($D229:$K229,IF(M229=1,2,1)+1)&amp;INDEX($D229:$K229,IF(M229=1,2,1)+2),入力!$AH$5:$AH$44,0)),3,2)))))))</f>
        <v/>
      </c>
      <c r="AE229">
        <f>IF(V229="","",IF(AND(V229="反映",N(Y229)&gt;20),"要確認（この生徒の取込が20件を超えました）",V229))</f>
        <v/>
      </c>
    </row>
    <row r="230">
      <c r="A230" s="138" t="n"/>
      <c r="B230">
        <f>TRIM(SUBSTITUTE(SUBSTITUTE(SUBSTITUTE(A230,CHAR(9)," "),"　"," "),CHAR(160)," "))</f>
        <v/>
      </c>
      <c r="C230">
        <f>IF(B230="",0,LEN(B230)-LEN(SUBSTITUTE(B230," ",""))+1)</f>
        <v/>
      </c>
      <c r="D230">
        <f>IF(C230&gt;=1,TRIM(MID(SUBSTITUTE(B230," ",REPT(" ",200)),1,200)),"")</f>
        <v/>
      </c>
      <c r="E230">
        <f>IF(C230&gt;=2,TRIM(MID(SUBSTITUTE(B230," ",REPT(" ",200)),201,200)),"")</f>
        <v/>
      </c>
      <c r="F230">
        <f>IF(C230&gt;=3,TRIM(MID(SUBSTITUTE(B230," ",REPT(" ",200)),401,200)),"")</f>
        <v/>
      </c>
      <c r="G230">
        <f>IF(C230&gt;=4,TRIM(MID(SUBSTITUTE(B230," ",REPT(" ",200)),601,200)),"")</f>
        <v/>
      </c>
      <c r="H230">
        <f>IF(C230&gt;=5,TRIM(MID(SUBSTITUTE(B230," ",REPT(" ",200)),801,200)),"")</f>
        <v/>
      </c>
      <c r="I230">
        <f>IF(C230&gt;=6,TRIM(MID(SUBSTITUTE(B230," ",REPT(" ",200)),1001,200)),"")</f>
        <v/>
      </c>
      <c r="J230">
        <f>IF(C230&gt;=7,TRIM(MID(SUBSTITUTE(B230," ",REPT(" ",200)),1201,200)),"")</f>
        <v/>
      </c>
      <c r="K230">
        <f>IF(C230&gt;=8,TRIM(MID(SUBSTITUTE(B230," ",REPT(" ",200)),1401,200)),"")</f>
        <v/>
      </c>
      <c r="L230">
        <f>SUBSTITUTE(SUBSTITUTE(SUBSTITUTE(D230,"年","-"),"組","-"),"番","")</f>
        <v/>
      </c>
      <c r="M230">
        <f>IF(D230="",0,IF(ISNUMBER(VALUE(SUBSTITUTE(L230,"-",""))),1,0))</f>
        <v/>
      </c>
      <c r="N230">
        <f>IF(M230=0,"",IFERROR(VALUE(TRIM(MID(SUBSTITUTE(L230,"-",REPT(" ",100)),101,100))),""))</f>
        <v/>
      </c>
      <c r="O230">
        <f>IF(M230=0,"",IFERROR(VALUE(TRIM(RIGHT(SUBSTITUTE(L230,"-",REPT(" ",100)),100))),""))</f>
        <v/>
      </c>
      <c r="P230">
        <f>IF(B230="","",TRIM(INDEX($D230:$K230,IF(M230=1,2,1))&amp;IF(AD230&gt;=2," "&amp;INDEX($D230:$K230,IF(M230=1,2,1)+1),"")&amp;IF(AD230&gt;=3," "&amp;INDEX($D230:$K230,IF(M230=1,2,1)+2),"")))</f>
        <v/>
      </c>
      <c r="Q230">
        <f>IF(C230&lt;2,"",TRIM(IF(AND(2&gt;=(IF(M230=1,2,1)+AD230),2&lt;=C230-IF(S230="",0,1)),E230&amp;" ","")&amp;IF(AND(3&gt;=(IF(M230=1,2,1)+AD230),3&lt;=C230-IF(S230="",0,1)),F230&amp;" ","")&amp;IF(AND(4&gt;=(IF(M230=1,2,1)+AD230),4&lt;=C230-IF(S230="",0,1)),G230&amp;" ","")&amp;IF(AND(5&gt;=(IF(M230=1,2,1)+AD230),5&lt;=C230-IF(S230="",0,1)),H230&amp;" ","")&amp;IF(AND(6&gt;=(IF(M230=1,2,1)+AD230),6&lt;=C230-IF(S230="",0,1)),I230&amp;" ","")&amp;IF(AND(7&gt;=(IF(M230=1,2,1)+AD230),7&lt;=C230-IF(S230="",0,1)),J230&amp;" ","")&amp;IF(AND(8&gt;=(IF(M230=1,2,1)+AD230),8&lt;=C230-IF(S230="",0,1)),K230&amp;" ","")))</f>
        <v/>
      </c>
      <c r="R230">
        <f>IF(Q230="","",IFERROR(INDEX(資格マスタ!$B:$B,MATCH(ASC(SUBSTITUTE(SUBSTITUTE(Q230," ",""),"　","")),資格マスタ!$D:$D,0)),Q230))</f>
        <v/>
      </c>
      <c r="S230" s="139">
        <f>IF(C230&lt;2,"",IFERROR(IF(OR(LEFT(INDEX(D230:K230,MIN(8,MAX(1,C230))),2)="令和",LEFT(INDEX(D230:K230,MIN(8,MAX(1,C230))),2)="平成",LEFT(INDEX(D230:K230,MIN(8,MAX(1,C230))),2)="昭和"),DATE(VALUE(MID(INDEX(D230:K230,MIN(8,MAX(1,C230))),3,FIND("年",INDEX(D230:K230,MIN(8,MAX(1,C230))))-3))+IF(LEFT(INDEX(D230:K230,MIN(8,MAX(1,C230))),2)="令和",2018,IF(LEFT(INDEX(D230:K230,MIN(8,MAX(1,C230))),2)="平成",1988,1925)),VALUE(MID(INDEX(D230:K230,MIN(8,MAX(1,C230))),FIND("年",INDEX(D230:K230,MIN(8,MAX(1,C230))))+1,FIND("月",INDEX(D230:K230,MIN(8,MAX(1,C230))))-FIND("年",INDEX(D230:K230,MIN(8,MAX(1,C230))))-1)),IFERROR(VALUE(SUBSTITUTE(MID(INDEX(D230:K230,MIN(8,MAX(1,C230))),FIND("月",INDEX(D230:K230,MIN(8,MAX(1,C230))))+1,10),"日","")),1)),DATE(VALUE(TRIM(MID(SUBSTITUTE(AA230,"/",REPT(" ",50)),1,50))),VALUE(TRIM(MID(SUBSTITUTE(AA230,"/",REPT(" ",50)),51,50))),IFERROR(VALUE(TRIM(MID(SUBSTITUTE(AA230,"/",REPT(" ",50)),101,50))),1))),IFERROR(DATEVALUE(INDEX(D230:K230,MIN(8,MAX(1,C230)))),"")))</f>
        <v/>
      </c>
      <c r="T230">
        <f>IF(B230="","",IF(AB230&lt;&gt;"",AB230,IFERROR(MATCH(SUBSTITUTE(SUBSTITUTE(P230," ",""),"　",""),入力!$AH$5:$AH$44,0),"")))</f>
        <v/>
      </c>
      <c r="U230">
        <f>IF(T230="","",INDEX(入力!$D$5:$D$44,T230))</f>
        <v/>
      </c>
      <c r="V230">
        <f>IF(B230="","",IF(T230="","要確認（名簿と照合できません）",IF(R230="","要確認（資格名がありません）",IF(S230="","要確認（取得日が読めません）",IF((IF(INDEX(入力!$N$5:$N$44,T230)=R230,1,0)+IF(INDEX(入力!$P$5:$P$44,T230)=R230,1,0)+IF(INDEX(入力!$R$5:$R$44,T230)=R230,1,0)+IF(INDEX(入力!$T$5:$T$44,T230)=R230,1,0)+IF(INDEX(入力!$V$5:$V$44,T230)=R230,1,0)+IF(INDEX(入力!$X$5:$X$44,T230)=R230,1,0))+(COUNTIFS($T$6:$T$405,T230,$R$6:$R$405,R230,$X$6:$X$405,"&lt;"&amp;X230))&gt;0,"重複","反映")))))</f>
        <v/>
      </c>
      <c r="W230">
        <f>IF(V230="反映",1,0)</f>
        <v/>
      </c>
      <c r="X230" t="n">
        <v>230</v>
      </c>
      <c r="Y230">
        <f>IF(W230=0,"",COUNTIFS($T$6:$T$405,T230,$W$6:$W$405,1,$S$6:$S$405,"&lt;"&amp;S230)+COUNTIFS($T$6:$T$405,T230,$W$6:$W$405,1,$S$6:$S$405,S230,$X$6:$X$405,"&lt;"&amp;X230)+1)</f>
        <v/>
      </c>
      <c r="Z230">
        <f>IF(Y230="","",T230&amp;"_"&amp;Y230)</f>
        <v/>
      </c>
      <c r="AA230">
        <f>SUBSTITUTE(SUBSTITUTE(SUBSTITUTE(SUBSTITUTE(SUBSTITUTE(INDEX(D230:K230,MIN(8,MAX(1,C230))),"年","/"),"月","/"),"日",""),"-","/"),".","/")</f>
        <v/>
      </c>
      <c r="AB230">
        <f>IFERROR(MATCH(O230,入力!$C$5:$C$44,0),"")</f>
        <v/>
      </c>
      <c r="AC230">
        <f>IF(AB230="","",INDEX(入力!$AH$5:$AH$44,AB230))</f>
        <v/>
      </c>
      <c r="AD230">
        <f>IF(INDEX($D230:$K230,IF(M230=1,2,1))=AC230,1,IF(INDEX($D230:$K230,IF(M230=1,2,1))&amp;INDEX($D230:$K230,IF(M230=1,2,1)+1)=AC230,2,IF(INDEX($D230:$K230,IF(M230=1,2,1))&amp;INDEX($D230:$K230,IF(M230=1,2,1)+1)&amp;INDEX($D230:$K230,IF(M230=1,2,1)+2)=AC230,3,IF(AB230&lt;&gt;"",2,IF(ISNUMBER(MATCH(INDEX($D230:$K230,IF(M230=1,2,1)),入力!$AH$5:$AH$44,0)),1,IF(ISNUMBER(MATCH(INDEX($D230:$K230,IF(M230=1,2,1))&amp;INDEX($D230:$K230,IF(M230=1,2,1)+1),入力!$AH$5:$AH$44,0)),2,IF(ISNUMBER(MATCH(INDEX($D230:$K230,IF(M230=1,2,1))&amp;INDEX($D230:$K230,IF(M230=1,2,1)+1)&amp;INDEX($D230:$K230,IF(M230=1,2,1)+2),入力!$AH$5:$AH$44,0)),3,2)))))))</f>
        <v/>
      </c>
      <c r="AE230">
        <f>IF(V230="","",IF(AND(V230="反映",N(Y230)&gt;20),"要確認（この生徒の取込が20件を超えました）",V230))</f>
        <v/>
      </c>
    </row>
    <row r="231">
      <c r="A231" s="138" t="n"/>
      <c r="B231">
        <f>TRIM(SUBSTITUTE(SUBSTITUTE(SUBSTITUTE(A231,CHAR(9)," "),"　"," "),CHAR(160)," "))</f>
        <v/>
      </c>
      <c r="C231">
        <f>IF(B231="",0,LEN(B231)-LEN(SUBSTITUTE(B231," ",""))+1)</f>
        <v/>
      </c>
      <c r="D231">
        <f>IF(C231&gt;=1,TRIM(MID(SUBSTITUTE(B231," ",REPT(" ",200)),1,200)),"")</f>
        <v/>
      </c>
      <c r="E231">
        <f>IF(C231&gt;=2,TRIM(MID(SUBSTITUTE(B231," ",REPT(" ",200)),201,200)),"")</f>
        <v/>
      </c>
      <c r="F231">
        <f>IF(C231&gt;=3,TRIM(MID(SUBSTITUTE(B231," ",REPT(" ",200)),401,200)),"")</f>
        <v/>
      </c>
      <c r="G231">
        <f>IF(C231&gt;=4,TRIM(MID(SUBSTITUTE(B231," ",REPT(" ",200)),601,200)),"")</f>
        <v/>
      </c>
      <c r="H231">
        <f>IF(C231&gt;=5,TRIM(MID(SUBSTITUTE(B231," ",REPT(" ",200)),801,200)),"")</f>
        <v/>
      </c>
      <c r="I231">
        <f>IF(C231&gt;=6,TRIM(MID(SUBSTITUTE(B231," ",REPT(" ",200)),1001,200)),"")</f>
        <v/>
      </c>
      <c r="J231">
        <f>IF(C231&gt;=7,TRIM(MID(SUBSTITUTE(B231," ",REPT(" ",200)),1201,200)),"")</f>
        <v/>
      </c>
      <c r="K231">
        <f>IF(C231&gt;=8,TRIM(MID(SUBSTITUTE(B231," ",REPT(" ",200)),1401,200)),"")</f>
        <v/>
      </c>
      <c r="L231">
        <f>SUBSTITUTE(SUBSTITUTE(SUBSTITUTE(D231,"年","-"),"組","-"),"番","")</f>
        <v/>
      </c>
      <c r="M231">
        <f>IF(D231="",0,IF(ISNUMBER(VALUE(SUBSTITUTE(L231,"-",""))),1,0))</f>
        <v/>
      </c>
      <c r="N231">
        <f>IF(M231=0,"",IFERROR(VALUE(TRIM(MID(SUBSTITUTE(L231,"-",REPT(" ",100)),101,100))),""))</f>
        <v/>
      </c>
      <c r="O231">
        <f>IF(M231=0,"",IFERROR(VALUE(TRIM(RIGHT(SUBSTITUTE(L231,"-",REPT(" ",100)),100))),""))</f>
        <v/>
      </c>
      <c r="P231">
        <f>IF(B231="","",TRIM(INDEX($D231:$K231,IF(M231=1,2,1))&amp;IF(AD231&gt;=2," "&amp;INDEX($D231:$K231,IF(M231=1,2,1)+1),"")&amp;IF(AD231&gt;=3," "&amp;INDEX($D231:$K231,IF(M231=1,2,1)+2),"")))</f>
        <v/>
      </c>
      <c r="Q231">
        <f>IF(C231&lt;2,"",TRIM(IF(AND(2&gt;=(IF(M231=1,2,1)+AD231),2&lt;=C231-IF(S231="",0,1)),E231&amp;" ","")&amp;IF(AND(3&gt;=(IF(M231=1,2,1)+AD231),3&lt;=C231-IF(S231="",0,1)),F231&amp;" ","")&amp;IF(AND(4&gt;=(IF(M231=1,2,1)+AD231),4&lt;=C231-IF(S231="",0,1)),G231&amp;" ","")&amp;IF(AND(5&gt;=(IF(M231=1,2,1)+AD231),5&lt;=C231-IF(S231="",0,1)),H231&amp;" ","")&amp;IF(AND(6&gt;=(IF(M231=1,2,1)+AD231),6&lt;=C231-IF(S231="",0,1)),I231&amp;" ","")&amp;IF(AND(7&gt;=(IF(M231=1,2,1)+AD231),7&lt;=C231-IF(S231="",0,1)),J231&amp;" ","")&amp;IF(AND(8&gt;=(IF(M231=1,2,1)+AD231),8&lt;=C231-IF(S231="",0,1)),K231&amp;" ","")))</f>
        <v/>
      </c>
      <c r="R231">
        <f>IF(Q231="","",IFERROR(INDEX(資格マスタ!$B:$B,MATCH(ASC(SUBSTITUTE(SUBSTITUTE(Q231," ",""),"　","")),資格マスタ!$D:$D,0)),Q231))</f>
        <v/>
      </c>
      <c r="S231" s="139">
        <f>IF(C231&lt;2,"",IFERROR(IF(OR(LEFT(INDEX(D231:K231,MIN(8,MAX(1,C231))),2)="令和",LEFT(INDEX(D231:K231,MIN(8,MAX(1,C231))),2)="平成",LEFT(INDEX(D231:K231,MIN(8,MAX(1,C231))),2)="昭和"),DATE(VALUE(MID(INDEX(D231:K231,MIN(8,MAX(1,C231))),3,FIND("年",INDEX(D231:K231,MIN(8,MAX(1,C231))))-3))+IF(LEFT(INDEX(D231:K231,MIN(8,MAX(1,C231))),2)="令和",2018,IF(LEFT(INDEX(D231:K231,MIN(8,MAX(1,C231))),2)="平成",1988,1925)),VALUE(MID(INDEX(D231:K231,MIN(8,MAX(1,C231))),FIND("年",INDEX(D231:K231,MIN(8,MAX(1,C231))))+1,FIND("月",INDEX(D231:K231,MIN(8,MAX(1,C231))))-FIND("年",INDEX(D231:K231,MIN(8,MAX(1,C231))))-1)),IFERROR(VALUE(SUBSTITUTE(MID(INDEX(D231:K231,MIN(8,MAX(1,C231))),FIND("月",INDEX(D231:K231,MIN(8,MAX(1,C231))))+1,10),"日","")),1)),DATE(VALUE(TRIM(MID(SUBSTITUTE(AA231,"/",REPT(" ",50)),1,50))),VALUE(TRIM(MID(SUBSTITUTE(AA231,"/",REPT(" ",50)),51,50))),IFERROR(VALUE(TRIM(MID(SUBSTITUTE(AA231,"/",REPT(" ",50)),101,50))),1))),IFERROR(DATEVALUE(INDEX(D231:K231,MIN(8,MAX(1,C231)))),"")))</f>
        <v/>
      </c>
      <c r="T231">
        <f>IF(B231="","",IF(AB231&lt;&gt;"",AB231,IFERROR(MATCH(SUBSTITUTE(SUBSTITUTE(P231," ",""),"　",""),入力!$AH$5:$AH$44,0),"")))</f>
        <v/>
      </c>
      <c r="U231">
        <f>IF(T231="","",INDEX(入力!$D$5:$D$44,T231))</f>
        <v/>
      </c>
      <c r="V231">
        <f>IF(B231="","",IF(T231="","要確認（名簿と照合できません）",IF(R231="","要確認（資格名がありません）",IF(S231="","要確認（取得日が読めません）",IF((IF(INDEX(入力!$N$5:$N$44,T231)=R231,1,0)+IF(INDEX(入力!$P$5:$P$44,T231)=R231,1,0)+IF(INDEX(入力!$R$5:$R$44,T231)=R231,1,0)+IF(INDEX(入力!$T$5:$T$44,T231)=R231,1,0)+IF(INDEX(入力!$V$5:$V$44,T231)=R231,1,0)+IF(INDEX(入力!$X$5:$X$44,T231)=R231,1,0))+(COUNTIFS($T$6:$T$405,T231,$R$6:$R$405,R231,$X$6:$X$405,"&lt;"&amp;X231))&gt;0,"重複","反映")))))</f>
        <v/>
      </c>
      <c r="W231">
        <f>IF(V231="反映",1,0)</f>
        <v/>
      </c>
      <c r="X231" t="n">
        <v>231</v>
      </c>
      <c r="Y231">
        <f>IF(W231=0,"",COUNTIFS($T$6:$T$405,T231,$W$6:$W$405,1,$S$6:$S$405,"&lt;"&amp;S231)+COUNTIFS($T$6:$T$405,T231,$W$6:$W$405,1,$S$6:$S$405,S231,$X$6:$X$405,"&lt;"&amp;X231)+1)</f>
        <v/>
      </c>
      <c r="Z231">
        <f>IF(Y231="","",T231&amp;"_"&amp;Y231)</f>
        <v/>
      </c>
      <c r="AA231">
        <f>SUBSTITUTE(SUBSTITUTE(SUBSTITUTE(SUBSTITUTE(SUBSTITUTE(INDEX(D231:K231,MIN(8,MAX(1,C231))),"年","/"),"月","/"),"日",""),"-","/"),".","/")</f>
        <v/>
      </c>
      <c r="AB231">
        <f>IFERROR(MATCH(O231,入力!$C$5:$C$44,0),"")</f>
        <v/>
      </c>
      <c r="AC231">
        <f>IF(AB231="","",INDEX(入力!$AH$5:$AH$44,AB231))</f>
        <v/>
      </c>
      <c r="AD231">
        <f>IF(INDEX($D231:$K231,IF(M231=1,2,1))=AC231,1,IF(INDEX($D231:$K231,IF(M231=1,2,1))&amp;INDEX($D231:$K231,IF(M231=1,2,1)+1)=AC231,2,IF(INDEX($D231:$K231,IF(M231=1,2,1))&amp;INDEX($D231:$K231,IF(M231=1,2,1)+1)&amp;INDEX($D231:$K231,IF(M231=1,2,1)+2)=AC231,3,IF(AB231&lt;&gt;"",2,IF(ISNUMBER(MATCH(INDEX($D231:$K231,IF(M231=1,2,1)),入力!$AH$5:$AH$44,0)),1,IF(ISNUMBER(MATCH(INDEX($D231:$K231,IF(M231=1,2,1))&amp;INDEX($D231:$K231,IF(M231=1,2,1)+1),入力!$AH$5:$AH$44,0)),2,IF(ISNUMBER(MATCH(INDEX($D231:$K231,IF(M231=1,2,1))&amp;INDEX($D231:$K231,IF(M231=1,2,1)+1)&amp;INDEX($D231:$K231,IF(M231=1,2,1)+2),入力!$AH$5:$AH$44,0)),3,2)))))))</f>
        <v/>
      </c>
      <c r="AE231">
        <f>IF(V231="","",IF(AND(V231="反映",N(Y231)&gt;20),"要確認（この生徒の取込が20件を超えました）",V231))</f>
        <v/>
      </c>
    </row>
    <row r="232">
      <c r="A232" s="138" t="n"/>
      <c r="B232">
        <f>TRIM(SUBSTITUTE(SUBSTITUTE(SUBSTITUTE(A232,CHAR(9)," "),"　"," "),CHAR(160)," "))</f>
        <v/>
      </c>
      <c r="C232">
        <f>IF(B232="",0,LEN(B232)-LEN(SUBSTITUTE(B232," ",""))+1)</f>
        <v/>
      </c>
      <c r="D232">
        <f>IF(C232&gt;=1,TRIM(MID(SUBSTITUTE(B232," ",REPT(" ",200)),1,200)),"")</f>
        <v/>
      </c>
      <c r="E232">
        <f>IF(C232&gt;=2,TRIM(MID(SUBSTITUTE(B232," ",REPT(" ",200)),201,200)),"")</f>
        <v/>
      </c>
      <c r="F232">
        <f>IF(C232&gt;=3,TRIM(MID(SUBSTITUTE(B232," ",REPT(" ",200)),401,200)),"")</f>
        <v/>
      </c>
      <c r="G232">
        <f>IF(C232&gt;=4,TRIM(MID(SUBSTITUTE(B232," ",REPT(" ",200)),601,200)),"")</f>
        <v/>
      </c>
      <c r="H232">
        <f>IF(C232&gt;=5,TRIM(MID(SUBSTITUTE(B232," ",REPT(" ",200)),801,200)),"")</f>
        <v/>
      </c>
      <c r="I232">
        <f>IF(C232&gt;=6,TRIM(MID(SUBSTITUTE(B232," ",REPT(" ",200)),1001,200)),"")</f>
        <v/>
      </c>
      <c r="J232">
        <f>IF(C232&gt;=7,TRIM(MID(SUBSTITUTE(B232," ",REPT(" ",200)),1201,200)),"")</f>
        <v/>
      </c>
      <c r="K232">
        <f>IF(C232&gt;=8,TRIM(MID(SUBSTITUTE(B232," ",REPT(" ",200)),1401,200)),"")</f>
        <v/>
      </c>
      <c r="L232">
        <f>SUBSTITUTE(SUBSTITUTE(SUBSTITUTE(D232,"年","-"),"組","-"),"番","")</f>
        <v/>
      </c>
      <c r="M232">
        <f>IF(D232="",0,IF(ISNUMBER(VALUE(SUBSTITUTE(L232,"-",""))),1,0))</f>
        <v/>
      </c>
      <c r="N232">
        <f>IF(M232=0,"",IFERROR(VALUE(TRIM(MID(SUBSTITUTE(L232,"-",REPT(" ",100)),101,100))),""))</f>
        <v/>
      </c>
      <c r="O232">
        <f>IF(M232=0,"",IFERROR(VALUE(TRIM(RIGHT(SUBSTITUTE(L232,"-",REPT(" ",100)),100))),""))</f>
        <v/>
      </c>
      <c r="P232">
        <f>IF(B232="","",TRIM(INDEX($D232:$K232,IF(M232=1,2,1))&amp;IF(AD232&gt;=2," "&amp;INDEX($D232:$K232,IF(M232=1,2,1)+1),"")&amp;IF(AD232&gt;=3," "&amp;INDEX($D232:$K232,IF(M232=1,2,1)+2),"")))</f>
        <v/>
      </c>
      <c r="Q232">
        <f>IF(C232&lt;2,"",TRIM(IF(AND(2&gt;=(IF(M232=1,2,1)+AD232),2&lt;=C232-IF(S232="",0,1)),E232&amp;" ","")&amp;IF(AND(3&gt;=(IF(M232=1,2,1)+AD232),3&lt;=C232-IF(S232="",0,1)),F232&amp;" ","")&amp;IF(AND(4&gt;=(IF(M232=1,2,1)+AD232),4&lt;=C232-IF(S232="",0,1)),G232&amp;" ","")&amp;IF(AND(5&gt;=(IF(M232=1,2,1)+AD232),5&lt;=C232-IF(S232="",0,1)),H232&amp;" ","")&amp;IF(AND(6&gt;=(IF(M232=1,2,1)+AD232),6&lt;=C232-IF(S232="",0,1)),I232&amp;" ","")&amp;IF(AND(7&gt;=(IF(M232=1,2,1)+AD232),7&lt;=C232-IF(S232="",0,1)),J232&amp;" ","")&amp;IF(AND(8&gt;=(IF(M232=1,2,1)+AD232),8&lt;=C232-IF(S232="",0,1)),K232&amp;" ","")))</f>
        <v/>
      </c>
      <c r="R232">
        <f>IF(Q232="","",IFERROR(INDEX(資格マスタ!$B:$B,MATCH(ASC(SUBSTITUTE(SUBSTITUTE(Q232," ",""),"　","")),資格マスタ!$D:$D,0)),Q232))</f>
        <v/>
      </c>
      <c r="S232" s="139">
        <f>IF(C232&lt;2,"",IFERROR(IF(OR(LEFT(INDEX(D232:K232,MIN(8,MAX(1,C232))),2)="令和",LEFT(INDEX(D232:K232,MIN(8,MAX(1,C232))),2)="平成",LEFT(INDEX(D232:K232,MIN(8,MAX(1,C232))),2)="昭和"),DATE(VALUE(MID(INDEX(D232:K232,MIN(8,MAX(1,C232))),3,FIND("年",INDEX(D232:K232,MIN(8,MAX(1,C232))))-3))+IF(LEFT(INDEX(D232:K232,MIN(8,MAX(1,C232))),2)="令和",2018,IF(LEFT(INDEX(D232:K232,MIN(8,MAX(1,C232))),2)="平成",1988,1925)),VALUE(MID(INDEX(D232:K232,MIN(8,MAX(1,C232))),FIND("年",INDEX(D232:K232,MIN(8,MAX(1,C232))))+1,FIND("月",INDEX(D232:K232,MIN(8,MAX(1,C232))))-FIND("年",INDEX(D232:K232,MIN(8,MAX(1,C232))))-1)),IFERROR(VALUE(SUBSTITUTE(MID(INDEX(D232:K232,MIN(8,MAX(1,C232))),FIND("月",INDEX(D232:K232,MIN(8,MAX(1,C232))))+1,10),"日","")),1)),DATE(VALUE(TRIM(MID(SUBSTITUTE(AA232,"/",REPT(" ",50)),1,50))),VALUE(TRIM(MID(SUBSTITUTE(AA232,"/",REPT(" ",50)),51,50))),IFERROR(VALUE(TRIM(MID(SUBSTITUTE(AA232,"/",REPT(" ",50)),101,50))),1))),IFERROR(DATEVALUE(INDEX(D232:K232,MIN(8,MAX(1,C232)))),"")))</f>
        <v/>
      </c>
      <c r="T232">
        <f>IF(B232="","",IF(AB232&lt;&gt;"",AB232,IFERROR(MATCH(SUBSTITUTE(SUBSTITUTE(P232," ",""),"　",""),入力!$AH$5:$AH$44,0),"")))</f>
        <v/>
      </c>
      <c r="U232">
        <f>IF(T232="","",INDEX(入力!$D$5:$D$44,T232))</f>
        <v/>
      </c>
      <c r="V232">
        <f>IF(B232="","",IF(T232="","要確認（名簿と照合できません）",IF(R232="","要確認（資格名がありません）",IF(S232="","要確認（取得日が読めません）",IF((IF(INDEX(入力!$N$5:$N$44,T232)=R232,1,0)+IF(INDEX(入力!$P$5:$P$44,T232)=R232,1,0)+IF(INDEX(入力!$R$5:$R$44,T232)=R232,1,0)+IF(INDEX(入力!$T$5:$T$44,T232)=R232,1,0)+IF(INDEX(入力!$V$5:$V$44,T232)=R232,1,0)+IF(INDEX(入力!$X$5:$X$44,T232)=R232,1,0))+(COUNTIFS($T$6:$T$405,T232,$R$6:$R$405,R232,$X$6:$X$405,"&lt;"&amp;X232))&gt;0,"重複","反映")))))</f>
        <v/>
      </c>
      <c r="W232">
        <f>IF(V232="反映",1,0)</f>
        <v/>
      </c>
      <c r="X232" t="n">
        <v>232</v>
      </c>
      <c r="Y232">
        <f>IF(W232=0,"",COUNTIFS($T$6:$T$405,T232,$W$6:$W$405,1,$S$6:$S$405,"&lt;"&amp;S232)+COUNTIFS($T$6:$T$405,T232,$W$6:$W$405,1,$S$6:$S$405,S232,$X$6:$X$405,"&lt;"&amp;X232)+1)</f>
        <v/>
      </c>
      <c r="Z232">
        <f>IF(Y232="","",T232&amp;"_"&amp;Y232)</f>
        <v/>
      </c>
      <c r="AA232">
        <f>SUBSTITUTE(SUBSTITUTE(SUBSTITUTE(SUBSTITUTE(SUBSTITUTE(INDEX(D232:K232,MIN(8,MAX(1,C232))),"年","/"),"月","/"),"日",""),"-","/"),".","/")</f>
        <v/>
      </c>
      <c r="AB232">
        <f>IFERROR(MATCH(O232,入力!$C$5:$C$44,0),"")</f>
        <v/>
      </c>
      <c r="AC232">
        <f>IF(AB232="","",INDEX(入力!$AH$5:$AH$44,AB232))</f>
        <v/>
      </c>
      <c r="AD232">
        <f>IF(INDEX($D232:$K232,IF(M232=1,2,1))=AC232,1,IF(INDEX($D232:$K232,IF(M232=1,2,1))&amp;INDEX($D232:$K232,IF(M232=1,2,1)+1)=AC232,2,IF(INDEX($D232:$K232,IF(M232=1,2,1))&amp;INDEX($D232:$K232,IF(M232=1,2,1)+1)&amp;INDEX($D232:$K232,IF(M232=1,2,1)+2)=AC232,3,IF(AB232&lt;&gt;"",2,IF(ISNUMBER(MATCH(INDEX($D232:$K232,IF(M232=1,2,1)),入力!$AH$5:$AH$44,0)),1,IF(ISNUMBER(MATCH(INDEX($D232:$K232,IF(M232=1,2,1))&amp;INDEX($D232:$K232,IF(M232=1,2,1)+1),入力!$AH$5:$AH$44,0)),2,IF(ISNUMBER(MATCH(INDEX($D232:$K232,IF(M232=1,2,1))&amp;INDEX($D232:$K232,IF(M232=1,2,1)+1)&amp;INDEX($D232:$K232,IF(M232=1,2,1)+2),入力!$AH$5:$AH$44,0)),3,2)))))))</f>
        <v/>
      </c>
      <c r="AE232">
        <f>IF(V232="","",IF(AND(V232="反映",N(Y232)&gt;20),"要確認（この生徒の取込が20件を超えました）",V232))</f>
        <v/>
      </c>
    </row>
    <row r="233">
      <c r="A233" s="138" t="n"/>
      <c r="B233">
        <f>TRIM(SUBSTITUTE(SUBSTITUTE(SUBSTITUTE(A233,CHAR(9)," "),"　"," "),CHAR(160)," "))</f>
        <v/>
      </c>
      <c r="C233">
        <f>IF(B233="",0,LEN(B233)-LEN(SUBSTITUTE(B233," ",""))+1)</f>
        <v/>
      </c>
      <c r="D233">
        <f>IF(C233&gt;=1,TRIM(MID(SUBSTITUTE(B233," ",REPT(" ",200)),1,200)),"")</f>
        <v/>
      </c>
      <c r="E233">
        <f>IF(C233&gt;=2,TRIM(MID(SUBSTITUTE(B233," ",REPT(" ",200)),201,200)),"")</f>
        <v/>
      </c>
      <c r="F233">
        <f>IF(C233&gt;=3,TRIM(MID(SUBSTITUTE(B233," ",REPT(" ",200)),401,200)),"")</f>
        <v/>
      </c>
      <c r="G233">
        <f>IF(C233&gt;=4,TRIM(MID(SUBSTITUTE(B233," ",REPT(" ",200)),601,200)),"")</f>
        <v/>
      </c>
      <c r="H233">
        <f>IF(C233&gt;=5,TRIM(MID(SUBSTITUTE(B233," ",REPT(" ",200)),801,200)),"")</f>
        <v/>
      </c>
      <c r="I233">
        <f>IF(C233&gt;=6,TRIM(MID(SUBSTITUTE(B233," ",REPT(" ",200)),1001,200)),"")</f>
        <v/>
      </c>
      <c r="J233">
        <f>IF(C233&gt;=7,TRIM(MID(SUBSTITUTE(B233," ",REPT(" ",200)),1201,200)),"")</f>
        <v/>
      </c>
      <c r="K233">
        <f>IF(C233&gt;=8,TRIM(MID(SUBSTITUTE(B233," ",REPT(" ",200)),1401,200)),"")</f>
        <v/>
      </c>
      <c r="L233">
        <f>SUBSTITUTE(SUBSTITUTE(SUBSTITUTE(D233,"年","-"),"組","-"),"番","")</f>
        <v/>
      </c>
      <c r="M233">
        <f>IF(D233="",0,IF(ISNUMBER(VALUE(SUBSTITUTE(L233,"-",""))),1,0))</f>
        <v/>
      </c>
      <c r="N233">
        <f>IF(M233=0,"",IFERROR(VALUE(TRIM(MID(SUBSTITUTE(L233,"-",REPT(" ",100)),101,100))),""))</f>
        <v/>
      </c>
      <c r="O233">
        <f>IF(M233=0,"",IFERROR(VALUE(TRIM(RIGHT(SUBSTITUTE(L233,"-",REPT(" ",100)),100))),""))</f>
        <v/>
      </c>
      <c r="P233">
        <f>IF(B233="","",TRIM(INDEX($D233:$K233,IF(M233=1,2,1))&amp;IF(AD233&gt;=2," "&amp;INDEX($D233:$K233,IF(M233=1,2,1)+1),"")&amp;IF(AD233&gt;=3," "&amp;INDEX($D233:$K233,IF(M233=1,2,1)+2),"")))</f>
        <v/>
      </c>
      <c r="Q233">
        <f>IF(C233&lt;2,"",TRIM(IF(AND(2&gt;=(IF(M233=1,2,1)+AD233),2&lt;=C233-IF(S233="",0,1)),E233&amp;" ","")&amp;IF(AND(3&gt;=(IF(M233=1,2,1)+AD233),3&lt;=C233-IF(S233="",0,1)),F233&amp;" ","")&amp;IF(AND(4&gt;=(IF(M233=1,2,1)+AD233),4&lt;=C233-IF(S233="",0,1)),G233&amp;" ","")&amp;IF(AND(5&gt;=(IF(M233=1,2,1)+AD233),5&lt;=C233-IF(S233="",0,1)),H233&amp;" ","")&amp;IF(AND(6&gt;=(IF(M233=1,2,1)+AD233),6&lt;=C233-IF(S233="",0,1)),I233&amp;" ","")&amp;IF(AND(7&gt;=(IF(M233=1,2,1)+AD233),7&lt;=C233-IF(S233="",0,1)),J233&amp;" ","")&amp;IF(AND(8&gt;=(IF(M233=1,2,1)+AD233),8&lt;=C233-IF(S233="",0,1)),K233&amp;" ","")))</f>
        <v/>
      </c>
      <c r="R233">
        <f>IF(Q233="","",IFERROR(INDEX(資格マスタ!$B:$B,MATCH(ASC(SUBSTITUTE(SUBSTITUTE(Q233," ",""),"　","")),資格マスタ!$D:$D,0)),Q233))</f>
        <v/>
      </c>
      <c r="S233" s="139">
        <f>IF(C233&lt;2,"",IFERROR(IF(OR(LEFT(INDEX(D233:K233,MIN(8,MAX(1,C233))),2)="令和",LEFT(INDEX(D233:K233,MIN(8,MAX(1,C233))),2)="平成",LEFT(INDEX(D233:K233,MIN(8,MAX(1,C233))),2)="昭和"),DATE(VALUE(MID(INDEX(D233:K233,MIN(8,MAX(1,C233))),3,FIND("年",INDEX(D233:K233,MIN(8,MAX(1,C233))))-3))+IF(LEFT(INDEX(D233:K233,MIN(8,MAX(1,C233))),2)="令和",2018,IF(LEFT(INDEX(D233:K233,MIN(8,MAX(1,C233))),2)="平成",1988,1925)),VALUE(MID(INDEX(D233:K233,MIN(8,MAX(1,C233))),FIND("年",INDEX(D233:K233,MIN(8,MAX(1,C233))))+1,FIND("月",INDEX(D233:K233,MIN(8,MAX(1,C233))))-FIND("年",INDEX(D233:K233,MIN(8,MAX(1,C233))))-1)),IFERROR(VALUE(SUBSTITUTE(MID(INDEX(D233:K233,MIN(8,MAX(1,C233))),FIND("月",INDEX(D233:K233,MIN(8,MAX(1,C233))))+1,10),"日","")),1)),DATE(VALUE(TRIM(MID(SUBSTITUTE(AA233,"/",REPT(" ",50)),1,50))),VALUE(TRIM(MID(SUBSTITUTE(AA233,"/",REPT(" ",50)),51,50))),IFERROR(VALUE(TRIM(MID(SUBSTITUTE(AA233,"/",REPT(" ",50)),101,50))),1))),IFERROR(DATEVALUE(INDEX(D233:K233,MIN(8,MAX(1,C233)))),"")))</f>
        <v/>
      </c>
      <c r="T233">
        <f>IF(B233="","",IF(AB233&lt;&gt;"",AB233,IFERROR(MATCH(SUBSTITUTE(SUBSTITUTE(P233," ",""),"　",""),入力!$AH$5:$AH$44,0),"")))</f>
        <v/>
      </c>
      <c r="U233">
        <f>IF(T233="","",INDEX(入力!$D$5:$D$44,T233))</f>
        <v/>
      </c>
      <c r="V233">
        <f>IF(B233="","",IF(T233="","要確認（名簿と照合できません）",IF(R233="","要確認（資格名がありません）",IF(S233="","要確認（取得日が読めません）",IF((IF(INDEX(入力!$N$5:$N$44,T233)=R233,1,0)+IF(INDEX(入力!$P$5:$P$44,T233)=R233,1,0)+IF(INDEX(入力!$R$5:$R$44,T233)=R233,1,0)+IF(INDEX(入力!$T$5:$T$44,T233)=R233,1,0)+IF(INDEX(入力!$V$5:$V$44,T233)=R233,1,0)+IF(INDEX(入力!$X$5:$X$44,T233)=R233,1,0))+(COUNTIFS($T$6:$T$405,T233,$R$6:$R$405,R233,$X$6:$X$405,"&lt;"&amp;X233))&gt;0,"重複","反映")))))</f>
        <v/>
      </c>
      <c r="W233">
        <f>IF(V233="反映",1,0)</f>
        <v/>
      </c>
      <c r="X233" t="n">
        <v>233</v>
      </c>
      <c r="Y233">
        <f>IF(W233=0,"",COUNTIFS($T$6:$T$405,T233,$W$6:$W$405,1,$S$6:$S$405,"&lt;"&amp;S233)+COUNTIFS($T$6:$T$405,T233,$W$6:$W$405,1,$S$6:$S$405,S233,$X$6:$X$405,"&lt;"&amp;X233)+1)</f>
        <v/>
      </c>
      <c r="Z233">
        <f>IF(Y233="","",T233&amp;"_"&amp;Y233)</f>
        <v/>
      </c>
      <c r="AA233">
        <f>SUBSTITUTE(SUBSTITUTE(SUBSTITUTE(SUBSTITUTE(SUBSTITUTE(INDEX(D233:K233,MIN(8,MAX(1,C233))),"年","/"),"月","/"),"日",""),"-","/"),".","/")</f>
        <v/>
      </c>
      <c r="AB233">
        <f>IFERROR(MATCH(O233,入力!$C$5:$C$44,0),"")</f>
        <v/>
      </c>
      <c r="AC233">
        <f>IF(AB233="","",INDEX(入力!$AH$5:$AH$44,AB233))</f>
        <v/>
      </c>
      <c r="AD233">
        <f>IF(INDEX($D233:$K233,IF(M233=1,2,1))=AC233,1,IF(INDEX($D233:$K233,IF(M233=1,2,1))&amp;INDEX($D233:$K233,IF(M233=1,2,1)+1)=AC233,2,IF(INDEX($D233:$K233,IF(M233=1,2,1))&amp;INDEX($D233:$K233,IF(M233=1,2,1)+1)&amp;INDEX($D233:$K233,IF(M233=1,2,1)+2)=AC233,3,IF(AB233&lt;&gt;"",2,IF(ISNUMBER(MATCH(INDEX($D233:$K233,IF(M233=1,2,1)),入力!$AH$5:$AH$44,0)),1,IF(ISNUMBER(MATCH(INDEX($D233:$K233,IF(M233=1,2,1))&amp;INDEX($D233:$K233,IF(M233=1,2,1)+1),入力!$AH$5:$AH$44,0)),2,IF(ISNUMBER(MATCH(INDEX($D233:$K233,IF(M233=1,2,1))&amp;INDEX($D233:$K233,IF(M233=1,2,1)+1)&amp;INDEX($D233:$K233,IF(M233=1,2,1)+2),入力!$AH$5:$AH$44,0)),3,2)))))))</f>
        <v/>
      </c>
      <c r="AE233">
        <f>IF(V233="","",IF(AND(V233="反映",N(Y233)&gt;20),"要確認（この生徒の取込が20件を超えました）",V233))</f>
        <v/>
      </c>
    </row>
    <row r="234">
      <c r="A234" s="138" t="n"/>
      <c r="B234">
        <f>TRIM(SUBSTITUTE(SUBSTITUTE(SUBSTITUTE(A234,CHAR(9)," "),"　"," "),CHAR(160)," "))</f>
        <v/>
      </c>
      <c r="C234">
        <f>IF(B234="",0,LEN(B234)-LEN(SUBSTITUTE(B234," ",""))+1)</f>
        <v/>
      </c>
      <c r="D234">
        <f>IF(C234&gt;=1,TRIM(MID(SUBSTITUTE(B234," ",REPT(" ",200)),1,200)),"")</f>
        <v/>
      </c>
      <c r="E234">
        <f>IF(C234&gt;=2,TRIM(MID(SUBSTITUTE(B234," ",REPT(" ",200)),201,200)),"")</f>
        <v/>
      </c>
      <c r="F234">
        <f>IF(C234&gt;=3,TRIM(MID(SUBSTITUTE(B234," ",REPT(" ",200)),401,200)),"")</f>
        <v/>
      </c>
      <c r="G234">
        <f>IF(C234&gt;=4,TRIM(MID(SUBSTITUTE(B234," ",REPT(" ",200)),601,200)),"")</f>
        <v/>
      </c>
      <c r="H234">
        <f>IF(C234&gt;=5,TRIM(MID(SUBSTITUTE(B234," ",REPT(" ",200)),801,200)),"")</f>
        <v/>
      </c>
      <c r="I234">
        <f>IF(C234&gt;=6,TRIM(MID(SUBSTITUTE(B234," ",REPT(" ",200)),1001,200)),"")</f>
        <v/>
      </c>
      <c r="J234">
        <f>IF(C234&gt;=7,TRIM(MID(SUBSTITUTE(B234," ",REPT(" ",200)),1201,200)),"")</f>
        <v/>
      </c>
      <c r="K234">
        <f>IF(C234&gt;=8,TRIM(MID(SUBSTITUTE(B234," ",REPT(" ",200)),1401,200)),"")</f>
        <v/>
      </c>
      <c r="L234">
        <f>SUBSTITUTE(SUBSTITUTE(SUBSTITUTE(D234,"年","-"),"組","-"),"番","")</f>
        <v/>
      </c>
      <c r="M234">
        <f>IF(D234="",0,IF(ISNUMBER(VALUE(SUBSTITUTE(L234,"-",""))),1,0))</f>
        <v/>
      </c>
      <c r="N234">
        <f>IF(M234=0,"",IFERROR(VALUE(TRIM(MID(SUBSTITUTE(L234,"-",REPT(" ",100)),101,100))),""))</f>
        <v/>
      </c>
      <c r="O234">
        <f>IF(M234=0,"",IFERROR(VALUE(TRIM(RIGHT(SUBSTITUTE(L234,"-",REPT(" ",100)),100))),""))</f>
        <v/>
      </c>
      <c r="P234">
        <f>IF(B234="","",TRIM(INDEX($D234:$K234,IF(M234=1,2,1))&amp;IF(AD234&gt;=2," "&amp;INDEX($D234:$K234,IF(M234=1,2,1)+1),"")&amp;IF(AD234&gt;=3," "&amp;INDEX($D234:$K234,IF(M234=1,2,1)+2),"")))</f>
        <v/>
      </c>
      <c r="Q234">
        <f>IF(C234&lt;2,"",TRIM(IF(AND(2&gt;=(IF(M234=1,2,1)+AD234),2&lt;=C234-IF(S234="",0,1)),E234&amp;" ","")&amp;IF(AND(3&gt;=(IF(M234=1,2,1)+AD234),3&lt;=C234-IF(S234="",0,1)),F234&amp;" ","")&amp;IF(AND(4&gt;=(IF(M234=1,2,1)+AD234),4&lt;=C234-IF(S234="",0,1)),G234&amp;" ","")&amp;IF(AND(5&gt;=(IF(M234=1,2,1)+AD234),5&lt;=C234-IF(S234="",0,1)),H234&amp;" ","")&amp;IF(AND(6&gt;=(IF(M234=1,2,1)+AD234),6&lt;=C234-IF(S234="",0,1)),I234&amp;" ","")&amp;IF(AND(7&gt;=(IF(M234=1,2,1)+AD234),7&lt;=C234-IF(S234="",0,1)),J234&amp;" ","")&amp;IF(AND(8&gt;=(IF(M234=1,2,1)+AD234),8&lt;=C234-IF(S234="",0,1)),K234&amp;" ","")))</f>
        <v/>
      </c>
      <c r="R234">
        <f>IF(Q234="","",IFERROR(INDEX(資格マスタ!$B:$B,MATCH(ASC(SUBSTITUTE(SUBSTITUTE(Q234," ",""),"　","")),資格マスタ!$D:$D,0)),Q234))</f>
        <v/>
      </c>
      <c r="S234" s="139">
        <f>IF(C234&lt;2,"",IFERROR(IF(OR(LEFT(INDEX(D234:K234,MIN(8,MAX(1,C234))),2)="令和",LEFT(INDEX(D234:K234,MIN(8,MAX(1,C234))),2)="平成",LEFT(INDEX(D234:K234,MIN(8,MAX(1,C234))),2)="昭和"),DATE(VALUE(MID(INDEX(D234:K234,MIN(8,MAX(1,C234))),3,FIND("年",INDEX(D234:K234,MIN(8,MAX(1,C234))))-3))+IF(LEFT(INDEX(D234:K234,MIN(8,MAX(1,C234))),2)="令和",2018,IF(LEFT(INDEX(D234:K234,MIN(8,MAX(1,C234))),2)="平成",1988,1925)),VALUE(MID(INDEX(D234:K234,MIN(8,MAX(1,C234))),FIND("年",INDEX(D234:K234,MIN(8,MAX(1,C234))))+1,FIND("月",INDEX(D234:K234,MIN(8,MAX(1,C234))))-FIND("年",INDEX(D234:K234,MIN(8,MAX(1,C234))))-1)),IFERROR(VALUE(SUBSTITUTE(MID(INDEX(D234:K234,MIN(8,MAX(1,C234))),FIND("月",INDEX(D234:K234,MIN(8,MAX(1,C234))))+1,10),"日","")),1)),DATE(VALUE(TRIM(MID(SUBSTITUTE(AA234,"/",REPT(" ",50)),1,50))),VALUE(TRIM(MID(SUBSTITUTE(AA234,"/",REPT(" ",50)),51,50))),IFERROR(VALUE(TRIM(MID(SUBSTITUTE(AA234,"/",REPT(" ",50)),101,50))),1))),IFERROR(DATEVALUE(INDEX(D234:K234,MIN(8,MAX(1,C234)))),"")))</f>
        <v/>
      </c>
      <c r="T234">
        <f>IF(B234="","",IF(AB234&lt;&gt;"",AB234,IFERROR(MATCH(SUBSTITUTE(SUBSTITUTE(P234," ",""),"　",""),入力!$AH$5:$AH$44,0),"")))</f>
        <v/>
      </c>
      <c r="U234">
        <f>IF(T234="","",INDEX(入力!$D$5:$D$44,T234))</f>
        <v/>
      </c>
      <c r="V234">
        <f>IF(B234="","",IF(T234="","要確認（名簿と照合できません）",IF(R234="","要確認（資格名がありません）",IF(S234="","要確認（取得日が読めません）",IF((IF(INDEX(入力!$N$5:$N$44,T234)=R234,1,0)+IF(INDEX(入力!$P$5:$P$44,T234)=R234,1,0)+IF(INDEX(入力!$R$5:$R$44,T234)=R234,1,0)+IF(INDEX(入力!$T$5:$T$44,T234)=R234,1,0)+IF(INDEX(入力!$V$5:$V$44,T234)=R234,1,0)+IF(INDEX(入力!$X$5:$X$44,T234)=R234,1,0))+(COUNTIFS($T$6:$T$405,T234,$R$6:$R$405,R234,$X$6:$X$405,"&lt;"&amp;X234))&gt;0,"重複","反映")))))</f>
        <v/>
      </c>
      <c r="W234">
        <f>IF(V234="反映",1,0)</f>
        <v/>
      </c>
      <c r="X234" t="n">
        <v>234</v>
      </c>
      <c r="Y234">
        <f>IF(W234=0,"",COUNTIFS($T$6:$T$405,T234,$W$6:$W$405,1,$S$6:$S$405,"&lt;"&amp;S234)+COUNTIFS($T$6:$T$405,T234,$W$6:$W$405,1,$S$6:$S$405,S234,$X$6:$X$405,"&lt;"&amp;X234)+1)</f>
        <v/>
      </c>
      <c r="Z234">
        <f>IF(Y234="","",T234&amp;"_"&amp;Y234)</f>
        <v/>
      </c>
      <c r="AA234">
        <f>SUBSTITUTE(SUBSTITUTE(SUBSTITUTE(SUBSTITUTE(SUBSTITUTE(INDEX(D234:K234,MIN(8,MAX(1,C234))),"年","/"),"月","/"),"日",""),"-","/"),".","/")</f>
        <v/>
      </c>
      <c r="AB234">
        <f>IFERROR(MATCH(O234,入力!$C$5:$C$44,0),"")</f>
        <v/>
      </c>
      <c r="AC234">
        <f>IF(AB234="","",INDEX(入力!$AH$5:$AH$44,AB234))</f>
        <v/>
      </c>
      <c r="AD234">
        <f>IF(INDEX($D234:$K234,IF(M234=1,2,1))=AC234,1,IF(INDEX($D234:$K234,IF(M234=1,2,1))&amp;INDEX($D234:$K234,IF(M234=1,2,1)+1)=AC234,2,IF(INDEX($D234:$K234,IF(M234=1,2,1))&amp;INDEX($D234:$K234,IF(M234=1,2,1)+1)&amp;INDEX($D234:$K234,IF(M234=1,2,1)+2)=AC234,3,IF(AB234&lt;&gt;"",2,IF(ISNUMBER(MATCH(INDEX($D234:$K234,IF(M234=1,2,1)),入力!$AH$5:$AH$44,0)),1,IF(ISNUMBER(MATCH(INDEX($D234:$K234,IF(M234=1,2,1))&amp;INDEX($D234:$K234,IF(M234=1,2,1)+1),入力!$AH$5:$AH$44,0)),2,IF(ISNUMBER(MATCH(INDEX($D234:$K234,IF(M234=1,2,1))&amp;INDEX($D234:$K234,IF(M234=1,2,1)+1)&amp;INDEX($D234:$K234,IF(M234=1,2,1)+2),入力!$AH$5:$AH$44,0)),3,2)))))))</f>
        <v/>
      </c>
      <c r="AE234">
        <f>IF(V234="","",IF(AND(V234="反映",N(Y234)&gt;20),"要確認（この生徒の取込が20件を超えました）",V234))</f>
        <v/>
      </c>
    </row>
    <row r="235">
      <c r="A235" s="138" t="n"/>
      <c r="B235">
        <f>TRIM(SUBSTITUTE(SUBSTITUTE(SUBSTITUTE(A235,CHAR(9)," "),"　"," "),CHAR(160)," "))</f>
        <v/>
      </c>
      <c r="C235">
        <f>IF(B235="",0,LEN(B235)-LEN(SUBSTITUTE(B235," ",""))+1)</f>
        <v/>
      </c>
      <c r="D235">
        <f>IF(C235&gt;=1,TRIM(MID(SUBSTITUTE(B235," ",REPT(" ",200)),1,200)),"")</f>
        <v/>
      </c>
      <c r="E235">
        <f>IF(C235&gt;=2,TRIM(MID(SUBSTITUTE(B235," ",REPT(" ",200)),201,200)),"")</f>
        <v/>
      </c>
      <c r="F235">
        <f>IF(C235&gt;=3,TRIM(MID(SUBSTITUTE(B235," ",REPT(" ",200)),401,200)),"")</f>
        <v/>
      </c>
      <c r="G235">
        <f>IF(C235&gt;=4,TRIM(MID(SUBSTITUTE(B235," ",REPT(" ",200)),601,200)),"")</f>
        <v/>
      </c>
      <c r="H235">
        <f>IF(C235&gt;=5,TRIM(MID(SUBSTITUTE(B235," ",REPT(" ",200)),801,200)),"")</f>
        <v/>
      </c>
      <c r="I235">
        <f>IF(C235&gt;=6,TRIM(MID(SUBSTITUTE(B235," ",REPT(" ",200)),1001,200)),"")</f>
        <v/>
      </c>
      <c r="J235">
        <f>IF(C235&gt;=7,TRIM(MID(SUBSTITUTE(B235," ",REPT(" ",200)),1201,200)),"")</f>
        <v/>
      </c>
      <c r="K235">
        <f>IF(C235&gt;=8,TRIM(MID(SUBSTITUTE(B235," ",REPT(" ",200)),1401,200)),"")</f>
        <v/>
      </c>
      <c r="L235">
        <f>SUBSTITUTE(SUBSTITUTE(SUBSTITUTE(D235,"年","-"),"組","-"),"番","")</f>
        <v/>
      </c>
      <c r="M235">
        <f>IF(D235="",0,IF(ISNUMBER(VALUE(SUBSTITUTE(L235,"-",""))),1,0))</f>
        <v/>
      </c>
      <c r="N235">
        <f>IF(M235=0,"",IFERROR(VALUE(TRIM(MID(SUBSTITUTE(L235,"-",REPT(" ",100)),101,100))),""))</f>
        <v/>
      </c>
      <c r="O235">
        <f>IF(M235=0,"",IFERROR(VALUE(TRIM(RIGHT(SUBSTITUTE(L235,"-",REPT(" ",100)),100))),""))</f>
        <v/>
      </c>
      <c r="P235">
        <f>IF(B235="","",TRIM(INDEX($D235:$K235,IF(M235=1,2,1))&amp;IF(AD235&gt;=2," "&amp;INDEX($D235:$K235,IF(M235=1,2,1)+1),"")&amp;IF(AD235&gt;=3," "&amp;INDEX($D235:$K235,IF(M235=1,2,1)+2),"")))</f>
        <v/>
      </c>
      <c r="Q235">
        <f>IF(C235&lt;2,"",TRIM(IF(AND(2&gt;=(IF(M235=1,2,1)+AD235),2&lt;=C235-IF(S235="",0,1)),E235&amp;" ","")&amp;IF(AND(3&gt;=(IF(M235=1,2,1)+AD235),3&lt;=C235-IF(S235="",0,1)),F235&amp;" ","")&amp;IF(AND(4&gt;=(IF(M235=1,2,1)+AD235),4&lt;=C235-IF(S235="",0,1)),G235&amp;" ","")&amp;IF(AND(5&gt;=(IF(M235=1,2,1)+AD235),5&lt;=C235-IF(S235="",0,1)),H235&amp;" ","")&amp;IF(AND(6&gt;=(IF(M235=1,2,1)+AD235),6&lt;=C235-IF(S235="",0,1)),I235&amp;" ","")&amp;IF(AND(7&gt;=(IF(M235=1,2,1)+AD235),7&lt;=C235-IF(S235="",0,1)),J235&amp;" ","")&amp;IF(AND(8&gt;=(IF(M235=1,2,1)+AD235),8&lt;=C235-IF(S235="",0,1)),K235&amp;" ","")))</f>
        <v/>
      </c>
      <c r="R235">
        <f>IF(Q235="","",IFERROR(INDEX(資格マスタ!$B:$B,MATCH(ASC(SUBSTITUTE(SUBSTITUTE(Q235," ",""),"　","")),資格マスタ!$D:$D,0)),Q235))</f>
        <v/>
      </c>
      <c r="S235" s="139">
        <f>IF(C235&lt;2,"",IFERROR(IF(OR(LEFT(INDEX(D235:K235,MIN(8,MAX(1,C235))),2)="令和",LEFT(INDEX(D235:K235,MIN(8,MAX(1,C235))),2)="平成",LEFT(INDEX(D235:K235,MIN(8,MAX(1,C235))),2)="昭和"),DATE(VALUE(MID(INDEX(D235:K235,MIN(8,MAX(1,C235))),3,FIND("年",INDEX(D235:K235,MIN(8,MAX(1,C235))))-3))+IF(LEFT(INDEX(D235:K235,MIN(8,MAX(1,C235))),2)="令和",2018,IF(LEFT(INDEX(D235:K235,MIN(8,MAX(1,C235))),2)="平成",1988,1925)),VALUE(MID(INDEX(D235:K235,MIN(8,MAX(1,C235))),FIND("年",INDEX(D235:K235,MIN(8,MAX(1,C235))))+1,FIND("月",INDEX(D235:K235,MIN(8,MAX(1,C235))))-FIND("年",INDEX(D235:K235,MIN(8,MAX(1,C235))))-1)),IFERROR(VALUE(SUBSTITUTE(MID(INDEX(D235:K235,MIN(8,MAX(1,C235))),FIND("月",INDEX(D235:K235,MIN(8,MAX(1,C235))))+1,10),"日","")),1)),DATE(VALUE(TRIM(MID(SUBSTITUTE(AA235,"/",REPT(" ",50)),1,50))),VALUE(TRIM(MID(SUBSTITUTE(AA235,"/",REPT(" ",50)),51,50))),IFERROR(VALUE(TRIM(MID(SUBSTITUTE(AA235,"/",REPT(" ",50)),101,50))),1))),IFERROR(DATEVALUE(INDEX(D235:K235,MIN(8,MAX(1,C235)))),"")))</f>
        <v/>
      </c>
      <c r="T235">
        <f>IF(B235="","",IF(AB235&lt;&gt;"",AB235,IFERROR(MATCH(SUBSTITUTE(SUBSTITUTE(P235," ",""),"　",""),入力!$AH$5:$AH$44,0),"")))</f>
        <v/>
      </c>
      <c r="U235">
        <f>IF(T235="","",INDEX(入力!$D$5:$D$44,T235))</f>
        <v/>
      </c>
      <c r="V235">
        <f>IF(B235="","",IF(T235="","要確認（名簿と照合できません）",IF(R235="","要確認（資格名がありません）",IF(S235="","要確認（取得日が読めません）",IF((IF(INDEX(入力!$N$5:$N$44,T235)=R235,1,0)+IF(INDEX(入力!$P$5:$P$44,T235)=R235,1,0)+IF(INDEX(入力!$R$5:$R$44,T235)=R235,1,0)+IF(INDEX(入力!$T$5:$T$44,T235)=R235,1,0)+IF(INDEX(入力!$V$5:$V$44,T235)=R235,1,0)+IF(INDEX(入力!$X$5:$X$44,T235)=R235,1,0))+(COUNTIFS($T$6:$T$405,T235,$R$6:$R$405,R235,$X$6:$X$405,"&lt;"&amp;X235))&gt;0,"重複","反映")))))</f>
        <v/>
      </c>
      <c r="W235">
        <f>IF(V235="反映",1,0)</f>
        <v/>
      </c>
      <c r="X235" t="n">
        <v>235</v>
      </c>
      <c r="Y235">
        <f>IF(W235=0,"",COUNTIFS($T$6:$T$405,T235,$W$6:$W$405,1,$S$6:$S$405,"&lt;"&amp;S235)+COUNTIFS($T$6:$T$405,T235,$W$6:$W$405,1,$S$6:$S$405,S235,$X$6:$X$405,"&lt;"&amp;X235)+1)</f>
        <v/>
      </c>
      <c r="Z235">
        <f>IF(Y235="","",T235&amp;"_"&amp;Y235)</f>
        <v/>
      </c>
      <c r="AA235">
        <f>SUBSTITUTE(SUBSTITUTE(SUBSTITUTE(SUBSTITUTE(SUBSTITUTE(INDEX(D235:K235,MIN(8,MAX(1,C235))),"年","/"),"月","/"),"日",""),"-","/"),".","/")</f>
        <v/>
      </c>
      <c r="AB235">
        <f>IFERROR(MATCH(O235,入力!$C$5:$C$44,0),"")</f>
        <v/>
      </c>
      <c r="AC235">
        <f>IF(AB235="","",INDEX(入力!$AH$5:$AH$44,AB235))</f>
        <v/>
      </c>
      <c r="AD235">
        <f>IF(INDEX($D235:$K235,IF(M235=1,2,1))=AC235,1,IF(INDEX($D235:$K235,IF(M235=1,2,1))&amp;INDEX($D235:$K235,IF(M235=1,2,1)+1)=AC235,2,IF(INDEX($D235:$K235,IF(M235=1,2,1))&amp;INDEX($D235:$K235,IF(M235=1,2,1)+1)&amp;INDEX($D235:$K235,IF(M235=1,2,1)+2)=AC235,3,IF(AB235&lt;&gt;"",2,IF(ISNUMBER(MATCH(INDEX($D235:$K235,IF(M235=1,2,1)),入力!$AH$5:$AH$44,0)),1,IF(ISNUMBER(MATCH(INDEX($D235:$K235,IF(M235=1,2,1))&amp;INDEX($D235:$K235,IF(M235=1,2,1)+1),入力!$AH$5:$AH$44,0)),2,IF(ISNUMBER(MATCH(INDEX($D235:$K235,IF(M235=1,2,1))&amp;INDEX($D235:$K235,IF(M235=1,2,1)+1)&amp;INDEX($D235:$K235,IF(M235=1,2,1)+2),入力!$AH$5:$AH$44,0)),3,2)))))))</f>
        <v/>
      </c>
      <c r="AE235">
        <f>IF(V235="","",IF(AND(V235="反映",N(Y235)&gt;20),"要確認（この生徒の取込が20件を超えました）",V235))</f>
        <v/>
      </c>
    </row>
    <row r="236">
      <c r="A236" s="138" t="n"/>
      <c r="B236">
        <f>TRIM(SUBSTITUTE(SUBSTITUTE(SUBSTITUTE(A236,CHAR(9)," "),"　"," "),CHAR(160)," "))</f>
        <v/>
      </c>
      <c r="C236">
        <f>IF(B236="",0,LEN(B236)-LEN(SUBSTITUTE(B236," ",""))+1)</f>
        <v/>
      </c>
      <c r="D236">
        <f>IF(C236&gt;=1,TRIM(MID(SUBSTITUTE(B236," ",REPT(" ",200)),1,200)),"")</f>
        <v/>
      </c>
      <c r="E236">
        <f>IF(C236&gt;=2,TRIM(MID(SUBSTITUTE(B236," ",REPT(" ",200)),201,200)),"")</f>
        <v/>
      </c>
      <c r="F236">
        <f>IF(C236&gt;=3,TRIM(MID(SUBSTITUTE(B236," ",REPT(" ",200)),401,200)),"")</f>
        <v/>
      </c>
      <c r="G236">
        <f>IF(C236&gt;=4,TRIM(MID(SUBSTITUTE(B236," ",REPT(" ",200)),601,200)),"")</f>
        <v/>
      </c>
      <c r="H236">
        <f>IF(C236&gt;=5,TRIM(MID(SUBSTITUTE(B236," ",REPT(" ",200)),801,200)),"")</f>
        <v/>
      </c>
      <c r="I236">
        <f>IF(C236&gt;=6,TRIM(MID(SUBSTITUTE(B236," ",REPT(" ",200)),1001,200)),"")</f>
        <v/>
      </c>
      <c r="J236">
        <f>IF(C236&gt;=7,TRIM(MID(SUBSTITUTE(B236," ",REPT(" ",200)),1201,200)),"")</f>
        <v/>
      </c>
      <c r="K236">
        <f>IF(C236&gt;=8,TRIM(MID(SUBSTITUTE(B236," ",REPT(" ",200)),1401,200)),"")</f>
        <v/>
      </c>
      <c r="L236">
        <f>SUBSTITUTE(SUBSTITUTE(SUBSTITUTE(D236,"年","-"),"組","-"),"番","")</f>
        <v/>
      </c>
      <c r="M236">
        <f>IF(D236="",0,IF(ISNUMBER(VALUE(SUBSTITUTE(L236,"-",""))),1,0))</f>
        <v/>
      </c>
      <c r="N236">
        <f>IF(M236=0,"",IFERROR(VALUE(TRIM(MID(SUBSTITUTE(L236,"-",REPT(" ",100)),101,100))),""))</f>
        <v/>
      </c>
      <c r="O236">
        <f>IF(M236=0,"",IFERROR(VALUE(TRIM(RIGHT(SUBSTITUTE(L236,"-",REPT(" ",100)),100))),""))</f>
        <v/>
      </c>
      <c r="P236">
        <f>IF(B236="","",TRIM(INDEX($D236:$K236,IF(M236=1,2,1))&amp;IF(AD236&gt;=2," "&amp;INDEX($D236:$K236,IF(M236=1,2,1)+1),"")&amp;IF(AD236&gt;=3," "&amp;INDEX($D236:$K236,IF(M236=1,2,1)+2),"")))</f>
        <v/>
      </c>
      <c r="Q236">
        <f>IF(C236&lt;2,"",TRIM(IF(AND(2&gt;=(IF(M236=1,2,1)+AD236),2&lt;=C236-IF(S236="",0,1)),E236&amp;" ","")&amp;IF(AND(3&gt;=(IF(M236=1,2,1)+AD236),3&lt;=C236-IF(S236="",0,1)),F236&amp;" ","")&amp;IF(AND(4&gt;=(IF(M236=1,2,1)+AD236),4&lt;=C236-IF(S236="",0,1)),G236&amp;" ","")&amp;IF(AND(5&gt;=(IF(M236=1,2,1)+AD236),5&lt;=C236-IF(S236="",0,1)),H236&amp;" ","")&amp;IF(AND(6&gt;=(IF(M236=1,2,1)+AD236),6&lt;=C236-IF(S236="",0,1)),I236&amp;" ","")&amp;IF(AND(7&gt;=(IF(M236=1,2,1)+AD236),7&lt;=C236-IF(S236="",0,1)),J236&amp;" ","")&amp;IF(AND(8&gt;=(IF(M236=1,2,1)+AD236),8&lt;=C236-IF(S236="",0,1)),K236&amp;" ","")))</f>
        <v/>
      </c>
      <c r="R236">
        <f>IF(Q236="","",IFERROR(INDEX(資格マスタ!$B:$B,MATCH(ASC(SUBSTITUTE(SUBSTITUTE(Q236," ",""),"　","")),資格マスタ!$D:$D,0)),Q236))</f>
        <v/>
      </c>
      <c r="S236" s="139">
        <f>IF(C236&lt;2,"",IFERROR(IF(OR(LEFT(INDEX(D236:K236,MIN(8,MAX(1,C236))),2)="令和",LEFT(INDEX(D236:K236,MIN(8,MAX(1,C236))),2)="平成",LEFT(INDEX(D236:K236,MIN(8,MAX(1,C236))),2)="昭和"),DATE(VALUE(MID(INDEX(D236:K236,MIN(8,MAX(1,C236))),3,FIND("年",INDEX(D236:K236,MIN(8,MAX(1,C236))))-3))+IF(LEFT(INDEX(D236:K236,MIN(8,MAX(1,C236))),2)="令和",2018,IF(LEFT(INDEX(D236:K236,MIN(8,MAX(1,C236))),2)="平成",1988,1925)),VALUE(MID(INDEX(D236:K236,MIN(8,MAX(1,C236))),FIND("年",INDEX(D236:K236,MIN(8,MAX(1,C236))))+1,FIND("月",INDEX(D236:K236,MIN(8,MAX(1,C236))))-FIND("年",INDEX(D236:K236,MIN(8,MAX(1,C236))))-1)),IFERROR(VALUE(SUBSTITUTE(MID(INDEX(D236:K236,MIN(8,MAX(1,C236))),FIND("月",INDEX(D236:K236,MIN(8,MAX(1,C236))))+1,10),"日","")),1)),DATE(VALUE(TRIM(MID(SUBSTITUTE(AA236,"/",REPT(" ",50)),1,50))),VALUE(TRIM(MID(SUBSTITUTE(AA236,"/",REPT(" ",50)),51,50))),IFERROR(VALUE(TRIM(MID(SUBSTITUTE(AA236,"/",REPT(" ",50)),101,50))),1))),IFERROR(DATEVALUE(INDEX(D236:K236,MIN(8,MAX(1,C236)))),"")))</f>
        <v/>
      </c>
      <c r="T236">
        <f>IF(B236="","",IF(AB236&lt;&gt;"",AB236,IFERROR(MATCH(SUBSTITUTE(SUBSTITUTE(P236," ",""),"　",""),入力!$AH$5:$AH$44,0),"")))</f>
        <v/>
      </c>
      <c r="U236">
        <f>IF(T236="","",INDEX(入力!$D$5:$D$44,T236))</f>
        <v/>
      </c>
      <c r="V236">
        <f>IF(B236="","",IF(T236="","要確認（名簿と照合できません）",IF(R236="","要確認（資格名がありません）",IF(S236="","要確認（取得日が読めません）",IF((IF(INDEX(入力!$N$5:$N$44,T236)=R236,1,0)+IF(INDEX(入力!$P$5:$P$44,T236)=R236,1,0)+IF(INDEX(入力!$R$5:$R$44,T236)=R236,1,0)+IF(INDEX(入力!$T$5:$T$44,T236)=R236,1,0)+IF(INDEX(入力!$V$5:$V$44,T236)=R236,1,0)+IF(INDEX(入力!$X$5:$X$44,T236)=R236,1,0))+(COUNTIFS($T$6:$T$405,T236,$R$6:$R$405,R236,$X$6:$X$405,"&lt;"&amp;X236))&gt;0,"重複","反映")))))</f>
        <v/>
      </c>
      <c r="W236">
        <f>IF(V236="反映",1,0)</f>
        <v/>
      </c>
      <c r="X236" t="n">
        <v>236</v>
      </c>
      <c r="Y236">
        <f>IF(W236=0,"",COUNTIFS($T$6:$T$405,T236,$W$6:$W$405,1,$S$6:$S$405,"&lt;"&amp;S236)+COUNTIFS($T$6:$T$405,T236,$W$6:$W$405,1,$S$6:$S$405,S236,$X$6:$X$405,"&lt;"&amp;X236)+1)</f>
        <v/>
      </c>
      <c r="Z236">
        <f>IF(Y236="","",T236&amp;"_"&amp;Y236)</f>
        <v/>
      </c>
      <c r="AA236">
        <f>SUBSTITUTE(SUBSTITUTE(SUBSTITUTE(SUBSTITUTE(SUBSTITUTE(INDEX(D236:K236,MIN(8,MAX(1,C236))),"年","/"),"月","/"),"日",""),"-","/"),".","/")</f>
        <v/>
      </c>
      <c r="AB236">
        <f>IFERROR(MATCH(O236,入力!$C$5:$C$44,0),"")</f>
        <v/>
      </c>
      <c r="AC236">
        <f>IF(AB236="","",INDEX(入力!$AH$5:$AH$44,AB236))</f>
        <v/>
      </c>
      <c r="AD236">
        <f>IF(INDEX($D236:$K236,IF(M236=1,2,1))=AC236,1,IF(INDEX($D236:$K236,IF(M236=1,2,1))&amp;INDEX($D236:$K236,IF(M236=1,2,1)+1)=AC236,2,IF(INDEX($D236:$K236,IF(M236=1,2,1))&amp;INDEX($D236:$K236,IF(M236=1,2,1)+1)&amp;INDEX($D236:$K236,IF(M236=1,2,1)+2)=AC236,3,IF(AB236&lt;&gt;"",2,IF(ISNUMBER(MATCH(INDEX($D236:$K236,IF(M236=1,2,1)),入力!$AH$5:$AH$44,0)),1,IF(ISNUMBER(MATCH(INDEX($D236:$K236,IF(M236=1,2,1))&amp;INDEX($D236:$K236,IF(M236=1,2,1)+1),入力!$AH$5:$AH$44,0)),2,IF(ISNUMBER(MATCH(INDEX($D236:$K236,IF(M236=1,2,1))&amp;INDEX($D236:$K236,IF(M236=1,2,1)+1)&amp;INDEX($D236:$K236,IF(M236=1,2,1)+2),入力!$AH$5:$AH$44,0)),3,2)))))))</f>
        <v/>
      </c>
      <c r="AE236">
        <f>IF(V236="","",IF(AND(V236="反映",N(Y236)&gt;20),"要確認（この生徒の取込が20件を超えました）",V236))</f>
        <v/>
      </c>
    </row>
    <row r="237">
      <c r="A237" s="138" t="n"/>
      <c r="B237">
        <f>TRIM(SUBSTITUTE(SUBSTITUTE(SUBSTITUTE(A237,CHAR(9)," "),"　"," "),CHAR(160)," "))</f>
        <v/>
      </c>
      <c r="C237">
        <f>IF(B237="",0,LEN(B237)-LEN(SUBSTITUTE(B237," ",""))+1)</f>
        <v/>
      </c>
      <c r="D237">
        <f>IF(C237&gt;=1,TRIM(MID(SUBSTITUTE(B237," ",REPT(" ",200)),1,200)),"")</f>
        <v/>
      </c>
      <c r="E237">
        <f>IF(C237&gt;=2,TRIM(MID(SUBSTITUTE(B237," ",REPT(" ",200)),201,200)),"")</f>
        <v/>
      </c>
      <c r="F237">
        <f>IF(C237&gt;=3,TRIM(MID(SUBSTITUTE(B237," ",REPT(" ",200)),401,200)),"")</f>
        <v/>
      </c>
      <c r="G237">
        <f>IF(C237&gt;=4,TRIM(MID(SUBSTITUTE(B237," ",REPT(" ",200)),601,200)),"")</f>
        <v/>
      </c>
      <c r="H237">
        <f>IF(C237&gt;=5,TRIM(MID(SUBSTITUTE(B237," ",REPT(" ",200)),801,200)),"")</f>
        <v/>
      </c>
      <c r="I237">
        <f>IF(C237&gt;=6,TRIM(MID(SUBSTITUTE(B237," ",REPT(" ",200)),1001,200)),"")</f>
        <v/>
      </c>
      <c r="J237">
        <f>IF(C237&gt;=7,TRIM(MID(SUBSTITUTE(B237," ",REPT(" ",200)),1201,200)),"")</f>
        <v/>
      </c>
      <c r="K237">
        <f>IF(C237&gt;=8,TRIM(MID(SUBSTITUTE(B237," ",REPT(" ",200)),1401,200)),"")</f>
        <v/>
      </c>
      <c r="L237">
        <f>SUBSTITUTE(SUBSTITUTE(SUBSTITUTE(D237,"年","-"),"組","-"),"番","")</f>
        <v/>
      </c>
      <c r="M237">
        <f>IF(D237="",0,IF(ISNUMBER(VALUE(SUBSTITUTE(L237,"-",""))),1,0))</f>
        <v/>
      </c>
      <c r="N237">
        <f>IF(M237=0,"",IFERROR(VALUE(TRIM(MID(SUBSTITUTE(L237,"-",REPT(" ",100)),101,100))),""))</f>
        <v/>
      </c>
      <c r="O237">
        <f>IF(M237=0,"",IFERROR(VALUE(TRIM(RIGHT(SUBSTITUTE(L237,"-",REPT(" ",100)),100))),""))</f>
        <v/>
      </c>
      <c r="P237">
        <f>IF(B237="","",TRIM(INDEX($D237:$K237,IF(M237=1,2,1))&amp;IF(AD237&gt;=2," "&amp;INDEX($D237:$K237,IF(M237=1,2,1)+1),"")&amp;IF(AD237&gt;=3," "&amp;INDEX($D237:$K237,IF(M237=1,2,1)+2),"")))</f>
        <v/>
      </c>
      <c r="Q237">
        <f>IF(C237&lt;2,"",TRIM(IF(AND(2&gt;=(IF(M237=1,2,1)+AD237),2&lt;=C237-IF(S237="",0,1)),E237&amp;" ","")&amp;IF(AND(3&gt;=(IF(M237=1,2,1)+AD237),3&lt;=C237-IF(S237="",0,1)),F237&amp;" ","")&amp;IF(AND(4&gt;=(IF(M237=1,2,1)+AD237),4&lt;=C237-IF(S237="",0,1)),G237&amp;" ","")&amp;IF(AND(5&gt;=(IF(M237=1,2,1)+AD237),5&lt;=C237-IF(S237="",0,1)),H237&amp;" ","")&amp;IF(AND(6&gt;=(IF(M237=1,2,1)+AD237),6&lt;=C237-IF(S237="",0,1)),I237&amp;" ","")&amp;IF(AND(7&gt;=(IF(M237=1,2,1)+AD237),7&lt;=C237-IF(S237="",0,1)),J237&amp;" ","")&amp;IF(AND(8&gt;=(IF(M237=1,2,1)+AD237),8&lt;=C237-IF(S237="",0,1)),K237&amp;" ","")))</f>
        <v/>
      </c>
      <c r="R237">
        <f>IF(Q237="","",IFERROR(INDEX(資格マスタ!$B:$B,MATCH(ASC(SUBSTITUTE(SUBSTITUTE(Q237," ",""),"　","")),資格マスタ!$D:$D,0)),Q237))</f>
        <v/>
      </c>
      <c r="S237" s="139">
        <f>IF(C237&lt;2,"",IFERROR(IF(OR(LEFT(INDEX(D237:K237,MIN(8,MAX(1,C237))),2)="令和",LEFT(INDEX(D237:K237,MIN(8,MAX(1,C237))),2)="平成",LEFT(INDEX(D237:K237,MIN(8,MAX(1,C237))),2)="昭和"),DATE(VALUE(MID(INDEX(D237:K237,MIN(8,MAX(1,C237))),3,FIND("年",INDEX(D237:K237,MIN(8,MAX(1,C237))))-3))+IF(LEFT(INDEX(D237:K237,MIN(8,MAX(1,C237))),2)="令和",2018,IF(LEFT(INDEX(D237:K237,MIN(8,MAX(1,C237))),2)="平成",1988,1925)),VALUE(MID(INDEX(D237:K237,MIN(8,MAX(1,C237))),FIND("年",INDEX(D237:K237,MIN(8,MAX(1,C237))))+1,FIND("月",INDEX(D237:K237,MIN(8,MAX(1,C237))))-FIND("年",INDEX(D237:K237,MIN(8,MAX(1,C237))))-1)),IFERROR(VALUE(SUBSTITUTE(MID(INDEX(D237:K237,MIN(8,MAX(1,C237))),FIND("月",INDEX(D237:K237,MIN(8,MAX(1,C237))))+1,10),"日","")),1)),DATE(VALUE(TRIM(MID(SUBSTITUTE(AA237,"/",REPT(" ",50)),1,50))),VALUE(TRIM(MID(SUBSTITUTE(AA237,"/",REPT(" ",50)),51,50))),IFERROR(VALUE(TRIM(MID(SUBSTITUTE(AA237,"/",REPT(" ",50)),101,50))),1))),IFERROR(DATEVALUE(INDEX(D237:K237,MIN(8,MAX(1,C237)))),"")))</f>
        <v/>
      </c>
      <c r="T237">
        <f>IF(B237="","",IF(AB237&lt;&gt;"",AB237,IFERROR(MATCH(SUBSTITUTE(SUBSTITUTE(P237," ",""),"　",""),入力!$AH$5:$AH$44,0),"")))</f>
        <v/>
      </c>
      <c r="U237">
        <f>IF(T237="","",INDEX(入力!$D$5:$D$44,T237))</f>
        <v/>
      </c>
      <c r="V237">
        <f>IF(B237="","",IF(T237="","要確認（名簿と照合できません）",IF(R237="","要確認（資格名がありません）",IF(S237="","要確認（取得日が読めません）",IF((IF(INDEX(入力!$N$5:$N$44,T237)=R237,1,0)+IF(INDEX(入力!$P$5:$P$44,T237)=R237,1,0)+IF(INDEX(入力!$R$5:$R$44,T237)=R237,1,0)+IF(INDEX(入力!$T$5:$T$44,T237)=R237,1,0)+IF(INDEX(入力!$V$5:$V$44,T237)=R237,1,0)+IF(INDEX(入力!$X$5:$X$44,T237)=R237,1,0))+(COUNTIFS($T$6:$T$405,T237,$R$6:$R$405,R237,$X$6:$X$405,"&lt;"&amp;X237))&gt;0,"重複","反映")))))</f>
        <v/>
      </c>
      <c r="W237">
        <f>IF(V237="反映",1,0)</f>
        <v/>
      </c>
      <c r="X237" t="n">
        <v>237</v>
      </c>
      <c r="Y237">
        <f>IF(W237=0,"",COUNTIFS($T$6:$T$405,T237,$W$6:$W$405,1,$S$6:$S$405,"&lt;"&amp;S237)+COUNTIFS($T$6:$T$405,T237,$W$6:$W$405,1,$S$6:$S$405,S237,$X$6:$X$405,"&lt;"&amp;X237)+1)</f>
        <v/>
      </c>
      <c r="Z237">
        <f>IF(Y237="","",T237&amp;"_"&amp;Y237)</f>
        <v/>
      </c>
      <c r="AA237">
        <f>SUBSTITUTE(SUBSTITUTE(SUBSTITUTE(SUBSTITUTE(SUBSTITUTE(INDEX(D237:K237,MIN(8,MAX(1,C237))),"年","/"),"月","/"),"日",""),"-","/"),".","/")</f>
        <v/>
      </c>
      <c r="AB237">
        <f>IFERROR(MATCH(O237,入力!$C$5:$C$44,0),"")</f>
        <v/>
      </c>
      <c r="AC237">
        <f>IF(AB237="","",INDEX(入力!$AH$5:$AH$44,AB237))</f>
        <v/>
      </c>
      <c r="AD237">
        <f>IF(INDEX($D237:$K237,IF(M237=1,2,1))=AC237,1,IF(INDEX($D237:$K237,IF(M237=1,2,1))&amp;INDEX($D237:$K237,IF(M237=1,2,1)+1)=AC237,2,IF(INDEX($D237:$K237,IF(M237=1,2,1))&amp;INDEX($D237:$K237,IF(M237=1,2,1)+1)&amp;INDEX($D237:$K237,IF(M237=1,2,1)+2)=AC237,3,IF(AB237&lt;&gt;"",2,IF(ISNUMBER(MATCH(INDEX($D237:$K237,IF(M237=1,2,1)),入力!$AH$5:$AH$44,0)),1,IF(ISNUMBER(MATCH(INDEX($D237:$K237,IF(M237=1,2,1))&amp;INDEX($D237:$K237,IF(M237=1,2,1)+1),入力!$AH$5:$AH$44,0)),2,IF(ISNUMBER(MATCH(INDEX($D237:$K237,IF(M237=1,2,1))&amp;INDEX($D237:$K237,IF(M237=1,2,1)+1)&amp;INDEX($D237:$K237,IF(M237=1,2,1)+2),入力!$AH$5:$AH$44,0)),3,2)))))))</f>
        <v/>
      </c>
      <c r="AE237">
        <f>IF(V237="","",IF(AND(V237="反映",N(Y237)&gt;20),"要確認（この生徒の取込が20件を超えました）",V237))</f>
        <v/>
      </c>
    </row>
    <row r="238">
      <c r="A238" s="138" t="n"/>
      <c r="B238">
        <f>TRIM(SUBSTITUTE(SUBSTITUTE(SUBSTITUTE(A238,CHAR(9)," "),"　"," "),CHAR(160)," "))</f>
        <v/>
      </c>
      <c r="C238">
        <f>IF(B238="",0,LEN(B238)-LEN(SUBSTITUTE(B238," ",""))+1)</f>
        <v/>
      </c>
      <c r="D238">
        <f>IF(C238&gt;=1,TRIM(MID(SUBSTITUTE(B238," ",REPT(" ",200)),1,200)),"")</f>
        <v/>
      </c>
      <c r="E238">
        <f>IF(C238&gt;=2,TRIM(MID(SUBSTITUTE(B238," ",REPT(" ",200)),201,200)),"")</f>
        <v/>
      </c>
      <c r="F238">
        <f>IF(C238&gt;=3,TRIM(MID(SUBSTITUTE(B238," ",REPT(" ",200)),401,200)),"")</f>
        <v/>
      </c>
      <c r="G238">
        <f>IF(C238&gt;=4,TRIM(MID(SUBSTITUTE(B238," ",REPT(" ",200)),601,200)),"")</f>
        <v/>
      </c>
      <c r="H238">
        <f>IF(C238&gt;=5,TRIM(MID(SUBSTITUTE(B238," ",REPT(" ",200)),801,200)),"")</f>
        <v/>
      </c>
      <c r="I238">
        <f>IF(C238&gt;=6,TRIM(MID(SUBSTITUTE(B238," ",REPT(" ",200)),1001,200)),"")</f>
        <v/>
      </c>
      <c r="J238">
        <f>IF(C238&gt;=7,TRIM(MID(SUBSTITUTE(B238," ",REPT(" ",200)),1201,200)),"")</f>
        <v/>
      </c>
      <c r="K238">
        <f>IF(C238&gt;=8,TRIM(MID(SUBSTITUTE(B238," ",REPT(" ",200)),1401,200)),"")</f>
        <v/>
      </c>
      <c r="L238">
        <f>SUBSTITUTE(SUBSTITUTE(SUBSTITUTE(D238,"年","-"),"組","-"),"番","")</f>
        <v/>
      </c>
      <c r="M238">
        <f>IF(D238="",0,IF(ISNUMBER(VALUE(SUBSTITUTE(L238,"-",""))),1,0))</f>
        <v/>
      </c>
      <c r="N238">
        <f>IF(M238=0,"",IFERROR(VALUE(TRIM(MID(SUBSTITUTE(L238,"-",REPT(" ",100)),101,100))),""))</f>
        <v/>
      </c>
      <c r="O238">
        <f>IF(M238=0,"",IFERROR(VALUE(TRIM(RIGHT(SUBSTITUTE(L238,"-",REPT(" ",100)),100))),""))</f>
        <v/>
      </c>
      <c r="P238">
        <f>IF(B238="","",TRIM(INDEX($D238:$K238,IF(M238=1,2,1))&amp;IF(AD238&gt;=2," "&amp;INDEX($D238:$K238,IF(M238=1,2,1)+1),"")&amp;IF(AD238&gt;=3," "&amp;INDEX($D238:$K238,IF(M238=1,2,1)+2),"")))</f>
        <v/>
      </c>
      <c r="Q238">
        <f>IF(C238&lt;2,"",TRIM(IF(AND(2&gt;=(IF(M238=1,2,1)+AD238),2&lt;=C238-IF(S238="",0,1)),E238&amp;" ","")&amp;IF(AND(3&gt;=(IF(M238=1,2,1)+AD238),3&lt;=C238-IF(S238="",0,1)),F238&amp;" ","")&amp;IF(AND(4&gt;=(IF(M238=1,2,1)+AD238),4&lt;=C238-IF(S238="",0,1)),G238&amp;" ","")&amp;IF(AND(5&gt;=(IF(M238=1,2,1)+AD238),5&lt;=C238-IF(S238="",0,1)),H238&amp;" ","")&amp;IF(AND(6&gt;=(IF(M238=1,2,1)+AD238),6&lt;=C238-IF(S238="",0,1)),I238&amp;" ","")&amp;IF(AND(7&gt;=(IF(M238=1,2,1)+AD238),7&lt;=C238-IF(S238="",0,1)),J238&amp;" ","")&amp;IF(AND(8&gt;=(IF(M238=1,2,1)+AD238),8&lt;=C238-IF(S238="",0,1)),K238&amp;" ","")))</f>
        <v/>
      </c>
      <c r="R238">
        <f>IF(Q238="","",IFERROR(INDEX(資格マスタ!$B:$B,MATCH(ASC(SUBSTITUTE(SUBSTITUTE(Q238," ",""),"　","")),資格マスタ!$D:$D,0)),Q238))</f>
        <v/>
      </c>
      <c r="S238" s="139">
        <f>IF(C238&lt;2,"",IFERROR(IF(OR(LEFT(INDEX(D238:K238,MIN(8,MAX(1,C238))),2)="令和",LEFT(INDEX(D238:K238,MIN(8,MAX(1,C238))),2)="平成",LEFT(INDEX(D238:K238,MIN(8,MAX(1,C238))),2)="昭和"),DATE(VALUE(MID(INDEX(D238:K238,MIN(8,MAX(1,C238))),3,FIND("年",INDEX(D238:K238,MIN(8,MAX(1,C238))))-3))+IF(LEFT(INDEX(D238:K238,MIN(8,MAX(1,C238))),2)="令和",2018,IF(LEFT(INDEX(D238:K238,MIN(8,MAX(1,C238))),2)="平成",1988,1925)),VALUE(MID(INDEX(D238:K238,MIN(8,MAX(1,C238))),FIND("年",INDEX(D238:K238,MIN(8,MAX(1,C238))))+1,FIND("月",INDEX(D238:K238,MIN(8,MAX(1,C238))))-FIND("年",INDEX(D238:K238,MIN(8,MAX(1,C238))))-1)),IFERROR(VALUE(SUBSTITUTE(MID(INDEX(D238:K238,MIN(8,MAX(1,C238))),FIND("月",INDEX(D238:K238,MIN(8,MAX(1,C238))))+1,10),"日","")),1)),DATE(VALUE(TRIM(MID(SUBSTITUTE(AA238,"/",REPT(" ",50)),1,50))),VALUE(TRIM(MID(SUBSTITUTE(AA238,"/",REPT(" ",50)),51,50))),IFERROR(VALUE(TRIM(MID(SUBSTITUTE(AA238,"/",REPT(" ",50)),101,50))),1))),IFERROR(DATEVALUE(INDEX(D238:K238,MIN(8,MAX(1,C238)))),"")))</f>
        <v/>
      </c>
      <c r="T238">
        <f>IF(B238="","",IF(AB238&lt;&gt;"",AB238,IFERROR(MATCH(SUBSTITUTE(SUBSTITUTE(P238," ",""),"　",""),入力!$AH$5:$AH$44,0),"")))</f>
        <v/>
      </c>
      <c r="U238">
        <f>IF(T238="","",INDEX(入力!$D$5:$D$44,T238))</f>
        <v/>
      </c>
      <c r="V238">
        <f>IF(B238="","",IF(T238="","要確認（名簿と照合できません）",IF(R238="","要確認（資格名がありません）",IF(S238="","要確認（取得日が読めません）",IF((IF(INDEX(入力!$N$5:$N$44,T238)=R238,1,0)+IF(INDEX(入力!$P$5:$P$44,T238)=R238,1,0)+IF(INDEX(入力!$R$5:$R$44,T238)=R238,1,0)+IF(INDEX(入力!$T$5:$T$44,T238)=R238,1,0)+IF(INDEX(入力!$V$5:$V$44,T238)=R238,1,0)+IF(INDEX(入力!$X$5:$X$44,T238)=R238,1,0))+(COUNTIFS($T$6:$T$405,T238,$R$6:$R$405,R238,$X$6:$X$405,"&lt;"&amp;X238))&gt;0,"重複","反映")))))</f>
        <v/>
      </c>
      <c r="W238">
        <f>IF(V238="反映",1,0)</f>
        <v/>
      </c>
      <c r="X238" t="n">
        <v>238</v>
      </c>
      <c r="Y238">
        <f>IF(W238=0,"",COUNTIFS($T$6:$T$405,T238,$W$6:$W$405,1,$S$6:$S$405,"&lt;"&amp;S238)+COUNTIFS($T$6:$T$405,T238,$W$6:$W$405,1,$S$6:$S$405,S238,$X$6:$X$405,"&lt;"&amp;X238)+1)</f>
        <v/>
      </c>
      <c r="Z238">
        <f>IF(Y238="","",T238&amp;"_"&amp;Y238)</f>
        <v/>
      </c>
      <c r="AA238">
        <f>SUBSTITUTE(SUBSTITUTE(SUBSTITUTE(SUBSTITUTE(SUBSTITUTE(INDEX(D238:K238,MIN(8,MAX(1,C238))),"年","/"),"月","/"),"日",""),"-","/"),".","/")</f>
        <v/>
      </c>
      <c r="AB238">
        <f>IFERROR(MATCH(O238,入力!$C$5:$C$44,0),"")</f>
        <v/>
      </c>
      <c r="AC238">
        <f>IF(AB238="","",INDEX(入力!$AH$5:$AH$44,AB238))</f>
        <v/>
      </c>
      <c r="AD238">
        <f>IF(INDEX($D238:$K238,IF(M238=1,2,1))=AC238,1,IF(INDEX($D238:$K238,IF(M238=1,2,1))&amp;INDEX($D238:$K238,IF(M238=1,2,1)+1)=AC238,2,IF(INDEX($D238:$K238,IF(M238=1,2,1))&amp;INDEX($D238:$K238,IF(M238=1,2,1)+1)&amp;INDEX($D238:$K238,IF(M238=1,2,1)+2)=AC238,3,IF(AB238&lt;&gt;"",2,IF(ISNUMBER(MATCH(INDEX($D238:$K238,IF(M238=1,2,1)),入力!$AH$5:$AH$44,0)),1,IF(ISNUMBER(MATCH(INDEX($D238:$K238,IF(M238=1,2,1))&amp;INDEX($D238:$K238,IF(M238=1,2,1)+1),入力!$AH$5:$AH$44,0)),2,IF(ISNUMBER(MATCH(INDEX($D238:$K238,IF(M238=1,2,1))&amp;INDEX($D238:$K238,IF(M238=1,2,1)+1)&amp;INDEX($D238:$K238,IF(M238=1,2,1)+2),入力!$AH$5:$AH$44,0)),3,2)))))))</f>
        <v/>
      </c>
      <c r="AE238">
        <f>IF(V238="","",IF(AND(V238="反映",N(Y238)&gt;20),"要確認（この生徒の取込が20件を超えました）",V238))</f>
        <v/>
      </c>
    </row>
    <row r="239">
      <c r="A239" s="138" t="n"/>
      <c r="B239">
        <f>TRIM(SUBSTITUTE(SUBSTITUTE(SUBSTITUTE(A239,CHAR(9)," "),"　"," "),CHAR(160)," "))</f>
        <v/>
      </c>
      <c r="C239">
        <f>IF(B239="",0,LEN(B239)-LEN(SUBSTITUTE(B239," ",""))+1)</f>
        <v/>
      </c>
      <c r="D239">
        <f>IF(C239&gt;=1,TRIM(MID(SUBSTITUTE(B239," ",REPT(" ",200)),1,200)),"")</f>
        <v/>
      </c>
      <c r="E239">
        <f>IF(C239&gt;=2,TRIM(MID(SUBSTITUTE(B239," ",REPT(" ",200)),201,200)),"")</f>
        <v/>
      </c>
      <c r="F239">
        <f>IF(C239&gt;=3,TRIM(MID(SUBSTITUTE(B239," ",REPT(" ",200)),401,200)),"")</f>
        <v/>
      </c>
      <c r="G239">
        <f>IF(C239&gt;=4,TRIM(MID(SUBSTITUTE(B239," ",REPT(" ",200)),601,200)),"")</f>
        <v/>
      </c>
      <c r="H239">
        <f>IF(C239&gt;=5,TRIM(MID(SUBSTITUTE(B239," ",REPT(" ",200)),801,200)),"")</f>
        <v/>
      </c>
      <c r="I239">
        <f>IF(C239&gt;=6,TRIM(MID(SUBSTITUTE(B239," ",REPT(" ",200)),1001,200)),"")</f>
        <v/>
      </c>
      <c r="J239">
        <f>IF(C239&gt;=7,TRIM(MID(SUBSTITUTE(B239," ",REPT(" ",200)),1201,200)),"")</f>
        <v/>
      </c>
      <c r="K239">
        <f>IF(C239&gt;=8,TRIM(MID(SUBSTITUTE(B239," ",REPT(" ",200)),1401,200)),"")</f>
        <v/>
      </c>
      <c r="L239">
        <f>SUBSTITUTE(SUBSTITUTE(SUBSTITUTE(D239,"年","-"),"組","-"),"番","")</f>
        <v/>
      </c>
      <c r="M239">
        <f>IF(D239="",0,IF(ISNUMBER(VALUE(SUBSTITUTE(L239,"-",""))),1,0))</f>
        <v/>
      </c>
      <c r="N239">
        <f>IF(M239=0,"",IFERROR(VALUE(TRIM(MID(SUBSTITUTE(L239,"-",REPT(" ",100)),101,100))),""))</f>
        <v/>
      </c>
      <c r="O239">
        <f>IF(M239=0,"",IFERROR(VALUE(TRIM(RIGHT(SUBSTITUTE(L239,"-",REPT(" ",100)),100))),""))</f>
        <v/>
      </c>
      <c r="P239">
        <f>IF(B239="","",TRIM(INDEX($D239:$K239,IF(M239=1,2,1))&amp;IF(AD239&gt;=2," "&amp;INDEX($D239:$K239,IF(M239=1,2,1)+1),"")&amp;IF(AD239&gt;=3," "&amp;INDEX($D239:$K239,IF(M239=1,2,1)+2),"")))</f>
        <v/>
      </c>
      <c r="Q239">
        <f>IF(C239&lt;2,"",TRIM(IF(AND(2&gt;=(IF(M239=1,2,1)+AD239),2&lt;=C239-IF(S239="",0,1)),E239&amp;" ","")&amp;IF(AND(3&gt;=(IF(M239=1,2,1)+AD239),3&lt;=C239-IF(S239="",0,1)),F239&amp;" ","")&amp;IF(AND(4&gt;=(IF(M239=1,2,1)+AD239),4&lt;=C239-IF(S239="",0,1)),G239&amp;" ","")&amp;IF(AND(5&gt;=(IF(M239=1,2,1)+AD239),5&lt;=C239-IF(S239="",0,1)),H239&amp;" ","")&amp;IF(AND(6&gt;=(IF(M239=1,2,1)+AD239),6&lt;=C239-IF(S239="",0,1)),I239&amp;" ","")&amp;IF(AND(7&gt;=(IF(M239=1,2,1)+AD239),7&lt;=C239-IF(S239="",0,1)),J239&amp;" ","")&amp;IF(AND(8&gt;=(IF(M239=1,2,1)+AD239),8&lt;=C239-IF(S239="",0,1)),K239&amp;" ","")))</f>
        <v/>
      </c>
      <c r="R239">
        <f>IF(Q239="","",IFERROR(INDEX(資格マスタ!$B:$B,MATCH(ASC(SUBSTITUTE(SUBSTITUTE(Q239," ",""),"　","")),資格マスタ!$D:$D,0)),Q239))</f>
        <v/>
      </c>
      <c r="S239" s="139">
        <f>IF(C239&lt;2,"",IFERROR(IF(OR(LEFT(INDEX(D239:K239,MIN(8,MAX(1,C239))),2)="令和",LEFT(INDEX(D239:K239,MIN(8,MAX(1,C239))),2)="平成",LEFT(INDEX(D239:K239,MIN(8,MAX(1,C239))),2)="昭和"),DATE(VALUE(MID(INDEX(D239:K239,MIN(8,MAX(1,C239))),3,FIND("年",INDEX(D239:K239,MIN(8,MAX(1,C239))))-3))+IF(LEFT(INDEX(D239:K239,MIN(8,MAX(1,C239))),2)="令和",2018,IF(LEFT(INDEX(D239:K239,MIN(8,MAX(1,C239))),2)="平成",1988,1925)),VALUE(MID(INDEX(D239:K239,MIN(8,MAX(1,C239))),FIND("年",INDEX(D239:K239,MIN(8,MAX(1,C239))))+1,FIND("月",INDEX(D239:K239,MIN(8,MAX(1,C239))))-FIND("年",INDEX(D239:K239,MIN(8,MAX(1,C239))))-1)),IFERROR(VALUE(SUBSTITUTE(MID(INDEX(D239:K239,MIN(8,MAX(1,C239))),FIND("月",INDEX(D239:K239,MIN(8,MAX(1,C239))))+1,10),"日","")),1)),DATE(VALUE(TRIM(MID(SUBSTITUTE(AA239,"/",REPT(" ",50)),1,50))),VALUE(TRIM(MID(SUBSTITUTE(AA239,"/",REPT(" ",50)),51,50))),IFERROR(VALUE(TRIM(MID(SUBSTITUTE(AA239,"/",REPT(" ",50)),101,50))),1))),IFERROR(DATEVALUE(INDEX(D239:K239,MIN(8,MAX(1,C239)))),"")))</f>
        <v/>
      </c>
      <c r="T239">
        <f>IF(B239="","",IF(AB239&lt;&gt;"",AB239,IFERROR(MATCH(SUBSTITUTE(SUBSTITUTE(P239," ",""),"　",""),入力!$AH$5:$AH$44,0),"")))</f>
        <v/>
      </c>
      <c r="U239">
        <f>IF(T239="","",INDEX(入力!$D$5:$D$44,T239))</f>
        <v/>
      </c>
      <c r="V239">
        <f>IF(B239="","",IF(T239="","要確認（名簿と照合できません）",IF(R239="","要確認（資格名がありません）",IF(S239="","要確認（取得日が読めません）",IF((IF(INDEX(入力!$N$5:$N$44,T239)=R239,1,0)+IF(INDEX(入力!$P$5:$P$44,T239)=R239,1,0)+IF(INDEX(入力!$R$5:$R$44,T239)=R239,1,0)+IF(INDEX(入力!$T$5:$T$44,T239)=R239,1,0)+IF(INDEX(入力!$V$5:$V$44,T239)=R239,1,0)+IF(INDEX(入力!$X$5:$X$44,T239)=R239,1,0))+(COUNTIFS($T$6:$T$405,T239,$R$6:$R$405,R239,$X$6:$X$405,"&lt;"&amp;X239))&gt;0,"重複","反映")))))</f>
        <v/>
      </c>
      <c r="W239">
        <f>IF(V239="反映",1,0)</f>
        <v/>
      </c>
      <c r="X239" t="n">
        <v>239</v>
      </c>
      <c r="Y239">
        <f>IF(W239=0,"",COUNTIFS($T$6:$T$405,T239,$W$6:$W$405,1,$S$6:$S$405,"&lt;"&amp;S239)+COUNTIFS($T$6:$T$405,T239,$W$6:$W$405,1,$S$6:$S$405,S239,$X$6:$X$405,"&lt;"&amp;X239)+1)</f>
        <v/>
      </c>
      <c r="Z239">
        <f>IF(Y239="","",T239&amp;"_"&amp;Y239)</f>
        <v/>
      </c>
      <c r="AA239">
        <f>SUBSTITUTE(SUBSTITUTE(SUBSTITUTE(SUBSTITUTE(SUBSTITUTE(INDEX(D239:K239,MIN(8,MAX(1,C239))),"年","/"),"月","/"),"日",""),"-","/"),".","/")</f>
        <v/>
      </c>
      <c r="AB239">
        <f>IFERROR(MATCH(O239,入力!$C$5:$C$44,0),"")</f>
        <v/>
      </c>
      <c r="AC239">
        <f>IF(AB239="","",INDEX(入力!$AH$5:$AH$44,AB239))</f>
        <v/>
      </c>
      <c r="AD239">
        <f>IF(INDEX($D239:$K239,IF(M239=1,2,1))=AC239,1,IF(INDEX($D239:$K239,IF(M239=1,2,1))&amp;INDEX($D239:$K239,IF(M239=1,2,1)+1)=AC239,2,IF(INDEX($D239:$K239,IF(M239=1,2,1))&amp;INDEX($D239:$K239,IF(M239=1,2,1)+1)&amp;INDEX($D239:$K239,IF(M239=1,2,1)+2)=AC239,3,IF(AB239&lt;&gt;"",2,IF(ISNUMBER(MATCH(INDEX($D239:$K239,IF(M239=1,2,1)),入力!$AH$5:$AH$44,0)),1,IF(ISNUMBER(MATCH(INDEX($D239:$K239,IF(M239=1,2,1))&amp;INDEX($D239:$K239,IF(M239=1,2,1)+1),入力!$AH$5:$AH$44,0)),2,IF(ISNUMBER(MATCH(INDEX($D239:$K239,IF(M239=1,2,1))&amp;INDEX($D239:$K239,IF(M239=1,2,1)+1)&amp;INDEX($D239:$K239,IF(M239=1,2,1)+2),入力!$AH$5:$AH$44,0)),3,2)))))))</f>
        <v/>
      </c>
      <c r="AE239">
        <f>IF(V239="","",IF(AND(V239="反映",N(Y239)&gt;20),"要確認（この生徒の取込が20件を超えました）",V239))</f>
        <v/>
      </c>
    </row>
    <row r="240">
      <c r="A240" s="138" t="n"/>
      <c r="B240">
        <f>TRIM(SUBSTITUTE(SUBSTITUTE(SUBSTITUTE(A240,CHAR(9)," "),"　"," "),CHAR(160)," "))</f>
        <v/>
      </c>
      <c r="C240">
        <f>IF(B240="",0,LEN(B240)-LEN(SUBSTITUTE(B240," ",""))+1)</f>
        <v/>
      </c>
      <c r="D240">
        <f>IF(C240&gt;=1,TRIM(MID(SUBSTITUTE(B240," ",REPT(" ",200)),1,200)),"")</f>
        <v/>
      </c>
      <c r="E240">
        <f>IF(C240&gt;=2,TRIM(MID(SUBSTITUTE(B240," ",REPT(" ",200)),201,200)),"")</f>
        <v/>
      </c>
      <c r="F240">
        <f>IF(C240&gt;=3,TRIM(MID(SUBSTITUTE(B240," ",REPT(" ",200)),401,200)),"")</f>
        <v/>
      </c>
      <c r="G240">
        <f>IF(C240&gt;=4,TRIM(MID(SUBSTITUTE(B240," ",REPT(" ",200)),601,200)),"")</f>
        <v/>
      </c>
      <c r="H240">
        <f>IF(C240&gt;=5,TRIM(MID(SUBSTITUTE(B240," ",REPT(" ",200)),801,200)),"")</f>
        <v/>
      </c>
      <c r="I240">
        <f>IF(C240&gt;=6,TRIM(MID(SUBSTITUTE(B240," ",REPT(" ",200)),1001,200)),"")</f>
        <v/>
      </c>
      <c r="J240">
        <f>IF(C240&gt;=7,TRIM(MID(SUBSTITUTE(B240," ",REPT(" ",200)),1201,200)),"")</f>
        <v/>
      </c>
      <c r="K240">
        <f>IF(C240&gt;=8,TRIM(MID(SUBSTITUTE(B240," ",REPT(" ",200)),1401,200)),"")</f>
        <v/>
      </c>
      <c r="L240">
        <f>SUBSTITUTE(SUBSTITUTE(SUBSTITUTE(D240,"年","-"),"組","-"),"番","")</f>
        <v/>
      </c>
      <c r="M240">
        <f>IF(D240="",0,IF(ISNUMBER(VALUE(SUBSTITUTE(L240,"-",""))),1,0))</f>
        <v/>
      </c>
      <c r="N240">
        <f>IF(M240=0,"",IFERROR(VALUE(TRIM(MID(SUBSTITUTE(L240,"-",REPT(" ",100)),101,100))),""))</f>
        <v/>
      </c>
      <c r="O240">
        <f>IF(M240=0,"",IFERROR(VALUE(TRIM(RIGHT(SUBSTITUTE(L240,"-",REPT(" ",100)),100))),""))</f>
        <v/>
      </c>
      <c r="P240">
        <f>IF(B240="","",TRIM(INDEX($D240:$K240,IF(M240=1,2,1))&amp;IF(AD240&gt;=2," "&amp;INDEX($D240:$K240,IF(M240=1,2,1)+1),"")&amp;IF(AD240&gt;=3," "&amp;INDEX($D240:$K240,IF(M240=1,2,1)+2),"")))</f>
        <v/>
      </c>
      <c r="Q240">
        <f>IF(C240&lt;2,"",TRIM(IF(AND(2&gt;=(IF(M240=1,2,1)+AD240),2&lt;=C240-IF(S240="",0,1)),E240&amp;" ","")&amp;IF(AND(3&gt;=(IF(M240=1,2,1)+AD240),3&lt;=C240-IF(S240="",0,1)),F240&amp;" ","")&amp;IF(AND(4&gt;=(IF(M240=1,2,1)+AD240),4&lt;=C240-IF(S240="",0,1)),G240&amp;" ","")&amp;IF(AND(5&gt;=(IF(M240=1,2,1)+AD240),5&lt;=C240-IF(S240="",0,1)),H240&amp;" ","")&amp;IF(AND(6&gt;=(IF(M240=1,2,1)+AD240),6&lt;=C240-IF(S240="",0,1)),I240&amp;" ","")&amp;IF(AND(7&gt;=(IF(M240=1,2,1)+AD240),7&lt;=C240-IF(S240="",0,1)),J240&amp;" ","")&amp;IF(AND(8&gt;=(IF(M240=1,2,1)+AD240),8&lt;=C240-IF(S240="",0,1)),K240&amp;" ","")))</f>
        <v/>
      </c>
      <c r="R240">
        <f>IF(Q240="","",IFERROR(INDEX(資格マスタ!$B:$B,MATCH(ASC(SUBSTITUTE(SUBSTITUTE(Q240," ",""),"　","")),資格マスタ!$D:$D,0)),Q240))</f>
        <v/>
      </c>
      <c r="S240" s="139">
        <f>IF(C240&lt;2,"",IFERROR(IF(OR(LEFT(INDEX(D240:K240,MIN(8,MAX(1,C240))),2)="令和",LEFT(INDEX(D240:K240,MIN(8,MAX(1,C240))),2)="平成",LEFT(INDEX(D240:K240,MIN(8,MAX(1,C240))),2)="昭和"),DATE(VALUE(MID(INDEX(D240:K240,MIN(8,MAX(1,C240))),3,FIND("年",INDEX(D240:K240,MIN(8,MAX(1,C240))))-3))+IF(LEFT(INDEX(D240:K240,MIN(8,MAX(1,C240))),2)="令和",2018,IF(LEFT(INDEX(D240:K240,MIN(8,MAX(1,C240))),2)="平成",1988,1925)),VALUE(MID(INDEX(D240:K240,MIN(8,MAX(1,C240))),FIND("年",INDEX(D240:K240,MIN(8,MAX(1,C240))))+1,FIND("月",INDEX(D240:K240,MIN(8,MAX(1,C240))))-FIND("年",INDEX(D240:K240,MIN(8,MAX(1,C240))))-1)),IFERROR(VALUE(SUBSTITUTE(MID(INDEX(D240:K240,MIN(8,MAX(1,C240))),FIND("月",INDEX(D240:K240,MIN(8,MAX(1,C240))))+1,10),"日","")),1)),DATE(VALUE(TRIM(MID(SUBSTITUTE(AA240,"/",REPT(" ",50)),1,50))),VALUE(TRIM(MID(SUBSTITUTE(AA240,"/",REPT(" ",50)),51,50))),IFERROR(VALUE(TRIM(MID(SUBSTITUTE(AA240,"/",REPT(" ",50)),101,50))),1))),IFERROR(DATEVALUE(INDEX(D240:K240,MIN(8,MAX(1,C240)))),"")))</f>
        <v/>
      </c>
      <c r="T240">
        <f>IF(B240="","",IF(AB240&lt;&gt;"",AB240,IFERROR(MATCH(SUBSTITUTE(SUBSTITUTE(P240," ",""),"　",""),入力!$AH$5:$AH$44,0),"")))</f>
        <v/>
      </c>
      <c r="U240">
        <f>IF(T240="","",INDEX(入力!$D$5:$D$44,T240))</f>
        <v/>
      </c>
      <c r="V240">
        <f>IF(B240="","",IF(T240="","要確認（名簿と照合できません）",IF(R240="","要確認（資格名がありません）",IF(S240="","要確認（取得日が読めません）",IF((IF(INDEX(入力!$N$5:$N$44,T240)=R240,1,0)+IF(INDEX(入力!$P$5:$P$44,T240)=R240,1,0)+IF(INDEX(入力!$R$5:$R$44,T240)=R240,1,0)+IF(INDEX(入力!$T$5:$T$44,T240)=R240,1,0)+IF(INDEX(入力!$V$5:$V$44,T240)=R240,1,0)+IF(INDEX(入力!$X$5:$X$44,T240)=R240,1,0))+(COUNTIFS($T$6:$T$405,T240,$R$6:$R$405,R240,$X$6:$X$405,"&lt;"&amp;X240))&gt;0,"重複","反映")))))</f>
        <v/>
      </c>
      <c r="W240">
        <f>IF(V240="反映",1,0)</f>
        <v/>
      </c>
      <c r="X240" t="n">
        <v>240</v>
      </c>
      <c r="Y240">
        <f>IF(W240=0,"",COUNTIFS($T$6:$T$405,T240,$W$6:$W$405,1,$S$6:$S$405,"&lt;"&amp;S240)+COUNTIFS($T$6:$T$405,T240,$W$6:$W$405,1,$S$6:$S$405,S240,$X$6:$X$405,"&lt;"&amp;X240)+1)</f>
        <v/>
      </c>
      <c r="Z240">
        <f>IF(Y240="","",T240&amp;"_"&amp;Y240)</f>
        <v/>
      </c>
      <c r="AA240">
        <f>SUBSTITUTE(SUBSTITUTE(SUBSTITUTE(SUBSTITUTE(SUBSTITUTE(INDEX(D240:K240,MIN(8,MAX(1,C240))),"年","/"),"月","/"),"日",""),"-","/"),".","/")</f>
        <v/>
      </c>
      <c r="AB240">
        <f>IFERROR(MATCH(O240,入力!$C$5:$C$44,0),"")</f>
        <v/>
      </c>
      <c r="AC240">
        <f>IF(AB240="","",INDEX(入力!$AH$5:$AH$44,AB240))</f>
        <v/>
      </c>
      <c r="AD240">
        <f>IF(INDEX($D240:$K240,IF(M240=1,2,1))=AC240,1,IF(INDEX($D240:$K240,IF(M240=1,2,1))&amp;INDEX($D240:$K240,IF(M240=1,2,1)+1)=AC240,2,IF(INDEX($D240:$K240,IF(M240=1,2,1))&amp;INDEX($D240:$K240,IF(M240=1,2,1)+1)&amp;INDEX($D240:$K240,IF(M240=1,2,1)+2)=AC240,3,IF(AB240&lt;&gt;"",2,IF(ISNUMBER(MATCH(INDEX($D240:$K240,IF(M240=1,2,1)),入力!$AH$5:$AH$44,0)),1,IF(ISNUMBER(MATCH(INDEX($D240:$K240,IF(M240=1,2,1))&amp;INDEX($D240:$K240,IF(M240=1,2,1)+1),入力!$AH$5:$AH$44,0)),2,IF(ISNUMBER(MATCH(INDEX($D240:$K240,IF(M240=1,2,1))&amp;INDEX($D240:$K240,IF(M240=1,2,1)+1)&amp;INDEX($D240:$K240,IF(M240=1,2,1)+2),入力!$AH$5:$AH$44,0)),3,2)))))))</f>
        <v/>
      </c>
      <c r="AE240">
        <f>IF(V240="","",IF(AND(V240="反映",N(Y240)&gt;20),"要確認（この生徒の取込が20件を超えました）",V240))</f>
        <v/>
      </c>
    </row>
    <row r="241">
      <c r="A241" s="138" t="n"/>
      <c r="B241">
        <f>TRIM(SUBSTITUTE(SUBSTITUTE(SUBSTITUTE(A241,CHAR(9)," "),"　"," "),CHAR(160)," "))</f>
        <v/>
      </c>
      <c r="C241">
        <f>IF(B241="",0,LEN(B241)-LEN(SUBSTITUTE(B241," ",""))+1)</f>
        <v/>
      </c>
      <c r="D241">
        <f>IF(C241&gt;=1,TRIM(MID(SUBSTITUTE(B241," ",REPT(" ",200)),1,200)),"")</f>
        <v/>
      </c>
      <c r="E241">
        <f>IF(C241&gt;=2,TRIM(MID(SUBSTITUTE(B241," ",REPT(" ",200)),201,200)),"")</f>
        <v/>
      </c>
      <c r="F241">
        <f>IF(C241&gt;=3,TRIM(MID(SUBSTITUTE(B241," ",REPT(" ",200)),401,200)),"")</f>
        <v/>
      </c>
      <c r="G241">
        <f>IF(C241&gt;=4,TRIM(MID(SUBSTITUTE(B241," ",REPT(" ",200)),601,200)),"")</f>
        <v/>
      </c>
      <c r="H241">
        <f>IF(C241&gt;=5,TRIM(MID(SUBSTITUTE(B241," ",REPT(" ",200)),801,200)),"")</f>
        <v/>
      </c>
      <c r="I241">
        <f>IF(C241&gt;=6,TRIM(MID(SUBSTITUTE(B241," ",REPT(" ",200)),1001,200)),"")</f>
        <v/>
      </c>
      <c r="J241">
        <f>IF(C241&gt;=7,TRIM(MID(SUBSTITUTE(B241," ",REPT(" ",200)),1201,200)),"")</f>
        <v/>
      </c>
      <c r="K241">
        <f>IF(C241&gt;=8,TRIM(MID(SUBSTITUTE(B241," ",REPT(" ",200)),1401,200)),"")</f>
        <v/>
      </c>
      <c r="L241">
        <f>SUBSTITUTE(SUBSTITUTE(SUBSTITUTE(D241,"年","-"),"組","-"),"番","")</f>
        <v/>
      </c>
      <c r="M241">
        <f>IF(D241="",0,IF(ISNUMBER(VALUE(SUBSTITUTE(L241,"-",""))),1,0))</f>
        <v/>
      </c>
      <c r="N241">
        <f>IF(M241=0,"",IFERROR(VALUE(TRIM(MID(SUBSTITUTE(L241,"-",REPT(" ",100)),101,100))),""))</f>
        <v/>
      </c>
      <c r="O241">
        <f>IF(M241=0,"",IFERROR(VALUE(TRIM(RIGHT(SUBSTITUTE(L241,"-",REPT(" ",100)),100))),""))</f>
        <v/>
      </c>
      <c r="P241">
        <f>IF(B241="","",TRIM(INDEX($D241:$K241,IF(M241=1,2,1))&amp;IF(AD241&gt;=2," "&amp;INDEX($D241:$K241,IF(M241=1,2,1)+1),"")&amp;IF(AD241&gt;=3," "&amp;INDEX($D241:$K241,IF(M241=1,2,1)+2),"")))</f>
        <v/>
      </c>
      <c r="Q241">
        <f>IF(C241&lt;2,"",TRIM(IF(AND(2&gt;=(IF(M241=1,2,1)+AD241),2&lt;=C241-IF(S241="",0,1)),E241&amp;" ","")&amp;IF(AND(3&gt;=(IF(M241=1,2,1)+AD241),3&lt;=C241-IF(S241="",0,1)),F241&amp;" ","")&amp;IF(AND(4&gt;=(IF(M241=1,2,1)+AD241),4&lt;=C241-IF(S241="",0,1)),G241&amp;" ","")&amp;IF(AND(5&gt;=(IF(M241=1,2,1)+AD241),5&lt;=C241-IF(S241="",0,1)),H241&amp;" ","")&amp;IF(AND(6&gt;=(IF(M241=1,2,1)+AD241),6&lt;=C241-IF(S241="",0,1)),I241&amp;" ","")&amp;IF(AND(7&gt;=(IF(M241=1,2,1)+AD241),7&lt;=C241-IF(S241="",0,1)),J241&amp;" ","")&amp;IF(AND(8&gt;=(IF(M241=1,2,1)+AD241),8&lt;=C241-IF(S241="",0,1)),K241&amp;" ","")))</f>
        <v/>
      </c>
      <c r="R241">
        <f>IF(Q241="","",IFERROR(INDEX(資格マスタ!$B:$B,MATCH(ASC(SUBSTITUTE(SUBSTITUTE(Q241," ",""),"　","")),資格マスタ!$D:$D,0)),Q241))</f>
        <v/>
      </c>
      <c r="S241" s="139">
        <f>IF(C241&lt;2,"",IFERROR(IF(OR(LEFT(INDEX(D241:K241,MIN(8,MAX(1,C241))),2)="令和",LEFT(INDEX(D241:K241,MIN(8,MAX(1,C241))),2)="平成",LEFT(INDEX(D241:K241,MIN(8,MAX(1,C241))),2)="昭和"),DATE(VALUE(MID(INDEX(D241:K241,MIN(8,MAX(1,C241))),3,FIND("年",INDEX(D241:K241,MIN(8,MAX(1,C241))))-3))+IF(LEFT(INDEX(D241:K241,MIN(8,MAX(1,C241))),2)="令和",2018,IF(LEFT(INDEX(D241:K241,MIN(8,MAX(1,C241))),2)="平成",1988,1925)),VALUE(MID(INDEX(D241:K241,MIN(8,MAX(1,C241))),FIND("年",INDEX(D241:K241,MIN(8,MAX(1,C241))))+1,FIND("月",INDEX(D241:K241,MIN(8,MAX(1,C241))))-FIND("年",INDEX(D241:K241,MIN(8,MAX(1,C241))))-1)),IFERROR(VALUE(SUBSTITUTE(MID(INDEX(D241:K241,MIN(8,MAX(1,C241))),FIND("月",INDEX(D241:K241,MIN(8,MAX(1,C241))))+1,10),"日","")),1)),DATE(VALUE(TRIM(MID(SUBSTITUTE(AA241,"/",REPT(" ",50)),1,50))),VALUE(TRIM(MID(SUBSTITUTE(AA241,"/",REPT(" ",50)),51,50))),IFERROR(VALUE(TRIM(MID(SUBSTITUTE(AA241,"/",REPT(" ",50)),101,50))),1))),IFERROR(DATEVALUE(INDEX(D241:K241,MIN(8,MAX(1,C241)))),"")))</f>
        <v/>
      </c>
      <c r="T241">
        <f>IF(B241="","",IF(AB241&lt;&gt;"",AB241,IFERROR(MATCH(SUBSTITUTE(SUBSTITUTE(P241," ",""),"　",""),入力!$AH$5:$AH$44,0),"")))</f>
        <v/>
      </c>
      <c r="U241">
        <f>IF(T241="","",INDEX(入力!$D$5:$D$44,T241))</f>
        <v/>
      </c>
      <c r="V241">
        <f>IF(B241="","",IF(T241="","要確認（名簿と照合できません）",IF(R241="","要確認（資格名がありません）",IF(S241="","要確認（取得日が読めません）",IF((IF(INDEX(入力!$N$5:$N$44,T241)=R241,1,0)+IF(INDEX(入力!$P$5:$P$44,T241)=R241,1,0)+IF(INDEX(入力!$R$5:$R$44,T241)=R241,1,0)+IF(INDEX(入力!$T$5:$T$44,T241)=R241,1,0)+IF(INDEX(入力!$V$5:$V$44,T241)=R241,1,0)+IF(INDEX(入力!$X$5:$X$44,T241)=R241,1,0))+(COUNTIFS($T$6:$T$405,T241,$R$6:$R$405,R241,$X$6:$X$405,"&lt;"&amp;X241))&gt;0,"重複","反映")))))</f>
        <v/>
      </c>
      <c r="W241">
        <f>IF(V241="反映",1,0)</f>
        <v/>
      </c>
      <c r="X241" t="n">
        <v>241</v>
      </c>
      <c r="Y241">
        <f>IF(W241=0,"",COUNTIFS($T$6:$T$405,T241,$W$6:$W$405,1,$S$6:$S$405,"&lt;"&amp;S241)+COUNTIFS($T$6:$T$405,T241,$W$6:$W$405,1,$S$6:$S$405,S241,$X$6:$X$405,"&lt;"&amp;X241)+1)</f>
        <v/>
      </c>
      <c r="Z241">
        <f>IF(Y241="","",T241&amp;"_"&amp;Y241)</f>
        <v/>
      </c>
      <c r="AA241">
        <f>SUBSTITUTE(SUBSTITUTE(SUBSTITUTE(SUBSTITUTE(SUBSTITUTE(INDEX(D241:K241,MIN(8,MAX(1,C241))),"年","/"),"月","/"),"日",""),"-","/"),".","/")</f>
        <v/>
      </c>
      <c r="AB241">
        <f>IFERROR(MATCH(O241,入力!$C$5:$C$44,0),"")</f>
        <v/>
      </c>
      <c r="AC241">
        <f>IF(AB241="","",INDEX(入力!$AH$5:$AH$44,AB241))</f>
        <v/>
      </c>
      <c r="AD241">
        <f>IF(INDEX($D241:$K241,IF(M241=1,2,1))=AC241,1,IF(INDEX($D241:$K241,IF(M241=1,2,1))&amp;INDEX($D241:$K241,IF(M241=1,2,1)+1)=AC241,2,IF(INDEX($D241:$K241,IF(M241=1,2,1))&amp;INDEX($D241:$K241,IF(M241=1,2,1)+1)&amp;INDEX($D241:$K241,IF(M241=1,2,1)+2)=AC241,3,IF(AB241&lt;&gt;"",2,IF(ISNUMBER(MATCH(INDEX($D241:$K241,IF(M241=1,2,1)),入力!$AH$5:$AH$44,0)),1,IF(ISNUMBER(MATCH(INDEX($D241:$K241,IF(M241=1,2,1))&amp;INDEX($D241:$K241,IF(M241=1,2,1)+1),入力!$AH$5:$AH$44,0)),2,IF(ISNUMBER(MATCH(INDEX($D241:$K241,IF(M241=1,2,1))&amp;INDEX($D241:$K241,IF(M241=1,2,1)+1)&amp;INDEX($D241:$K241,IF(M241=1,2,1)+2),入力!$AH$5:$AH$44,0)),3,2)))))))</f>
        <v/>
      </c>
      <c r="AE241">
        <f>IF(V241="","",IF(AND(V241="反映",N(Y241)&gt;20),"要確認（この生徒の取込が20件を超えました）",V241))</f>
        <v/>
      </c>
    </row>
    <row r="242">
      <c r="A242" s="138" t="n"/>
      <c r="B242">
        <f>TRIM(SUBSTITUTE(SUBSTITUTE(SUBSTITUTE(A242,CHAR(9)," "),"　"," "),CHAR(160)," "))</f>
        <v/>
      </c>
      <c r="C242">
        <f>IF(B242="",0,LEN(B242)-LEN(SUBSTITUTE(B242," ",""))+1)</f>
        <v/>
      </c>
      <c r="D242">
        <f>IF(C242&gt;=1,TRIM(MID(SUBSTITUTE(B242," ",REPT(" ",200)),1,200)),"")</f>
        <v/>
      </c>
      <c r="E242">
        <f>IF(C242&gt;=2,TRIM(MID(SUBSTITUTE(B242," ",REPT(" ",200)),201,200)),"")</f>
        <v/>
      </c>
      <c r="F242">
        <f>IF(C242&gt;=3,TRIM(MID(SUBSTITUTE(B242," ",REPT(" ",200)),401,200)),"")</f>
        <v/>
      </c>
      <c r="G242">
        <f>IF(C242&gt;=4,TRIM(MID(SUBSTITUTE(B242," ",REPT(" ",200)),601,200)),"")</f>
        <v/>
      </c>
      <c r="H242">
        <f>IF(C242&gt;=5,TRIM(MID(SUBSTITUTE(B242," ",REPT(" ",200)),801,200)),"")</f>
        <v/>
      </c>
      <c r="I242">
        <f>IF(C242&gt;=6,TRIM(MID(SUBSTITUTE(B242," ",REPT(" ",200)),1001,200)),"")</f>
        <v/>
      </c>
      <c r="J242">
        <f>IF(C242&gt;=7,TRIM(MID(SUBSTITUTE(B242," ",REPT(" ",200)),1201,200)),"")</f>
        <v/>
      </c>
      <c r="K242">
        <f>IF(C242&gt;=8,TRIM(MID(SUBSTITUTE(B242," ",REPT(" ",200)),1401,200)),"")</f>
        <v/>
      </c>
      <c r="L242">
        <f>SUBSTITUTE(SUBSTITUTE(SUBSTITUTE(D242,"年","-"),"組","-"),"番","")</f>
        <v/>
      </c>
      <c r="M242">
        <f>IF(D242="",0,IF(ISNUMBER(VALUE(SUBSTITUTE(L242,"-",""))),1,0))</f>
        <v/>
      </c>
      <c r="N242">
        <f>IF(M242=0,"",IFERROR(VALUE(TRIM(MID(SUBSTITUTE(L242,"-",REPT(" ",100)),101,100))),""))</f>
        <v/>
      </c>
      <c r="O242">
        <f>IF(M242=0,"",IFERROR(VALUE(TRIM(RIGHT(SUBSTITUTE(L242,"-",REPT(" ",100)),100))),""))</f>
        <v/>
      </c>
      <c r="P242">
        <f>IF(B242="","",TRIM(INDEX($D242:$K242,IF(M242=1,2,1))&amp;IF(AD242&gt;=2," "&amp;INDEX($D242:$K242,IF(M242=1,2,1)+1),"")&amp;IF(AD242&gt;=3," "&amp;INDEX($D242:$K242,IF(M242=1,2,1)+2),"")))</f>
        <v/>
      </c>
      <c r="Q242">
        <f>IF(C242&lt;2,"",TRIM(IF(AND(2&gt;=(IF(M242=1,2,1)+AD242),2&lt;=C242-IF(S242="",0,1)),E242&amp;" ","")&amp;IF(AND(3&gt;=(IF(M242=1,2,1)+AD242),3&lt;=C242-IF(S242="",0,1)),F242&amp;" ","")&amp;IF(AND(4&gt;=(IF(M242=1,2,1)+AD242),4&lt;=C242-IF(S242="",0,1)),G242&amp;" ","")&amp;IF(AND(5&gt;=(IF(M242=1,2,1)+AD242),5&lt;=C242-IF(S242="",0,1)),H242&amp;" ","")&amp;IF(AND(6&gt;=(IF(M242=1,2,1)+AD242),6&lt;=C242-IF(S242="",0,1)),I242&amp;" ","")&amp;IF(AND(7&gt;=(IF(M242=1,2,1)+AD242),7&lt;=C242-IF(S242="",0,1)),J242&amp;" ","")&amp;IF(AND(8&gt;=(IF(M242=1,2,1)+AD242),8&lt;=C242-IF(S242="",0,1)),K242&amp;" ","")))</f>
        <v/>
      </c>
      <c r="R242">
        <f>IF(Q242="","",IFERROR(INDEX(資格マスタ!$B:$B,MATCH(ASC(SUBSTITUTE(SUBSTITUTE(Q242," ",""),"　","")),資格マスタ!$D:$D,0)),Q242))</f>
        <v/>
      </c>
      <c r="S242" s="139">
        <f>IF(C242&lt;2,"",IFERROR(IF(OR(LEFT(INDEX(D242:K242,MIN(8,MAX(1,C242))),2)="令和",LEFT(INDEX(D242:K242,MIN(8,MAX(1,C242))),2)="平成",LEFT(INDEX(D242:K242,MIN(8,MAX(1,C242))),2)="昭和"),DATE(VALUE(MID(INDEX(D242:K242,MIN(8,MAX(1,C242))),3,FIND("年",INDEX(D242:K242,MIN(8,MAX(1,C242))))-3))+IF(LEFT(INDEX(D242:K242,MIN(8,MAX(1,C242))),2)="令和",2018,IF(LEFT(INDEX(D242:K242,MIN(8,MAX(1,C242))),2)="平成",1988,1925)),VALUE(MID(INDEX(D242:K242,MIN(8,MAX(1,C242))),FIND("年",INDEX(D242:K242,MIN(8,MAX(1,C242))))+1,FIND("月",INDEX(D242:K242,MIN(8,MAX(1,C242))))-FIND("年",INDEX(D242:K242,MIN(8,MAX(1,C242))))-1)),IFERROR(VALUE(SUBSTITUTE(MID(INDEX(D242:K242,MIN(8,MAX(1,C242))),FIND("月",INDEX(D242:K242,MIN(8,MAX(1,C242))))+1,10),"日","")),1)),DATE(VALUE(TRIM(MID(SUBSTITUTE(AA242,"/",REPT(" ",50)),1,50))),VALUE(TRIM(MID(SUBSTITUTE(AA242,"/",REPT(" ",50)),51,50))),IFERROR(VALUE(TRIM(MID(SUBSTITUTE(AA242,"/",REPT(" ",50)),101,50))),1))),IFERROR(DATEVALUE(INDEX(D242:K242,MIN(8,MAX(1,C242)))),"")))</f>
        <v/>
      </c>
      <c r="T242">
        <f>IF(B242="","",IF(AB242&lt;&gt;"",AB242,IFERROR(MATCH(SUBSTITUTE(SUBSTITUTE(P242," ",""),"　",""),入力!$AH$5:$AH$44,0),"")))</f>
        <v/>
      </c>
      <c r="U242">
        <f>IF(T242="","",INDEX(入力!$D$5:$D$44,T242))</f>
        <v/>
      </c>
      <c r="V242">
        <f>IF(B242="","",IF(T242="","要確認（名簿と照合できません）",IF(R242="","要確認（資格名がありません）",IF(S242="","要確認（取得日が読めません）",IF((IF(INDEX(入力!$N$5:$N$44,T242)=R242,1,0)+IF(INDEX(入力!$P$5:$P$44,T242)=R242,1,0)+IF(INDEX(入力!$R$5:$R$44,T242)=R242,1,0)+IF(INDEX(入力!$T$5:$T$44,T242)=R242,1,0)+IF(INDEX(入力!$V$5:$V$44,T242)=R242,1,0)+IF(INDEX(入力!$X$5:$X$44,T242)=R242,1,0))+(COUNTIFS($T$6:$T$405,T242,$R$6:$R$405,R242,$X$6:$X$405,"&lt;"&amp;X242))&gt;0,"重複","反映")))))</f>
        <v/>
      </c>
      <c r="W242">
        <f>IF(V242="反映",1,0)</f>
        <v/>
      </c>
      <c r="X242" t="n">
        <v>242</v>
      </c>
      <c r="Y242">
        <f>IF(W242=0,"",COUNTIFS($T$6:$T$405,T242,$W$6:$W$405,1,$S$6:$S$405,"&lt;"&amp;S242)+COUNTIFS($T$6:$T$405,T242,$W$6:$W$405,1,$S$6:$S$405,S242,$X$6:$X$405,"&lt;"&amp;X242)+1)</f>
        <v/>
      </c>
      <c r="Z242">
        <f>IF(Y242="","",T242&amp;"_"&amp;Y242)</f>
        <v/>
      </c>
      <c r="AA242">
        <f>SUBSTITUTE(SUBSTITUTE(SUBSTITUTE(SUBSTITUTE(SUBSTITUTE(INDEX(D242:K242,MIN(8,MAX(1,C242))),"年","/"),"月","/"),"日",""),"-","/"),".","/")</f>
        <v/>
      </c>
      <c r="AB242">
        <f>IFERROR(MATCH(O242,入力!$C$5:$C$44,0),"")</f>
        <v/>
      </c>
      <c r="AC242">
        <f>IF(AB242="","",INDEX(入力!$AH$5:$AH$44,AB242))</f>
        <v/>
      </c>
      <c r="AD242">
        <f>IF(INDEX($D242:$K242,IF(M242=1,2,1))=AC242,1,IF(INDEX($D242:$K242,IF(M242=1,2,1))&amp;INDEX($D242:$K242,IF(M242=1,2,1)+1)=AC242,2,IF(INDEX($D242:$K242,IF(M242=1,2,1))&amp;INDEX($D242:$K242,IF(M242=1,2,1)+1)&amp;INDEX($D242:$K242,IF(M242=1,2,1)+2)=AC242,3,IF(AB242&lt;&gt;"",2,IF(ISNUMBER(MATCH(INDEX($D242:$K242,IF(M242=1,2,1)),入力!$AH$5:$AH$44,0)),1,IF(ISNUMBER(MATCH(INDEX($D242:$K242,IF(M242=1,2,1))&amp;INDEX($D242:$K242,IF(M242=1,2,1)+1),入力!$AH$5:$AH$44,0)),2,IF(ISNUMBER(MATCH(INDEX($D242:$K242,IF(M242=1,2,1))&amp;INDEX($D242:$K242,IF(M242=1,2,1)+1)&amp;INDEX($D242:$K242,IF(M242=1,2,1)+2),入力!$AH$5:$AH$44,0)),3,2)))))))</f>
        <v/>
      </c>
      <c r="AE242">
        <f>IF(V242="","",IF(AND(V242="反映",N(Y242)&gt;20),"要確認（この生徒の取込が20件を超えました）",V242))</f>
        <v/>
      </c>
    </row>
    <row r="243">
      <c r="A243" s="138" t="n"/>
      <c r="B243">
        <f>TRIM(SUBSTITUTE(SUBSTITUTE(SUBSTITUTE(A243,CHAR(9)," "),"　"," "),CHAR(160)," "))</f>
        <v/>
      </c>
      <c r="C243">
        <f>IF(B243="",0,LEN(B243)-LEN(SUBSTITUTE(B243," ",""))+1)</f>
        <v/>
      </c>
      <c r="D243">
        <f>IF(C243&gt;=1,TRIM(MID(SUBSTITUTE(B243," ",REPT(" ",200)),1,200)),"")</f>
        <v/>
      </c>
      <c r="E243">
        <f>IF(C243&gt;=2,TRIM(MID(SUBSTITUTE(B243," ",REPT(" ",200)),201,200)),"")</f>
        <v/>
      </c>
      <c r="F243">
        <f>IF(C243&gt;=3,TRIM(MID(SUBSTITUTE(B243," ",REPT(" ",200)),401,200)),"")</f>
        <v/>
      </c>
      <c r="G243">
        <f>IF(C243&gt;=4,TRIM(MID(SUBSTITUTE(B243," ",REPT(" ",200)),601,200)),"")</f>
        <v/>
      </c>
      <c r="H243">
        <f>IF(C243&gt;=5,TRIM(MID(SUBSTITUTE(B243," ",REPT(" ",200)),801,200)),"")</f>
        <v/>
      </c>
      <c r="I243">
        <f>IF(C243&gt;=6,TRIM(MID(SUBSTITUTE(B243," ",REPT(" ",200)),1001,200)),"")</f>
        <v/>
      </c>
      <c r="J243">
        <f>IF(C243&gt;=7,TRIM(MID(SUBSTITUTE(B243," ",REPT(" ",200)),1201,200)),"")</f>
        <v/>
      </c>
      <c r="K243">
        <f>IF(C243&gt;=8,TRIM(MID(SUBSTITUTE(B243," ",REPT(" ",200)),1401,200)),"")</f>
        <v/>
      </c>
      <c r="L243">
        <f>SUBSTITUTE(SUBSTITUTE(SUBSTITUTE(D243,"年","-"),"組","-"),"番","")</f>
        <v/>
      </c>
      <c r="M243">
        <f>IF(D243="",0,IF(ISNUMBER(VALUE(SUBSTITUTE(L243,"-",""))),1,0))</f>
        <v/>
      </c>
      <c r="N243">
        <f>IF(M243=0,"",IFERROR(VALUE(TRIM(MID(SUBSTITUTE(L243,"-",REPT(" ",100)),101,100))),""))</f>
        <v/>
      </c>
      <c r="O243">
        <f>IF(M243=0,"",IFERROR(VALUE(TRIM(RIGHT(SUBSTITUTE(L243,"-",REPT(" ",100)),100))),""))</f>
        <v/>
      </c>
      <c r="P243">
        <f>IF(B243="","",TRIM(INDEX($D243:$K243,IF(M243=1,2,1))&amp;IF(AD243&gt;=2," "&amp;INDEX($D243:$K243,IF(M243=1,2,1)+1),"")&amp;IF(AD243&gt;=3," "&amp;INDEX($D243:$K243,IF(M243=1,2,1)+2),"")))</f>
        <v/>
      </c>
      <c r="Q243">
        <f>IF(C243&lt;2,"",TRIM(IF(AND(2&gt;=(IF(M243=1,2,1)+AD243),2&lt;=C243-IF(S243="",0,1)),E243&amp;" ","")&amp;IF(AND(3&gt;=(IF(M243=1,2,1)+AD243),3&lt;=C243-IF(S243="",0,1)),F243&amp;" ","")&amp;IF(AND(4&gt;=(IF(M243=1,2,1)+AD243),4&lt;=C243-IF(S243="",0,1)),G243&amp;" ","")&amp;IF(AND(5&gt;=(IF(M243=1,2,1)+AD243),5&lt;=C243-IF(S243="",0,1)),H243&amp;" ","")&amp;IF(AND(6&gt;=(IF(M243=1,2,1)+AD243),6&lt;=C243-IF(S243="",0,1)),I243&amp;" ","")&amp;IF(AND(7&gt;=(IF(M243=1,2,1)+AD243),7&lt;=C243-IF(S243="",0,1)),J243&amp;" ","")&amp;IF(AND(8&gt;=(IF(M243=1,2,1)+AD243),8&lt;=C243-IF(S243="",0,1)),K243&amp;" ","")))</f>
        <v/>
      </c>
      <c r="R243">
        <f>IF(Q243="","",IFERROR(INDEX(資格マスタ!$B:$B,MATCH(ASC(SUBSTITUTE(SUBSTITUTE(Q243," ",""),"　","")),資格マスタ!$D:$D,0)),Q243))</f>
        <v/>
      </c>
      <c r="S243" s="139">
        <f>IF(C243&lt;2,"",IFERROR(IF(OR(LEFT(INDEX(D243:K243,MIN(8,MAX(1,C243))),2)="令和",LEFT(INDEX(D243:K243,MIN(8,MAX(1,C243))),2)="平成",LEFT(INDEX(D243:K243,MIN(8,MAX(1,C243))),2)="昭和"),DATE(VALUE(MID(INDEX(D243:K243,MIN(8,MAX(1,C243))),3,FIND("年",INDEX(D243:K243,MIN(8,MAX(1,C243))))-3))+IF(LEFT(INDEX(D243:K243,MIN(8,MAX(1,C243))),2)="令和",2018,IF(LEFT(INDEX(D243:K243,MIN(8,MAX(1,C243))),2)="平成",1988,1925)),VALUE(MID(INDEX(D243:K243,MIN(8,MAX(1,C243))),FIND("年",INDEX(D243:K243,MIN(8,MAX(1,C243))))+1,FIND("月",INDEX(D243:K243,MIN(8,MAX(1,C243))))-FIND("年",INDEX(D243:K243,MIN(8,MAX(1,C243))))-1)),IFERROR(VALUE(SUBSTITUTE(MID(INDEX(D243:K243,MIN(8,MAX(1,C243))),FIND("月",INDEX(D243:K243,MIN(8,MAX(1,C243))))+1,10),"日","")),1)),DATE(VALUE(TRIM(MID(SUBSTITUTE(AA243,"/",REPT(" ",50)),1,50))),VALUE(TRIM(MID(SUBSTITUTE(AA243,"/",REPT(" ",50)),51,50))),IFERROR(VALUE(TRIM(MID(SUBSTITUTE(AA243,"/",REPT(" ",50)),101,50))),1))),IFERROR(DATEVALUE(INDEX(D243:K243,MIN(8,MAX(1,C243)))),"")))</f>
        <v/>
      </c>
      <c r="T243">
        <f>IF(B243="","",IF(AB243&lt;&gt;"",AB243,IFERROR(MATCH(SUBSTITUTE(SUBSTITUTE(P243," ",""),"　",""),入力!$AH$5:$AH$44,0),"")))</f>
        <v/>
      </c>
      <c r="U243">
        <f>IF(T243="","",INDEX(入力!$D$5:$D$44,T243))</f>
        <v/>
      </c>
      <c r="V243">
        <f>IF(B243="","",IF(T243="","要確認（名簿と照合できません）",IF(R243="","要確認（資格名がありません）",IF(S243="","要確認（取得日が読めません）",IF((IF(INDEX(入力!$N$5:$N$44,T243)=R243,1,0)+IF(INDEX(入力!$P$5:$P$44,T243)=R243,1,0)+IF(INDEX(入力!$R$5:$R$44,T243)=R243,1,0)+IF(INDEX(入力!$T$5:$T$44,T243)=R243,1,0)+IF(INDEX(入力!$V$5:$V$44,T243)=R243,1,0)+IF(INDEX(入力!$X$5:$X$44,T243)=R243,1,0))+(COUNTIFS($T$6:$T$405,T243,$R$6:$R$405,R243,$X$6:$X$405,"&lt;"&amp;X243))&gt;0,"重複","反映")))))</f>
        <v/>
      </c>
      <c r="W243">
        <f>IF(V243="反映",1,0)</f>
        <v/>
      </c>
      <c r="X243" t="n">
        <v>243</v>
      </c>
      <c r="Y243">
        <f>IF(W243=0,"",COUNTIFS($T$6:$T$405,T243,$W$6:$W$405,1,$S$6:$S$405,"&lt;"&amp;S243)+COUNTIFS($T$6:$T$405,T243,$W$6:$W$405,1,$S$6:$S$405,S243,$X$6:$X$405,"&lt;"&amp;X243)+1)</f>
        <v/>
      </c>
      <c r="Z243">
        <f>IF(Y243="","",T243&amp;"_"&amp;Y243)</f>
        <v/>
      </c>
      <c r="AA243">
        <f>SUBSTITUTE(SUBSTITUTE(SUBSTITUTE(SUBSTITUTE(SUBSTITUTE(INDEX(D243:K243,MIN(8,MAX(1,C243))),"年","/"),"月","/"),"日",""),"-","/"),".","/")</f>
        <v/>
      </c>
      <c r="AB243">
        <f>IFERROR(MATCH(O243,入力!$C$5:$C$44,0),"")</f>
        <v/>
      </c>
      <c r="AC243">
        <f>IF(AB243="","",INDEX(入力!$AH$5:$AH$44,AB243))</f>
        <v/>
      </c>
      <c r="AD243">
        <f>IF(INDEX($D243:$K243,IF(M243=1,2,1))=AC243,1,IF(INDEX($D243:$K243,IF(M243=1,2,1))&amp;INDEX($D243:$K243,IF(M243=1,2,1)+1)=AC243,2,IF(INDEX($D243:$K243,IF(M243=1,2,1))&amp;INDEX($D243:$K243,IF(M243=1,2,1)+1)&amp;INDEX($D243:$K243,IF(M243=1,2,1)+2)=AC243,3,IF(AB243&lt;&gt;"",2,IF(ISNUMBER(MATCH(INDEX($D243:$K243,IF(M243=1,2,1)),入力!$AH$5:$AH$44,0)),1,IF(ISNUMBER(MATCH(INDEX($D243:$K243,IF(M243=1,2,1))&amp;INDEX($D243:$K243,IF(M243=1,2,1)+1),入力!$AH$5:$AH$44,0)),2,IF(ISNUMBER(MATCH(INDEX($D243:$K243,IF(M243=1,2,1))&amp;INDEX($D243:$K243,IF(M243=1,2,1)+1)&amp;INDEX($D243:$K243,IF(M243=1,2,1)+2),入力!$AH$5:$AH$44,0)),3,2)))))))</f>
        <v/>
      </c>
      <c r="AE243">
        <f>IF(V243="","",IF(AND(V243="反映",N(Y243)&gt;20),"要確認（この生徒の取込が20件を超えました）",V243))</f>
        <v/>
      </c>
    </row>
    <row r="244">
      <c r="A244" s="138" t="n"/>
      <c r="B244">
        <f>TRIM(SUBSTITUTE(SUBSTITUTE(SUBSTITUTE(A244,CHAR(9)," "),"　"," "),CHAR(160)," "))</f>
        <v/>
      </c>
      <c r="C244">
        <f>IF(B244="",0,LEN(B244)-LEN(SUBSTITUTE(B244," ",""))+1)</f>
        <v/>
      </c>
      <c r="D244">
        <f>IF(C244&gt;=1,TRIM(MID(SUBSTITUTE(B244," ",REPT(" ",200)),1,200)),"")</f>
        <v/>
      </c>
      <c r="E244">
        <f>IF(C244&gt;=2,TRIM(MID(SUBSTITUTE(B244," ",REPT(" ",200)),201,200)),"")</f>
        <v/>
      </c>
      <c r="F244">
        <f>IF(C244&gt;=3,TRIM(MID(SUBSTITUTE(B244," ",REPT(" ",200)),401,200)),"")</f>
        <v/>
      </c>
      <c r="G244">
        <f>IF(C244&gt;=4,TRIM(MID(SUBSTITUTE(B244," ",REPT(" ",200)),601,200)),"")</f>
        <v/>
      </c>
      <c r="H244">
        <f>IF(C244&gt;=5,TRIM(MID(SUBSTITUTE(B244," ",REPT(" ",200)),801,200)),"")</f>
        <v/>
      </c>
      <c r="I244">
        <f>IF(C244&gt;=6,TRIM(MID(SUBSTITUTE(B244," ",REPT(" ",200)),1001,200)),"")</f>
        <v/>
      </c>
      <c r="J244">
        <f>IF(C244&gt;=7,TRIM(MID(SUBSTITUTE(B244," ",REPT(" ",200)),1201,200)),"")</f>
        <v/>
      </c>
      <c r="K244">
        <f>IF(C244&gt;=8,TRIM(MID(SUBSTITUTE(B244," ",REPT(" ",200)),1401,200)),"")</f>
        <v/>
      </c>
      <c r="L244">
        <f>SUBSTITUTE(SUBSTITUTE(SUBSTITUTE(D244,"年","-"),"組","-"),"番","")</f>
        <v/>
      </c>
      <c r="M244">
        <f>IF(D244="",0,IF(ISNUMBER(VALUE(SUBSTITUTE(L244,"-",""))),1,0))</f>
        <v/>
      </c>
      <c r="N244">
        <f>IF(M244=0,"",IFERROR(VALUE(TRIM(MID(SUBSTITUTE(L244,"-",REPT(" ",100)),101,100))),""))</f>
        <v/>
      </c>
      <c r="O244">
        <f>IF(M244=0,"",IFERROR(VALUE(TRIM(RIGHT(SUBSTITUTE(L244,"-",REPT(" ",100)),100))),""))</f>
        <v/>
      </c>
      <c r="P244">
        <f>IF(B244="","",TRIM(INDEX($D244:$K244,IF(M244=1,2,1))&amp;IF(AD244&gt;=2," "&amp;INDEX($D244:$K244,IF(M244=1,2,1)+1),"")&amp;IF(AD244&gt;=3," "&amp;INDEX($D244:$K244,IF(M244=1,2,1)+2),"")))</f>
        <v/>
      </c>
      <c r="Q244">
        <f>IF(C244&lt;2,"",TRIM(IF(AND(2&gt;=(IF(M244=1,2,1)+AD244),2&lt;=C244-IF(S244="",0,1)),E244&amp;" ","")&amp;IF(AND(3&gt;=(IF(M244=1,2,1)+AD244),3&lt;=C244-IF(S244="",0,1)),F244&amp;" ","")&amp;IF(AND(4&gt;=(IF(M244=1,2,1)+AD244),4&lt;=C244-IF(S244="",0,1)),G244&amp;" ","")&amp;IF(AND(5&gt;=(IF(M244=1,2,1)+AD244),5&lt;=C244-IF(S244="",0,1)),H244&amp;" ","")&amp;IF(AND(6&gt;=(IF(M244=1,2,1)+AD244),6&lt;=C244-IF(S244="",0,1)),I244&amp;" ","")&amp;IF(AND(7&gt;=(IF(M244=1,2,1)+AD244),7&lt;=C244-IF(S244="",0,1)),J244&amp;" ","")&amp;IF(AND(8&gt;=(IF(M244=1,2,1)+AD244),8&lt;=C244-IF(S244="",0,1)),K244&amp;" ","")))</f>
        <v/>
      </c>
      <c r="R244">
        <f>IF(Q244="","",IFERROR(INDEX(資格マスタ!$B:$B,MATCH(ASC(SUBSTITUTE(SUBSTITUTE(Q244," ",""),"　","")),資格マスタ!$D:$D,0)),Q244))</f>
        <v/>
      </c>
      <c r="S244" s="139">
        <f>IF(C244&lt;2,"",IFERROR(IF(OR(LEFT(INDEX(D244:K244,MIN(8,MAX(1,C244))),2)="令和",LEFT(INDEX(D244:K244,MIN(8,MAX(1,C244))),2)="平成",LEFT(INDEX(D244:K244,MIN(8,MAX(1,C244))),2)="昭和"),DATE(VALUE(MID(INDEX(D244:K244,MIN(8,MAX(1,C244))),3,FIND("年",INDEX(D244:K244,MIN(8,MAX(1,C244))))-3))+IF(LEFT(INDEX(D244:K244,MIN(8,MAX(1,C244))),2)="令和",2018,IF(LEFT(INDEX(D244:K244,MIN(8,MAX(1,C244))),2)="平成",1988,1925)),VALUE(MID(INDEX(D244:K244,MIN(8,MAX(1,C244))),FIND("年",INDEX(D244:K244,MIN(8,MAX(1,C244))))+1,FIND("月",INDEX(D244:K244,MIN(8,MAX(1,C244))))-FIND("年",INDEX(D244:K244,MIN(8,MAX(1,C244))))-1)),IFERROR(VALUE(SUBSTITUTE(MID(INDEX(D244:K244,MIN(8,MAX(1,C244))),FIND("月",INDEX(D244:K244,MIN(8,MAX(1,C244))))+1,10),"日","")),1)),DATE(VALUE(TRIM(MID(SUBSTITUTE(AA244,"/",REPT(" ",50)),1,50))),VALUE(TRIM(MID(SUBSTITUTE(AA244,"/",REPT(" ",50)),51,50))),IFERROR(VALUE(TRIM(MID(SUBSTITUTE(AA244,"/",REPT(" ",50)),101,50))),1))),IFERROR(DATEVALUE(INDEX(D244:K244,MIN(8,MAX(1,C244)))),"")))</f>
        <v/>
      </c>
      <c r="T244">
        <f>IF(B244="","",IF(AB244&lt;&gt;"",AB244,IFERROR(MATCH(SUBSTITUTE(SUBSTITUTE(P244," ",""),"　",""),入力!$AH$5:$AH$44,0),"")))</f>
        <v/>
      </c>
      <c r="U244">
        <f>IF(T244="","",INDEX(入力!$D$5:$D$44,T244))</f>
        <v/>
      </c>
      <c r="V244">
        <f>IF(B244="","",IF(T244="","要確認（名簿と照合できません）",IF(R244="","要確認（資格名がありません）",IF(S244="","要確認（取得日が読めません）",IF((IF(INDEX(入力!$N$5:$N$44,T244)=R244,1,0)+IF(INDEX(入力!$P$5:$P$44,T244)=R244,1,0)+IF(INDEX(入力!$R$5:$R$44,T244)=R244,1,0)+IF(INDEX(入力!$T$5:$T$44,T244)=R244,1,0)+IF(INDEX(入力!$V$5:$V$44,T244)=R244,1,0)+IF(INDEX(入力!$X$5:$X$44,T244)=R244,1,0))+(COUNTIFS($T$6:$T$405,T244,$R$6:$R$405,R244,$X$6:$X$405,"&lt;"&amp;X244))&gt;0,"重複","反映")))))</f>
        <v/>
      </c>
      <c r="W244">
        <f>IF(V244="反映",1,0)</f>
        <v/>
      </c>
      <c r="X244" t="n">
        <v>244</v>
      </c>
      <c r="Y244">
        <f>IF(W244=0,"",COUNTIFS($T$6:$T$405,T244,$W$6:$W$405,1,$S$6:$S$405,"&lt;"&amp;S244)+COUNTIFS($T$6:$T$405,T244,$W$6:$W$405,1,$S$6:$S$405,S244,$X$6:$X$405,"&lt;"&amp;X244)+1)</f>
        <v/>
      </c>
      <c r="Z244">
        <f>IF(Y244="","",T244&amp;"_"&amp;Y244)</f>
        <v/>
      </c>
      <c r="AA244">
        <f>SUBSTITUTE(SUBSTITUTE(SUBSTITUTE(SUBSTITUTE(SUBSTITUTE(INDEX(D244:K244,MIN(8,MAX(1,C244))),"年","/"),"月","/"),"日",""),"-","/"),".","/")</f>
        <v/>
      </c>
      <c r="AB244">
        <f>IFERROR(MATCH(O244,入力!$C$5:$C$44,0),"")</f>
        <v/>
      </c>
      <c r="AC244">
        <f>IF(AB244="","",INDEX(入力!$AH$5:$AH$44,AB244))</f>
        <v/>
      </c>
      <c r="AD244">
        <f>IF(INDEX($D244:$K244,IF(M244=1,2,1))=AC244,1,IF(INDEX($D244:$K244,IF(M244=1,2,1))&amp;INDEX($D244:$K244,IF(M244=1,2,1)+1)=AC244,2,IF(INDEX($D244:$K244,IF(M244=1,2,1))&amp;INDEX($D244:$K244,IF(M244=1,2,1)+1)&amp;INDEX($D244:$K244,IF(M244=1,2,1)+2)=AC244,3,IF(AB244&lt;&gt;"",2,IF(ISNUMBER(MATCH(INDEX($D244:$K244,IF(M244=1,2,1)),入力!$AH$5:$AH$44,0)),1,IF(ISNUMBER(MATCH(INDEX($D244:$K244,IF(M244=1,2,1))&amp;INDEX($D244:$K244,IF(M244=1,2,1)+1),入力!$AH$5:$AH$44,0)),2,IF(ISNUMBER(MATCH(INDEX($D244:$K244,IF(M244=1,2,1))&amp;INDEX($D244:$K244,IF(M244=1,2,1)+1)&amp;INDEX($D244:$K244,IF(M244=1,2,1)+2),入力!$AH$5:$AH$44,0)),3,2)))))))</f>
        <v/>
      </c>
      <c r="AE244">
        <f>IF(V244="","",IF(AND(V244="反映",N(Y244)&gt;20),"要確認（この生徒の取込が20件を超えました）",V244))</f>
        <v/>
      </c>
    </row>
    <row r="245">
      <c r="A245" s="138" t="n"/>
      <c r="B245">
        <f>TRIM(SUBSTITUTE(SUBSTITUTE(SUBSTITUTE(A245,CHAR(9)," "),"　"," "),CHAR(160)," "))</f>
        <v/>
      </c>
      <c r="C245">
        <f>IF(B245="",0,LEN(B245)-LEN(SUBSTITUTE(B245," ",""))+1)</f>
        <v/>
      </c>
      <c r="D245">
        <f>IF(C245&gt;=1,TRIM(MID(SUBSTITUTE(B245," ",REPT(" ",200)),1,200)),"")</f>
        <v/>
      </c>
      <c r="E245">
        <f>IF(C245&gt;=2,TRIM(MID(SUBSTITUTE(B245," ",REPT(" ",200)),201,200)),"")</f>
        <v/>
      </c>
      <c r="F245">
        <f>IF(C245&gt;=3,TRIM(MID(SUBSTITUTE(B245," ",REPT(" ",200)),401,200)),"")</f>
        <v/>
      </c>
      <c r="G245">
        <f>IF(C245&gt;=4,TRIM(MID(SUBSTITUTE(B245," ",REPT(" ",200)),601,200)),"")</f>
        <v/>
      </c>
      <c r="H245">
        <f>IF(C245&gt;=5,TRIM(MID(SUBSTITUTE(B245," ",REPT(" ",200)),801,200)),"")</f>
        <v/>
      </c>
      <c r="I245">
        <f>IF(C245&gt;=6,TRIM(MID(SUBSTITUTE(B245," ",REPT(" ",200)),1001,200)),"")</f>
        <v/>
      </c>
      <c r="J245">
        <f>IF(C245&gt;=7,TRIM(MID(SUBSTITUTE(B245," ",REPT(" ",200)),1201,200)),"")</f>
        <v/>
      </c>
      <c r="K245">
        <f>IF(C245&gt;=8,TRIM(MID(SUBSTITUTE(B245," ",REPT(" ",200)),1401,200)),"")</f>
        <v/>
      </c>
      <c r="L245">
        <f>SUBSTITUTE(SUBSTITUTE(SUBSTITUTE(D245,"年","-"),"組","-"),"番","")</f>
        <v/>
      </c>
      <c r="M245">
        <f>IF(D245="",0,IF(ISNUMBER(VALUE(SUBSTITUTE(L245,"-",""))),1,0))</f>
        <v/>
      </c>
      <c r="N245">
        <f>IF(M245=0,"",IFERROR(VALUE(TRIM(MID(SUBSTITUTE(L245,"-",REPT(" ",100)),101,100))),""))</f>
        <v/>
      </c>
      <c r="O245">
        <f>IF(M245=0,"",IFERROR(VALUE(TRIM(RIGHT(SUBSTITUTE(L245,"-",REPT(" ",100)),100))),""))</f>
        <v/>
      </c>
      <c r="P245">
        <f>IF(B245="","",TRIM(INDEX($D245:$K245,IF(M245=1,2,1))&amp;IF(AD245&gt;=2," "&amp;INDEX($D245:$K245,IF(M245=1,2,1)+1),"")&amp;IF(AD245&gt;=3," "&amp;INDEX($D245:$K245,IF(M245=1,2,1)+2),"")))</f>
        <v/>
      </c>
      <c r="Q245">
        <f>IF(C245&lt;2,"",TRIM(IF(AND(2&gt;=(IF(M245=1,2,1)+AD245),2&lt;=C245-IF(S245="",0,1)),E245&amp;" ","")&amp;IF(AND(3&gt;=(IF(M245=1,2,1)+AD245),3&lt;=C245-IF(S245="",0,1)),F245&amp;" ","")&amp;IF(AND(4&gt;=(IF(M245=1,2,1)+AD245),4&lt;=C245-IF(S245="",0,1)),G245&amp;" ","")&amp;IF(AND(5&gt;=(IF(M245=1,2,1)+AD245),5&lt;=C245-IF(S245="",0,1)),H245&amp;" ","")&amp;IF(AND(6&gt;=(IF(M245=1,2,1)+AD245),6&lt;=C245-IF(S245="",0,1)),I245&amp;" ","")&amp;IF(AND(7&gt;=(IF(M245=1,2,1)+AD245),7&lt;=C245-IF(S245="",0,1)),J245&amp;" ","")&amp;IF(AND(8&gt;=(IF(M245=1,2,1)+AD245),8&lt;=C245-IF(S245="",0,1)),K245&amp;" ","")))</f>
        <v/>
      </c>
      <c r="R245">
        <f>IF(Q245="","",IFERROR(INDEX(資格マスタ!$B:$B,MATCH(ASC(SUBSTITUTE(SUBSTITUTE(Q245," ",""),"　","")),資格マスタ!$D:$D,0)),Q245))</f>
        <v/>
      </c>
      <c r="S245" s="139">
        <f>IF(C245&lt;2,"",IFERROR(IF(OR(LEFT(INDEX(D245:K245,MIN(8,MAX(1,C245))),2)="令和",LEFT(INDEX(D245:K245,MIN(8,MAX(1,C245))),2)="平成",LEFT(INDEX(D245:K245,MIN(8,MAX(1,C245))),2)="昭和"),DATE(VALUE(MID(INDEX(D245:K245,MIN(8,MAX(1,C245))),3,FIND("年",INDEX(D245:K245,MIN(8,MAX(1,C245))))-3))+IF(LEFT(INDEX(D245:K245,MIN(8,MAX(1,C245))),2)="令和",2018,IF(LEFT(INDEX(D245:K245,MIN(8,MAX(1,C245))),2)="平成",1988,1925)),VALUE(MID(INDEX(D245:K245,MIN(8,MAX(1,C245))),FIND("年",INDEX(D245:K245,MIN(8,MAX(1,C245))))+1,FIND("月",INDEX(D245:K245,MIN(8,MAX(1,C245))))-FIND("年",INDEX(D245:K245,MIN(8,MAX(1,C245))))-1)),IFERROR(VALUE(SUBSTITUTE(MID(INDEX(D245:K245,MIN(8,MAX(1,C245))),FIND("月",INDEX(D245:K245,MIN(8,MAX(1,C245))))+1,10),"日","")),1)),DATE(VALUE(TRIM(MID(SUBSTITUTE(AA245,"/",REPT(" ",50)),1,50))),VALUE(TRIM(MID(SUBSTITUTE(AA245,"/",REPT(" ",50)),51,50))),IFERROR(VALUE(TRIM(MID(SUBSTITUTE(AA245,"/",REPT(" ",50)),101,50))),1))),IFERROR(DATEVALUE(INDEX(D245:K245,MIN(8,MAX(1,C245)))),"")))</f>
        <v/>
      </c>
      <c r="T245">
        <f>IF(B245="","",IF(AB245&lt;&gt;"",AB245,IFERROR(MATCH(SUBSTITUTE(SUBSTITUTE(P245," ",""),"　",""),入力!$AH$5:$AH$44,0),"")))</f>
        <v/>
      </c>
      <c r="U245">
        <f>IF(T245="","",INDEX(入力!$D$5:$D$44,T245))</f>
        <v/>
      </c>
      <c r="V245">
        <f>IF(B245="","",IF(T245="","要確認（名簿と照合できません）",IF(R245="","要確認（資格名がありません）",IF(S245="","要確認（取得日が読めません）",IF((IF(INDEX(入力!$N$5:$N$44,T245)=R245,1,0)+IF(INDEX(入力!$P$5:$P$44,T245)=R245,1,0)+IF(INDEX(入力!$R$5:$R$44,T245)=R245,1,0)+IF(INDEX(入力!$T$5:$T$44,T245)=R245,1,0)+IF(INDEX(入力!$V$5:$V$44,T245)=R245,1,0)+IF(INDEX(入力!$X$5:$X$44,T245)=R245,1,0))+(COUNTIFS($T$6:$T$405,T245,$R$6:$R$405,R245,$X$6:$X$405,"&lt;"&amp;X245))&gt;0,"重複","反映")))))</f>
        <v/>
      </c>
      <c r="W245">
        <f>IF(V245="反映",1,0)</f>
        <v/>
      </c>
      <c r="X245" t="n">
        <v>245</v>
      </c>
      <c r="Y245">
        <f>IF(W245=0,"",COUNTIFS($T$6:$T$405,T245,$W$6:$W$405,1,$S$6:$S$405,"&lt;"&amp;S245)+COUNTIFS($T$6:$T$405,T245,$W$6:$W$405,1,$S$6:$S$405,S245,$X$6:$X$405,"&lt;"&amp;X245)+1)</f>
        <v/>
      </c>
      <c r="Z245">
        <f>IF(Y245="","",T245&amp;"_"&amp;Y245)</f>
        <v/>
      </c>
      <c r="AA245">
        <f>SUBSTITUTE(SUBSTITUTE(SUBSTITUTE(SUBSTITUTE(SUBSTITUTE(INDEX(D245:K245,MIN(8,MAX(1,C245))),"年","/"),"月","/"),"日",""),"-","/"),".","/")</f>
        <v/>
      </c>
      <c r="AB245">
        <f>IFERROR(MATCH(O245,入力!$C$5:$C$44,0),"")</f>
        <v/>
      </c>
      <c r="AC245">
        <f>IF(AB245="","",INDEX(入力!$AH$5:$AH$44,AB245))</f>
        <v/>
      </c>
      <c r="AD245">
        <f>IF(INDEX($D245:$K245,IF(M245=1,2,1))=AC245,1,IF(INDEX($D245:$K245,IF(M245=1,2,1))&amp;INDEX($D245:$K245,IF(M245=1,2,1)+1)=AC245,2,IF(INDEX($D245:$K245,IF(M245=1,2,1))&amp;INDEX($D245:$K245,IF(M245=1,2,1)+1)&amp;INDEX($D245:$K245,IF(M245=1,2,1)+2)=AC245,3,IF(AB245&lt;&gt;"",2,IF(ISNUMBER(MATCH(INDEX($D245:$K245,IF(M245=1,2,1)),入力!$AH$5:$AH$44,0)),1,IF(ISNUMBER(MATCH(INDEX($D245:$K245,IF(M245=1,2,1))&amp;INDEX($D245:$K245,IF(M245=1,2,1)+1),入力!$AH$5:$AH$44,0)),2,IF(ISNUMBER(MATCH(INDEX($D245:$K245,IF(M245=1,2,1))&amp;INDEX($D245:$K245,IF(M245=1,2,1)+1)&amp;INDEX($D245:$K245,IF(M245=1,2,1)+2),入力!$AH$5:$AH$44,0)),3,2)))))))</f>
        <v/>
      </c>
      <c r="AE245">
        <f>IF(V245="","",IF(AND(V245="反映",N(Y245)&gt;20),"要確認（この生徒の取込が20件を超えました）",V245))</f>
        <v/>
      </c>
    </row>
    <row r="246">
      <c r="A246" s="138" t="n"/>
      <c r="B246">
        <f>TRIM(SUBSTITUTE(SUBSTITUTE(SUBSTITUTE(A246,CHAR(9)," "),"　"," "),CHAR(160)," "))</f>
        <v/>
      </c>
      <c r="C246">
        <f>IF(B246="",0,LEN(B246)-LEN(SUBSTITUTE(B246," ",""))+1)</f>
        <v/>
      </c>
      <c r="D246">
        <f>IF(C246&gt;=1,TRIM(MID(SUBSTITUTE(B246," ",REPT(" ",200)),1,200)),"")</f>
        <v/>
      </c>
      <c r="E246">
        <f>IF(C246&gt;=2,TRIM(MID(SUBSTITUTE(B246," ",REPT(" ",200)),201,200)),"")</f>
        <v/>
      </c>
      <c r="F246">
        <f>IF(C246&gt;=3,TRIM(MID(SUBSTITUTE(B246," ",REPT(" ",200)),401,200)),"")</f>
        <v/>
      </c>
      <c r="G246">
        <f>IF(C246&gt;=4,TRIM(MID(SUBSTITUTE(B246," ",REPT(" ",200)),601,200)),"")</f>
        <v/>
      </c>
      <c r="H246">
        <f>IF(C246&gt;=5,TRIM(MID(SUBSTITUTE(B246," ",REPT(" ",200)),801,200)),"")</f>
        <v/>
      </c>
      <c r="I246">
        <f>IF(C246&gt;=6,TRIM(MID(SUBSTITUTE(B246," ",REPT(" ",200)),1001,200)),"")</f>
        <v/>
      </c>
      <c r="J246">
        <f>IF(C246&gt;=7,TRIM(MID(SUBSTITUTE(B246," ",REPT(" ",200)),1201,200)),"")</f>
        <v/>
      </c>
      <c r="K246">
        <f>IF(C246&gt;=8,TRIM(MID(SUBSTITUTE(B246," ",REPT(" ",200)),1401,200)),"")</f>
        <v/>
      </c>
      <c r="L246">
        <f>SUBSTITUTE(SUBSTITUTE(SUBSTITUTE(D246,"年","-"),"組","-"),"番","")</f>
        <v/>
      </c>
      <c r="M246">
        <f>IF(D246="",0,IF(ISNUMBER(VALUE(SUBSTITUTE(L246,"-",""))),1,0))</f>
        <v/>
      </c>
      <c r="N246">
        <f>IF(M246=0,"",IFERROR(VALUE(TRIM(MID(SUBSTITUTE(L246,"-",REPT(" ",100)),101,100))),""))</f>
        <v/>
      </c>
      <c r="O246">
        <f>IF(M246=0,"",IFERROR(VALUE(TRIM(RIGHT(SUBSTITUTE(L246,"-",REPT(" ",100)),100))),""))</f>
        <v/>
      </c>
      <c r="P246">
        <f>IF(B246="","",TRIM(INDEX($D246:$K246,IF(M246=1,2,1))&amp;IF(AD246&gt;=2," "&amp;INDEX($D246:$K246,IF(M246=1,2,1)+1),"")&amp;IF(AD246&gt;=3," "&amp;INDEX($D246:$K246,IF(M246=1,2,1)+2),"")))</f>
        <v/>
      </c>
      <c r="Q246">
        <f>IF(C246&lt;2,"",TRIM(IF(AND(2&gt;=(IF(M246=1,2,1)+AD246),2&lt;=C246-IF(S246="",0,1)),E246&amp;" ","")&amp;IF(AND(3&gt;=(IF(M246=1,2,1)+AD246),3&lt;=C246-IF(S246="",0,1)),F246&amp;" ","")&amp;IF(AND(4&gt;=(IF(M246=1,2,1)+AD246),4&lt;=C246-IF(S246="",0,1)),G246&amp;" ","")&amp;IF(AND(5&gt;=(IF(M246=1,2,1)+AD246),5&lt;=C246-IF(S246="",0,1)),H246&amp;" ","")&amp;IF(AND(6&gt;=(IF(M246=1,2,1)+AD246),6&lt;=C246-IF(S246="",0,1)),I246&amp;" ","")&amp;IF(AND(7&gt;=(IF(M246=1,2,1)+AD246),7&lt;=C246-IF(S246="",0,1)),J246&amp;" ","")&amp;IF(AND(8&gt;=(IF(M246=1,2,1)+AD246),8&lt;=C246-IF(S246="",0,1)),K246&amp;" ","")))</f>
        <v/>
      </c>
      <c r="R246">
        <f>IF(Q246="","",IFERROR(INDEX(資格マスタ!$B:$B,MATCH(ASC(SUBSTITUTE(SUBSTITUTE(Q246," ",""),"　","")),資格マスタ!$D:$D,0)),Q246))</f>
        <v/>
      </c>
      <c r="S246" s="139">
        <f>IF(C246&lt;2,"",IFERROR(IF(OR(LEFT(INDEX(D246:K246,MIN(8,MAX(1,C246))),2)="令和",LEFT(INDEX(D246:K246,MIN(8,MAX(1,C246))),2)="平成",LEFT(INDEX(D246:K246,MIN(8,MAX(1,C246))),2)="昭和"),DATE(VALUE(MID(INDEX(D246:K246,MIN(8,MAX(1,C246))),3,FIND("年",INDEX(D246:K246,MIN(8,MAX(1,C246))))-3))+IF(LEFT(INDEX(D246:K246,MIN(8,MAX(1,C246))),2)="令和",2018,IF(LEFT(INDEX(D246:K246,MIN(8,MAX(1,C246))),2)="平成",1988,1925)),VALUE(MID(INDEX(D246:K246,MIN(8,MAX(1,C246))),FIND("年",INDEX(D246:K246,MIN(8,MAX(1,C246))))+1,FIND("月",INDEX(D246:K246,MIN(8,MAX(1,C246))))-FIND("年",INDEX(D246:K246,MIN(8,MAX(1,C246))))-1)),IFERROR(VALUE(SUBSTITUTE(MID(INDEX(D246:K246,MIN(8,MAX(1,C246))),FIND("月",INDEX(D246:K246,MIN(8,MAX(1,C246))))+1,10),"日","")),1)),DATE(VALUE(TRIM(MID(SUBSTITUTE(AA246,"/",REPT(" ",50)),1,50))),VALUE(TRIM(MID(SUBSTITUTE(AA246,"/",REPT(" ",50)),51,50))),IFERROR(VALUE(TRIM(MID(SUBSTITUTE(AA246,"/",REPT(" ",50)),101,50))),1))),IFERROR(DATEVALUE(INDEX(D246:K246,MIN(8,MAX(1,C246)))),"")))</f>
        <v/>
      </c>
      <c r="T246">
        <f>IF(B246="","",IF(AB246&lt;&gt;"",AB246,IFERROR(MATCH(SUBSTITUTE(SUBSTITUTE(P246," ",""),"　",""),入力!$AH$5:$AH$44,0),"")))</f>
        <v/>
      </c>
      <c r="U246">
        <f>IF(T246="","",INDEX(入力!$D$5:$D$44,T246))</f>
        <v/>
      </c>
      <c r="V246">
        <f>IF(B246="","",IF(T246="","要確認（名簿と照合できません）",IF(R246="","要確認（資格名がありません）",IF(S246="","要確認（取得日が読めません）",IF((IF(INDEX(入力!$N$5:$N$44,T246)=R246,1,0)+IF(INDEX(入力!$P$5:$P$44,T246)=R246,1,0)+IF(INDEX(入力!$R$5:$R$44,T246)=R246,1,0)+IF(INDEX(入力!$T$5:$T$44,T246)=R246,1,0)+IF(INDEX(入力!$V$5:$V$44,T246)=R246,1,0)+IF(INDEX(入力!$X$5:$X$44,T246)=R246,1,0))+(COUNTIFS($T$6:$T$405,T246,$R$6:$R$405,R246,$X$6:$X$405,"&lt;"&amp;X246))&gt;0,"重複","反映")))))</f>
        <v/>
      </c>
      <c r="W246">
        <f>IF(V246="反映",1,0)</f>
        <v/>
      </c>
      <c r="X246" t="n">
        <v>246</v>
      </c>
      <c r="Y246">
        <f>IF(W246=0,"",COUNTIFS($T$6:$T$405,T246,$W$6:$W$405,1,$S$6:$S$405,"&lt;"&amp;S246)+COUNTIFS($T$6:$T$405,T246,$W$6:$W$405,1,$S$6:$S$405,S246,$X$6:$X$405,"&lt;"&amp;X246)+1)</f>
        <v/>
      </c>
      <c r="Z246">
        <f>IF(Y246="","",T246&amp;"_"&amp;Y246)</f>
        <v/>
      </c>
      <c r="AA246">
        <f>SUBSTITUTE(SUBSTITUTE(SUBSTITUTE(SUBSTITUTE(SUBSTITUTE(INDEX(D246:K246,MIN(8,MAX(1,C246))),"年","/"),"月","/"),"日",""),"-","/"),".","/")</f>
        <v/>
      </c>
      <c r="AB246">
        <f>IFERROR(MATCH(O246,入力!$C$5:$C$44,0),"")</f>
        <v/>
      </c>
      <c r="AC246">
        <f>IF(AB246="","",INDEX(入力!$AH$5:$AH$44,AB246))</f>
        <v/>
      </c>
      <c r="AD246">
        <f>IF(INDEX($D246:$K246,IF(M246=1,2,1))=AC246,1,IF(INDEX($D246:$K246,IF(M246=1,2,1))&amp;INDEX($D246:$K246,IF(M246=1,2,1)+1)=AC246,2,IF(INDEX($D246:$K246,IF(M246=1,2,1))&amp;INDEX($D246:$K246,IF(M246=1,2,1)+1)&amp;INDEX($D246:$K246,IF(M246=1,2,1)+2)=AC246,3,IF(AB246&lt;&gt;"",2,IF(ISNUMBER(MATCH(INDEX($D246:$K246,IF(M246=1,2,1)),入力!$AH$5:$AH$44,0)),1,IF(ISNUMBER(MATCH(INDEX($D246:$K246,IF(M246=1,2,1))&amp;INDEX($D246:$K246,IF(M246=1,2,1)+1),入力!$AH$5:$AH$44,0)),2,IF(ISNUMBER(MATCH(INDEX($D246:$K246,IF(M246=1,2,1))&amp;INDEX($D246:$K246,IF(M246=1,2,1)+1)&amp;INDEX($D246:$K246,IF(M246=1,2,1)+2),入力!$AH$5:$AH$44,0)),3,2)))))))</f>
        <v/>
      </c>
      <c r="AE246">
        <f>IF(V246="","",IF(AND(V246="反映",N(Y246)&gt;20),"要確認（この生徒の取込が20件を超えました）",V246))</f>
        <v/>
      </c>
    </row>
    <row r="247">
      <c r="A247" s="138" t="n"/>
      <c r="B247">
        <f>TRIM(SUBSTITUTE(SUBSTITUTE(SUBSTITUTE(A247,CHAR(9)," "),"　"," "),CHAR(160)," "))</f>
        <v/>
      </c>
      <c r="C247">
        <f>IF(B247="",0,LEN(B247)-LEN(SUBSTITUTE(B247," ",""))+1)</f>
        <v/>
      </c>
      <c r="D247">
        <f>IF(C247&gt;=1,TRIM(MID(SUBSTITUTE(B247," ",REPT(" ",200)),1,200)),"")</f>
        <v/>
      </c>
      <c r="E247">
        <f>IF(C247&gt;=2,TRIM(MID(SUBSTITUTE(B247," ",REPT(" ",200)),201,200)),"")</f>
        <v/>
      </c>
      <c r="F247">
        <f>IF(C247&gt;=3,TRIM(MID(SUBSTITUTE(B247," ",REPT(" ",200)),401,200)),"")</f>
        <v/>
      </c>
      <c r="G247">
        <f>IF(C247&gt;=4,TRIM(MID(SUBSTITUTE(B247," ",REPT(" ",200)),601,200)),"")</f>
        <v/>
      </c>
      <c r="H247">
        <f>IF(C247&gt;=5,TRIM(MID(SUBSTITUTE(B247," ",REPT(" ",200)),801,200)),"")</f>
        <v/>
      </c>
      <c r="I247">
        <f>IF(C247&gt;=6,TRIM(MID(SUBSTITUTE(B247," ",REPT(" ",200)),1001,200)),"")</f>
        <v/>
      </c>
      <c r="J247">
        <f>IF(C247&gt;=7,TRIM(MID(SUBSTITUTE(B247," ",REPT(" ",200)),1201,200)),"")</f>
        <v/>
      </c>
      <c r="K247">
        <f>IF(C247&gt;=8,TRIM(MID(SUBSTITUTE(B247," ",REPT(" ",200)),1401,200)),"")</f>
        <v/>
      </c>
      <c r="L247">
        <f>SUBSTITUTE(SUBSTITUTE(SUBSTITUTE(D247,"年","-"),"組","-"),"番","")</f>
        <v/>
      </c>
      <c r="M247">
        <f>IF(D247="",0,IF(ISNUMBER(VALUE(SUBSTITUTE(L247,"-",""))),1,0))</f>
        <v/>
      </c>
      <c r="N247">
        <f>IF(M247=0,"",IFERROR(VALUE(TRIM(MID(SUBSTITUTE(L247,"-",REPT(" ",100)),101,100))),""))</f>
        <v/>
      </c>
      <c r="O247">
        <f>IF(M247=0,"",IFERROR(VALUE(TRIM(RIGHT(SUBSTITUTE(L247,"-",REPT(" ",100)),100))),""))</f>
        <v/>
      </c>
      <c r="P247">
        <f>IF(B247="","",TRIM(INDEX($D247:$K247,IF(M247=1,2,1))&amp;IF(AD247&gt;=2," "&amp;INDEX($D247:$K247,IF(M247=1,2,1)+1),"")&amp;IF(AD247&gt;=3," "&amp;INDEX($D247:$K247,IF(M247=1,2,1)+2),"")))</f>
        <v/>
      </c>
      <c r="Q247">
        <f>IF(C247&lt;2,"",TRIM(IF(AND(2&gt;=(IF(M247=1,2,1)+AD247),2&lt;=C247-IF(S247="",0,1)),E247&amp;" ","")&amp;IF(AND(3&gt;=(IF(M247=1,2,1)+AD247),3&lt;=C247-IF(S247="",0,1)),F247&amp;" ","")&amp;IF(AND(4&gt;=(IF(M247=1,2,1)+AD247),4&lt;=C247-IF(S247="",0,1)),G247&amp;" ","")&amp;IF(AND(5&gt;=(IF(M247=1,2,1)+AD247),5&lt;=C247-IF(S247="",0,1)),H247&amp;" ","")&amp;IF(AND(6&gt;=(IF(M247=1,2,1)+AD247),6&lt;=C247-IF(S247="",0,1)),I247&amp;" ","")&amp;IF(AND(7&gt;=(IF(M247=1,2,1)+AD247),7&lt;=C247-IF(S247="",0,1)),J247&amp;" ","")&amp;IF(AND(8&gt;=(IF(M247=1,2,1)+AD247),8&lt;=C247-IF(S247="",0,1)),K247&amp;" ","")))</f>
        <v/>
      </c>
      <c r="R247">
        <f>IF(Q247="","",IFERROR(INDEX(資格マスタ!$B:$B,MATCH(ASC(SUBSTITUTE(SUBSTITUTE(Q247," ",""),"　","")),資格マスタ!$D:$D,0)),Q247))</f>
        <v/>
      </c>
      <c r="S247" s="139">
        <f>IF(C247&lt;2,"",IFERROR(IF(OR(LEFT(INDEX(D247:K247,MIN(8,MAX(1,C247))),2)="令和",LEFT(INDEX(D247:K247,MIN(8,MAX(1,C247))),2)="平成",LEFT(INDEX(D247:K247,MIN(8,MAX(1,C247))),2)="昭和"),DATE(VALUE(MID(INDEX(D247:K247,MIN(8,MAX(1,C247))),3,FIND("年",INDEX(D247:K247,MIN(8,MAX(1,C247))))-3))+IF(LEFT(INDEX(D247:K247,MIN(8,MAX(1,C247))),2)="令和",2018,IF(LEFT(INDEX(D247:K247,MIN(8,MAX(1,C247))),2)="平成",1988,1925)),VALUE(MID(INDEX(D247:K247,MIN(8,MAX(1,C247))),FIND("年",INDEX(D247:K247,MIN(8,MAX(1,C247))))+1,FIND("月",INDEX(D247:K247,MIN(8,MAX(1,C247))))-FIND("年",INDEX(D247:K247,MIN(8,MAX(1,C247))))-1)),IFERROR(VALUE(SUBSTITUTE(MID(INDEX(D247:K247,MIN(8,MAX(1,C247))),FIND("月",INDEX(D247:K247,MIN(8,MAX(1,C247))))+1,10),"日","")),1)),DATE(VALUE(TRIM(MID(SUBSTITUTE(AA247,"/",REPT(" ",50)),1,50))),VALUE(TRIM(MID(SUBSTITUTE(AA247,"/",REPT(" ",50)),51,50))),IFERROR(VALUE(TRIM(MID(SUBSTITUTE(AA247,"/",REPT(" ",50)),101,50))),1))),IFERROR(DATEVALUE(INDEX(D247:K247,MIN(8,MAX(1,C247)))),"")))</f>
        <v/>
      </c>
      <c r="T247">
        <f>IF(B247="","",IF(AB247&lt;&gt;"",AB247,IFERROR(MATCH(SUBSTITUTE(SUBSTITUTE(P247," ",""),"　",""),入力!$AH$5:$AH$44,0),"")))</f>
        <v/>
      </c>
      <c r="U247">
        <f>IF(T247="","",INDEX(入力!$D$5:$D$44,T247))</f>
        <v/>
      </c>
      <c r="V247">
        <f>IF(B247="","",IF(T247="","要確認（名簿と照合できません）",IF(R247="","要確認（資格名がありません）",IF(S247="","要確認（取得日が読めません）",IF((IF(INDEX(入力!$N$5:$N$44,T247)=R247,1,0)+IF(INDEX(入力!$P$5:$P$44,T247)=R247,1,0)+IF(INDEX(入力!$R$5:$R$44,T247)=R247,1,0)+IF(INDEX(入力!$T$5:$T$44,T247)=R247,1,0)+IF(INDEX(入力!$V$5:$V$44,T247)=R247,1,0)+IF(INDEX(入力!$X$5:$X$44,T247)=R247,1,0))+(COUNTIFS($T$6:$T$405,T247,$R$6:$R$405,R247,$X$6:$X$405,"&lt;"&amp;X247))&gt;0,"重複","反映")))))</f>
        <v/>
      </c>
      <c r="W247">
        <f>IF(V247="反映",1,0)</f>
        <v/>
      </c>
      <c r="X247" t="n">
        <v>247</v>
      </c>
      <c r="Y247">
        <f>IF(W247=0,"",COUNTIFS($T$6:$T$405,T247,$W$6:$W$405,1,$S$6:$S$405,"&lt;"&amp;S247)+COUNTIFS($T$6:$T$405,T247,$W$6:$W$405,1,$S$6:$S$405,S247,$X$6:$X$405,"&lt;"&amp;X247)+1)</f>
        <v/>
      </c>
      <c r="Z247">
        <f>IF(Y247="","",T247&amp;"_"&amp;Y247)</f>
        <v/>
      </c>
      <c r="AA247">
        <f>SUBSTITUTE(SUBSTITUTE(SUBSTITUTE(SUBSTITUTE(SUBSTITUTE(INDEX(D247:K247,MIN(8,MAX(1,C247))),"年","/"),"月","/"),"日",""),"-","/"),".","/")</f>
        <v/>
      </c>
      <c r="AB247">
        <f>IFERROR(MATCH(O247,入力!$C$5:$C$44,0),"")</f>
        <v/>
      </c>
      <c r="AC247">
        <f>IF(AB247="","",INDEX(入力!$AH$5:$AH$44,AB247))</f>
        <v/>
      </c>
      <c r="AD247">
        <f>IF(INDEX($D247:$K247,IF(M247=1,2,1))=AC247,1,IF(INDEX($D247:$K247,IF(M247=1,2,1))&amp;INDEX($D247:$K247,IF(M247=1,2,1)+1)=AC247,2,IF(INDEX($D247:$K247,IF(M247=1,2,1))&amp;INDEX($D247:$K247,IF(M247=1,2,1)+1)&amp;INDEX($D247:$K247,IF(M247=1,2,1)+2)=AC247,3,IF(AB247&lt;&gt;"",2,IF(ISNUMBER(MATCH(INDEX($D247:$K247,IF(M247=1,2,1)),入力!$AH$5:$AH$44,0)),1,IF(ISNUMBER(MATCH(INDEX($D247:$K247,IF(M247=1,2,1))&amp;INDEX($D247:$K247,IF(M247=1,2,1)+1),入力!$AH$5:$AH$44,0)),2,IF(ISNUMBER(MATCH(INDEX($D247:$K247,IF(M247=1,2,1))&amp;INDEX($D247:$K247,IF(M247=1,2,1)+1)&amp;INDEX($D247:$K247,IF(M247=1,2,1)+2),入力!$AH$5:$AH$44,0)),3,2)))))))</f>
        <v/>
      </c>
      <c r="AE247">
        <f>IF(V247="","",IF(AND(V247="反映",N(Y247)&gt;20),"要確認（この生徒の取込が20件を超えました）",V247))</f>
        <v/>
      </c>
    </row>
    <row r="248">
      <c r="A248" s="138" t="n"/>
      <c r="B248">
        <f>TRIM(SUBSTITUTE(SUBSTITUTE(SUBSTITUTE(A248,CHAR(9)," "),"　"," "),CHAR(160)," "))</f>
        <v/>
      </c>
      <c r="C248">
        <f>IF(B248="",0,LEN(B248)-LEN(SUBSTITUTE(B248," ",""))+1)</f>
        <v/>
      </c>
      <c r="D248">
        <f>IF(C248&gt;=1,TRIM(MID(SUBSTITUTE(B248," ",REPT(" ",200)),1,200)),"")</f>
        <v/>
      </c>
      <c r="E248">
        <f>IF(C248&gt;=2,TRIM(MID(SUBSTITUTE(B248," ",REPT(" ",200)),201,200)),"")</f>
        <v/>
      </c>
      <c r="F248">
        <f>IF(C248&gt;=3,TRIM(MID(SUBSTITUTE(B248," ",REPT(" ",200)),401,200)),"")</f>
        <v/>
      </c>
      <c r="G248">
        <f>IF(C248&gt;=4,TRIM(MID(SUBSTITUTE(B248," ",REPT(" ",200)),601,200)),"")</f>
        <v/>
      </c>
      <c r="H248">
        <f>IF(C248&gt;=5,TRIM(MID(SUBSTITUTE(B248," ",REPT(" ",200)),801,200)),"")</f>
        <v/>
      </c>
      <c r="I248">
        <f>IF(C248&gt;=6,TRIM(MID(SUBSTITUTE(B248," ",REPT(" ",200)),1001,200)),"")</f>
        <v/>
      </c>
      <c r="J248">
        <f>IF(C248&gt;=7,TRIM(MID(SUBSTITUTE(B248," ",REPT(" ",200)),1201,200)),"")</f>
        <v/>
      </c>
      <c r="K248">
        <f>IF(C248&gt;=8,TRIM(MID(SUBSTITUTE(B248," ",REPT(" ",200)),1401,200)),"")</f>
        <v/>
      </c>
      <c r="L248">
        <f>SUBSTITUTE(SUBSTITUTE(SUBSTITUTE(D248,"年","-"),"組","-"),"番","")</f>
        <v/>
      </c>
      <c r="M248">
        <f>IF(D248="",0,IF(ISNUMBER(VALUE(SUBSTITUTE(L248,"-",""))),1,0))</f>
        <v/>
      </c>
      <c r="N248">
        <f>IF(M248=0,"",IFERROR(VALUE(TRIM(MID(SUBSTITUTE(L248,"-",REPT(" ",100)),101,100))),""))</f>
        <v/>
      </c>
      <c r="O248">
        <f>IF(M248=0,"",IFERROR(VALUE(TRIM(RIGHT(SUBSTITUTE(L248,"-",REPT(" ",100)),100))),""))</f>
        <v/>
      </c>
      <c r="P248">
        <f>IF(B248="","",TRIM(INDEX($D248:$K248,IF(M248=1,2,1))&amp;IF(AD248&gt;=2," "&amp;INDEX($D248:$K248,IF(M248=1,2,1)+1),"")&amp;IF(AD248&gt;=3," "&amp;INDEX($D248:$K248,IF(M248=1,2,1)+2),"")))</f>
        <v/>
      </c>
      <c r="Q248">
        <f>IF(C248&lt;2,"",TRIM(IF(AND(2&gt;=(IF(M248=1,2,1)+AD248),2&lt;=C248-IF(S248="",0,1)),E248&amp;" ","")&amp;IF(AND(3&gt;=(IF(M248=1,2,1)+AD248),3&lt;=C248-IF(S248="",0,1)),F248&amp;" ","")&amp;IF(AND(4&gt;=(IF(M248=1,2,1)+AD248),4&lt;=C248-IF(S248="",0,1)),G248&amp;" ","")&amp;IF(AND(5&gt;=(IF(M248=1,2,1)+AD248),5&lt;=C248-IF(S248="",0,1)),H248&amp;" ","")&amp;IF(AND(6&gt;=(IF(M248=1,2,1)+AD248),6&lt;=C248-IF(S248="",0,1)),I248&amp;" ","")&amp;IF(AND(7&gt;=(IF(M248=1,2,1)+AD248),7&lt;=C248-IF(S248="",0,1)),J248&amp;" ","")&amp;IF(AND(8&gt;=(IF(M248=1,2,1)+AD248),8&lt;=C248-IF(S248="",0,1)),K248&amp;" ","")))</f>
        <v/>
      </c>
      <c r="R248">
        <f>IF(Q248="","",IFERROR(INDEX(資格マスタ!$B:$B,MATCH(ASC(SUBSTITUTE(SUBSTITUTE(Q248," ",""),"　","")),資格マスタ!$D:$D,0)),Q248))</f>
        <v/>
      </c>
      <c r="S248" s="139">
        <f>IF(C248&lt;2,"",IFERROR(IF(OR(LEFT(INDEX(D248:K248,MIN(8,MAX(1,C248))),2)="令和",LEFT(INDEX(D248:K248,MIN(8,MAX(1,C248))),2)="平成",LEFT(INDEX(D248:K248,MIN(8,MAX(1,C248))),2)="昭和"),DATE(VALUE(MID(INDEX(D248:K248,MIN(8,MAX(1,C248))),3,FIND("年",INDEX(D248:K248,MIN(8,MAX(1,C248))))-3))+IF(LEFT(INDEX(D248:K248,MIN(8,MAX(1,C248))),2)="令和",2018,IF(LEFT(INDEX(D248:K248,MIN(8,MAX(1,C248))),2)="平成",1988,1925)),VALUE(MID(INDEX(D248:K248,MIN(8,MAX(1,C248))),FIND("年",INDEX(D248:K248,MIN(8,MAX(1,C248))))+1,FIND("月",INDEX(D248:K248,MIN(8,MAX(1,C248))))-FIND("年",INDEX(D248:K248,MIN(8,MAX(1,C248))))-1)),IFERROR(VALUE(SUBSTITUTE(MID(INDEX(D248:K248,MIN(8,MAX(1,C248))),FIND("月",INDEX(D248:K248,MIN(8,MAX(1,C248))))+1,10),"日","")),1)),DATE(VALUE(TRIM(MID(SUBSTITUTE(AA248,"/",REPT(" ",50)),1,50))),VALUE(TRIM(MID(SUBSTITUTE(AA248,"/",REPT(" ",50)),51,50))),IFERROR(VALUE(TRIM(MID(SUBSTITUTE(AA248,"/",REPT(" ",50)),101,50))),1))),IFERROR(DATEVALUE(INDEX(D248:K248,MIN(8,MAX(1,C248)))),"")))</f>
        <v/>
      </c>
      <c r="T248">
        <f>IF(B248="","",IF(AB248&lt;&gt;"",AB248,IFERROR(MATCH(SUBSTITUTE(SUBSTITUTE(P248," ",""),"　",""),入力!$AH$5:$AH$44,0),"")))</f>
        <v/>
      </c>
      <c r="U248">
        <f>IF(T248="","",INDEX(入力!$D$5:$D$44,T248))</f>
        <v/>
      </c>
      <c r="V248">
        <f>IF(B248="","",IF(T248="","要確認（名簿と照合できません）",IF(R248="","要確認（資格名がありません）",IF(S248="","要確認（取得日が読めません）",IF((IF(INDEX(入力!$N$5:$N$44,T248)=R248,1,0)+IF(INDEX(入力!$P$5:$P$44,T248)=R248,1,0)+IF(INDEX(入力!$R$5:$R$44,T248)=R248,1,0)+IF(INDEX(入力!$T$5:$T$44,T248)=R248,1,0)+IF(INDEX(入力!$V$5:$V$44,T248)=R248,1,0)+IF(INDEX(入力!$X$5:$X$44,T248)=R248,1,0))+(COUNTIFS($T$6:$T$405,T248,$R$6:$R$405,R248,$X$6:$X$405,"&lt;"&amp;X248))&gt;0,"重複","反映")))))</f>
        <v/>
      </c>
      <c r="W248">
        <f>IF(V248="反映",1,0)</f>
        <v/>
      </c>
      <c r="X248" t="n">
        <v>248</v>
      </c>
      <c r="Y248">
        <f>IF(W248=0,"",COUNTIFS($T$6:$T$405,T248,$W$6:$W$405,1,$S$6:$S$405,"&lt;"&amp;S248)+COUNTIFS($T$6:$T$405,T248,$W$6:$W$405,1,$S$6:$S$405,S248,$X$6:$X$405,"&lt;"&amp;X248)+1)</f>
        <v/>
      </c>
      <c r="Z248">
        <f>IF(Y248="","",T248&amp;"_"&amp;Y248)</f>
        <v/>
      </c>
      <c r="AA248">
        <f>SUBSTITUTE(SUBSTITUTE(SUBSTITUTE(SUBSTITUTE(SUBSTITUTE(INDEX(D248:K248,MIN(8,MAX(1,C248))),"年","/"),"月","/"),"日",""),"-","/"),".","/")</f>
        <v/>
      </c>
      <c r="AB248">
        <f>IFERROR(MATCH(O248,入力!$C$5:$C$44,0),"")</f>
        <v/>
      </c>
      <c r="AC248">
        <f>IF(AB248="","",INDEX(入力!$AH$5:$AH$44,AB248))</f>
        <v/>
      </c>
      <c r="AD248">
        <f>IF(INDEX($D248:$K248,IF(M248=1,2,1))=AC248,1,IF(INDEX($D248:$K248,IF(M248=1,2,1))&amp;INDEX($D248:$K248,IF(M248=1,2,1)+1)=AC248,2,IF(INDEX($D248:$K248,IF(M248=1,2,1))&amp;INDEX($D248:$K248,IF(M248=1,2,1)+1)&amp;INDEX($D248:$K248,IF(M248=1,2,1)+2)=AC248,3,IF(AB248&lt;&gt;"",2,IF(ISNUMBER(MATCH(INDEX($D248:$K248,IF(M248=1,2,1)),入力!$AH$5:$AH$44,0)),1,IF(ISNUMBER(MATCH(INDEX($D248:$K248,IF(M248=1,2,1))&amp;INDEX($D248:$K248,IF(M248=1,2,1)+1),入力!$AH$5:$AH$44,0)),2,IF(ISNUMBER(MATCH(INDEX($D248:$K248,IF(M248=1,2,1))&amp;INDEX($D248:$K248,IF(M248=1,2,1)+1)&amp;INDEX($D248:$K248,IF(M248=1,2,1)+2),入力!$AH$5:$AH$44,0)),3,2)))))))</f>
        <v/>
      </c>
      <c r="AE248">
        <f>IF(V248="","",IF(AND(V248="反映",N(Y248)&gt;20),"要確認（この生徒の取込が20件を超えました）",V248))</f>
        <v/>
      </c>
    </row>
    <row r="249">
      <c r="A249" s="138" t="n"/>
      <c r="B249">
        <f>TRIM(SUBSTITUTE(SUBSTITUTE(SUBSTITUTE(A249,CHAR(9)," "),"　"," "),CHAR(160)," "))</f>
        <v/>
      </c>
      <c r="C249">
        <f>IF(B249="",0,LEN(B249)-LEN(SUBSTITUTE(B249," ",""))+1)</f>
        <v/>
      </c>
      <c r="D249">
        <f>IF(C249&gt;=1,TRIM(MID(SUBSTITUTE(B249," ",REPT(" ",200)),1,200)),"")</f>
        <v/>
      </c>
      <c r="E249">
        <f>IF(C249&gt;=2,TRIM(MID(SUBSTITUTE(B249," ",REPT(" ",200)),201,200)),"")</f>
        <v/>
      </c>
      <c r="F249">
        <f>IF(C249&gt;=3,TRIM(MID(SUBSTITUTE(B249," ",REPT(" ",200)),401,200)),"")</f>
        <v/>
      </c>
      <c r="G249">
        <f>IF(C249&gt;=4,TRIM(MID(SUBSTITUTE(B249," ",REPT(" ",200)),601,200)),"")</f>
        <v/>
      </c>
      <c r="H249">
        <f>IF(C249&gt;=5,TRIM(MID(SUBSTITUTE(B249," ",REPT(" ",200)),801,200)),"")</f>
        <v/>
      </c>
      <c r="I249">
        <f>IF(C249&gt;=6,TRIM(MID(SUBSTITUTE(B249," ",REPT(" ",200)),1001,200)),"")</f>
        <v/>
      </c>
      <c r="J249">
        <f>IF(C249&gt;=7,TRIM(MID(SUBSTITUTE(B249," ",REPT(" ",200)),1201,200)),"")</f>
        <v/>
      </c>
      <c r="K249">
        <f>IF(C249&gt;=8,TRIM(MID(SUBSTITUTE(B249," ",REPT(" ",200)),1401,200)),"")</f>
        <v/>
      </c>
      <c r="L249">
        <f>SUBSTITUTE(SUBSTITUTE(SUBSTITUTE(D249,"年","-"),"組","-"),"番","")</f>
        <v/>
      </c>
      <c r="M249">
        <f>IF(D249="",0,IF(ISNUMBER(VALUE(SUBSTITUTE(L249,"-",""))),1,0))</f>
        <v/>
      </c>
      <c r="N249">
        <f>IF(M249=0,"",IFERROR(VALUE(TRIM(MID(SUBSTITUTE(L249,"-",REPT(" ",100)),101,100))),""))</f>
        <v/>
      </c>
      <c r="O249">
        <f>IF(M249=0,"",IFERROR(VALUE(TRIM(RIGHT(SUBSTITUTE(L249,"-",REPT(" ",100)),100))),""))</f>
        <v/>
      </c>
      <c r="P249">
        <f>IF(B249="","",TRIM(INDEX($D249:$K249,IF(M249=1,2,1))&amp;IF(AD249&gt;=2," "&amp;INDEX($D249:$K249,IF(M249=1,2,1)+1),"")&amp;IF(AD249&gt;=3," "&amp;INDEX($D249:$K249,IF(M249=1,2,1)+2),"")))</f>
        <v/>
      </c>
      <c r="Q249">
        <f>IF(C249&lt;2,"",TRIM(IF(AND(2&gt;=(IF(M249=1,2,1)+AD249),2&lt;=C249-IF(S249="",0,1)),E249&amp;" ","")&amp;IF(AND(3&gt;=(IF(M249=1,2,1)+AD249),3&lt;=C249-IF(S249="",0,1)),F249&amp;" ","")&amp;IF(AND(4&gt;=(IF(M249=1,2,1)+AD249),4&lt;=C249-IF(S249="",0,1)),G249&amp;" ","")&amp;IF(AND(5&gt;=(IF(M249=1,2,1)+AD249),5&lt;=C249-IF(S249="",0,1)),H249&amp;" ","")&amp;IF(AND(6&gt;=(IF(M249=1,2,1)+AD249),6&lt;=C249-IF(S249="",0,1)),I249&amp;" ","")&amp;IF(AND(7&gt;=(IF(M249=1,2,1)+AD249),7&lt;=C249-IF(S249="",0,1)),J249&amp;" ","")&amp;IF(AND(8&gt;=(IF(M249=1,2,1)+AD249),8&lt;=C249-IF(S249="",0,1)),K249&amp;" ","")))</f>
        <v/>
      </c>
      <c r="R249">
        <f>IF(Q249="","",IFERROR(INDEX(資格マスタ!$B:$B,MATCH(ASC(SUBSTITUTE(SUBSTITUTE(Q249," ",""),"　","")),資格マスタ!$D:$D,0)),Q249))</f>
        <v/>
      </c>
      <c r="S249" s="139">
        <f>IF(C249&lt;2,"",IFERROR(IF(OR(LEFT(INDEX(D249:K249,MIN(8,MAX(1,C249))),2)="令和",LEFT(INDEX(D249:K249,MIN(8,MAX(1,C249))),2)="平成",LEFT(INDEX(D249:K249,MIN(8,MAX(1,C249))),2)="昭和"),DATE(VALUE(MID(INDEX(D249:K249,MIN(8,MAX(1,C249))),3,FIND("年",INDEX(D249:K249,MIN(8,MAX(1,C249))))-3))+IF(LEFT(INDEX(D249:K249,MIN(8,MAX(1,C249))),2)="令和",2018,IF(LEFT(INDEX(D249:K249,MIN(8,MAX(1,C249))),2)="平成",1988,1925)),VALUE(MID(INDEX(D249:K249,MIN(8,MAX(1,C249))),FIND("年",INDEX(D249:K249,MIN(8,MAX(1,C249))))+1,FIND("月",INDEX(D249:K249,MIN(8,MAX(1,C249))))-FIND("年",INDEX(D249:K249,MIN(8,MAX(1,C249))))-1)),IFERROR(VALUE(SUBSTITUTE(MID(INDEX(D249:K249,MIN(8,MAX(1,C249))),FIND("月",INDEX(D249:K249,MIN(8,MAX(1,C249))))+1,10),"日","")),1)),DATE(VALUE(TRIM(MID(SUBSTITUTE(AA249,"/",REPT(" ",50)),1,50))),VALUE(TRIM(MID(SUBSTITUTE(AA249,"/",REPT(" ",50)),51,50))),IFERROR(VALUE(TRIM(MID(SUBSTITUTE(AA249,"/",REPT(" ",50)),101,50))),1))),IFERROR(DATEVALUE(INDEX(D249:K249,MIN(8,MAX(1,C249)))),"")))</f>
        <v/>
      </c>
      <c r="T249">
        <f>IF(B249="","",IF(AB249&lt;&gt;"",AB249,IFERROR(MATCH(SUBSTITUTE(SUBSTITUTE(P249," ",""),"　",""),入力!$AH$5:$AH$44,0),"")))</f>
        <v/>
      </c>
      <c r="U249">
        <f>IF(T249="","",INDEX(入力!$D$5:$D$44,T249))</f>
        <v/>
      </c>
      <c r="V249">
        <f>IF(B249="","",IF(T249="","要確認（名簿と照合できません）",IF(R249="","要確認（資格名がありません）",IF(S249="","要確認（取得日が読めません）",IF((IF(INDEX(入力!$N$5:$N$44,T249)=R249,1,0)+IF(INDEX(入力!$P$5:$P$44,T249)=R249,1,0)+IF(INDEX(入力!$R$5:$R$44,T249)=R249,1,0)+IF(INDEX(入力!$T$5:$T$44,T249)=R249,1,0)+IF(INDEX(入力!$V$5:$V$44,T249)=R249,1,0)+IF(INDEX(入力!$X$5:$X$44,T249)=R249,1,0))+(COUNTIFS($T$6:$T$405,T249,$R$6:$R$405,R249,$X$6:$X$405,"&lt;"&amp;X249))&gt;0,"重複","反映")))))</f>
        <v/>
      </c>
      <c r="W249">
        <f>IF(V249="反映",1,0)</f>
        <v/>
      </c>
      <c r="X249" t="n">
        <v>249</v>
      </c>
      <c r="Y249">
        <f>IF(W249=0,"",COUNTIFS($T$6:$T$405,T249,$W$6:$W$405,1,$S$6:$S$405,"&lt;"&amp;S249)+COUNTIFS($T$6:$T$405,T249,$W$6:$W$405,1,$S$6:$S$405,S249,$X$6:$X$405,"&lt;"&amp;X249)+1)</f>
        <v/>
      </c>
      <c r="Z249">
        <f>IF(Y249="","",T249&amp;"_"&amp;Y249)</f>
        <v/>
      </c>
      <c r="AA249">
        <f>SUBSTITUTE(SUBSTITUTE(SUBSTITUTE(SUBSTITUTE(SUBSTITUTE(INDEX(D249:K249,MIN(8,MAX(1,C249))),"年","/"),"月","/"),"日",""),"-","/"),".","/")</f>
        <v/>
      </c>
      <c r="AB249">
        <f>IFERROR(MATCH(O249,入力!$C$5:$C$44,0),"")</f>
        <v/>
      </c>
      <c r="AC249">
        <f>IF(AB249="","",INDEX(入力!$AH$5:$AH$44,AB249))</f>
        <v/>
      </c>
      <c r="AD249">
        <f>IF(INDEX($D249:$K249,IF(M249=1,2,1))=AC249,1,IF(INDEX($D249:$K249,IF(M249=1,2,1))&amp;INDEX($D249:$K249,IF(M249=1,2,1)+1)=AC249,2,IF(INDEX($D249:$K249,IF(M249=1,2,1))&amp;INDEX($D249:$K249,IF(M249=1,2,1)+1)&amp;INDEX($D249:$K249,IF(M249=1,2,1)+2)=AC249,3,IF(AB249&lt;&gt;"",2,IF(ISNUMBER(MATCH(INDEX($D249:$K249,IF(M249=1,2,1)),入力!$AH$5:$AH$44,0)),1,IF(ISNUMBER(MATCH(INDEX($D249:$K249,IF(M249=1,2,1))&amp;INDEX($D249:$K249,IF(M249=1,2,1)+1),入力!$AH$5:$AH$44,0)),2,IF(ISNUMBER(MATCH(INDEX($D249:$K249,IF(M249=1,2,1))&amp;INDEX($D249:$K249,IF(M249=1,2,1)+1)&amp;INDEX($D249:$K249,IF(M249=1,2,1)+2),入力!$AH$5:$AH$44,0)),3,2)))))))</f>
        <v/>
      </c>
      <c r="AE249">
        <f>IF(V249="","",IF(AND(V249="反映",N(Y249)&gt;20),"要確認（この生徒の取込が20件を超えました）",V249))</f>
        <v/>
      </c>
    </row>
    <row r="250">
      <c r="A250" s="138" t="n"/>
      <c r="B250">
        <f>TRIM(SUBSTITUTE(SUBSTITUTE(SUBSTITUTE(A250,CHAR(9)," "),"　"," "),CHAR(160)," "))</f>
        <v/>
      </c>
      <c r="C250">
        <f>IF(B250="",0,LEN(B250)-LEN(SUBSTITUTE(B250," ",""))+1)</f>
        <v/>
      </c>
      <c r="D250">
        <f>IF(C250&gt;=1,TRIM(MID(SUBSTITUTE(B250," ",REPT(" ",200)),1,200)),"")</f>
        <v/>
      </c>
      <c r="E250">
        <f>IF(C250&gt;=2,TRIM(MID(SUBSTITUTE(B250," ",REPT(" ",200)),201,200)),"")</f>
        <v/>
      </c>
      <c r="F250">
        <f>IF(C250&gt;=3,TRIM(MID(SUBSTITUTE(B250," ",REPT(" ",200)),401,200)),"")</f>
        <v/>
      </c>
      <c r="G250">
        <f>IF(C250&gt;=4,TRIM(MID(SUBSTITUTE(B250," ",REPT(" ",200)),601,200)),"")</f>
        <v/>
      </c>
      <c r="H250">
        <f>IF(C250&gt;=5,TRIM(MID(SUBSTITUTE(B250," ",REPT(" ",200)),801,200)),"")</f>
        <v/>
      </c>
      <c r="I250">
        <f>IF(C250&gt;=6,TRIM(MID(SUBSTITUTE(B250," ",REPT(" ",200)),1001,200)),"")</f>
        <v/>
      </c>
      <c r="J250">
        <f>IF(C250&gt;=7,TRIM(MID(SUBSTITUTE(B250," ",REPT(" ",200)),1201,200)),"")</f>
        <v/>
      </c>
      <c r="K250">
        <f>IF(C250&gt;=8,TRIM(MID(SUBSTITUTE(B250," ",REPT(" ",200)),1401,200)),"")</f>
        <v/>
      </c>
      <c r="L250">
        <f>SUBSTITUTE(SUBSTITUTE(SUBSTITUTE(D250,"年","-"),"組","-"),"番","")</f>
        <v/>
      </c>
      <c r="M250">
        <f>IF(D250="",0,IF(ISNUMBER(VALUE(SUBSTITUTE(L250,"-",""))),1,0))</f>
        <v/>
      </c>
      <c r="N250">
        <f>IF(M250=0,"",IFERROR(VALUE(TRIM(MID(SUBSTITUTE(L250,"-",REPT(" ",100)),101,100))),""))</f>
        <v/>
      </c>
      <c r="O250">
        <f>IF(M250=0,"",IFERROR(VALUE(TRIM(RIGHT(SUBSTITUTE(L250,"-",REPT(" ",100)),100))),""))</f>
        <v/>
      </c>
      <c r="P250">
        <f>IF(B250="","",TRIM(INDEX($D250:$K250,IF(M250=1,2,1))&amp;IF(AD250&gt;=2," "&amp;INDEX($D250:$K250,IF(M250=1,2,1)+1),"")&amp;IF(AD250&gt;=3," "&amp;INDEX($D250:$K250,IF(M250=1,2,1)+2),"")))</f>
        <v/>
      </c>
      <c r="Q250">
        <f>IF(C250&lt;2,"",TRIM(IF(AND(2&gt;=(IF(M250=1,2,1)+AD250),2&lt;=C250-IF(S250="",0,1)),E250&amp;" ","")&amp;IF(AND(3&gt;=(IF(M250=1,2,1)+AD250),3&lt;=C250-IF(S250="",0,1)),F250&amp;" ","")&amp;IF(AND(4&gt;=(IF(M250=1,2,1)+AD250),4&lt;=C250-IF(S250="",0,1)),G250&amp;" ","")&amp;IF(AND(5&gt;=(IF(M250=1,2,1)+AD250),5&lt;=C250-IF(S250="",0,1)),H250&amp;" ","")&amp;IF(AND(6&gt;=(IF(M250=1,2,1)+AD250),6&lt;=C250-IF(S250="",0,1)),I250&amp;" ","")&amp;IF(AND(7&gt;=(IF(M250=1,2,1)+AD250),7&lt;=C250-IF(S250="",0,1)),J250&amp;" ","")&amp;IF(AND(8&gt;=(IF(M250=1,2,1)+AD250),8&lt;=C250-IF(S250="",0,1)),K250&amp;" ","")))</f>
        <v/>
      </c>
      <c r="R250">
        <f>IF(Q250="","",IFERROR(INDEX(資格マスタ!$B:$B,MATCH(ASC(SUBSTITUTE(SUBSTITUTE(Q250," ",""),"　","")),資格マスタ!$D:$D,0)),Q250))</f>
        <v/>
      </c>
      <c r="S250" s="139">
        <f>IF(C250&lt;2,"",IFERROR(IF(OR(LEFT(INDEX(D250:K250,MIN(8,MAX(1,C250))),2)="令和",LEFT(INDEX(D250:K250,MIN(8,MAX(1,C250))),2)="平成",LEFT(INDEX(D250:K250,MIN(8,MAX(1,C250))),2)="昭和"),DATE(VALUE(MID(INDEX(D250:K250,MIN(8,MAX(1,C250))),3,FIND("年",INDEX(D250:K250,MIN(8,MAX(1,C250))))-3))+IF(LEFT(INDEX(D250:K250,MIN(8,MAX(1,C250))),2)="令和",2018,IF(LEFT(INDEX(D250:K250,MIN(8,MAX(1,C250))),2)="平成",1988,1925)),VALUE(MID(INDEX(D250:K250,MIN(8,MAX(1,C250))),FIND("年",INDEX(D250:K250,MIN(8,MAX(1,C250))))+1,FIND("月",INDEX(D250:K250,MIN(8,MAX(1,C250))))-FIND("年",INDEX(D250:K250,MIN(8,MAX(1,C250))))-1)),IFERROR(VALUE(SUBSTITUTE(MID(INDEX(D250:K250,MIN(8,MAX(1,C250))),FIND("月",INDEX(D250:K250,MIN(8,MAX(1,C250))))+1,10),"日","")),1)),DATE(VALUE(TRIM(MID(SUBSTITUTE(AA250,"/",REPT(" ",50)),1,50))),VALUE(TRIM(MID(SUBSTITUTE(AA250,"/",REPT(" ",50)),51,50))),IFERROR(VALUE(TRIM(MID(SUBSTITUTE(AA250,"/",REPT(" ",50)),101,50))),1))),IFERROR(DATEVALUE(INDEX(D250:K250,MIN(8,MAX(1,C250)))),"")))</f>
        <v/>
      </c>
      <c r="T250">
        <f>IF(B250="","",IF(AB250&lt;&gt;"",AB250,IFERROR(MATCH(SUBSTITUTE(SUBSTITUTE(P250," ",""),"　",""),入力!$AH$5:$AH$44,0),"")))</f>
        <v/>
      </c>
      <c r="U250">
        <f>IF(T250="","",INDEX(入力!$D$5:$D$44,T250))</f>
        <v/>
      </c>
      <c r="V250">
        <f>IF(B250="","",IF(T250="","要確認（名簿と照合できません）",IF(R250="","要確認（資格名がありません）",IF(S250="","要確認（取得日が読めません）",IF((IF(INDEX(入力!$N$5:$N$44,T250)=R250,1,0)+IF(INDEX(入力!$P$5:$P$44,T250)=R250,1,0)+IF(INDEX(入力!$R$5:$R$44,T250)=R250,1,0)+IF(INDEX(入力!$T$5:$T$44,T250)=R250,1,0)+IF(INDEX(入力!$V$5:$V$44,T250)=R250,1,0)+IF(INDEX(入力!$X$5:$X$44,T250)=R250,1,0))+(COUNTIFS($T$6:$T$405,T250,$R$6:$R$405,R250,$X$6:$X$405,"&lt;"&amp;X250))&gt;0,"重複","反映")))))</f>
        <v/>
      </c>
      <c r="W250">
        <f>IF(V250="反映",1,0)</f>
        <v/>
      </c>
      <c r="X250" t="n">
        <v>250</v>
      </c>
      <c r="Y250">
        <f>IF(W250=0,"",COUNTIFS($T$6:$T$405,T250,$W$6:$W$405,1,$S$6:$S$405,"&lt;"&amp;S250)+COUNTIFS($T$6:$T$405,T250,$W$6:$W$405,1,$S$6:$S$405,S250,$X$6:$X$405,"&lt;"&amp;X250)+1)</f>
        <v/>
      </c>
      <c r="Z250">
        <f>IF(Y250="","",T250&amp;"_"&amp;Y250)</f>
        <v/>
      </c>
      <c r="AA250">
        <f>SUBSTITUTE(SUBSTITUTE(SUBSTITUTE(SUBSTITUTE(SUBSTITUTE(INDEX(D250:K250,MIN(8,MAX(1,C250))),"年","/"),"月","/"),"日",""),"-","/"),".","/")</f>
        <v/>
      </c>
      <c r="AB250">
        <f>IFERROR(MATCH(O250,入力!$C$5:$C$44,0),"")</f>
        <v/>
      </c>
      <c r="AC250">
        <f>IF(AB250="","",INDEX(入力!$AH$5:$AH$44,AB250))</f>
        <v/>
      </c>
      <c r="AD250">
        <f>IF(INDEX($D250:$K250,IF(M250=1,2,1))=AC250,1,IF(INDEX($D250:$K250,IF(M250=1,2,1))&amp;INDEX($D250:$K250,IF(M250=1,2,1)+1)=AC250,2,IF(INDEX($D250:$K250,IF(M250=1,2,1))&amp;INDEX($D250:$K250,IF(M250=1,2,1)+1)&amp;INDEX($D250:$K250,IF(M250=1,2,1)+2)=AC250,3,IF(AB250&lt;&gt;"",2,IF(ISNUMBER(MATCH(INDEX($D250:$K250,IF(M250=1,2,1)),入力!$AH$5:$AH$44,0)),1,IF(ISNUMBER(MATCH(INDEX($D250:$K250,IF(M250=1,2,1))&amp;INDEX($D250:$K250,IF(M250=1,2,1)+1),入力!$AH$5:$AH$44,0)),2,IF(ISNUMBER(MATCH(INDEX($D250:$K250,IF(M250=1,2,1))&amp;INDEX($D250:$K250,IF(M250=1,2,1)+1)&amp;INDEX($D250:$K250,IF(M250=1,2,1)+2),入力!$AH$5:$AH$44,0)),3,2)))))))</f>
        <v/>
      </c>
      <c r="AE250">
        <f>IF(V250="","",IF(AND(V250="反映",N(Y250)&gt;20),"要確認（この生徒の取込が20件を超えました）",V250))</f>
        <v/>
      </c>
    </row>
    <row r="251">
      <c r="A251" s="138" t="n"/>
      <c r="B251">
        <f>TRIM(SUBSTITUTE(SUBSTITUTE(SUBSTITUTE(A251,CHAR(9)," "),"　"," "),CHAR(160)," "))</f>
        <v/>
      </c>
      <c r="C251">
        <f>IF(B251="",0,LEN(B251)-LEN(SUBSTITUTE(B251," ",""))+1)</f>
        <v/>
      </c>
      <c r="D251">
        <f>IF(C251&gt;=1,TRIM(MID(SUBSTITUTE(B251," ",REPT(" ",200)),1,200)),"")</f>
        <v/>
      </c>
      <c r="E251">
        <f>IF(C251&gt;=2,TRIM(MID(SUBSTITUTE(B251," ",REPT(" ",200)),201,200)),"")</f>
        <v/>
      </c>
      <c r="F251">
        <f>IF(C251&gt;=3,TRIM(MID(SUBSTITUTE(B251," ",REPT(" ",200)),401,200)),"")</f>
        <v/>
      </c>
      <c r="G251">
        <f>IF(C251&gt;=4,TRIM(MID(SUBSTITUTE(B251," ",REPT(" ",200)),601,200)),"")</f>
        <v/>
      </c>
      <c r="H251">
        <f>IF(C251&gt;=5,TRIM(MID(SUBSTITUTE(B251," ",REPT(" ",200)),801,200)),"")</f>
        <v/>
      </c>
      <c r="I251">
        <f>IF(C251&gt;=6,TRIM(MID(SUBSTITUTE(B251," ",REPT(" ",200)),1001,200)),"")</f>
        <v/>
      </c>
      <c r="J251">
        <f>IF(C251&gt;=7,TRIM(MID(SUBSTITUTE(B251," ",REPT(" ",200)),1201,200)),"")</f>
        <v/>
      </c>
      <c r="K251">
        <f>IF(C251&gt;=8,TRIM(MID(SUBSTITUTE(B251," ",REPT(" ",200)),1401,200)),"")</f>
        <v/>
      </c>
      <c r="L251">
        <f>SUBSTITUTE(SUBSTITUTE(SUBSTITUTE(D251,"年","-"),"組","-"),"番","")</f>
        <v/>
      </c>
      <c r="M251">
        <f>IF(D251="",0,IF(ISNUMBER(VALUE(SUBSTITUTE(L251,"-",""))),1,0))</f>
        <v/>
      </c>
      <c r="N251">
        <f>IF(M251=0,"",IFERROR(VALUE(TRIM(MID(SUBSTITUTE(L251,"-",REPT(" ",100)),101,100))),""))</f>
        <v/>
      </c>
      <c r="O251">
        <f>IF(M251=0,"",IFERROR(VALUE(TRIM(RIGHT(SUBSTITUTE(L251,"-",REPT(" ",100)),100))),""))</f>
        <v/>
      </c>
      <c r="P251">
        <f>IF(B251="","",TRIM(INDEX($D251:$K251,IF(M251=1,2,1))&amp;IF(AD251&gt;=2," "&amp;INDEX($D251:$K251,IF(M251=1,2,1)+1),"")&amp;IF(AD251&gt;=3," "&amp;INDEX($D251:$K251,IF(M251=1,2,1)+2),"")))</f>
        <v/>
      </c>
      <c r="Q251">
        <f>IF(C251&lt;2,"",TRIM(IF(AND(2&gt;=(IF(M251=1,2,1)+AD251),2&lt;=C251-IF(S251="",0,1)),E251&amp;" ","")&amp;IF(AND(3&gt;=(IF(M251=1,2,1)+AD251),3&lt;=C251-IF(S251="",0,1)),F251&amp;" ","")&amp;IF(AND(4&gt;=(IF(M251=1,2,1)+AD251),4&lt;=C251-IF(S251="",0,1)),G251&amp;" ","")&amp;IF(AND(5&gt;=(IF(M251=1,2,1)+AD251),5&lt;=C251-IF(S251="",0,1)),H251&amp;" ","")&amp;IF(AND(6&gt;=(IF(M251=1,2,1)+AD251),6&lt;=C251-IF(S251="",0,1)),I251&amp;" ","")&amp;IF(AND(7&gt;=(IF(M251=1,2,1)+AD251),7&lt;=C251-IF(S251="",0,1)),J251&amp;" ","")&amp;IF(AND(8&gt;=(IF(M251=1,2,1)+AD251),8&lt;=C251-IF(S251="",0,1)),K251&amp;" ","")))</f>
        <v/>
      </c>
      <c r="R251">
        <f>IF(Q251="","",IFERROR(INDEX(資格マスタ!$B:$B,MATCH(ASC(SUBSTITUTE(SUBSTITUTE(Q251," ",""),"　","")),資格マスタ!$D:$D,0)),Q251))</f>
        <v/>
      </c>
      <c r="S251" s="139">
        <f>IF(C251&lt;2,"",IFERROR(IF(OR(LEFT(INDEX(D251:K251,MIN(8,MAX(1,C251))),2)="令和",LEFT(INDEX(D251:K251,MIN(8,MAX(1,C251))),2)="平成",LEFT(INDEX(D251:K251,MIN(8,MAX(1,C251))),2)="昭和"),DATE(VALUE(MID(INDEX(D251:K251,MIN(8,MAX(1,C251))),3,FIND("年",INDEX(D251:K251,MIN(8,MAX(1,C251))))-3))+IF(LEFT(INDEX(D251:K251,MIN(8,MAX(1,C251))),2)="令和",2018,IF(LEFT(INDEX(D251:K251,MIN(8,MAX(1,C251))),2)="平成",1988,1925)),VALUE(MID(INDEX(D251:K251,MIN(8,MAX(1,C251))),FIND("年",INDEX(D251:K251,MIN(8,MAX(1,C251))))+1,FIND("月",INDEX(D251:K251,MIN(8,MAX(1,C251))))-FIND("年",INDEX(D251:K251,MIN(8,MAX(1,C251))))-1)),IFERROR(VALUE(SUBSTITUTE(MID(INDEX(D251:K251,MIN(8,MAX(1,C251))),FIND("月",INDEX(D251:K251,MIN(8,MAX(1,C251))))+1,10),"日","")),1)),DATE(VALUE(TRIM(MID(SUBSTITUTE(AA251,"/",REPT(" ",50)),1,50))),VALUE(TRIM(MID(SUBSTITUTE(AA251,"/",REPT(" ",50)),51,50))),IFERROR(VALUE(TRIM(MID(SUBSTITUTE(AA251,"/",REPT(" ",50)),101,50))),1))),IFERROR(DATEVALUE(INDEX(D251:K251,MIN(8,MAX(1,C251)))),"")))</f>
        <v/>
      </c>
      <c r="T251">
        <f>IF(B251="","",IF(AB251&lt;&gt;"",AB251,IFERROR(MATCH(SUBSTITUTE(SUBSTITUTE(P251," ",""),"　",""),入力!$AH$5:$AH$44,0),"")))</f>
        <v/>
      </c>
      <c r="U251">
        <f>IF(T251="","",INDEX(入力!$D$5:$D$44,T251))</f>
        <v/>
      </c>
      <c r="V251">
        <f>IF(B251="","",IF(T251="","要確認（名簿と照合できません）",IF(R251="","要確認（資格名がありません）",IF(S251="","要確認（取得日が読めません）",IF((IF(INDEX(入力!$N$5:$N$44,T251)=R251,1,0)+IF(INDEX(入力!$P$5:$P$44,T251)=R251,1,0)+IF(INDEX(入力!$R$5:$R$44,T251)=R251,1,0)+IF(INDEX(入力!$T$5:$T$44,T251)=R251,1,0)+IF(INDEX(入力!$V$5:$V$44,T251)=R251,1,0)+IF(INDEX(入力!$X$5:$X$44,T251)=R251,1,0))+(COUNTIFS($T$6:$T$405,T251,$R$6:$R$405,R251,$X$6:$X$405,"&lt;"&amp;X251))&gt;0,"重複","反映")))))</f>
        <v/>
      </c>
      <c r="W251">
        <f>IF(V251="反映",1,0)</f>
        <v/>
      </c>
      <c r="X251" t="n">
        <v>251</v>
      </c>
      <c r="Y251">
        <f>IF(W251=0,"",COUNTIFS($T$6:$T$405,T251,$W$6:$W$405,1,$S$6:$S$405,"&lt;"&amp;S251)+COUNTIFS($T$6:$T$405,T251,$W$6:$W$405,1,$S$6:$S$405,S251,$X$6:$X$405,"&lt;"&amp;X251)+1)</f>
        <v/>
      </c>
      <c r="Z251">
        <f>IF(Y251="","",T251&amp;"_"&amp;Y251)</f>
        <v/>
      </c>
      <c r="AA251">
        <f>SUBSTITUTE(SUBSTITUTE(SUBSTITUTE(SUBSTITUTE(SUBSTITUTE(INDEX(D251:K251,MIN(8,MAX(1,C251))),"年","/"),"月","/"),"日",""),"-","/"),".","/")</f>
        <v/>
      </c>
      <c r="AB251">
        <f>IFERROR(MATCH(O251,入力!$C$5:$C$44,0),"")</f>
        <v/>
      </c>
      <c r="AC251">
        <f>IF(AB251="","",INDEX(入力!$AH$5:$AH$44,AB251))</f>
        <v/>
      </c>
      <c r="AD251">
        <f>IF(INDEX($D251:$K251,IF(M251=1,2,1))=AC251,1,IF(INDEX($D251:$K251,IF(M251=1,2,1))&amp;INDEX($D251:$K251,IF(M251=1,2,1)+1)=AC251,2,IF(INDEX($D251:$K251,IF(M251=1,2,1))&amp;INDEX($D251:$K251,IF(M251=1,2,1)+1)&amp;INDEX($D251:$K251,IF(M251=1,2,1)+2)=AC251,3,IF(AB251&lt;&gt;"",2,IF(ISNUMBER(MATCH(INDEX($D251:$K251,IF(M251=1,2,1)),入力!$AH$5:$AH$44,0)),1,IF(ISNUMBER(MATCH(INDEX($D251:$K251,IF(M251=1,2,1))&amp;INDEX($D251:$K251,IF(M251=1,2,1)+1),入力!$AH$5:$AH$44,0)),2,IF(ISNUMBER(MATCH(INDEX($D251:$K251,IF(M251=1,2,1))&amp;INDEX($D251:$K251,IF(M251=1,2,1)+1)&amp;INDEX($D251:$K251,IF(M251=1,2,1)+2),入力!$AH$5:$AH$44,0)),3,2)))))))</f>
        <v/>
      </c>
      <c r="AE251">
        <f>IF(V251="","",IF(AND(V251="反映",N(Y251)&gt;20),"要確認（この生徒の取込が20件を超えました）",V251))</f>
        <v/>
      </c>
    </row>
    <row r="252">
      <c r="A252" s="138" t="n"/>
      <c r="B252">
        <f>TRIM(SUBSTITUTE(SUBSTITUTE(SUBSTITUTE(A252,CHAR(9)," "),"　"," "),CHAR(160)," "))</f>
        <v/>
      </c>
      <c r="C252">
        <f>IF(B252="",0,LEN(B252)-LEN(SUBSTITUTE(B252," ",""))+1)</f>
        <v/>
      </c>
      <c r="D252">
        <f>IF(C252&gt;=1,TRIM(MID(SUBSTITUTE(B252," ",REPT(" ",200)),1,200)),"")</f>
        <v/>
      </c>
      <c r="E252">
        <f>IF(C252&gt;=2,TRIM(MID(SUBSTITUTE(B252," ",REPT(" ",200)),201,200)),"")</f>
        <v/>
      </c>
      <c r="F252">
        <f>IF(C252&gt;=3,TRIM(MID(SUBSTITUTE(B252," ",REPT(" ",200)),401,200)),"")</f>
        <v/>
      </c>
      <c r="G252">
        <f>IF(C252&gt;=4,TRIM(MID(SUBSTITUTE(B252," ",REPT(" ",200)),601,200)),"")</f>
        <v/>
      </c>
      <c r="H252">
        <f>IF(C252&gt;=5,TRIM(MID(SUBSTITUTE(B252," ",REPT(" ",200)),801,200)),"")</f>
        <v/>
      </c>
      <c r="I252">
        <f>IF(C252&gt;=6,TRIM(MID(SUBSTITUTE(B252," ",REPT(" ",200)),1001,200)),"")</f>
        <v/>
      </c>
      <c r="J252">
        <f>IF(C252&gt;=7,TRIM(MID(SUBSTITUTE(B252," ",REPT(" ",200)),1201,200)),"")</f>
        <v/>
      </c>
      <c r="K252">
        <f>IF(C252&gt;=8,TRIM(MID(SUBSTITUTE(B252," ",REPT(" ",200)),1401,200)),"")</f>
        <v/>
      </c>
      <c r="L252">
        <f>SUBSTITUTE(SUBSTITUTE(SUBSTITUTE(D252,"年","-"),"組","-"),"番","")</f>
        <v/>
      </c>
      <c r="M252">
        <f>IF(D252="",0,IF(ISNUMBER(VALUE(SUBSTITUTE(L252,"-",""))),1,0))</f>
        <v/>
      </c>
      <c r="N252">
        <f>IF(M252=0,"",IFERROR(VALUE(TRIM(MID(SUBSTITUTE(L252,"-",REPT(" ",100)),101,100))),""))</f>
        <v/>
      </c>
      <c r="O252">
        <f>IF(M252=0,"",IFERROR(VALUE(TRIM(RIGHT(SUBSTITUTE(L252,"-",REPT(" ",100)),100))),""))</f>
        <v/>
      </c>
      <c r="P252">
        <f>IF(B252="","",TRIM(INDEX($D252:$K252,IF(M252=1,2,1))&amp;IF(AD252&gt;=2," "&amp;INDEX($D252:$K252,IF(M252=1,2,1)+1),"")&amp;IF(AD252&gt;=3," "&amp;INDEX($D252:$K252,IF(M252=1,2,1)+2),"")))</f>
        <v/>
      </c>
      <c r="Q252">
        <f>IF(C252&lt;2,"",TRIM(IF(AND(2&gt;=(IF(M252=1,2,1)+AD252),2&lt;=C252-IF(S252="",0,1)),E252&amp;" ","")&amp;IF(AND(3&gt;=(IF(M252=1,2,1)+AD252),3&lt;=C252-IF(S252="",0,1)),F252&amp;" ","")&amp;IF(AND(4&gt;=(IF(M252=1,2,1)+AD252),4&lt;=C252-IF(S252="",0,1)),G252&amp;" ","")&amp;IF(AND(5&gt;=(IF(M252=1,2,1)+AD252),5&lt;=C252-IF(S252="",0,1)),H252&amp;" ","")&amp;IF(AND(6&gt;=(IF(M252=1,2,1)+AD252),6&lt;=C252-IF(S252="",0,1)),I252&amp;" ","")&amp;IF(AND(7&gt;=(IF(M252=1,2,1)+AD252),7&lt;=C252-IF(S252="",0,1)),J252&amp;" ","")&amp;IF(AND(8&gt;=(IF(M252=1,2,1)+AD252),8&lt;=C252-IF(S252="",0,1)),K252&amp;" ","")))</f>
        <v/>
      </c>
      <c r="R252">
        <f>IF(Q252="","",IFERROR(INDEX(資格マスタ!$B:$B,MATCH(ASC(SUBSTITUTE(SUBSTITUTE(Q252," ",""),"　","")),資格マスタ!$D:$D,0)),Q252))</f>
        <v/>
      </c>
      <c r="S252" s="139">
        <f>IF(C252&lt;2,"",IFERROR(IF(OR(LEFT(INDEX(D252:K252,MIN(8,MAX(1,C252))),2)="令和",LEFT(INDEX(D252:K252,MIN(8,MAX(1,C252))),2)="平成",LEFT(INDEX(D252:K252,MIN(8,MAX(1,C252))),2)="昭和"),DATE(VALUE(MID(INDEX(D252:K252,MIN(8,MAX(1,C252))),3,FIND("年",INDEX(D252:K252,MIN(8,MAX(1,C252))))-3))+IF(LEFT(INDEX(D252:K252,MIN(8,MAX(1,C252))),2)="令和",2018,IF(LEFT(INDEX(D252:K252,MIN(8,MAX(1,C252))),2)="平成",1988,1925)),VALUE(MID(INDEX(D252:K252,MIN(8,MAX(1,C252))),FIND("年",INDEX(D252:K252,MIN(8,MAX(1,C252))))+1,FIND("月",INDEX(D252:K252,MIN(8,MAX(1,C252))))-FIND("年",INDEX(D252:K252,MIN(8,MAX(1,C252))))-1)),IFERROR(VALUE(SUBSTITUTE(MID(INDEX(D252:K252,MIN(8,MAX(1,C252))),FIND("月",INDEX(D252:K252,MIN(8,MAX(1,C252))))+1,10),"日","")),1)),DATE(VALUE(TRIM(MID(SUBSTITUTE(AA252,"/",REPT(" ",50)),1,50))),VALUE(TRIM(MID(SUBSTITUTE(AA252,"/",REPT(" ",50)),51,50))),IFERROR(VALUE(TRIM(MID(SUBSTITUTE(AA252,"/",REPT(" ",50)),101,50))),1))),IFERROR(DATEVALUE(INDEX(D252:K252,MIN(8,MAX(1,C252)))),"")))</f>
        <v/>
      </c>
      <c r="T252">
        <f>IF(B252="","",IF(AB252&lt;&gt;"",AB252,IFERROR(MATCH(SUBSTITUTE(SUBSTITUTE(P252," ",""),"　",""),入力!$AH$5:$AH$44,0),"")))</f>
        <v/>
      </c>
      <c r="U252">
        <f>IF(T252="","",INDEX(入力!$D$5:$D$44,T252))</f>
        <v/>
      </c>
      <c r="V252">
        <f>IF(B252="","",IF(T252="","要確認（名簿と照合できません）",IF(R252="","要確認（資格名がありません）",IF(S252="","要確認（取得日が読めません）",IF((IF(INDEX(入力!$N$5:$N$44,T252)=R252,1,0)+IF(INDEX(入力!$P$5:$P$44,T252)=R252,1,0)+IF(INDEX(入力!$R$5:$R$44,T252)=R252,1,0)+IF(INDEX(入力!$T$5:$T$44,T252)=R252,1,0)+IF(INDEX(入力!$V$5:$V$44,T252)=R252,1,0)+IF(INDEX(入力!$X$5:$X$44,T252)=R252,1,0))+(COUNTIFS($T$6:$T$405,T252,$R$6:$R$405,R252,$X$6:$X$405,"&lt;"&amp;X252))&gt;0,"重複","反映")))))</f>
        <v/>
      </c>
      <c r="W252">
        <f>IF(V252="反映",1,0)</f>
        <v/>
      </c>
      <c r="X252" t="n">
        <v>252</v>
      </c>
      <c r="Y252">
        <f>IF(W252=0,"",COUNTIFS($T$6:$T$405,T252,$W$6:$W$405,1,$S$6:$S$405,"&lt;"&amp;S252)+COUNTIFS($T$6:$T$405,T252,$W$6:$W$405,1,$S$6:$S$405,S252,$X$6:$X$405,"&lt;"&amp;X252)+1)</f>
        <v/>
      </c>
      <c r="Z252">
        <f>IF(Y252="","",T252&amp;"_"&amp;Y252)</f>
        <v/>
      </c>
      <c r="AA252">
        <f>SUBSTITUTE(SUBSTITUTE(SUBSTITUTE(SUBSTITUTE(SUBSTITUTE(INDEX(D252:K252,MIN(8,MAX(1,C252))),"年","/"),"月","/"),"日",""),"-","/"),".","/")</f>
        <v/>
      </c>
      <c r="AB252">
        <f>IFERROR(MATCH(O252,入力!$C$5:$C$44,0),"")</f>
        <v/>
      </c>
      <c r="AC252">
        <f>IF(AB252="","",INDEX(入力!$AH$5:$AH$44,AB252))</f>
        <v/>
      </c>
      <c r="AD252">
        <f>IF(INDEX($D252:$K252,IF(M252=1,2,1))=AC252,1,IF(INDEX($D252:$K252,IF(M252=1,2,1))&amp;INDEX($D252:$K252,IF(M252=1,2,1)+1)=AC252,2,IF(INDEX($D252:$K252,IF(M252=1,2,1))&amp;INDEX($D252:$K252,IF(M252=1,2,1)+1)&amp;INDEX($D252:$K252,IF(M252=1,2,1)+2)=AC252,3,IF(AB252&lt;&gt;"",2,IF(ISNUMBER(MATCH(INDEX($D252:$K252,IF(M252=1,2,1)),入力!$AH$5:$AH$44,0)),1,IF(ISNUMBER(MATCH(INDEX($D252:$K252,IF(M252=1,2,1))&amp;INDEX($D252:$K252,IF(M252=1,2,1)+1),入力!$AH$5:$AH$44,0)),2,IF(ISNUMBER(MATCH(INDEX($D252:$K252,IF(M252=1,2,1))&amp;INDEX($D252:$K252,IF(M252=1,2,1)+1)&amp;INDEX($D252:$K252,IF(M252=1,2,1)+2),入力!$AH$5:$AH$44,0)),3,2)))))))</f>
        <v/>
      </c>
      <c r="AE252">
        <f>IF(V252="","",IF(AND(V252="反映",N(Y252)&gt;20),"要確認（この生徒の取込が20件を超えました）",V252))</f>
        <v/>
      </c>
    </row>
    <row r="253">
      <c r="A253" s="138" t="n"/>
      <c r="B253">
        <f>TRIM(SUBSTITUTE(SUBSTITUTE(SUBSTITUTE(A253,CHAR(9)," "),"　"," "),CHAR(160)," "))</f>
        <v/>
      </c>
      <c r="C253">
        <f>IF(B253="",0,LEN(B253)-LEN(SUBSTITUTE(B253," ",""))+1)</f>
        <v/>
      </c>
      <c r="D253">
        <f>IF(C253&gt;=1,TRIM(MID(SUBSTITUTE(B253," ",REPT(" ",200)),1,200)),"")</f>
        <v/>
      </c>
      <c r="E253">
        <f>IF(C253&gt;=2,TRIM(MID(SUBSTITUTE(B253," ",REPT(" ",200)),201,200)),"")</f>
        <v/>
      </c>
      <c r="F253">
        <f>IF(C253&gt;=3,TRIM(MID(SUBSTITUTE(B253," ",REPT(" ",200)),401,200)),"")</f>
        <v/>
      </c>
      <c r="G253">
        <f>IF(C253&gt;=4,TRIM(MID(SUBSTITUTE(B253," ",REPT(" ",200)),601,200)),"")</f>
        <v/>
      </c>
      <c r="H253">
        <f>IF(C253&gt;=5,TRIM(MID(SUBSTITUTE(B253," ",REPT(" ",200)),801,200)),"")</f>
        <v/>
      </c>
      <c r="I253">
        <f>IF(C253&gt;=6,TRIM(MID(SUBSTITUTE(B253," ",REPT(" ",200)),1001,200)),"")</f>
        <v/>
      </c>
      <c r="J253">
        <f>IF(C253&gt;=7,TRIM(MID(SUBSTITUTE(B253," ",REPT(" ",200)),1201,200)),"")</f>
        <v/>
      </c>
      <c r="K253">
        <f>IF(C253&gt;=8,TRIM(MID(SUBSTITUTE(B253," ",REPT(" ",200)),1401,200)),"")</f>
        <v/>
      </c>
      <c r="L253">
        <f>SUBSTITUTE(SUBSTITUTE(SUBSTITUTE(D253,"年","-"),"組","-"),"番","")</f>
        <v/>
      </c>
      <c r="M253">
        <f>IF(D253="",0,IF(ISNUMBER(VALUE(SUBSTITUTE(L253,"-",""))),1,0))</f>
        <v/>
      </c>
      <c r="N253">
        <f>IF(M253=0,"",IFERROR(VALUE(TRIM(MID(SUBSTITUTE(L253,"-",REPT(" ",100)),101,100))),""))</f>
        <v/>
      </c>
      <c r="O253">
        <f>IF(M253=0,"",IFERROR(VALUE(TRIM(RIGHT(SUBSTITUTE(L253,"-",REPT(" ",100)),100))),""))</f>
        <v/>
      </c>
      <c r="P253">
        <f>IF(B253="","",TRIM(INDEX($D253:$K253,IF(M253=1,2,1))&amp;IF(AD253&gt;=2," "&amp;INDEX($D253:$K253,IF(M253=1,2,1)+1),"")&amp;IF(AD253&gt;=3," "&amp;INDEX($D253:$K253,IF(M253=1,2,1)+2),"")))</f>
        <v/>
      </c>
      <c r="Q253">
        <f>IF(C253&lt;2,"",TRIM(IF(AND(2&gt;=(IF(M253=1,2,1)+AD253),2&lt;=C253-IF(S253="",0,1)),E253&amp;" ","")&amp;IF(AND(3&gt;=(IF(M253=1,2,1)+AD253),3&lt;=C253-IF(S253="",0,1)),F253&amp;" ","")&amp;IF(AND(4&gt;=(IF(M253=1,2,1)+AD253),4&lt;=C253-IF(S253="",0,1)),G253&amp;" ","")&amp;IF(AND(5&gt;=(IF(M253=1,2,1)+AD253),5&lt;=C253-IF(S253="",0,1)),H253&amp;" ","")&amp;IF(AND(6&gt;=(IF(M253=1,2,1)+AD253),6&lt;=C253-IF(S253="",0,1)),I253&amp;" ","")&amp;IF(AND(7&gt;=(IF(M253=1,2,1)+AD253),7&lt;=C253-IF(S253="",0,1)),J253&amp;" ","")&amp;IF(AND(8&gt;=(IF(M253=1,2,1)+AD253),8&lt;=C253-IF(S253="",0,1)),K253&amp;" ","")))</f>
        <v/>
      </c>
      <c r="R253">
        <f>IF(Q253="","",IFERROR(INDEX(資格マスタ!$B:$B,MATCH(ASC(SUBSTITUTE(SUBSTITUTE(Q253," ",""),"　","")),資格マスタ!$D:$D,0)),Q253))</f>
        <v/>
      </c>
      <c r="S253" s="139">
        <f>IF(C253&lt;2,"",IFERROR(IF(OR(LEFT(INDEX(D253:K253,MIN(8,MAX(1,C253))),2)="令和",LEFT(INDEX(D253:K253,MIN(8,MAX(1,C253))),2)="平成",LEFT(INDEX(D253:K253,MIN(8,MAX(1,C253))),2)="昭和"),DATE(VALUE(MID(INDEX(D253:K253,MIN(8,MAX(1,C253))),3,FIND("年",INDEX(D253:K253,MIN(8,MAX(1,C253))))-3))+IF(LEFT(INDEX(D253:K253,MIN(8,MAX(1,C253))),2)="令和",2018,IF(LEFT(INDEX(D253:K253,MIN(8,MAX(1,C253))),2)="平成",1988,1925)),VALUE(MID(INDEX(D253:K253,MIN(8,MAX(1,C253))),FIND("年",INDEX(D253:K253,MIN(8,MAX(1,C253))))+1,FIND("月",INDEX(D253:K253,MIN(8,MAX(1,C253))))-FIND("年",INDEX(D253:K253,MIN(8,MAX(1,C253))))-1)),IFERROR(VALUE(SUBSTITUTE(MID(INDEX(D253:K253,MIN(8,MAX(1,C253))),FIND("月",INDEX(D253:K253,MIN(8,MAX(1,C253))))+1,10),"日","")),1)),DATE(VALUE(TRIM(MID(SUBSTITUTE(AA253,"/",REPT(" ",50)),1,50))),VALUE(TRIM(MID(SUBSTITUTE(AA253,"/",REPT(" ",50)),51,50))),IFERROR(VALUE(TRIM(MID(SUBSTITUTE(AA253,"/",REPT(" ",50)),101,50))),1))),IFERROR(DATEVALUE(INDEX(D253:K253,MIN(8,MAX(1,C253)))),"")))</f>
        <v/>
      </c>
      <c r="T253">
        <f>IF(B253="","",IF(AB253&lt;&gt;"",AB253,IFERROR(MATCH(SUBSTITUTE(SUBSTITUTE(P253," ",""),"　",""),入力!$AH$5:$AH$44,0),"")))</f>
        <v/>
      </c>
      <c r="U253">
        <f>IF(T253="","",INDEX(入力!$D$5:$D$44,T253))</f>
        <v/>
      </c>
      <c r="V253">
        <f>IF(B253="","",IF(T253="","要確認（名簿と照合できません）",IF(R253="","要確認（資格名がありません）",IF(S253="","要確認（取得日が読めません）",IF((IF(INDEX(入力!$N$5:$N$44,T253)=R253,1,0)+IF(INDEX(入力!$P$5:$P$44,T253)=R253,1,0)+IF(INDEX(入力!$R$5:$R$44,T253)=R253,1,0)+IF(INDEX(入力!$T$5:$T$44,T253)=R253,1,0)+IF(INDEX(入力!$V$5:$V$44,T253)=R253,1,0)+IF(INDEX(入力!$X$5:$X$44,T253)=R253,1,0))+(COUNTIFS($T$6:$T$405,T253,$R$6:$R$405,R253,$X$6:$X$405,"&lt;"&amp;X253))&gt;0,"重複","反映")))))</f>
        <v/>
      </c>
      <c r="W253">
        <f>IF(V253="反映",1,0)</f>
        <v/>
      </c>
      <c r="X253" t="n">
        <v>253</v>
      </c>
      <c r="Y253">
        <f>IF(W253=0,"",COUNTIFS($T$6:$T$405,T253,$W$6:$W$405,1,$S$6:$S$405,"&lt;"&amp;S253)+COUNTIFS($T$6:$T$405,T253,$W$6:$W$405,1,$S$6:$S$405,S253,$X$6:$X$405,"&lt;"&amp;X253)+1)</f>
        <v/>
      </c>
      <c r="Z253">
        <f>IF(Y253="","",T253&amp;"_"&amp;Y253)</f>
        <v/>
      </c>
      <c r="AA253">
        <f>SUBSTITUTE(SUBSTITUTE(SUBSTITUTE(SUBSTITUTE(SUBSTITUTE(INDEX(D253:K253,MIN(8,MAX(1,C253))),"年","/"),"月","/"),"日",""),"-","/"),".","/")</f>
        <v/>
      </c>
      <c r="AB253">
        <f>IFERROR(MATCH(O253,入力!$C$5:$C$44,0),"")</f>
        <v/>
      </c>
      <c r="AC253">
        <f>IF(AB253="","",INDEX(入力!$AH$5:$AH$44,AB253))</f>
        <v/>
      </c>
      <c r="AD253">
        <f>IF(INDEX($D253:$K253,IF(M253=1,2,1))=AC253,1,IF(INDEX($D253:$K253,IF(M253=1,2,1))&amp;INDEX($D253:$K253,IF(M253=1,2,1)+1)=AC253,2,IF(INDEX($D253:$K253,IF(M253=1,2,1))&amp;INDEX($D253:$K253,IF(M253=1,2,1)+1)&amp;INDEX($D253:$K253,IF(M253=1,2,1)+2)=AC253,3,IF(AB253&lt;&gt;"",2,IF(ISNUMBER(MATCH(INDEX($D253:$K253,IF(M253=1,2,1)),入力!$AH$5:$AH$44,0)),1,IF(ISNUMBER(MATCH(INDEX($D253:$K253,IF(M253=1,2,1))&amp;INDEX($D253:$K253,IF(M253=1,2,1)+1),入力!$AH$5:$AH$44,0)),2,IF(ISNUMBER(MATCH(INDEX($D253:$K253,IF(M253=1,2,1))&amp;INDEX($D253:$K253,IF(M253=1,2,1)+1)&amp;INDEX($D253:$K253,IF(M253=1,2,1)+2),入力!$AH$5:$AH$44,0)),3,2)))))))</f>
        <v/>
      </c>
      <c r="AE253">
        <f>IF(V253="","",IF(AND(V253="反映",N(Y253)&gt;20),"要確認（この生徒の取込が20件を超えました）",V253))</f>
        <v/>
      </c>
    </row>
    <row r="254">
      <c r="A254" s="138" t="n"/>
      <c r="B254">
        <f>TRIM(SUBSTITUTE(SUBSTITUTE(SUBSTITUTE(A254,CHAR(9)," "),"　"," "),CHAR(160)," "))</f>
        <v/>
      </c>
      <c r="C254">
        <f>IF(B254="",0,LEN(B254)-LEN(SUBSTITUTE(B254," ",""))+1)</f>
        <v/>
      </c>
      <c r="D254">
        <f>IF(C254&gt;=1,TRIM(MID(SUBSTITUTE(B254," ",REPT(" ",200)),1,200)),"")</f>
        <v/>
      </c>
      <c r="E254">
        <f>IF(C254&gt;=2,TRIM(MID(SUBSTITUTE(B254," ",REPT(" ",200)),201,200)),"")</f>
        <v/>
      </c>
      <c r="F254">
        <f>IF(C254&gt;=3,TRIM(MID(SUBSTITUTE(B254," ",REPT(" ",200)),401,200)),"")</f>
        <v/>
      </c>
      <c r="G254">
        <f>IF(C254&gt;=4,TRIM(MID(SUBSTITUTE(B254," ",REPT(" ",200)),601,200)),"")</f>
        <v/>
      </c>
      <c r="H254">
        <f>IF(C254&gt;=5,TRIM(MID(SUBSTITUTE(B254," ",REPT(" ",200)),801,200)),"")</f>
        <v/>
      </c>
      <c r="I254">
        <f>IF(C254&gt;=6,TRIM(MID(SUBSTITUTE(B254," ",REPT(" ",200)),1001,200)),"")</f>
        <v/>
      </c>
      <c r="J254">
        <f>IF(C254&gt;=7,TRIM(MID(SUBSTITUTE(B254," ",REPT(" ",200)),1201,200)),"")</f>
        <v/>
      </c>
      <c r="K254">
        <f>IF(C254&gt;=8,TRIM(MID(SUBSTITUTE(B254," ",REPT(" ",200)),1401,200)),"")</f>
        <v/>
      </c>
      <c r="L254">
        <f>SUBSTITUTE(SUBSTITUTE(SUBSTITUTE(D254,"年","-"),"組","-"),"番","")</f>
        <v/>
      </c>
      <c r="M254">
        <f>IF(D254="",0,IF(ISNUMBER(VALUE(SUBSTITUTE(L254,"-",""))),1,0))</f>
        <v/>
      </c>
      <c r="N254">
        <f>IF(M254=0,"",IFERROR(VALUE(TRIM(MID(SUBSTITUTE(L254,"-",REPT(" ",100)),101,100))),""))</f>
        <v/>
      </c>
      <c r="O254">
        <f>IF(M254=0,"",IFERROR(VALUE(TRIM(RIGHT(SUBSTITUTE(L254,"-",REPT(" ",100)),100))),""))</f>
        <v/>
      </c>
      <c r="P254">
        <f>IF(B254="","",TRIM(INDEX($D254:$K254,IF(M254=1,2,1))&amp;IF(AD254&gt;=2," "&amp;INDEX($D254:$K254,IF(M254=1,2,1)+1),"")&amp;IF(AD254&gt;=3," "&amp;INDEX($D254:$K254,IF(M254=1,2,1)+2),"")))</f>
        <v/>
      </c>
      <c r="Q254">
        <f>IF(C254&lt;2,"",TRIM(IF(AND(2&gt;=(IF(M254=1,2,1)+AD254),2&lt;=C254-IF(S254="",0,1)),E254&amp;" ","")&amp;IF(AND(3&gt;=(IF(M254=1,2,1)+AD254),3&lt;=C254-IF(S254="",0,1)),F254&amp;" ","")&amp;IF(AND(4&gt;=(IF(M254=1,2,1)+AD254),4&lt;=C254-IF(S254="",0,1)),G254&amp;" ","")&amp;IF(AND(5&gt;=(IF(M254=1,2,1)+AD254),5&lt;=C254-IF(S254="",0,1)),H254&amp;" ","")&amp;IF(AND(6&gt;=(IF(M254=1,2,1)+AD254),6&lt;=C254-IF(S254="",0,1)),I254&amp;" ","")&amp;IF(AND(7&gt;=(IF(M254=1,2,1)+AD254),7&lt;=C254-IF(S254="",0,1)),J254&amp;" ","")&amp;IF(AND(8&gt;=(IF(M254=1,2,1)+AD254),8&lt;=C254-IF(S254="",0,1)),K254&amp;" ","")))</f>
        <v/>
      </c>
      <c r="R254">
        <f>IF(Q254="","",IFERROR(INDEX(資格マスタ!$B:$B,MATCH(ASC(SUBSTITUTE(SUBSTITUTE(Q254," ",""),"　","")),資格マスタ!$D:$D,0)),Q254))</f>
        <v/>
      </c>
      <c r="S254" s="139">
        <f>IF(C254&lt;2,"",IFERROR(IF(OR(LEFT(INDEX(D254:K254,MIN(8,MAX(1,C254))),2)="令和",LEFT(INDEX(D254:K254,MIN(8,MAX(1,C254))),2)="平成",LEFT(INDEX(D254:K254,MIN(8,MAX(1,C254))),2)="昭和"),DATE(VALUE(MID(INDEX(D254:K254,MIN(8,MAX(1,C254))),3,FIND("年",INDEX(D254:K254,MIN(8,MAX(1,C254))))-3))+IF(LEFT(INDEX(D254:K254,MIN(8,MAX(1,C254))),2)="令和",2018,IF(LEFT(INDEX(D254:K254,MIN(8,MAX(1,C254))),2)="平成",1988,1925)),VALUE(MID(INDEX(D254:K254,MIN(8,MAX(1,C254))),FIND("年",INDEX(D254:K254,MIN(8,MAX(1,C254))))+1,FIND("月",INDEX(D254:K254,MIN(8,MAX(1,C254))))-FIND("年",INDEX(D254:K254,MIN(8,MAX(1,C254))))-1)),IFERROR(VALUE(SUBSTITUTE(MID(INDEX(D254:K254,MIN(8,MAX(1,C254))),FIND("月",INDEX(D254:K254,MIN(8,MAX(1,C254))))+1,10),"日","")),1)),DATE(VALUE(TRIM(MID(SUBSTITUTE(AA254,"/",REPT(" ",50)),1,50))),VALUE(TRIM(MID(SUBSTITUTE(AA254,"/",REPT(" ",50)),51,50))),IFERROR(VALUE(TRIM(MID(SUBSTITUTE(AA254,"/",REPT(" ",50)),101,50))),1))),IFERROR(DATEVALUE(INDEX(D254:K254,MIN(8,MAX(1,C254)))),"")))</f>
        <v/>
      </c>
      <c r="T254">
        <f>IF(B254="","",IF(AB254&lt;&gt;"",AB254,IFERROR(MATCH(SUBSTITUTE(SUBSTITUTE(P254," ",""),"　",""),入力!$AH$5:$AH$44,0),"")))</f>
        <v/>
      </c>
      <c r="U254">
        <f>IF(T254="","",INDEX(入力!$D$5:$D$44,T254))</f>
        <v/>
      </c>
      <c r="V254">
        <f>IF(B254="","",IF(T254="","要確認（名簿と照合できません）",IF(R254="","要確認（資格名がありません）",IF(S254="","要確認（取得日が読めません）",IF((IF(INDEX(入力!$N$5:$N$44,T254)=R254,1,0)+IF(INDEX(入力!$P$5:$P$44,T254)=R254,1,0)+IF(INDEX(入力!$R$5:$R$44,T254)=R254,1,0)+IF(INDEX(入力!$T$5:$T$44,T254)=R254,1,0)+IF(INDEX(入力!$V$5:$V$44,T254)=R254,1,0)+IF(INDEX(入力!$X$5:$X$44,T254)=R254,1,0))+(COUNTIFS($T$6:$T$405,T254,$R$6:$R$405,R254,$X$6:$X$405,"&lt;"&amp;X254))&gt;0,"重複","反映")))))</f>
        <v/>
      </c>
      <c r="W254">
        <f>IF(V254="反映",1,0)</f>
        <v/>
      </c>
      <c r="X254" t="n">
        <v>254</v>
      </c>
      <c r="Y254">
        <f>IF(W254=0,"",COUNTIFS($T$6:$T$405,T254,$W$6:$W$405,1,$S$6:$S$405,"&lt;"&amp;S254)+COUNTIFS($T$6:$T$405,T254,$W$6:$W$405,1,$S$6:$S$405,S254,$X$6:$X$405,"&lt;"&amp;X254)+1)</f>
        <v/>
      </c>
      <c r="Z254">
        <f>IF(Y254="","",T254&amp;"_"&amp;Y254)</f>
        <v/>
      </c>
      <c r="AA254">
        <f>SUBSTITUTE(SUBSTITUTE(SUBSTITUTE(SUBSTITUTE(SUBSTITUTE(INDEX(D254:K254,MIN(8,MAX(1,C254))),"年","/"),"月","/"),"日",""),"-","/"),".","/")</f>
        <v/>
      </c>
      <c r="AB254">
        <f>IFERROR(MATCH(O254,入力!$C$5:$C$44,0),"")</f>
        <v/>
      </c>
      <c r="AC254">
        <f>IF(AB254="","",INDEX(入力!$AH$5:$AH$44,AB254))</f>
        <v/>
      </c>
      <c r="AD254">
        <f>IF(INDEX($D254:$K254,IF(M254=1,2,1))=AC254,1,IF(INDEX($D254:$K254,IF(M254=1,2,1))&amp;INDEX($D254:$K254,IF(M254=1,2,1)+1)=AC254,2,IF(INDEX($D254:$K254,IF(M254=1,2,1))&amp;INDEX($D254:$K254,IF(M254=1,2,1)+1)&amp;INDEX($D254:$K254,IF(M254=1,2,1)+2)=AC254,3,IF(AB254&lt;&gt;"",2,IF(ISNUMBER(MATCH(INDEX($D254:$K254,IF(M254=1,2,1)),入力!$AH$5:$AH$44,0)),1,IF(ISNUMBER(MATCH(INDEX($D254:$K254,IF(M254=1,2,1))&amp;INDEX($D254:$K254,IF(M254=1,2,1)+1),入力!$AH$5:$AH$44,0)),2,IF(ISNUMBER(MATCH(INDEX($D254:$K254,IF(M254=1,2,1))&amp;INDEX($D254:$K254,IF(M254=1,2,1)+1)&amp;INDEX($D254:$K254,IF(M254=1,2,1)+2),入力!$AH$5:$AH$44,0)),3,2)))))))</f>
        <v/>
      </c>
      <c r="AE254">
        <f>IF(V254="","",IF(AND(V254="反映",N(Y254)&gt;20),"要確認（この生徒の取込が20件を超えました）",V254))</f>
        <v/>
      </c>
    </row>
    <row r="255">
      <c r="A255" s="138" t="n"/>
      <c r="B255">
        <f>TRIM(SUBSTITUTE(SUBSTITUTE(SUBSTITUTE(A255,CHAR(9)," "),"　"," "),CHAR(160)," "))</f>
        <v/>
      </c>
      <c r="C255">
        <f>IF(B255="",0,LEN(B255)-LEN(SUBSTITUTE(B255," ",""))+1)</f>
        <v/>
      </c>
      <c r="D255">
        <f>IF(C255&gt;=1,TRIM(MID(SUBSTITUTE(B255," ",REPT(" ",200)),1,200)),"")</f>
        <v/>
      </c>
      <c r="E255">
        <f>IF(C255&gt;=2,TRIM(MID(SUBSTITUTE(B255," ",REPT(" ",200)),201,200)),"")</f>
        <v/>
      </c>
      <c r="F255">
        <f>IF(C255&gt;=3,TRIM(MID(SUBSTITUTE(B255," ",REPT(" ",200)),401,200)),"")</f>
        <v/>
      </c>
      <c r="G255">
        <f>IF(C255&gt;=4,TRIM(MID(SUBSTITUTE(B255," ",REPT(" ",200)),601,200)),"")</f>
        <v/>
      </c>
      <c r="H255">
        <f>IF(C255&gt;=5,TRIM(MID(SUBSTITUTE(B255," ",REPT(" ",200)),801,200)),"")</f>
        <v/>
      </c>
      <c r="I255">
        <f>IF(C255&gt;=6,TRIM(MID(SUBSTITUTE(B255," ",REPT(" ",200)),1001,200)),"")</f>
        <v/>
      </c>
      <c r="J255">
        <f>IF(C255&gt;=7,TRIM(MID(SUBSTITUTE(B255," ",REPT(" ",200)),1201,200)),"")</f>
        <v/>
      </c>
      <c r="K255">
        <f>IF(C255&gt;=8,TRIM(MID(SUBSTITUTE(B255," ",REPT(" ",200)),1401,200)),"")</f>
        <v/>
      </c>
      <c r="L255">
        <f>SUBSTITUTE(SUBSTITUTE(SUBSTITUTE(D255,"年","-"),"組","-"),"番","")</f>
        <v/>
      </c>
      <c r="M255">
        <f>IF(D255="",0,IF(ISNUMBER(VALUE(SUBSTITUTE(L255,"-",""))),1,0))</f>
        <v/>
      </c>
      <c r="N255">
        <f>IF(M255=0,"",IFERROR(VALUE(TRIM(MID(SUBSTITUTE(L255,"-",REPT(" ",100)),101,100))),""))</f>
        <v/>
      </c>
      <c r="O255">
        <f>IF(M255=0,"",IFERROR(VALUE(TRIM(RIGHT(SUBSTITUTE(L255,"-",REPT(" ",100)),100))),""))</f>
        <v/>
      </c>
      <c r="P255">
        <f>IF(B255="","",TRIM(INDEX($D255:$K255,IF(M255=1,2,1))&amp;IF(AD255&gt;=2," "&amp;INDEX($D255:$K255,IF(M255=1,2,1)+1),"")&amp;IF(AD255&gt;=3," "&amp;INDEX($D255:$K255,IF(M255=1,2,1)+2),"")))</f>
        <v/>
      </c>
      <c r="Q255">
        <f>IF(C255&lt;2,"",TRIM(IF(AND(2&gt;=(IF(M255=1,2,1)+AD255),2&lt;=C255-IF(S255="",0,1)),E255&amp;" ","")&amp;IF(AND(3&gt;=(IF(M255=1,2,1)+AD255),3&lt;=C255-IF(S255="",0,1)),F255&amp;" ","")&amp;IF(AND(4&gt;=(IF(M255=1,2,1)+AD255),4&lt;=C255-IF(S255="",0,1)),G255&amp;" ","")&amp;IF(AND(5&gt;=(IF(M255=1,2,1)+AD255),5&lt;=C255-IF(S255="",0,1)),H255&amp;" ","")&amp;IF(AND(6&gt;=(IF(M255=1,2,1)+AD255),6&lt;=C255-IF(S255="",0,1)),I255&amp;" ","")&amp;IF(AND(7&gt;=(IF(M255=1,2,1)+AD255),7&lt;=C255-IF(S255="",0,1)),J255&amp;" ","")&amp;IF(AND(8&gt;=(IF(M255=1,2,1)+AD255),8&lt;=C255-IF(S255="",0,1)),K255&amp;" ","")))</f>
        <v/>
      </c>
      <c r="R255">
        <f>IF(Q255="","",IFERROR(INDEX(資格マスタ!$B:$B,MATCH(ASC(SUBSTITUTE(SUBSTITUTE(Q255," ",""),"　","")),資格マスタ!$D:$D,0)),Q255))</f>
        <v/>
      </c>
      <c r="S255" s="139">
        <f>IF(C255&lt;2,"",IFERROR(IF(OR(LEFT(INDEX(D255:K255,MIN(8,MAX(1,C255))),2)="令和",LEFT(INDEX(D255:K255,MIN(8,MAX(1,C255))),2)="平成",LEFT(INDEX(D255:K255,MIN(8,MAX(1,C255))),2)="昭和"),DATE(VALUE(MID(INDEX(D255:K255,MIN(8,MAX(1,C255))),3,FIND("年",INDEX(D255:K255,MIN(8,MAX(1,C255))))-3))+IF(LEFT(INDEX(D255:K255,MIN(8,MAX(1,C255))),2)="令和",2018,IF(LEFT(INDEX(D255:K255,MIN(8,MAX(1,C255))),2)="平成",1988,1925)),VALUE(MID(INDEX(D255:K255,MIN(8,MAX(1,C255))),FIND("年",INDEX(D255:K255,MIN(8,MAX(1,C255))))+1,FIND("月",INDEX(D255:K255,MIN(8,MAX(1,C255))))-FIND("年",INDEX(D255:K255,MIN(8,MAX(1,C255))))-1)),IFERROR(VALUE(SUBSTITUTE(MID(INDEX(D255:K255,MIN(8,MAX(1,C255))),FIND("月",INDEX(D255:K255,MIN(8,MAX(1,C255))))+1,10),"日","")),1)),DATE(VALUE(TRIM(MID(SUBSTITUTE(AA255,"/",REPT(" ",50)),1,50))),VALUE(TRIM(MID(SUBSTITUTE(AA255,"/",REPT(" ",50)),51,50))),IFERROR(VALUE(TRIM(MID(SUBSTITUTE(AA255,"/",REPT(" ",50)),101,50))),1))),IFERROR(DATEVALUE(INDEX(D255:K255,MIN(8,MAX(1,C255)))),"")))</f>
        <v/>
      </c>
      <c r="T255">
        <f>IF(B255="","",IF(AB255&lt;&gt;"",AB255,IFERROR(MATCH(SUBSTITUTE(SUBSTITUTE(P255," ",""),"　",""),入力!$AH$5:$AH$44,0),"")))</f>
        <v/>
      </c>
      <c r="U255">
        <f>IF(T255="","",INDEX(入力!$D$5:$D$44,T255))</f>
        <v/>
      </c>
      <c r="V255">
        <f>IF(B255="","",IF(T255="","要確認（名簿と照合できません）",IF(R255="","要確認（資格名がありません）",IF(S255="","要確認（取得日が読めません）",IF((IF(INDEX(入力!$N$5:$N$44,T255)=R255,1,0)+IF(INDEX(入力!$P$5:$P$44,T255)=R255,1,0)+IF(INDEX(入力!$R$5:$R$44,T255)=R255,1,0)+IF(INDEX(入力!$T$5:$T$44,T255)=R255,1,0)+IF(INDEX(入力!$V$5:$V$44,T255)=R255,1,0)+IF(INDEX(入力!$X$5:$X$44,T255)=R255,1,0))+(COUNTIFS($T$6:$T$405,T255,$R$6:$R$405,R255,$X$6:$X$405,"&lt;"&amp;X255))&gt;0,"重複","反映")))))</f>
        <v/>
      </c>
      <c r="W255">
        <f>IF(V255="反映",1,0)</f>
        <v/>
      </c>
      <c r="X255" t="n">
        <v>255</v>
      </c>
      <c r="Y255">
        <f>IF(W255=0,"",COUNTIFS($T$6:$T$405,T255,$W$6:$W$405,1,$S$6:$S$405,"&lt;"&amp;S255)+COUNTIFS($T$6:$T$405,T255,$W$6:$W$405,1,$S$6:$S$405,S255,$X$6:$X$405,"&lt;"&amp;X255)+1)</f>
        <v/>
      </c>
      <c r="Z255">
        <f>IF(Y255="","",T255&amp;"_"&amp;Y255)</f>
        <v/>
      </c>
      <c r="AA255">
        <f>SUBSTITUTE(SUBSTITUTE(SUBSTITUTE(SUBSTITUTE(SUBSTITUTE(INDEX(D255:K255,MIN(8,MAX(1,C255))),"年","/"),"月","/"),"日",""),"-","/"),".","/")</f>
        <v/>
      </c>
      <c r="AB255">
        <f>IFERROR(MATCH(O255,入力!$C$5:$C$44,0),"")</f>
        <v/>
      </c>
      <c r="AC255">
        <f>IF(AB255="","",INDEX(入力!$AH$5:$AH$44,AB255))</f>
        <v/>
      </c>
      <c r="AD255">
        <f>IF(INDEX($D255:$K255,IF(M255=1,2,1))=AC255,1,IF(INDEX($D255:$K255,IF(M255=1,2,1))&amp;INDEX($D255:$K255,IF(M255=1,2,1)+1)=AC255,2,IF(INDEX($D255:$K255,IF(M255=1,2,1))&amp;INDEX($D255:$K255,IF(M255=1,2,1)+1)&amp;INDEX($D255:$K255,IF(M255=1,2,1)+2)=AC255,3,IF(AB255&lt;&gt;"",2,IF(ISNUMBER(MATCH(INDEX($D255:$K255,IF(M255=1,2,1)),入力!$AH$5:$AH$44,0)),1,IF(ISNUMBER(MATCH(INDEX($D255:$K255,IF(M255=1,2,1))&amp;INDEX($D255:$K255,IF(M255=1,2,1)+1),入力!$AH$5:$AH$44,0)),2,IF(ISNUMBER(MATCH(INDEX($D255:$K255,IF(M255=1,2,1))&amp;INDEX($D255:$K255,IF(M255=1,2,1)+1)&amp;INDEX($D255:$K255,IF(M255=1,2,1)+2),入力!$AH$5:$AH$44,0)),3,2)))))))</f>
        <v/>
      </c>
      <c r="AE255">
        <f>IF(V255="","",IF(AND(V255="反映",N(Y255)&gt;20),"要確認（この生徒の取込が20件を超えました）",V255))</f>
        <v/>
      </c>
    </row>
    <row r="256">
      <c r="A256" s="138" t="n"/>
      <c r="B256">
        <f>TRIM(SUBSTITUTE(SUBSTITUTE(SUBSTITUTE(A256,CHAR(9)," "),"　"," "),CHAR(160)," "))</f>
        <v/>
      </c>
      <c r="C256">
        <f>IF(B256="",0,LEN(B256)-LEN(SUBSTITUTE(B256," ",""))+1)</f>
        <v/>
      </c>
      <c r="D256">
        <f>IF(C256&gt;=1,TRIM(MID(SUBSTITUTE(B256," ",REPT(" ",200)),1,200)),"")</f>
        <v/>
      </c>
      <c r="E256">
        <f>IF(C256&gt;=2,TRIM(MID(SUBSTITUTE(B256," ",REPT(" ",200)),201,200)),"")</f>
        <v/>
      </c>
      <c r="F256">
        <f>IF(C256&gt;=3,TRIM(MID(SUBSTITUTE(B256," ",REPT(" ",200)),401,200)),"")</f>
        <v/>
      </c>
      <c r="G256">
        <f>IF(C256&gt;=4,TRIM(MID(SUBSTITUTE(B256," ",REPT(" ",200)),601,200)),"")</f>
        <v/>
      </c>
      <c r="H256">
        <f>IF(C256&gt;=5,TRIM(MID(SUBSTITUTE(B256," ",REPT(" ",200)),801,200)),"")</f>
        <v/>
      </c>
      <c r="I256">
        <f>IF(C256&gt;=6,TRIM(MID(SUBSTITUTE(B256," ",REPT(" ",200)),1001,200)),"")</f>
        <v/>
      </c>
      <c r="J256">
        <f>IF(C256&gt;=7,TRIM(MID(SUBSTITUTE(B256," ",REPT(" ",200)),1201,200)),"")</f>
        <v/>
      </c>
      <c r="K256">
        <f>IF(C256&gt;=8,TRIM(MID(SUBSTITUTE(B256," ",REPT(" ",200)),1401,200)),"")</f>
        <v/>
      </c>
      <c r="L256">
        <f>SUBSTITUTE(SUBSTITUTE(SUBSTITUTE(D256,"年","-"),"組","-"),"番","")</f>
        <v/>
      </c>
      <c r="M256">
        <f>IF(D256="",0,IF(ISNUMBER(VALUE(SUBSTITUTE(L256,"-",""))),1,0))</f>
        <v/>
      </c>
      <c r="N256">
        <f>IF(M256=0,"",IFERROR(VALUE(TRIM(MID(SUBSTITUTE(L256,"-",REPT(" ",100)),101,100))),""))</f>
        <v/>
      </c>
      <c r="O256">
        <f>IF(M256=0,"",IFERROR(VALUE(TRIM(RIGHT(SUBSTITUTE(L256,"-",REPT(" ",100)),100))),""))</f>
        <v/>
      </c>
      <c r="P256">
        <f>IF(B256="","",TRIM(INDEX($D256:$K256,IF(M256=1,2,1))&amp;IF(AD256&gt;=2," "&amp;INDEX($D256:$K256,IF(M256=1,2,1)+1),"")&amp;IF(AD256&gt;=3," "&amp;INDEX($D256:$K256,IF(M256=1,2,1)+2),"")))</f>
        <v/>
      </c>
      <c r="Q256">
        <f>IF(C256&lt;2,"",TRIM(IF(AND(2&gt;=(IF(M256=1,2,1)+AD256),2&lt;=C256-IF(S256="",0,1)),E256&amp;" ","")&amp;IF(AND(3&gt;=(IF(M256=1,2,1)+AD256),3&lt;=C256-IF(S256="",0,1)),F256&amp;" ","")&amp;IF(AND(4&gt;=(IF(M256=1,2,1)+AD256),4&lt;=C256-IF(S256="",0,1)),G256&amp;" ","")&amp;IF(AND(5&gt;=(IF(M256=1,2,1)+AD256),5&lt;=C256-IF(S256="",0,1)),H256&amp;" ","")&amp;IF(AND(6&gt;=(IF(M256=1,2,1)+AD256),6&lt;=C256-IF(S256="",0,1)),I256&amp;" ","")&amp;IF(AND(7&gt;=(IF(M256=1,2,1)+AD256),7&lt;=C256-IF(S256="",0,1)),J256&amp;" ","")&amp;IF(AND(8&gt;=(IF(M256=1,2,1)+AD256),8&lt;=C256-IF(S256="",0,1)),K256&amp;" ","")))</f>
        <v/>
      </c>
      <c r="R256">
        <f>IF(Q256="","",IFERROR(INDEX(資格マスタ!$B:$B,MATCH(ASC(SUBSTITUTE(SUBSTITUTE(Q256," ",""),"　","")),資格マスタ!$D:$D,0)),Q256))</f>
        <v/>
      </c>
      <c r="S256" s="139">
        <f>IF(C256&lt;2,"",IFERROR(IF(OR(LEFT(INDEX(D256:K256,MIN(8,MAX(1,C256))),2)="令和",LEFT(INDEX(D256:K256,MIN(8,MAX(1,C256))),2)="平成",LEFT(INDEX(D256:K256,MIN(8,MAX(1,C256))),2)="昭和"),DATE(VALUE(MID(INDEX(D256:K256,MIN(8,MAX(1,C256))),3,FIND("年",INDEX(D256:K256,MIN(8,MAX(1,C256))))-3))+IF(LEFT(INDEX(D256:K256,MIN(8,MAX(1,C256))),2)="令和",2018,IF(LEFT(INDEX(D256:K256,MIN(8,MAX(1,C256))),2)="平成",1988,1925)),VALUE(MID(INDEX(D256:K256,MIN(8,MAX(1,C256))),FIND("年",INDEX(D256:K256,MIN(8,MAX(1,C256))))+1,FIND("月",INDEX(D256:K256,MIN(8,MAX(1,C256))))-FIND("年",INDEX(D256:K256,MIN(8,MAX(1,C256))))-1)),IFERROR(VALUE(SUBSTITUTE(MID(INDEX(D256:K256,MIN(8,MAX(1,C256))),FIND("月",INDEX(D256:K256,MIN(8,MAX(1,C256))))+1,10),"日","")),1)),DATE(VALUE(TRIM(MID(SUBSTITUTE(AA256,"/",REPT(" ",50)),1,50))),VALUE(TRIM(MID(SUBSTITUTE(AA256,"/",REPT(" ",50)),51,50))),IFERROR(VALUE(TRIM(MID(SUBSTITUTE(AA256,"/",REPT(" ",50)),101,50))),1))),IFERROR(DATEVALUE(INDEX(D256:K256,MIN(8,MAX(1,C256)))),"")))</f>
        <v/>
      </c>
      <c r="T256">
        <f>IF(B256="","",IF(AB256&lt;&gt;"",AB256,IFERROR(MATCH(SUBSTITUTE(SUBSTITUTE(P256," ",""),"　",""),入力!$AH$5:$AH$44,0),"")))</f>
        <v/>
      </c>
      <c r="U256">
        <f>IF(T256="","",INDEX(入力!$D$5:$D$44,T256))</f>
        <v/>
      </c>
      <c r="V256">
        <f>IF(B256="","",IF(T256="","要確認（名簿と照合できません）",IF(R256="","要確認（資格名がありません）",IF(S256="","要確認（取得日が読めません）",IF((IF(INDEX(入力!$N$5:$N$44,T256)=R256,1,0)+IF(INDEX(入力!$P$5:$P$44,T256)=R256,1,0)+IF(INDEX(入力!$R$5:$R$44,T256)=R256,1,0)+IF(INDEX(入力!$T$5:$T$44,T256)=R256,1,0)+IF(INDEX(入力!$V$5:$V$44,T256)=R256,1,0)+IF(INDEX(入力!$X$5:$X$44,T256)=R256,1,0))+(COUNTIFS($T$6:$T$405,T256,$R$6:$R$405,R256,$X$6:$X$405,"&lt;"&amp;X256))&gt;0,"重複","反映")))))</f>
        <v/>
      </c>
      <c r="W256">
        <f>IF(V256="反映",1,0)</f>
        <v/>
      </c>
      <c r="X256" t="n">
        <v>256</v>
      </c>
      <c r="Y256">
        <f>IF(W256=0,"",COUNTIFS($T$6:$T$405,T256,$W$6:$W$405,1,$S$6:$S$405,"&lt;"&amp;S256)+COUNTIFS($T$6:$T$405,T256,$W$6:$W$405,1,$S$6:$S$405,S256,$X$6:$X$405,"&lt;"&amp;X256)+1)</f>
        <v/>
      </c>
      <c r="Z256">
        <f>IF(Y256="","",T256&amp;"_"&amp;Y256)</f>
        <v/>
      </c>
      <c r="AA256">
        <f>SUBSTITUTE(SUBSTITUTE(SUBSTITUTE(SUBSTITUTE(SUBSTITUTE(INDEX(D256:K256,MIN(8,MAX(1,C256))),"年","/"),"月","/"),"日",""),"-","/"),".","/")</f>
        <v/>
      </c>
      <c r="AB256">
        <f>IFERROR(MATCH(O256,入力!$C$5:$C$44,0),"")</f>
        <v/>
      </c>
      <c r="AC256">
        <f>IF(AB256="","",INDEX(入力!$AH$5:$AH$44,AB256))</f>
        <v/>
      </c>
      <c r="AD256">
        <f>IF(INDEX($D256:$K256,IF(M256=1,2,1))=AC256,1,IF(INDEX($D256:$K256,IF(M256=1,2,1))&amp;INDEX($D256:$K256,IF(M256=1,2,1)+1)=AC256,2,IF(INDEX($D256:$K256,IF(M256=1,2,1))&amp;INDEX($D256:$K256,IF(M256=1,2,1)+1)&amp;INDEX($D256:$K256,IF(M256=1,2,1)+2)=AC256,3,IF(AB256&lt;&gt;"",2,IF(ISNUMBER(MATCH(INDEX($D256:$K256,IF(M256=1,2,1)),入力!$AH$5:$AH$44,0)),1,IF(ISNUMBER(MATCH(INDEX($D256:$K256,IF(M256=1,2,1))&amp;INDEX($D256:$K256,IF(M256=1,2,1)+1),入力!$AH$5:$AH$44,0)),2,IF(ISNUMBER(MATCH(INDEX($D256:$K256,IF(M256=1,2,1))&amp;INDEX($D256:$K256,IF(M256=1,2,1)+1)&amp;INDEX($D256:$K256,IF(M256=1,2,1)+2),入力!$AH$5:$AH$44,0)),3,2)))))))</f>
        <v/>
      </c>
      <c r="AE256">
        <f>IF(V256="","",IF(AND(V256="反映",N(Y256)&gt;20),"要確認（この生徒の取込が20件を超えました）",V256))</f>
        <v/>
      </c>
    </row>
    <row r="257">
      <c r="A257" s="138" t="n"/>
      <c r="B257">
        <f>TRIM(SUBSTITUTE(SUBSTITUTE(SUBSTITUTE(A257,CHAR(9)," "),"　"," "),CHAR(160)," "))</f>
        <v/>
      </c>
      <c r="C257">
        <f>IF(B257="",0,LEN(B257)-LEN(SUBSTITUTE(B257," ",""))+1)</f>
        <v/>
      </c>
      <c r="D257">
        <f>IF(C257&gt;=1,TRIM(MID(SUBSTITUTE(B257," ",REPT(" ",200)),1,200)),"")</f>
        <v/>
      </c>
      <c r="E257">
        <f>IF(C257&gt;=2,TRIM(MID(SUBSTITUTE(B257," ",REPT(" ",200)),201,200)),"")</f>
        <v/>
      </c>
      <c r="F257">
        <f>IF(C257&gt;=3,TRIM(MID(SUBSTITUTE(B257," ",REPT(" ",200)),401,200)),"")</f>
        <v/>
      </c>
      <c r="G257">
        <f>IF(C257&gt;=4,TRIM(MID(SUBSTITUTE(B257," ",REPT(" ",200)),601,200)),"")</f>
        <v/>
      </c>
      <c r="H257">
        <f>IF(C257&gt;=5,TRIM(MID(SUBSTITUTE(B257," ",REPT(" ",200)),801,200)),"")</f>
        <v/>
      </c>
      <c r="I257">
        <f>IF(C257&gt;=6,TRIM(MID(SUBSTITUTE(B257," ",REPT(" ",200)),1001,200)),"")</f>
        <v/>
      </c>
      <c r="J257">
        <f>IF(C257&gt;=7,TRIM(MID(SUBSTITUTE(B257," ",REPT(" ",200)),1201,200)),"")</f>
        <v/>
      </c>
      <c r="K257">
        <f>IF(C257&gt;=8,TRIM(MID(SUBSTITUTE(B257," ",REPT(" ",200)),1401,200)),"")</f>
        <v/>
      </c>
      <c r="L257">
        <f>SUBSTITUTE(SUBSTITUTE(SUBSTITUTE(D257,"年","-"),"組","-"),"番","")</f>
        <v/>
      </c>
      <c r="M257">
        <f>IF(D257="",0,IF(ISNUMBER(VALUE(SUBSTITUTE(L257,"-",""))),1,0))</f>
        <v/>
      </c>
      <c r="N257">
        <f>IF(M257=0,"",IFERROR(VALUE(TRIM(MID(SUBSTITUTE(L257,"-",REPT(" ",100)),101,100))),""))</f>
        <v/>
      </c>
      <c r="O257">
        <f>IF(M257=0,"",IFERROR(VALUE(TRIM(RIGHT(SUBSTITUTE(L257,"-",REPT(" ",100)),100))),""))</f>
        <v/>
      </c>
      <c r="P257">
        <f>IF(B257="","",TRIM(INDEX($D257:$K257,IF(M257=1,2,1))&amp;IF(AD257&gt;=2," "&amp;INDEX($D257:$K257,IF(M257=1,2,1)+1),"")&amp;IF(AD257&gt;=3," "&amp;INDEX($D257:$K257,IF(M257=1,2,1)+2),"")))</f>
        <v/>
      </c>
      <c r="Q257">
        <f>IF(C257&lt;2,"",TRIM(IF(AND(2&gt;=(IF(M257=1,2,1)+AD257),2&lt;=C257-IF(S257="",0,1)),E257&amp;" ","")&amp;IF(AND(3&gt;=(IF(M257=1,2,1)+AD257),3&lt;=C257-IF(S257="",0,1)),F257&amp;" ","")&amp;IF(AND(4&gt;=(IF(M257=1,2,1)+AD257),4&lt;=C257-IF(S257="",0,1)),G257&amp;" ","")&amp;IF(AND(5&gt;=(IF(M257=1,2,1)+AD257),5&lt;=C257-IF(S257="",0,1)),H257&amp;" ","")&amp;IF(AND(6&gt;=(IF(M257=1,2,1)+AD257),6&lt;=C257-IF(S257="",0,1)),I257&amp;" ","")&amp;IF(AND(7&gt;=(IF(M257=1,2,1)+AD257),7&lt;=C257-IF(S257="",0,1)),J257&amp;" ","")&amp;IF(AND(8&gt;=(IF(M257=1,2,1)+AD257),8&lt;=C257-IF(S257="",0,1)),K257&amp;" ","")))</f>
        <v/>
      </c>
      <c r="R257">
        <f>IF(Q257="","",IFERROR(INDEX(資格マスタ!$B:$B,MATCH(ASC(SUBSTITUTE(SUBSTITUTE(Q257," ",""),"　","")),資格マスタ!$D:$D,0)),Q257))</f>
        <v/>
      </c>
      <c r="S257" s="139">
        <f>IF(C257&lt;2,"",IFERROR(IF(OR(LEFT(INDEX(D257:K257,MIN(8,MAX(1,C257))),2)="令和",LEFT(INDEX(D257:K257,MIN(8,MAX(1,C257))),2)="平成",LEFT(INDEX(D257:K257,MIN(8,MAX(1,C257))),2)="昭和"),DATE(VALUE(MID(INDEX(D257:K257,MIN(8,MAX(1,C257))),3,FIND("年",INDEX(D257:K257,MIN(8,MAX(1,C257))))-3))+IF(LEFT(INDEX(D257:K257,MIN(8,MAX(1,C257))),2)="令和",2018,IF(LEFT(INDEX(D257:K257,MIN(8,MAX(1,C257))),2)="平成",1988,1925)),VALUE(MID(INDEX(D257:K257,MIN(8,MAX(1,C257))),FIND("年",INDEX(D257:K257,MIN(8,MAX(1,C257))))+1,FIND("月",INDEX(D257:K257,MIN(8,MAX(1,C257))))-FIND("年",INDEX(D257:K257,MIN(8,MAX(1,C257))))-1)),IFERROR(VALUE(SUBSTITUTE(MID(INDEX(D257:K257,MIN(8,MAX(1,C257))),FIND("月",INDEX(D257:K257,MIN(8,MAX(1,C257))))+1,10),"日","")),1)),DATE(VALUE(TRIM(MID(SUBSTITUTE(AA257,"/",REPT(" ",50)),1,50))),VALUE(TRIM(MID(SUBSTITUTE(AA257,"/",REPT(" ",50)),51,50))),IFERROR(VALUE(TRIM(MID(SUBSTITUTE(AA257,"/",REPT(" ",50)),101,50))),1))),IFERROR(DATEVALUE(INDEX(D257:K257,MIN(8,MAX(1,C257)))),"")))</f>
        <v/>
      </c>
      <c r="T257">
        <f>IF(B257="","",IF(AB257&lt;&gt;"",AB257,IFERROR(MATCH(SUBSTITUTE(SUBSTITUTE(P257," ",""),"　",""),入力!$AH$5:$AH$44,0),"")))</f>
        <v/>
      </c>
      <c r="U257">
        <f>IF(T257="","",INDEX(入力!$D$5:$D$44,T257))</f>
        <v/>
      </c>
      <c r="V257">
        <f>IF(B257="","",IF(T257="","要確認（名簿と照合できません）",IF(R257="","要確認（資格名がありません）",IF(S257="","要確認（取得日が読めません）",IF((IF(INDEX(入力!$N$5:$N$44,T257)=R257,1,0)+IF(INDEX(入力!$P$5:$P$44,T257)=R257,1,0)+IF(INDEX(入力!$R$5:$R$44,T257)=R257,1,0)+IF(INDEX(入力!$T$5:$T$44,T257)=R257,1,0)+IF(INDEX(入力!$V$5:$V$44,T257)=R257,1,0)+IF(INDEX(入力!$X$5:$X$44,T257)=R257,1,0))+(COUNTIFS($T$6:$T$405,T257,$R$6:$R$405,R257,$X$6:$X$405,"&lt;"&amp;X257))&gt;0,"重複","反映")))))</f>
        <v/>
      </c>
      <c r="W257">
        <f>IF(V257="反映",1,0)</f>
        <v/>
      </c>
      <c r="X257" t="n">
        <v>257</v>
      </c>
      <c r="Y257">
        <f>IF(W257=0,"",COUNTIFS($T$6:$T$405,T257,$W$6:$W$405,1,$S$6:$S$405,"&lt;"&amp;S257)+COUNTIFS($T$6:$T$405,T257,$W$6:$W$405,1,$S$6:$S$405,S257,$X$6:$X$405,"&lt;"&amp;X257)+1)</f>
        <v/>
      </c>
      <c r="Z257">
        <f>IF(Y257="","",T257&amp;"_"&amp;Y257)</f>
        <v/>
      </c>
      <c r="AA257">
        <f>SUBSTITUTE(SUBSTITUTE(SUBSTITUTE(SUBSTITUTE(SUBSTITUTE(INDEX(D257:K257,MIN(8,MAX(1,C257))),"年","/"),"月","/"),"日",""),"-","/"),".","/")</f>
        <v/>
      </c>
      <c r="AB257">
        <f>IFERROR(MATCH(O257,入力!$C$5:$C$44,0),"")</f>
        <v/>
      </c>
      <c r="AC257">
        <f>IF(AB257="","",INDEX(入力!$AH$5:$AH$44,AB257))</f>
        <v/>
      </c>
      <c r="AD257">
        <f>IF(INDEX($D257:$K257,IF(M257=1,2,1))=AC257,1,IF(INDEX($D257:$K257,IF(M257=1,2,1))&amp;INDEX($D257:$K257,IF(M257=1,2,1)+1)=AC257,2,IF(INDEX($D257:$K257,IF(M257=1,2,1))&amp;INDEX($D257:$K257,IF(M257=1,2,1)+1)&amp;INDEX($D257:$K257,IF(M257=1,2,1)+2)=AC257,3,IF(AB257&lt;&gt;"",2,IF(ISNUMBER(MATCH(INDEX($D257:$K257,IF(M257=1,2,1)),入力!$AH$5:$AH$44,0)),1,IF(ISNUMBER(MATCH(INDEX($D257:$K257,IF(M257=1,2,1))&amp;INDEX($D257:$K257,IF(M257=1,2,1)+1),入力!$AH$5:$AH$44,0)),2,IF(ISNUMBER(MATCH(INDEX($D257:$K257,IF(M257=1,2,1))&amp;INDEX($D257:$K257,IF(M257=1,2,1)+1)&amp;INDEX($D257:$K257,IF(M257=1,2,1)+2),入力!$AH$5:$AH$44,0)),3,2)))))))</f>
        <v/>
      </c>
      <c r="AE257">
        <f>IF(V257="","",IF(AND(V257="反映",N(Y257)&gt;20),"要確認（この生徒の取込が20件を超えました）",V257))</f>
        <v/>
      </c>
    </row>
    <row r="258">
      <c r="A258" s="138" t="n"/>
      <c r="B258">
        <f>TRIM(SUBSTITUTE(SUBSTITUTE(SUBSTITUTE(A258,CHAR(9)," "),"　"," "),CHAR(160)," "))</f>
        <v/>
      </c>
      <c r="C258">
        <f>IF(B258="",0,LEN(B258)-LEN(SUBSTITUTE(B258," ",""))+1)</f>
        <v/>
      </c>
      <c r="D258">
        <f>IF(C258&gt;=1,TRIM(MID(SUBSTITUTE(B258," ",REPT(" ",200)),1,200)),"")</f>
        <v/>
      </c>
      <c r="E258">
        <f>IF(C258&gt;=2,TRIM(MID(SUBSTITUTE(B258," ",REPT(" ",200)),201,200)),"")</f>
        <v/>
      </c>
      <c r="F258">
        <f>IF(C258&gt;=3,TRIM(MID(SUBSTITUTE(B258," ",REPT(" ",200)),401,200)),"")</f>
        <v/>
      </c>
      <c r="G258">
        <f>IF(C258&gt;=4,TRIM(MID(SUBSTITUTE(B258," ",REPT(" ",200)),601,200)),"")</f>
        <v/>
      </c>
      <c r="H258">
        <f>IF(C258&gt;=5,TRIM(MID(SUBSTITUTE(B258," ",REPT(" ",200)),801,200)),"")</f>
        <v/>
      </c>
      <c r="I258">
        <f>IF(C258&gt;=6,TRIM(MID(SUBSTITUTE(B258," ",REPT(" ",200)),1001,200)),"")</f>
        <v/>
      </c>
      <c r="J258">
        <f>IF(C258&gt;=7,TRIM(MID(SUBSTITUTE(B258," ",REPT(" ",200)),1201,200)),"")</f>
        <v/>
      </c>
      <c r="K258">
        <f>IF(C258&gt;=8,TRIM(MID(SUBSTITUTE(B258," ",REPT(" ",200)),1401,200)),"")</f>
        <v/>
      </c>
      <c r="L258">
        <f>SUBSTITUTE(SUBSTITUTE(SUBSTITUTE(D258,"年","-"),"組","-"),"番","")</f>
        <v/>
      </c>
      <c r="M258">
        <f>IF(D258="",0,IF(ISNUMBER(VALUE(SUBSTITUTE(L258,"-",""))),1,0))</f>
        <v/>
      </c>
      <c r="N258">
        <f>IF(M258=0,"",IFERROR(VALUE(TRIM(MID(SUBSTITUTE(L258,"-",REPT(" ",100)),101,100))),""))</f>
        <v/>
      </c>
      <c r="O258">
        <f>IF(M258=0,"",IFERROR(VALUE(TRIM(RIGHT(SUBSTITUTE(L258,"-",REPT(" ",100)),100))),""))</f>
        <v/>
      </c>
      <c r="P258">
        <f>IF(B258="","",TRIM(INDEX($D258:$K258,IF(M258=1,2,1))&amp;IF(AD258&gt;=2," "&amp;INDEX($D258:$K258,IF(M258=1,2,1)+1),"")&amp;IF(AD258&gt;=3," "&amp;INDEX($D258:$K258,IF(M258=1,2,1)+2),"")))</f>
        <v/>
      </c>
      <c r="Q258">
        <f>IF(C258&lt;2,"",TRIM(IF(AND(2&gt;=(IF(M258=1,2,1)+AD258),2&lt;=C258-IF(S258="",0,1)),E258&amp;" ","")&amp;IF(AND(3&gt;=(IF(M258=1,2,1)+AD258),3&lt;=C258-IF(S258="",0,1)),F258&amp;" ","")&amp;IF(AND(4&gt;=(IF(M258=1,2,1)+AD258),4&lt;=C258-IF(S258="",0,1)),G258&amp;" ","")&amp;IF(AND(5&gt;=(IF(M258=1,2,1)+AD258),5&lt;=C258-IF(S258="",0,1)),H258&amp;" ","")&amp;IF(AND(6&gt;=(IF(M258=1,2,1)+AD258),6&lt;=C258-IF(S258="",0,1)),I258&amp;" ","")&amp;IF(AND(7&gt;=(IF(M258=1,2,1)+AD258),7&lt;=C258-IF(S258="",0,1)),J258&amp;" ","")&amp;IF(AND(8&gt;=(IF(M258=1,2,1)+AD258),8&lt;=C258-IF(S258="",0,1)),K258&amp;" ","")))</f>
        <v/>
      </c>
      <c r="R258">
        <f>IF(Q258="","",IFERROR(INDEX(資格マスタ!$B:$B,MATCH(ASC(SUBSTITUTE(SUBSTITUTE(Q258," ",""),"　","")),資格マスタ!$D:$D,0)),Q258))</f>
        <v/>
      </c>
      <c r="S258" s="139">
        <f>IF(C258&lt;2,"",IFERROR(IF(OR(LEFT(INDEX(D258:K258,MIN(8,MAX(1,C258))),2)="令和",LEFT(INDEX(D258:K258,MIN(8,MAX(1,C258))),2)="平成",LEFT(INDEX(D258:K258,MIN(8,MAX(1,C258))),2)="昭和"),DATE(VALUE(MID(INDEX(D258:K258,MIN(8,MAX(1,C258))),3,FIND("年",INDEX(D258:K258,MIN(8,MAX(1,C258))))-3))+IF(LEFT(INDEX(D258:K258,MIN(8,MAX(1,C258))),2)="令和",2018,IF(LEFT(INDEX(D258:K258,MIN(8,MAX(1,C258))),2)="平成",1988,1925)),VALUE(MID(INDEX(D258:K258,MIN(8,MAX(1,C258))),FIND("年",INDEX(D258:K258,MIN(8,MAX(1,C258))))+1,FIND("月",INDEX(D258:K258,MIN(8,MAX(1,C258))))-FIND("年",INDEX(D258:K258,MIN(8,MAX(1,C258))))-1)),IFERROR(VALUE(SUBSTITUTE(MID(INDEX(D258:K258,MIN(8,MAX(1,C258))),FIND("月",INDEX(D258:K258,MIN(8,MAX(1,C258))))+1,10),"日","")),1)),DATE(VALUE(TRIM(MID(SUBSTITUTE(AA258,"/",REPT(" ",50)),1,50))),VALUE(TRIM(MID(SUBSTITUTE(AA258,"/",REPT(" ",50)),51,50))),IFERROR(VALUE(TRIM(MID(SUBSTITUTE(AA258,"/",REPT(" ",50)),101,50))),1))),IFERROR(DATEVALUE(INDEX(D258:K258,MIN(8,MAX(1,C258)))),"")))</f>
        <v/>
      </c>
      <c r="T258">
        <f>IF(B258="","",IF(AB258&lt;&gt;"",AB258,IFERROR(MATCH(SUBSTITUTE(SUBSTITUTE(P258," ",""),"　",""),入力!$AH$5:$AH$44,0),"")))</f>
        <v/>
      </c>
      <c r="U258">
        <f>IF(T258="","",INDEX(入力!$D$5:$D$44,T258))</f>
        <v/>
      </c>
      <c r="V258">
        <f>IF(B258="","",IF(T258="","要確認（名簿と照合できません）",IF(R258="","要確認（資格名がありません）",IF(S258="","要確認（取得日が読めません）",IF((IF(INDEX(入力!$N$5:$N$44,T258)=R258,1,0)+IF(INDEX(入力!$P$5:$P$44,T258)=R258,1,0)+IF(INDEX(入力!$R$5:$R$44,T258)=R258,1,0)+IF(INDEX(入力!$T$5:$T$44,T258)=R258,1,0)+IF(INDEX(入力!$V$5:$V$44,T258)=R258,1,0)+IF(INDEX(入力!$X$5:$X$44,T258)=R258,1,0))+(COUNTIFS($T$6:$T$405,T258,$R$6:$R$405,R258,$X$6:$X$405,"&lt;"&amp;X258))&gt;0,"重複","反映")))))</f>
        <v/>
      </c>
      <c r="W258">
        <f>IF(V258="反映",1,0)</f>
        <v/>
      </c>
      <c r="X258" t="n">
        <v>258</v>
      </c>
      <c r="Y258">
        <f>IF(W258=0,"",COUNTIFS($T$6:$T$405,T258,$W$6:$W$405,1,$S$6:$S$405,"&lt;"&amp;S258)+COUNTIFS($T$6:$T$405,T258,$W$6:$W$405,1,$S$6:$S$405,S258,$X$6:$X$405,"&lt;"&amp;X258)+1)</f>
        <v/>
      </c>
      <c r="Z258">
        <f>IF(Y258="","",T258&amp;"_"&amp;Y258)</f>
        <v/>
      </c>
      <c r="AA258">
        <f>SUBSTITUTE(SUBSTITUTE(SUBSTITUTE(SUBSTITUTE(SUBSTITUTE(INDEX(D258:K258,MIN(8,MAX(1,C258))),"年","/"),"月","/"),"日",""),"-","/"),".","/")</f>
        <v/>
      </c>
      <c r="AB258">
        <f>IFERROR(MATCH(O258,入力!$C$5:$C$44,0),"")</f>
        <v/>
      </c>
      <c r="AC258">
        <f>IF(AB258="","",INDEX(入力!$AH$5:$AH$44,AB258))</f>
        <v/>
      </c>
      <c r="AD258">
        <f>IF(INDEX($D258:$K258,IF(M258=1,2,1))=AC258,1,IF(INDEX($D258:$K258,IF(M258=1,2,1))&amp;INDEX($D258:$K258,IF(M258=1,2,1)+1)=AC258,2,IF(INDEX($D258:$K258,IF(M258=1,2,1))&amp;INDEX($D258:$K258,IF(M258=1,2,1)+1)&amp;INDEX($D258:$K258,IF(M258=1,2,1)+2)=AC258,3,IF(AB258&lt;&gt;"",2,IF(ISNUMBER(MATCH(INDEX($D258:$K258,IF(M258=1,2,1)),入力!$AH$5:$AH$44,0)),1,IF(ISNUMBER(MATCH(INDEX($D258:$K258,IF(M258=1,2,1))&amp;INDEX($D258:$K258,IF(M258=1,2,1)+1),入力!$AH$5:$AH$44,0)),2,IF(ISNUMBER(MATCH(INDEX($D258:$K258,IF(M258=1,2,1))&amp;INDEX($D258:$K258,IF(M258=1,2,1)+1)&amp;INDEX($D258:$K258,IF(M258=1,2,1)+2),入力!$AH$5:$AH$44,0)),3,2)))))))</f>
        <v/>
      </c>
      <c r="AE258">
        <f>IF(V258="","",IF(AND(V258="反映",N(Y258)&gt;20),"要確認（この生徒の取込が20件を超えました）",V258))</f>
        <v/>
      </c>
    </row>
    <row r="259">
      <c r="A259" s="138" t="n"/>
      <c r="B259">
        <f>TRIM(SUBSTITUTE(SUBSTITUTE(SUBSTITUTE(A259,CHAR(9)," "),"　"," "),CHAR(160)," "))</f>
        <v/>
      </c>
      <c r="C259">
        <f>IF(B259="",0,LEN(B259)-LEN(SUBSTITUTE(B259," ",""))+1)</f>
        <v/>
      </c>
      <c r="D259">
        <f>IF(C259&gt;=1,TRIM(MID(SUBSTITUTE(B259," ",REPT(" ",200)),1,200)),"")</f>
        <v/>
      </c>
      <c r="E259">
        <f>IF(C259&gt;=2,TRIM(MID(SUBSTITUTE(B259," ",REPT(" ",200)),201,200)),"")</f>
        <v/>
      </c>
      <c r="F259">
        <f>IF(C259&gt;=3,TRIM(MID(SUBSTITUTE(B259," ",REPT(" ",200)),401,200)),"")</f>
        <v/>
      </c>
      <c r="G259">
        <f>IF(C259&gt;=4,TRIM(MID(SUBSTITUTE(B259," ",REPT(" ",200)),601,200)),"")</f>
        <v/>
      </c>
      <c r="H259">
        <f>IF(C259&gt;=5,TRIM(MID(SUBSTITUTE(B259," ",REPT(" ",200)),801,200)),"")</f>
        <v/>
      </c>
      <c r="I259">
        <f>IF(C259&gt;=6,TRIM(MID(SUBSTITUTE(B259," ",REPT(" ",200)),1001,200)),"")</f>
        <v/>
      </c>
      <c r="J259">
        <f>IF(C259&gt;=7,TRIM(MID(SUBSTITUTE(B259," ",REPT(" ",200)),1201,200)),"")</f>
        <v/>
      </c>
      <c r="K259">
        <f>IF(C259&gt;=8,TRIM(MID(SUBSTITUTE(B259," ",REPT(" ",200)),1401,200)),"")</f>
        <v/>
      </c>
      <c r="L259">
        <f>SUBSTITUTE(SUBSTITUTE(SUBSTITUTE(D259,"年","-"),"組","-"),"番","")</f>
        <v/>
      </c>
      <c r="M259">
        <f>IF(D259="",0,IF(ISNUMBER(VALUE(SUBSTITUTE(L259,"-",""))),1,0))</f>
        <v/>
      </c>
      <c r="N259">
        <f>IF(M259=0,"",IFERROR(VALUE(TRIM(MID(SUBSTITUTE(L259,"-",REPT(" ",100)),101,100))),""))</f>
        <v/>
      </c>
      <c r="O259">
        <f>IF(M259=0,"",IFERROR(VALUE(TRIM(RIGHT(SUBSTITUTE(L259,"-",REPT(" ",100)),100))),""))</f>
        <v/>
      </c>
      <c r="P259">
        <f>IF(B259="","",TRIM(INDEX($D259:$K259,IF(M259=1,2,1))&amp;IF(AD259&gt;=2," "&amp;INDEX($D259:$K259,IF(M259=1,2,1)+1),"")&amp;IF(AD259&gt;=3," "&amp;INDEX($D259:$K259,IF(M259=1,2,1)+2),"")))</f>
        <v/>
      </c>
      <c r="Q259">
        <f>IF(C259&lt;2,"",TRIM(IF(AND(2&gt;=(IF(M259=1,2,1)+AD259),2&lt;=C259-IF(S259="",0,1)),E259&amp;" ","")&amp;IF(AND(3&gt;=(IF(M259=1,2,1)+AD259),3&lt;=C259-IF(S259="",0,1)),F259&amp;" ","")&amp;IF(AND(4&gt;=(IF(M259=1,2,1)+AD259),4&lt;=C259-IF(S259="",0,1)),G259&amp;" ","")&amp;IF(AND(5&gt;=(IF(M259=1,2,1)+AD259),5&lt;=C259-IF(S259="",0,1)),H259&amp;" ","")&amp;IF(AND(6&gt;=(IF(M259=1,2,1)+AD259),6&lt;=C259-IF(S259="",0,1)),I259&amp;" ","")&amp;IF(AND(7&gt;=(IF(M259=1,2,1)+AD259),7&lt;=C259-IF(S259="",0,1)),J259&amp;" ","")&amp;IF(AND(8&gt;=(IF(M259=1,2,1)+AD259),8&lt;=C259-IF(S259="",0,1)),K259&amp;" ","")))</f>
        <v/>
      </c>
      <c r="R259">
        <f>IF(Q259="","",IFERROR(INDEX(資格マスタ!$B:$B,MATCH(ASC(SUBSTITUTE(SUBSTITUTE(Q259," ",""),"　","")),資格マスタ!$D:$D,0)),Q259))</f>
        <v/>
      </c>
      <c r="S259" s="139">
        <f>IF(C259&lt;2,"",IFERROR(IF(OR(LEFT(INDEX(D259:K259,MIN(8,MAX(1,C259))),2)="令和",LEFT(INDEX(D259:K259,MIN(8,MAX(1,C259))),2)="平成",LEFT(INDEX(D259:K259,MIN(8,MAX(1,C259))),2)="昭和"),DATE(VALUE(MID(INDEX(D259:K259,MIN(8,MAX(1,C259))),3,FIND("年",INDEX(D259:K259,MIN(8,MAX(1,C259))))-3))+IF(LEFT(INDEX(D259:K259,MIN(8,MAX(1,C259))),2)="令和",2018,IF(LEFT(INDEX(D259:K259,MIN(8,MAX(1,C259))),2)="平成",1988,1925)),VALUE(MID(INDEX(D259:K259,MIN(8,MAX(1,C259))),FIND("年",INDEX(D259:K259,MIN(8,MAX(1,C259))))+1,FIND("月",INDEX(D259:K259,MIN(8,MAX(1,C259))))-FIND("年",INDEX(D259:K259,MIN(8,MAX(1,C259))))-1)),IFERROR(VALUE(SUBSTITUTE(MID(INDEX(D259:K259,MIN(8,MAX(1,C259))),FIND("月",INDEX(D259:K259,MIN(8,MAX(1,C259))))+1,10),"日","")),1)),DATE(VALUE(TRIM(MID(SUBSTITUTE(AA259,"/",REPT(" ",50)),1,50))),VALUE(TRIM(MID(SUBSTITUTE(AA259,"/",REPT(" ",50)),51,50))),IFERROR(VALUE(TRIM(MID(SUBSTITUTE(AA259,"/",REPT(" ",50)),101,50))),1))),IFERROR(DATEVALUE(INDEX(D259:K259,MIN(8,MAX(1,C259)))),"")))</f>
        <v/>
      </c>
      <c r="T259">
        <f>IF(B259="","",IF(AB259&lt;&gt;"",AB259,IFERROR(MATCH(SUBSTITUTE(SUBSTITUTE(P259," ",""),"　",""),入力!$AH$5:$AH$44,0),"")))</f>
        <v/>
      </c>
      <c r="U259">
        <f>IF(T259="","",INDEX(入力!$D$5:$D$44,T259))</f>
        <v/>
      </c>
      <c r="V259">
        <f>IF(B259="","",IF(T259="","要確認（名簿と照合できません）",IF(R259="","要確認（資格名がありません）",IF(S259="","要確認（取得日が読めません）",IF((IF(INDEX(入力!$N$5:$N$44,T259)=R259,1,0)+IF(INDEX(入力!$P$5:$P$44,T259)=R259,1,0)+IF(INDEX(入力!$R$5:$R$44,T259)=R259,1,0)+IF(INDEX(入力!$T$5:$T$44,T259)=R259,1,0)+IF(INDEX(入力!$V$5:$V$44,T259)=R259,1,0)+IF(INDEX(入力!$X$5:$X$44,T259)=R259,1,0))+(COUNTIFS($T$6:$T$405,T259,$R$6:$R$405,R259,$X$6:$X$405,"&lt;"&amp;X259))&gt;0,"重複","反映")))))</f>
        <v/>
      </c>
      <c r="W259">
        <f>IF(V259="反映",1,0)</f>
        <v/>
      </c>
      <c r="X259" t="n">
        <v>259</v>
      </c>
      <c r="Y259">
        <f>IF(W259=0,"",COUNTIFS($T$6:$T$405,T259,$W$6:$W$405,1,$S$6:$S$405,"&lt;"&amp;S259)+COUNTIFS($T$6:$T$405,T259,$W$6:$W$405,1,$S$6:$S$405,S259,$X$6:$X$405,"&lt;"&amp;X259)+1)</f>
        <v/>
      </c>
      <c r="Z259">
        <f>IF(Y259="","",T259&amp;"_"&amp;Y259)</f>
        <v/>
      </c>
      <c r="AA259">
        <f>SUBSTITUTE(SUBSTITUTE(SUBSTITUTE(SUBSTITUTE(SUBSTITUTE(INDEX(D259:K259,MIN(8,MAX(1,C259))),"年","/"),"月","/"),"日",""),"-","/"),".","/")</f>
        <v/>
      </c>
      <c r="AB259">
        <f>IFERROR(MATCH(O259,入力!$C$5:$C$44,0),"")</f>
        <v/>
      </c>
      <c r="AC259">
        <f>IF(AB259="","",INDEX(入力!$AH$5:$AH$44,AB259))</f>
        <v/>
      </c>
      <c r="AD259">
        <f>IF(INDEX($D259:$K259,IF(M259=1,2,1))=AC259,1,IF(INDEX($D259:$K259,IF(M259=1,2,1))&amp;INDEX($D259:$K259,IF(M259=1,2,1)+1)=AC259,2,IF(INDEX($D259:$K259,IF(M259=1,2,1))&amp;INDEX($D259:$K259,IF(M259=1,2,1)+1)&amp;INDEX($D259:$K259,IF(M259=1,2,1)+2)=AC259,3,IF(AB259&lt;&gt;"",2,IF(ISNUMBER(MATCH(INDEX($D259:$K259,IF(M259=1,2,1)),入力!$AH$5:$AH$44,0)),1,IF(ISNUMBER(MATCH(INDEX($D259:$K259,IF(M259=1,2,1))&amp;INDEX($D259:$K259,IF(M259=1,2,1)+1),入力!$AH$5:$AH$44,0)),2,IF(ISNUMBER(MATCH(INDEX($D259:$K259,IF(M259=1,2,1))&amp;INDEX($D259:$K259,IF(M259=1,2,1)+1)&amp;INDEX($D259:$K259,IF(M259=1,2,1)+2),入力!$AH$5:$AH$44,0)),3,2)))))))</f>
        <v/>
      </c>
      <c r="AE259">
        <f>IF(V259="","",IF(AND(V259="反映",N(Y259)&gt;20),"要確認（この生徒の取込が20件を超えました）",V259))</f>
        <v/>
      </c>
    </row>
    <row r="260">
      <c r="A260" s="138" t="n"/>
      <c r="B260">
        <f>TRIM(SUBSTITUTE(SUBSTITUTE(SUBSTITUTE(A260,CHAR(9)," "),"　"," "),CHAR(160)," "))</f>
        <v/>
      </c>
      <c r="C260">
        <f>IF(B260="",0,LEN(B260)-LEN(SUBSTITUTE(B260," ",""))+1)</f>
        <v/>
      </c>
      <c r="D260">
        <f>IF(C260&gt;=1,TRIM(MID(SUBSTITUTE(B260," ",REPT(" ",200)),1,200)),"")</f>
        <v/>
      </c>
      <c r="E260">
        <f>IF(C260&gt;=2,TRIM(MID(SUBSTITUTE(B260," ",REPT(" ",200)),201,200)),"")</f>
        <v/>
      </c>
      <c r="F260">
        <f>IF(C260&gt;=3,TRIM(MID(SUBSTITUTE(B260," ",REPT(" ",200)),401,200)),"")</f>
        <v/>
      </c>
      <c r="G260">
        <f>IF(C260&gt;=4,TRIM(MID(SUBSTITUTE(B260," ",REPT(" ",200)),601,200)),"")</f>
        <v/>
      </c>
      <c r="H260">
        <f>IF(C260&gt;=5,TRIM(MID(SUBSTITUTE(B260," ",REPT(" ",200)),801,200)),"")</f>
        <v/>
      </c>
      <c r="I260">
        <f>IF(C260&gt;=6,TRIM(MID(SUBSTITUTE(B260," ",REPT(" ",200)),1001,200)),"")</f>
        <v/>
      </c>
      <c r="J260">
        <f>IF(C260&gt;=7,TRIM(MID(SUBSTITUTE(B260," ",REPT(" ",200)),1201,200)),"")</f>
        <v/>
      </c>
      <c r="K260">
        <f>IF(C260&gt;=8,TRIM(MID(SUBSTITUTE(B260," ",REPT(" ",200)),1401,200)),"")</f>
        <v/>
      </c>
      <c r="L260">
        <f>SUBSTITUTE(SUBSTITUTE(SUBSTITUTE(D260,"年","-"),"組","-"),"番","")</f>
        <v/>
      </c>
      <c r="M260">
        <f>IF(D260="",0,IF(ISNUMBER(VALUE(SUBSTITUTE(L260,"-",""))),1,0))</f>
        <v/>
      </c>
      <c r="N260">
        <f>IF(M260=0,"",IFERROR(VALUE(TRIM(MID(SUBSTITUTE(L260,"-",REPT(" ",100)),101,100))),""))</f>
        <v/>
      </c>
      <c r="O260">
        <f>IF(M260=0,"",IFERROR(VALUE(TRIM(RIGHT(SUBSTITUTE(L260,"-",REPT(" ",100)),100))),""))</f>
        <v/>
      </c>
      <c r="P260">
        <f>IF(B260="","",TRIM(INDEX($D260:$K260,IF(M260=1,2,1))&amp;IF(AD260&gt;=2," "&amp;INDEX($D260:$K260,IF(M260=1,2,1)+1),"")&amp;IF(AD260&gt;=3," "&amp;INDEX($D260:$K260,IF(M260=1,2,1)+2),"")))</f>
        <v/>
      </c>
      <c r="Q260">
        <f>IF(C260&lt;2,"",TRIM(IF(AND(2&gt;=(IF(M260=1,2,1)+AD260),2&lt;=C260-IF(S260="",0,1)),E260&amp;" ","")&amp;IF(AND(3&gt;=(IF(M260=1,2,1)+AD260),3&lt;=C260-IF(S260="",0,1)),F260&amp;" ","")&amp;IF(AND(4&gt;=(IF(M260=1,2,1)+AD260),4&lt;=C260-IF(S260="",0,1)),G260&amp;" ","")&amp;IF(AND(5&gt;=(IF(M260=1,2,1)+AD260),5&lt;=C260-IF(S260="",0,1)),H260&amp;" ","")&amp;IF(AND(6&gt;=(IF(M260=1,2,1)+AD260),6&lt;=C260-IF(S260="",0,1)),I260&amp;" ","")&amp;IF(AND(7&gt;=(IF(M260=1,2,1)+AD260),7&lt;=C260-IF(S260="",0,1)),J260&amp;" ","")&amp;IF(AND(8&gt;=(IF(M260=1,2,1)+AD260),8&lt;=C260-IF(S260="",0,1)),K260&amp;" ","")))</f>
        <v/>
      </c>
      <c r="R260">
        <f>IF(Q260="","",IFERROR(INDEX(資格マスタ!$B:$B,MATCH(ASC(SUBSTITUTE(SUBSTITUTE(Q260," ",""),"　","")),資格マスタ!$D:$D,0)),Q260))</f>
        <v/>
      </c>
      <c r="S260" s="139">
        <f>IF(C260&lt;2,"",IFERROR(IF(OR(LEFT(INDEX(D260:K260,MIN(8,MAX(1,C260))),2)="令和",LEFT(INDEX(D260:K260,MIN(8,MAX(1,C260))),2)="平成",LEFT(INDEX(D260:K260,MIN(8,MAX(1,C260))),2)="昭和"),DATE(VALUE(MID(INDEX(D260:K260,MIN(8,MAX(1,C260))),3,FIND("年",INDEX(D260:K260,MIN(8,MAX(1,C260))))-3))+IF(LEFT(INDEX(D260:K260,MIN(8,MAX(1,C260))),2)="令和",2018,IF(LEFT(INDEX(D260:K260,MIN(8,MAX(1,C260))),2)="平成",1988,1925)),VALUE(MID(INDEX(D260:K260,MIN(8,MAX(1,C260))),FIND("年",INDEX(D260:K260,MIN(8,MAX(1,C260))))+1,FIND("月",INDEX(D260:K260,MIN(8,MAX(1,C260))))-FIND("年",INDEX(D260:K260,MIN(8,MAX(1,C260))))-1)),IFERROR(VALUE(SUBSTITUTE(MID(INDEX(D260:K260,MIN(8,MAX(1,C260))),FIND("月",INDEX(D260:K260,MIN(8,MAX(1,C260))))+1,10),"日","")),1)),DATE(VALUE(TRIM(MID(SUBSTITUTE(AA260,"/",REPT(" ",50)),1,50))),VALUE(TRIM(MID(SUBSTITUTE(AA260,"/",REPT(" ",50)),51,50))),IFERROR(VALUE(TRIM(MID(SUBSTITUTE(AA260,"/",REPT(" ",50)),101,50))),1))),IFERROR(DATEVALUE(INDEX(D260:K260,MIN(8,MAX(1,C260)))),"")))</f>
        <v/>
      </c>
      <c r="T260">
        <f>IF(B260="","",IF(AB260&lt;&gt;"",AB260,IFERROR(MATCH(SUBSTITUTE(SUBSTITUTE(P260," ",""),"　",""),入力!$AH$5:$AH$44,0),"")))</f>
        <v/>
      </c>
      <c r="U260">
        <f>IF(T260="","",INDEX(入力!$D$5:$D$44,T260))</f>
        <v/>
      </c>
      <c r="V260">
        <f>IF(B260="","",IF(T260="","要確認（名簿と照合できません）",IF(R260="","要確認（資格名がありません）",IF(S260="","要確認（取得日が読めません）",IF((IF(INDEX(入力!$N$5:$N$44,T260)=R260,1,0)+IF(INDEX(入力!$P$5:$P$44,T260)=R260,1,0)+IF(INDEX(入力!$R$5:$R$44,T260)=R260,1,0)+IF(INDEX(入力!$T$5:$T$44,T260)=R260,1,0)+IF(INDEX(入力!$V$5:$V$44,T260)=R260,1,0)+IF(INDEX(入力!$X$5:$X$44,T260)=R260,1,0))+(COUNTIFS($T$6:$T$405,T260,$R$6:$R$405,R260,$X$6:$X$405,"&lt;"&amp;X260))&gt;0,"重複","反映")))))</f>
        <v/>
      </c>
      <c r="W260">
        <f>IF(V260="反映",1,0)</f>
        <v/>
      </c>
      <c r="X260" t="n">
        <v>260</v>
      </c>
      <c r="Y260">
        <f>IF(W260=0,"",COUNTIFS($T$6:$T$405,T260,$W$6:$W$405,1,$S$6:$S$405,"&lt;"&amp;S260)+COUNTIFS($T$6:$T$405,T260,$W$6:$W$405,1,$S$6:$S$405,S260,$X$6:$X$405,"&lt;"&amp;X260)+1)</f>
        <v/>
      </c>
      <c r="Z260">
        <f>IF(Y260="","",T260&amp;"_"&amp;Y260)</f>
        <v/>
      </c>
      <c r="AA260">
        <f>SUBSTITUTE(SUBSTITUTE(SUBSTITUTE(SUBSTITUTE(SUBSTITUTE(INDEX(D260:K260,MIN(8,MAX(1,C260))),"年","/"),"月","/"),"日",""),"-","/"),".","/")</f>
        <v/>
      </c>
      <c r="AB260">
        <f>IFERROR(MATCH(O260,入力!$C$5:$C$44,0),"")</f>
        <v/>
      </c>
      <c r="AC260">
        <f>IF(AB260="","",INDEX(入力!$AH$5:$AH$44,AB260))</f>
        <v/>
      </c>
      <c r="AD260">
        <f>IF(INDEX($D260:$K260,IF(M260=1,2,1))=AC260,1,IF(INDEX($D260:$K260,IF(M260=1,2,1))&amp;INDEX($D260:$K260,IF(M260=1,2,1)+1)=AC260,2,IF(INDEX($D260:$K260,IF(M260=1,2,1))&amp;INDEX($D260:$K260,IF(M260=1,2,1)+1)&amp;INDEX($D260:$K260,IF(M260=1,2,1)+2)=AC260,3,IF(AB260&lt;&gt;"",2,IF(ISNUMBER(MATCH(INDEX($D260:$K260,IF(M260=1,2,1)),入力!$AH$5:$AH$44,0)),1,IF(ISNUMBER(MATCH(INDEX($D260:$K260,IF(M260=1,2,1))&amp;INDEX($D260:$K260,IF(M260=1,2,1)+1),入力!$AH$5:$AH$44,0)),2,IF(ISNUMBER(MATCH(INDEX($D260:$K260,IF(M260=1,2,1))&amp;INDEX($D260:$K260,IF(M260=1,2,1)+1)&amp;INDEX($D260:$K260,IF(M260=1,2,1)+2),入力!$AH$5:$AH$44,0)),3,2)))))))</f>
        <v/>
      </c>
      <c r="AE260">
        <f>IF(V260="","",IF(AND(V260="反映",N(Y260)&gt;20),"要確認（この生徒の取込が20件を超えました）",V260))</f>
        <v/>
      </c>
    </row>
    <row r="261">
      <c r="A261" s="138" t="n"/>
      <c r="B261">
        <f>TRIM(SUBSTITUTE(SUBSTITUTE(SUBSTITUTE(A261,CHAR(9)," "),"　"," "),CHAR(160)," "))</f>
        <v/>
      </c>
      <c r="C261">
        <f>IF(B261="",0,LEN(B261)-LEN(SUBSTITUTE(B261," ",""))+1)</f>
        <v/>
      </c>
      <c r="D261">
        <f>IF(C261&gt;=1,TRIM(MID(SUBSTITUTE(B261," ",REPT(" ",200)),1,200)),"")</f>
        <v/>
      </c>
      <c r="E261">
        <f>IF(C261&gt;=2,TRIM(MID(SUBSTITUTE(B261," ",REPT(" ",200)),201,200)),"")</f>
        <v/>
      </c>
      <c r="F261">
        <f>IF(C261&gt;=3,TRIM(MID(SUBSTITUTE(B261," ",REPT(" ",200)),401,200)),"")</f>
        <v/>
      </c>
      <c r="G261">
        <f>IF(C261&gt;=4,TRIM(MID(SUBSTITUTE(B261," ",REPT(" ",200)),601,200)),"")</f>
        <v/>
      </c>
      <c r="H261">
        <f>IF(C261&gt;=5,TRIM(MID(SUBSTITUTE(B261," ",REPT(" ",200)),801,200)),"")</f>
        <v/>
      </c>
      <c r="I261">
        <f>IF(C261&gt;=6,TRIM(MID(SUBSTITUTE(B261," ",REPT(" ",200)),1001,200)),"")</f>
        <v/>
      </c>
      <c r="J261">
        <f>IF(C261&gt;=7,TRIM(MID(SUBSTITUTE(B261," ",REPT(" ",200)),1201,200)),"")</f>
        <v/>
      </c>
      <c r="K261">
        <f>IF(C261&gt;=8,TRIM(MID(SUBSTITUTE(B261," ",REPT(" ",200)),1401,200)),"")</f>
        <v/>
      </c>
      <c r="L261">
        <f>SUBSTITUTE(SUBSTITUTE(SUBSTITUTE(D261,"年","-"),"組","-"),"番","")</f>
        <v/>
      </c>
      <c r="M261">
        <f>IF(D261="",0,IF(ISNUMBER(VALUE(SUBSTITUTE(L261,"-",""))),1,0))</f>
        <v/>
      </c>
      <c r="N261">
        <f>IF(M261=0,"",IFERROR(VALUE(TRIM(MID(SUBSTITUTE(L261,"-",REPT(" ",100)),101,100))),""))</f>
        <v/>
      </c>
      <c r="O261">
        <f>IF(M261=0,"",IFERROR(VALUE(TRIM(RIGHT(SUBSTITUTE(L261,"-",REPT(" ",100)),100))),""))</f>
        <v/>
      </c>
      <c r="P261">
        <f>IF(B261="","",TRIM(INDEX($D261:$K261,IF(M261=1,2,1))&amp;IF(AD261&gt;=2," "&amp;INDEX($D261:$K261,IF(M261=1,2,1)+1),"")&amp;IF(AD261&gt;=3," "&amp;INDEX($D261:$K261,IF(M261=1,2,1)+2),"")))</f>
        <v/>
      </c>
      <c r="Q261">
        <f>IF(C261&lt;2,"",TRIM(IF(AND(2&gt;=(IF(M261=1,2,1)+AD261),2&lt;=C261-IF(S261="",0,1)),E261&amp;" ","")&amp;IF(AND(3&gt;=(IF(M261=1,2,1)+AD261),3&lt;=C261-IF(S261="",0,1)),F261&amp;" ","")&amp;IF(AND(4&gt;=(IF(M261=1,2,1)+AD261),4&lt;=C261-IF(S261="",0,1)),G261&amp;" ","")&amp;IF(AND(5&gt;=(IF(M261=1,2,1)+AD261),5&lt;=C261-IF(S261="",0,1)),H261&amp;" ","")&amp;IF(AND(6&gt;=(IF(M261=1,2,1)+AD261),6&lt;=C261-IF(S261="",0,1)),I261&amp;" ","")&amp;IF(AND(7&gt;=(IF(M261=1,2,1)+AD261),7&lt;=C261-IF(S261="",0,1)),J261&amp;" ","")&amp;IF(AND(8&gt;=(IF(M261=1,2,1)+AD261),8&lt;=C261-IF(S261="",0,1)),K261&amp;" ","")))</f>
        <v/>
      </c>
      <c r="R261">
        <f>IF(Q261="","",IFERROR(INDEX(資格マスタ!$B:$B,MATCH(ASC(SUBSTITUTE(SUBSTITUTE(Q261," ",""),"　","")),資格マスタ!$D:$D,0)),Q261))</f>
        <v/>
      </c>
      <c r="S261" s="139">
        <f>IF(C261&lt;2,"",IFERROR(IF(OR(LEFT(INDEX(D261:K261,MIN(8,MAX(1,C261))),2)="令和",LEFT(INDEX(D261:K261,MIN(8,MAX(1,C261))),2)="平成",LEFT(INDEX(D261:K261,MIN(8,MAX(1,C261))),2)="昭和"),DATE(VALUE(MID(INDEX(D261:K261,MIN(8,MAX(1,C261))),3,FIND("年",INDEX(D261:K261,MIN(8,MAX(1,C261))))-3))+IF(LEFT(INDEX(D261:K261,MIN(8,MAX(1,C261))),2)="令和",2018,IF(LEFT(INDEX(D261:K261,MIN(8,MAX(1,C261))),2)="平成",1988,1925)),VALUE(MID(INDEX(D261:K261,MIN(8,MAX(1,C261))),FIND("年",INDEX(D261:K261,MIN(8,MAX(1,C261))))+1,FIND("月",INDEX(D261:K261,MIN(8,MAX(1,C261))))-FIND("年",INDEX(D261:K261,MIN(8,MAX(1,C261))))-1)),IFERROR(VALUE(SUBSTITUTE(MID(INDEX(D261:K261,MIN(8,MAX(1,C261))),FIND("月",INDEX(D261:K261,MIN(8,MAX(1,C261))))+1,10),"日","")),1)),DATE(VALUE(TRIM(MID(SUBSTITUTE(AA261,"/",REPT(" ",50)),1,50))),VALUE(TRIM(MID(SUBSTITUTE(AA261,"/",REPT(" ",50)),51,50))),IFERROR(VALUE(TRIM(MID(SUBSTITUTE(AA261,"/",REPT(" ",50)),101,50))),1))),IFERROR(DATEVALUE(INDEX(D261:K261,MIN(8,MAX(1,C261)))),"")))</f>
        <v/>
      </c>
      <c r="T261">
        <f>IF(B261="","",IF(AB261&lt;&gt;"",AB261,IFERROR(MATCH(SUBSTITUTE(SUBSTITUTE(P261," ",""),"　",""),入力!$AH$5:$AH$44,0),"")))</f>
        <v/>
      </c>
      <c r="U261">
        <f>IF(T261="","",INDEX(入力!$D$5:$D$44,T261))</f>
        <v/>
      </c>
      <c r="V261">
        <f>IF(B261="","",IF(T261="","要確認（名簿と照合できません）",IF(R261="","要確認（資格名がありません）",IF(S261="","要確認（取得日が読めません）",IF((IF(INDEX(入力!$N$5:$N$44,T261)=R261,1,0)+IF(INDEX(入力!$P$5:$P$44,T261)=R261,1,0)+IF(INDEX(入力!$R$5:$R$44,T261)=R261,1,0)+IF(INDEX(入力!$T$5:$T$44,T261)=R261,1,0)+IF(INDEX(入力!$V$5:$V$44,T261)=R261,1,0)+IF(INDEX(入力!$X$5:$X$44,T261)=R261,1,0))+(COUNTIFS($T$6:$T$405,T261,$R$6:$R$405,R261,$X$6:$X$405,"&lt;"&amp;X261))&gt;0,"重複","反映")))))</f>
        <v/>
      </c>
      <c r="W261">
        <f>IF(V261="反映",1,0)</f>
        <v/>
      </c>
      <c r="X261" t="n">
        <v>261</v>
      </c>
      <c r="Y261">
        <f>IF(W261=0,"",COUNTIFS($T$6:$T$405,T261,$W$6:$W$405,1,$S$6:$S$405,"&lt;"&amp;S261)+COUNTIFS($T$6:$T$405,T261,$W$6:$W$405,1,$S$6:$S$405,S261,$X$6:$X$405,"&lt;"&amp;X261)+1)</f>
        <v/>
      </c>
      <c r="Z261">
        <f>IF(Y261="","",T261&amp;"_"&amp;Y261)</f>
        <v/>
      </c>
      <c r="AA261">
        <f>SUBSTITUTE(SUBSTITUTE(SUBSTITUTE(SUBSTITUTE(SUBSTITUTE(INDEX(D261:K261,MIN(8,MAX(1,C261))),"年","/"),"月","/"),"日",""),"-","/"),".","/")</f>
        <v/>
      </c>
      <c r="AB261">
        <f>IFERROR(MATCH(O261,入力!$C$5:$C$44,0),"")</f>
        <v/>
      </c>
      <c r="AC261">
        <f>IF(AB261="","",INDEX(入力!$AH$5:$AH$44,AB261))</f>
        <v/>
      </c>
      <c r="AD261">
        <f>IF(INDEX($D261:$K261,IF(M261=1,2,1))=AC261,1,IF(INDEX($D261:$K261,IF(M261=1,2,1))&amp;INDEX($D261:$K261,IF(M261=1,2,1)+1)=AC261,2,IF(INDEX($D261:$K261,IF(M261=1,2,1))&amp;INDEX($D261:$K261,IF(M261=1,2,1)+1)&amp;INDEX($D261:$K261,IF(M261=1,2,1)+2)=AC261,3,IF(AB261&lt;&gt;"",2,IF(ISNUMBER(MATCH(INDEX($D261:$K261,IF(M261=1,2,1)),入力!$AH$5:$AH$44,0)),1,IF(ISNUMBER(MATCH(INDEX($D261:$K261,IF(M261=1,2,1))&amp;INDEX($D261:$K261,IF(M261=1,2,1)+1),入力!$AH$5:$AH$44,0)),2,IF(ISNUMBER(MATCH(INDEX($D261:$K261,IF(M261=1,2,1))&amp;INDEX($D261:$K261,IF(M261=1,2,1)+1)&amp;INDEX($D261:$K261,IF(M261=1,2,1)+2),入力!$AH$5:$AH$44,0)),3,2)))))))</f>
        <v/>
      </c>
      <c r="AE261">
        <f>IF(V261="","",IF(AND(V261="反映",N(Y261)&gt;20),"要確認（この生徒の取込が20件を超えました）",V261))</f>
        <v/>
      </c>
    </row>
    <row r="262">
      <c r="A262" s="138" t="n"/>
      <c r="B262">
        <f>TRIM(SUBSTITUTE(SUBSTITUTE(SUBSTITUTE(A262,CHAR(9)," "),"　"," "),CHAR(160)," "))</f>
        <v/>
      </c>
      <c r="C262">
        <f>IF(B262="",0,LEN(B262)-LEN(SUBSTITUTE(B262," ",""))+1)</f>
        <v/>
      </c>
      <c r="D262">
        <f>IF(C262&gt;=1,TRIM(MID(SUBSTITUTE(B262," ",REPT(" ",200)),1,200)),"")</f>
        <v/>
      </c>
      <c r="E262">
        <f>IF(C262&gt;=2,TRIM(MID(SUBSTITUTE(B262," ",REPT(" ",200)),201,200)),"")</f>
        <v/>
      </c>
      <c r="F262">
        <f>IF(C262&gt;=3,TRIM(MID(SUBSTITUTE(B262," ",REPT(" ",200)),401,200)),"")</f>
        <v/>
      </c>
      <c r="G262">
        <f>IF(C262&gt;=4,TRIM(MID(SUBSTITUTE(B262," ",REPT(" ",200)),601,200)),"")</f>
        <v/>
      </c>
      <c r="H262">
        <f>IF(C262&gt;=5,TRIM(MID(SUBSTITUTE(B262," ",REPT(" ",200)),801,200)),"")</f>
        <v/>
      </c>
      <c r="I262">
        <f>IF(C262&gt;=6,TRIM(MID(SUBSTITUTE(B262," ",REPT(" ",200)),1001,200)),"")</f>
        <v/>
      </c>
      <c r="J262">
        <f>IF(C262&gt;=7,TRIM(MID(SUBSTITUTE(B262," ",REPT(" ",200)),1201,200)),"")</f>
        <v/>
      </c>
      <c r="K262">
        <f>IF(C262&gt;=8,TRIM(MID(SUBSTITUTE(B262," ",REPT(" ",200)),1401,200)),"")</f>
        <v/>
      </c>
      <c r="L262">
        <f>SUBSTITUTE(SUBSTITUTE(SUBSTITUTE(D262,"年","-"),"組","-"),"番","")</f>
        <v/>
      </c>
      <c r="M262">
        <f>IF(D262="",0,IF(ISNUMBER(VALUE(SUBSTITUTE(L262,"-",""))),1,0))</f>
        <v/>
      </c>
      <c r="N262">
        <f>IF(M262=0,"",IFERROR(VALUE(TRIM(MID(SUBSTITUTE(L262,"-",REPT(" ",100)),101,100))),""))</f>
        <v/>
      </c>
      <c r="O262">
        <f>IF(M262=0,"",IFERROR(VALUE(TRIM(RIGHT(SUBSTITUTE(L262,"-",REPT(" ",100)),100))),""))</f>
        <v/>
      </c>
      <c r="P262">
        <f>IF(B262="","",TRIM(INDEX($D262:$K262,IF(M262=1,2,1))&amp;IF(AD262&gt;=2," "&amp;INDEX($D262:$K262,IF(M262=1,2,1)+1),"")&amp;IF(AD262&gt;=3," "&amp;INDEX($D262:$K262,IF(M262=1,2,1)+2),"")))</f>
        <v/>
      </c>
      <c r="Q262">
        <f>IF(C262&lt;2,"",TRIM(IF(AND(2&gt;=(IF(M262=1,2,1)+AD262),2&lt;=C262-IF(S262="",0,1)),E262&amp;" ","")&amp;IF(AND(3&gt;=(IF(M262=1,2,1)+AD262),3&lt;=C262-IF(S262="",0,1)),F262&amp;" ","")&amp;IF(AND(4&gt;=(IF(M262=1,2,1)+AD262),4&lt;=C262-IF(S262="",0,1)),G262&amp;" ","")&amp;IF(AND(5&gt;=(IF(M262=1,2,1)+AD262),5&lt;=C262-IF(S262="",0,1)),H262&amp;" ","")&amp;IF(AND(6&gt;=(IF(M262=1,2,1)+AD262),6&lt;=C262-IF(S262="",0,1)),I262&amp;" ","")&amp;IF(AND(7&gt;=(IF(M262=1,2,1)+AD262),7&lt;=C262-IF(S262="",0,1)),J262&amp;" ","")&amp;IF(AND(8&gt;=(IF(M262=1,2,1)+AD262),8&lt;=C262-IF(S262="",0,1)),K262&amp;" ","")))</f>
        <v/>
      </c>
      <c r="R262">
        <f>IF(Q262="","",IFERROR(INDEX(資格マスタ!$B:$B,MATCH(ASC(SUBSTITUTE(SUBSTITUTE(Q262," ",""),"　","")),資格マスタ!$D:$D,0)),Q262))</f>
        <v/>
      </c>
      <c r="S262" s="139">
        <f>IF(C262&lt;2,"",IFERROR(IF(OR(LEFT(INDEX(D262:K262,MIN(8,MAX(1,C262))),2)="令和",LEFT(INDEX(D262:K262,MIN(8,MAX(1,C262))),2)="平成",LEFT(INDEX(D262:K262,MIN(8,MAX(1,C262))),2)="昭和"),DATE(VALUE(MID(INDEX(D262:K262,MIN(8,MAX(1,C262))),3,FIND("年",INDEX(D262:K262,MIN(8,MAX(1,C262))))-3))+IF(LEFT(INDEX(D262:K262,MIN(8,MAX(1,C262))),2)="令和",2018,IF(LEFT(INDEX(D262:K262,MIN(8,MAX(1,C262))),2)="平成",1988,1925)),VALUE(MID(INDEX(D262:K262,MIN(8,MAX(1,C262))),FIND("年",INDEX(D262:K262,MIN(8,MAX(1,C262))))+1,FIND("月",INDEX(D262:K262,MIN(8,MAX(1,C262))))-FIND("年",INDEX(D262:K262,MIN(8,MAX(1,C262))))-1)),IFERROR(VALUE(SUBSTITUTE(MID(INDEX(D262:K262,MIN(8,MAX(1,C262))),FIND("月",INDEX(D262:K262,MIN(8,MAX(1,C262))))+1,10),"日","")),1)),DATE(VALUE(TRIM(MID(SUBSTITUTE(AA262,"/",REPT(" ",50)),1,50))),VALUE(TRIM(MID(SUBSTITUTE(AA262,"/",REPT(" ",50)),51,50))),IFERROR(VALUE(TRIM(MID(SUBSTITUTE(AA262,"/",REPT(" ",50)),101,50))),1))),IFERROR(DATEVALUE(INDEX(D262:K262,MIN(8,MAX(1,C262)))),"")))</f>
        <v/>
      </c>
      <c r="T262">
        <f>IF(B262="","",IF(AB262&lt;&gt;"",AB262,IFERROR(MATCH(SUBSTITUTE(SUBSTITUTE(P262," ",""),"　",""),入力!$AH$5:$AH$44,0),"")))</f>
        <v/>
      </c>
      <c r="U262">
        <f>IF(T262="","",INDEX(入力!$D$5:$D$44,T262))</f>
        <v/>
      </c>
      <c r="V262">
        <f>IF(B262="","",IF(T262="","要確認（名簿と照合できません）",IF(R262="","要確認（資格名がありません）",IF(S262="","要確認（取得日が読めません）",IF((IF(INDEX(入力!$N$5:$N$44,T262)=R262,1,0)+IF(INDEX(入力!$P$5:$P$44,T262)=R262,1,0)+IF(INDEX(入力!$R$5:$R$44,T262)=R262,1,0)+IF(INDEX(入力!$T$5:$T$44,T262)=R262,1,0)+IF(INDEX(入力!$V$5:$V$44,T262)=R262,1,0)+IF(INDEX(入力!$X$5:$X$44,T262)=R262,1,0))+(COUNTIFS($T$6:$T$405,T262,$R$6:$R$405,R262,$X$6:$X$405,"&lt;"&amp;X262))&gt;0,"重複","反映")))))</f>
        <v/>
      </c>
      <c r="W262">
        <f>IF(V262="反映",1,0)</f>
        <v/>
      </c>
      <c r="X262" t="n">
        <v>262</v>
      </c>
      <c r="Y262">
        <f>IF(W262=0,"",COUNTIFS($T$6:$T$405,T262,$W$6:$W$405,1,$S$6:$S$405,"&lt;"&amp;S262)+COUNTIFS($T$6:$T$405,T262,$W$6:$W$405,1,$S$6:$S$405,S262,$X$6:$X$405,"&lt;"&amp;X262)+1)</f>
        <v/>
      </c>
      <c r="Z262">
        <f>IF(Y262="","",T262&amp;"_"&amp;Y262)</f>
        <v/>
      </c>
      <c r="AA262">
        <f>SUBSTITUTE(SUBSTITUTE(SUBSTITUTE(SUBSTITUTE(SUBSTITUTE(INDEX(D262:K262,MIN(8,MAX(1,C262))),"年","/"),"月","/"),"日",""),"-","/"),".","/")</f>
        <v/>
      </c>
      <c r="AB262">
        <f>IFERROR(MATCH(O262,入力!$C$5:$C$44,0),"")</f>
        <v/>
      </c>
      <c r="AC262">
        <f>IF(AB262="","",INDEX(入力!$AH$5:$AH$44,AB262))</f>
        <v/>
      </c>
      <c r="AD262">
        <f>IF(INDEX($D262:$K262,IF(M262=1,2,1))=AC262,1,IF(INDEX($D262:$K262,IF(M262=1,2,1))&amp;INDEX($D262:$K262,IF(M262=1,2,1)+1)=AC262,2,IF(INDEX($D262:$K262,IF(M262=1,2,1))&amp;INDEX($D262:$K262,IF(M262=1,2,1)+1)&amp;INDEX($D262:$K262,IF(M262=1,2,1)+2)=AC262,3,IF(AB262&lt;&gt;"",2,IF(ISNUMBER(MATCH(INDEX($D262:$K262,IF(M262=1,2,1)),入力!$AH$5:$AH$44,0)),1,IF(ISNUMBER(MATCH(INDEX($D262:$K262,IF(M262=1,2,1))&amp;INDEX($D262:$K262,IF(M262=1,2,1)+1),入力!$AH$5:$AH$44,0)),2,IF(ISNUMBER(MATCH(INDEX($D262:$K262,IF(M262=1,2,1))&amp;INDEX($D262:$K262,IF(M262=1,2,1)+1)&amp;INDEX($D262:$K262,IF(M262=1,2,1)+2),入力!$AH$5:$AH$44,0)),3,2)))))))</f>
        <v/>
      </c>
      <c r="AE262">
        <f>IF(V262="","",IF(AND(V262="反映",N(Y262)&gt;20),"要確認（この生徒の取込が20件を超えました）",V262))</f>
        <v/>
      </c>
    </row>
    <row r="263">
      <c r="A263" s="138" t="n"/>
      <c r="B263">
        <f>TRIM(SUBSTITUTE(SUBSTITUTE(SUBSTITUTE(A263,CHAR(9)," "),"　"," "),CHAR(160)," "))</f>
        <v/>
      </c>
      <c r="C263">
        <f>IF(B263="",0,LEN(B263)-LEN(SUBSTITUTE(B263," ",""))+1)</f>
        <v/>
      </c>
      <c r="D263">
        <f>IF(C263&gt;=1,TRIM(MID(SUBSTITUTE(B263," ",REPT(" ",200)),1,200)),"")</f>
        <v/>
      </c>
      <c r="E263">
        <f>IF(C263&gt;=2,TRIM(MID(SUBSTITUTE(B263," ",REPT(" ",200)),201,200)),"")</f>
        <v/>
      </c>
      <c r="F263">
        <f>IF(C263&gt;=3,TRIM(MID(SUBSTITUTE(B263," ",REPT(" ",200)),401,200)),"")</f>
        <v/>
      </c>
      <c r="G263">
        <f>IF(C263&gt;=4,TRIM(MID(SUBSTITUTE(B263," ",REPT(" ",200)),601,200)),"")</f>
        <v/>
      </c>
      <c r="H263">
        <f>IF(C263&gt;=5,TRIM(MID(SUBSTITUTE(B263," ",REPT(" ",200)),801,200)),"")</f>
        <v/>
      </c>
      <c r="I263">
        <f>IF(C263&gt;=6,TRIM(MID(SUBSTITUTE(B263," ",REPT(" ",200)),1001,200)),"")</f>
        <v/>
      </c>
      <c r="J263">
        <f>IF(C263&gt;=7,TRIM(MID(SUBSTITUTE(B263," ",REPT(" ",200)),1201,200)),"")</f>
        <v/>
      </c>
      <c r="K263">
        <f>IF(C263&gt;=8,TRIM(MID(SUBSTITUTE(B263," ",REPT(" ",200)),1401,200)),"")</f>
        <v/>
      </c>
      <c r="L263">
        <f>SUBSTITUTE(SUBSTITUTE(SUBSTITUTE(D263,"年","-"),"組","-"),"番","")</f>
        <v/>
      </c>
      <c r="M263">
        <f>IF(D263="",0,IF(ISNUMBER(VALUE(SUBSTITUTE(L263,"-",""))),1,0))</f>
        <v/>
      </c>
      <c r="N263">
        <f>IF(M263=0,"",IFERROR(VALUE(TRIM(MID(SUBSTITUTE(L263,"-",REPT(" ",100)),101,100))),""))</f>
        <v/>
      </c>
      <c r="O263">
        <f>IF(M263=0,"",IFERROR(VALUE(TRIM(RIGHT(SUBSTITUTE(L263,"-",REPT(" ",100)),100))),""))</f>
        <v/>
      </c>
      <c r="P263">
        <f>IF(B263="","",TRIM(INDEX($D263:$K263,IF(M263=1,2,1))&amp;IF(AD263&gt;=2," "&amp;INDEX($D263:$K263,IF(M263=1,2,1)+1),"")&amp;IF(AD263&gt;=3," "&amp;INDEX($D263:$K263,IF(M263=1,2,1)+2),"")))</f>
        <v/>
      </c>
      <c r="Q263">
        <f>IF(C263&lt;2,"",TRIM(IF(AND(2&gt;=(IF(M263=1,2,1)+AD263),2&lt;=C263-IF(S263="",0,1)),E263&amp;" ","")&amp;IF(AND(3&gt;=(IF(M263=1,2,1)+AD263),3&lt;=C263-IF(S263="",0,1)),F263&amp;" ","")&amp;IF(AND(4&gt;=(IF(M263=1,2,1)+AD263),4&lt;=C263-IF(S263="",0,1)),G263&amp;" ","")&amp;IF(AND(5&gt;=(IF(M263=1,2,1)+AD263),5&lt;=C263-IF(S263="",0,1)),H263&amp;" ","")&amp;IF(AND(6&gt;=(IF(M263=1,2,1)+AD263),6&lt;=C263-IF(S263="",0,1)),I263&amp;" ","")&amp;IF(AND(7&gt;=(IF(M263=1,2,1)+AD263),7&lt;=C263-IF(S263="",0,1)),J263&amp;" ","")&amp;IF(AND(8&gt;=(IF(M263=1,2,1)+AD263),8&lt;=C263-IF(S263="",0,1)),K263&amp;" ","")))</f>
        <v/>
      </c>
      <c r="R263">
        <f>IF(Q263="","",IFERROR(INDEX(資格マスタ!$B:$B,MATCH(ASC(SUBSTITUTE(SUBSTITUTE(Q263," ",""),"　","")),資格マスタ!$D:$D,0)),Q263))</f>
        <v/>
      </c>
      <c r="S263" s="139">
        <f>IF(C263&lt;2,"",IFERROR(IF(OR(LEFT(INDEX(D263:K263,MIN(8,MAX(1,C263))),2)="令和",LEFT(INDEX(D263:K263,MIN(8,MAX(1,C263))),2)="平成",LEFT(INDEX(D263:K263,MIN(8,MAX(1,C263))),2)="昭和"),DATE(VALUE(MID(INDEX(D263:K263,MIN(8,MAX(1,C263))),3,FIND("年",INDEX(D263:K263,MIN(8,MAX(1,C263))))-3))+IF(LEFT(INDEX(D263:K263,MIN(8,MAX(1,C263))),2)="令和",2018,IF(LEFT(INDEX(D263:K263,MIN(8,MAX(1,C263))),2)="平成",1988,1925)),VALUE(MID(INDEX(D263:K263,MIN(8,MAX(1,C263))),FIND("年",INDEX(D263:K263,MIN(8,MAX(1,C263))))+1,FIND("月",INDEX(D263:K263,MIN(8,MAX(1,C263))))-FIND("年",INDEX(D263:K263,MIN(8,MAX(1,C263))))-1)),IFERROR(VALUE(SUBSTITUTE(MID(INDEX(D263:K263,MIN(8,MAX(1,C263))),FIND("月",INDEX(D263:K263,MIN(8,MAX(1,C263))))+1,10),"日","")),1)),DATE(VALUE(TRIM(MID(SUBSTITUTE(AA263,"/",REPT(" ",50)),1,50))),VALUE(TRIM(MID(SUBSTITUTE(AA263,"/",REPT(" ",50)),51,50))),IFERROR(VALUE(TRIM(MID(SUBSTITUTE(AA263,"/",REPT(" ",50)),101,50))),1))),IFERROR(DATEVALUE(INDEX(D263:K263,MIN(8,MAX(1,C263)))),"")))</f>
        <v/>
      </c>
      <c r="T263">
        <f>IF(B263="","",IF(AB263&lt;&gt;"",AB263,IFERROR(MATCH(SUBSTITUTE(SUBSTITUTE(P263," ",""),"　",""),入力!$AH$5:$AH$44,0),"")))</f>
        <v/>
      </c>
      <c r="U263">
        <f>IF(T263="","",INDEX(入力!$D$5:$D$44,T263))</f>
        <v/>
      </c>
      <c r="V263">
        <f>IF(B263="","",IF(T263="","要確認（名簿と照合できません）",IF(R263="","要確認（資格名がありません）",IF(S263="","要確認（取得日が読めません）",IF((IF(INDEX(入力!$N$5:$N$44,T263)=R263,1,0)+IF(INDEX(入力!$P$5:$P$44,T263)=R263,1,0)+IF(INDEX(入力!$R$5:$R$44,T263)=R263,1,0)+IF(INDEX(入力!$T$5:$T$44,T263)=R263,1,0)+IF(INDEX(入力!$V$5:$V$44,T263)=R263,1,0)+IF(INDEX(入力!$X$5:$X$44,T263)=R263,1,0))+(COUNTIFS($T$6:$T$405,T263,$R$6:$R$405,R263,$X$6:$X$405,"&lt;"&amp;X263))&gt;0,"重複","反映")))))</f>
        <v/>
      </c>
      <c r="W263">
        <f>IF(V263="反映",1,0)</f>
        <v/>
      </c>
      <c r="X263" t="n">
        <v>263</v>
      </c>
      <c r="Y263">
        <f>IF(W263=0,"",COUNTIFS($T$6:$T$405,T263,$W$6:$W$405,1,$S$6:$S$405,"&lt;"&amp;S263)+COUNTIFS($T$6:$T$405,T263,$W$6:$W$405,1,$S$6:$S$405,S263,$X$6:$X$405,"&lt;"&amp;X263)+1)</f>
        <v/>
      </c>
      <c r="Z263">
        <f>IF(Y263="","",T263&amp;"_"&amp;Y263)</f>
        <v/>
      </c>
      <c r="AA263">
        <f>SUBSTITUTE(SUBSTITUTE(SUBSTITUTE(SUBSTITUTE(SUBSTITUTE(INDEX(D263:K263,MIN(8,MAX(1,C263))),"年","/"),"月","/"),"日",""),"-","/"),".","/")</f>
        <v/>
      </c>
      <c r="AB263">
        <f>IFERROR(MATCH(O263,入力!$C$5:$C$44,0),"")</f>
        <v/>
      </c>
      <c r="AC263">
        <f>IF(AB263="","",INDEX(入力!$AH$5:$AH$44,AB263))</f>
        <v/>
      </c>
      <c r="AD263">
        <f>IF(INDEX($D263:$K263,IF(M263=1,2,1))=AC263,1,IF(INDEX($D263:$K263,IF(M263=1,2,1))&amp;INDEX($D263:$K263,IF(M263=1,2,1)+1)=AC263,2,IF(INDEX($D263:$K263,IF(M263=1,2,1))&amp;INDEX($D263:$K263,IF(M263=1,2,1)+1)&amp;INDEX($D263:$K263,IF(M263=1,2,1)+2)=AC263,3,IF(AB263&lt;&gt;"",2,IF(ISNUMBER(MATCH(INDEX($D263:$K263,IF(M263=1,2,1)),入力!$AH$5:$AH$44,0)),1,IF(ISNUMBER(MATCH(INDEX($D263:$K263,IF(M263=1,2,1))&amp;INDEX($D263:$K263,IF(M263=1,2,1)+1),入力!$AH$5:$AH$44,0)),2,IF(ISNUMBER(MATCH(INDEX($D263:$K263,IF(M263=1,2,1))&amp;INDEX($D263:$K263,IF(M263=1,2,1)+1)&amp;INDEX($D263:$K263,IF(M263=1,2,1)+2),入力!$AH$5:$AH$44,0)),3,2)))))))</f>
        <v/>
      </c>
      <c r="AE263">
        <f>IF(V263="","",IF(AND(V263="反映",N(Y263)&gt;20),"要確認（この生徒の取込が20件を超えました）",V263))</f>
        <v/>
      </c>
    </row>
    <row r="264">
      <c r="A264" s="138" t="n"/>
      <c r="B264">
        <f>TRIM(SUBSTITUTE(SUBSTITUTE(SUBSTITUTE(A264,CHAR(9)," "),"　"," "),CHAR(160)," "))</f>
        <v/>
      </c>
      <c r="C264">
        <f>IF(B264="",0,LEN(B264)-LEN(SUBSTITUTE(B264," ",""))+1)</f>
        <v/>
      </c>
      <c r="D264">
        <f>IF(C264&gt;=1,TRIM(MID(SUBSTITUTE(B264," ",REPT(" ",200)),1,200)),"")</f>
        <v/>
      </c>
      <c r="E264">
        <f>IF(C264&gt;=2,TRIM(MID(SUBSTITUTE(B264," ",REPT(" ",200)),201,200)),"")</f>
        <v/>
      </c>
      <c r="F264">
        <f>IF(C264&gt;=3,TRIM(MID(SUBSTITUTE(B264," ",REPT(" ",200)),401,200)),"")</f>
        <v/>
      </c>
      <c r="G264">
        <f>IF(C264&gt;=4,TRIM(MID(SUBSTITUTE(B264," ",REPT(" ",200)),601,200)),"")</f>
        <v/>
      </c>
      <c r="H264">
        <f>IF(C264&gt;=5,TRIM(MID(SUBSTITUTE(B264," ",REPT(" ",200)),801,200)),"")</f>
        <v/>
      </c>
      <c r="I264">
        <f>IF(C264&gt;=6,TRIM(MID(SUBSTITUTE(B264," ",REPT(" ",200)),1001,200)),"")</f>
        <v/>
      </c>
      <c r="J264">
        <f>IF(C264&gt;=7,TRIM(MID(SUBSTITUTE(B264," ",REPT(" ",200)),1201,200)),"")</f>
        <v/>
      </c>
      <c r="K264">
        <f>IF(C264&gt;=8,TRIM(MID(SUBSTITUTE(B264," ",REPT(" ",200)),1401,200)),"")</f>
        <v/>
      </c>
      <c r="L264">
        <f>SUBSTITUTE(SUBSTITUTE(SUBSTITUTE(D264,"年","-"),"組","-"),"番","")</f>
        <v/>
      </c>
      <c r="M264">
        <f>IF(D264="",0,IF(ISNUMBER(VALUE(SUBSTITUTE(L264,"-",""))),1,0))</f>
        <v/>
      </c>
      <c r="N264">
        <f>IF(M264=0,"",IFERROR(VALUE(TRIM(MID(SUBSTITUTE(L264,"-",REPT(" ",100)),101,100))),""))</f>
        <v/>
      </c>
      <c r="O264">
        <f>IF(M264=0,"",IFERROR(VALUE(TRIM(RIGHT(SUBSTITUTE(L264,"-",REPT(" ",100)),100))),""))</f>
        <v/>
      </c>
      <c r="P264">
        <f>IF(B264="","",TRIM(INDEX($D264:$K264,IF(M264=1,2,1))&amp;IF(AD264&gt;=2," "&amp;INDEX($D264:$K264,IF(M264=1,2,1)+1),"")&amp;IF(AD264&gt;=3," "&amp;INDEX($D264:$K264,IF(M264=1,2,1)+2),"")))</f>
        <v/>
      </c>
      <c r="Q264">
        <f>IF(C264&lt;2,"",TRIM(IF(AND(2&gt;=(IF(M264=1,2,1)+AD264),2&lt;=C264-IF(S264="",0,1)),E264&amp;" ","")&amp;IF(AND(3&gt;=(IF(M264=1,2,1)+AD264),3&lt;=C264-IF(S264="",0,1)),F264&amp;" ","")&amp;IF(AND(4&gt;=(IF(M264=1,2,1)+AD264),4&lt;=C264-IF(S264="",0,1)),G264&amp;" ","")&amp;IF(AND(5&gt;=(IF(M264=1,2,1)+AD264),5&lt;=C264-IF(S264="",0,1)),H264&amp;" ","")&amp;IF(AND(6&gt;=(IF(M264=1,2,1)+AD264),6&lt;=C264-IF(S264="",0,1)),I264&amp;" ","")&amp;IF(AND(7&gt;=(IF(M264=1,2,1)+AD264),7&lt;=C264-IF(S264="",0,1)),J264&amp;" ","")&amp;IF(AND(8&gt;=(IF(M264=1,2,1)+AD264),8&lt;=C264-IF(S264="",0,1)),K264&amp;" ","")))</f>
        <v/>
      </c>
      <c r="R264">
        <f>IF(Q264="","",IFERROR(INDEX(資格マスタ!$B:$B,MATCH(ASC(SUBSTITUTE(SUBSTITUTE(Q264," ",""),"　","")),資格マスタ!$D:$D,0)),Q264))</f>
        <v/>
      </c>
      <c r="S264" s="139">
        <f>IF(C264&lt;2,"",IFERROR(IF(OR(LEFT(INDEX(D264:K264,MIN(8,MAX(1,C264))),2)="令和",LEFT(INDEX(D264:K264,MIN(8,MAX(1,C264))),2)="平成",LEFT(INDEX(D264:K264,MIN(8,MAX(1,C264))),2)="昭和"),DATE(VALUE(MID(INDEX(D264:K264,MIN(8,MAX(1,C264))),3,FIND("年",INDEX(D264:K264,MIN(8,MAX(1,C264))))-3))+IF(LEFT(INDEX(D264:K264,MIN(8,MAX(1,C264))),2)="令和",2018,IF(LEFT(INDEX(D264:K264,MIN(8,MAX(1,C264))),2)="平成",1988,1925)),VALUE(MID(INDEX(D264:K264,MIN(8,MAX(1,C264))),FIND("年",INDEX(D264:K264,MIN(8,MAX(1,C264))))+1,FIND("月",INDEX(D264:K264,MIN(8,MAX(1,C264))))-FIND("年",INDEX(D264:K264,MIN(8,MAX(1,C264))))-1)),IFERROR(VALUE(SUBSTITUTE(MID(INDEX(D264:K264,MIN(8,MAX(1,C264))),FIND("月",INDEX(D264:K264,MIN(8,MAX(1,C264))))+1,10),"日","")),1)),DATE(VALUE(TRIM(MID(SUBSTITUTE(AA264,"/",REPT(" ",50)),1,50))),VALUE(TRIM(MID(SUBSTITUTE(AA264,"/",REPT(" ",50)),51,50))),IFERROR(VALUE(TRIM(MID(SUBSTITUTE(AA264,"/",REPT(" ",50)),101,50))),1))),IFERROR(DATEVALUE(INDEX(D264:K264,MIN(8,MAX(1,C264)))),"")))</f>
        <v/>
      </c>
      <c r="T264">
        <f>IF(B264="","",IF(AB264&lt;&gt;"",AB264,IFERROR(MATCH(SUBSTITUTE(SUBSTITUTE(P264," ",""),"　",""),入力!$AH$5:$AH$44,0),"")))</f>
        <v/>
      </c>
      <c r="U264">
        <f>IF(T264="","",INDEX(入力!$D$5:$D$44,T264))</f>
        <v/>
      </c>
      <c r="V264">
        <f>IF(B264="","",IF(T264="","要確認（名簿と照合できません）",IF(R264="","要確認（資格名がありません）",IF(S264="","要確認（取得日が読めません）",IF((IF(INDEX(入力!$N$5:$N$44,T264)=R264,1,0)+IF(INDEX(入力!$P$5:$P$44,T264)=R264,1,0)+IF(INDEX(入力!$R$5:$R$44,T264)=R264,1,0)+IF(INDEX(入力!$T$5:$T$44,T264)=R264,1,0)+IF(INDEX(入力!$V$5:$V$44,T264)=R264,1,0)+IF(INDEX(入力!$X$5:$X$44,T264)=R264,1,0))+(COUNTIFS($T$6:$T$405,T264,$R$6:$R$405,R264,$X$6:$X$405,"&lt;"&amp;X264))&gt;0,"重複","反映")))))</f>
        <v/>
      </c>
      <c r="W264">
        <f>IF(V264="反映",1,0)</f>
        <v/>
      </c>
      <c r="X264" t="n">
        <v>264</v>
      </c>
      <c r="Y264">
        <f>IF(W264=0,"",COUNTIFS($T$6:$T$405,T264,$W$6:$W$405,1,$S$6:$S$405,"&lt;"&amp;S264)+COUNTIFS($T$6:$T$405,T264,$W$6:$W$405,1,$S$6:$S$405,S264,$X$6:$X$405,"&lt;"&amp;X264)+1)</f>
        <v/>
      </c>
      <c r="Z264">
        <f>IF(Y264="","",T264&amp;"_"&amp;Y264)</f>
        <v/>
      </c>
      <c r="AA264">
        <f>SUBSTITUTE(SUBSTITUTE(SUBSTITUTE(SUBSTITUTE(SUBSTITUTE(INDEX(D264:K264,MIN(8,MAX(1,C264))),"年","/"),"月","/"),"日",""),"-","/"),".","/")</f>
        <v/>
      </c>
      <c r="AB264">
        <f>IFERROR(MATCH(O264,入力!$C$5:$C$44,0),"")</f>
        <v/>
      </c>
      <c r="AC264">
        <f>IF(AB264="","",INDEX(入力!$AH$5:$AH$44,AB264))</f>
        <v/>
      </c>
      <c r="AD264">
        <f>IF(INDEX($D264:$K264,IF(M264=1,2,1))=AC264,1,IF(INDEX($D264:$K264,IF(M264=1,2,1))&amp;INDEX($D264:$K264,IF(M264=1,2,1)+1)=AC264,2,IF(INDEX($D264:$K264,IF(M264=1,2,1))&amp;INDEX($D264:$K264,IF(M264=1,2,1)+1)&amp;INDEX($D264:$K264,IF(M264=1,2,1)+2)=AC264,3,IF(AB264&lt;&gt;"",2,IF(ISNUMBER(MATCH(INDEX($D264:$K264,IF(M264=1,2,1)),入力!$AH$5:$AH$44,0)),1,IF(ISNUMBER(MATCH(INDEX($D264:$K264,IF(M264=1,2,1))&amp;INDEX($D264:$K264,IF(M264=1,2,1)+1),入力!$AH$5:$AH$44,0)),2,IF(ISNUMBER(MATCH(INDEX($D264:$K264,IF(M264=1,2,1))&amp;INDEX($D264:$K264,IF(M264=1,2,1)+1)&amp;INDEX($D264:$K264,IF(M264=1,2,1)+2),入力!$AH$5:$AH$44,0)),3,2)))))))</f>
        <v/>
      </c>
      <c r="AE264">
        <f>IF(V264="","",IF(AND(V264="反映",N(Y264)&gt;20),"要確認（この生徒の取込が20件を超えました）",V264))</f>
        <v/>
      </c>
    </row>
    <row r="265">
      <c r="A265" s="138" t="n"/>
      <c r="B265">
        <f>TRIM(SUBSTITUTE(SUBSTITUTE(SUBSTITUTE(A265,CHAR(9)," "),"　"," "),CHAR(160)," "))</f>
        <v/>
      </c>
      <c r="C265">
        <f>IF(B265="",0,LEN(B265)-LEN(SUBSTITUTE(B265," ",""))+1)</f>
        <v/>
      </c>
      <c r="D265">
        <f>IF(C265&gt;=1,TRIM(MID(SUBSTITUTE(B265," ",REPT(" ",200)),1,200)),"")</f>
        <v/>
      </c>
      <c r="E265">
        <f>IF(C265&gt;=2,TRIM(MID(SUBSTITUTE(B265," ",REPT(" ",200)),201,200)),"")</f>
        <v/>
      </c>
      <c r="F265">
        <f>IF(C265&gt;=3,TRIM(MID(SUBSTITUTE(B265," ",REPT(" ",200)),401,200)),"")</f>
        <v/>
      </c>
      <c r="G265">
        <f>IF(C265&gt;=4,TRIM(MID(SUBSTITUTE(B265," ",REPT(" ",200)),601,200)),"")</f>
        <v/>
      </c>
      <c r="H265">
        <f>IF(C265&gt;=5,TRIM(MID(SUBSTITUTE(B265," ",REPT(" ",200)),801,200)),"")</f>
        <v/>
      </c>
      <c r="I265">
        <f>IF(C265&gt;=6,TRIM(MID(SUBSTITUTE(B265," ",REPT(" ",200)),1001,200)),"")</f>
        <v/>
      </c>
      <c r="J265">
        <f>IF(C265&gt;=7,TRIM(MID(SUBSTITUTE(B265," ",REPT(" ",200)),1201,200)),"")</f>
        <v/>
      </c>
      <c r="K265">
        <f>IF(C265&gt;=8,TRIM(MID(SUBSTITUTE(B265," ",REPT(" ",200)),1401,200)),"")</f>
        <v/>
      </c>
      <c r="L265">
        <f>SUBSTITUTE(SUBSTITUTE(SUBSTITUTE(D265,"年","-"),"組","-"),"番","")</f>
        <v/>
      </c>
      <c r="M265">
        <f>IF(D265="",0,IF(ISNUMBER(VALUE(SUBSTITUTE(L265,"-",""))),1,0))</f>
        <v/>
      </c>
      <c r="N265">
        <f>IF(M265=0,"",IFERROR(VALUE(TRIM(MID(SUBSTITUTE(L265,"-",REPT(" ",100)),101,100))),""))</f>
        <v/>
      </c>
      <c r="O265">
        <f>IF(M265=0,"",IFERROR(VALUE(TRIM(RIGHT(SUBSTITUTE(L265,"-",REPT(" ",100)),100))),""))</f>
        <v/>
      </c>
      <c r="P265">
        <f>IF(B265="","",TRIM(INDEX($D265:$K265,IF(M265=1,2,1))&amp;IF(AD265&gt;=2," "&amp;INDEX($D265:$K265,IF(M265=1,2,1)+1),"")&amp;IF(AD265&gt;=3," "&amp;INDEX($D265:$K265,IF(M265=1,2,1)+2),"")))</f>
        <v/>
      </c>
      <c r="Q265">
        <f>IF(C265&lt;2,"",TRIM(IF(AND(2&gt;=(IF(M265=1,2,1)+AD265),2&lt;=C265-IF(S265="",0,1)),E265&amp;" ","")&amp;IF(AND(3&gt;=(IF(M265=1,2,1)+AD265),3&lt;=C265-IF(S265="",0,1)),F265&amp;" ","")&amp;IF(AND(4&gt;=(IF(M265=1,2,1)+AD265),4&lt;=C265-IF(S265="",0,1)),G265&amp;" ","")&amp;IF(AND(5&gt;=(IF(M265=1,2,1)+AD265),5&lt;=C265-IF(S265="",0,1)),H265&amp;" ","")&amp;IF(AND(6&gt;=(IF(M265=1,2,1)+AD265),6&lt;=C265-IF(S265="",0,1)),I265&amp;" ","")&amp;IF(AND(7&gt;=(IF(M265=1,2,1)+AD265),7&lt;=C265-IF(S265="",0,1)),J265&amp;" ","")&amp;IF(AND(8&gt;=(IF(M265=1,2,1)+AD265),8&lt;=C265-IF(S265="",0,1)),K265&amp;" ","")))</f>
        <v/>
      </c>
      <c r="R265">
        <f>IF(Q265="","",IFERROR(INDEX(資格マスタ!$B:$B,MATCH(ASC(SUBSTITUTE(SUBSTITUTE(Q265," ",""),"　","")),資格マスタ!$D:$D,0)),Q265))</f>
        <v/>
      </c>
      <c r="S265" s="139">
        <f>IF(C265&lt;2,"",IFERROR(IF(OR(LEFT(INDEX(D265:K265,MIN(8,MAX(1,C265))),2)="令和",LEFT(INDEX(D265:K265,MIN(8,MAX(1,C265))),2)="平成",LEFT(INDEX(D265:K265,MIN(8,MAX(1,C265))),2)="昭和"),DATE(VALUE(MID(INDEX(D265:K265,MIN(8,MAX(1,C265))),3,FIND("年",INDEX(D265:K265,MIN(8,MAX(1,C265))))-3))+IF(LEFT(INDEX(D265:K265,MIN(8,MAX(1,C265))),2)="令和",2018,IF(LEFT(INDEX(D265:K265,MIN(8,MAX(1,C265))),2)="平成",1988,1925)),VALUE(MID(INDEX(D265:K265,MIN(8,MAX(1,C265))),FIND("年",INDEX(D265:K265,MIN(8,MAX(1,C265))))+1,FIND("月",INDEX(D265:K265,MIN(8,MAX(1,C265))))-FIND("年",INDEX(D265:K265,MIN(8,MAX(1,C265))))-1)),IFERROR(VALUE(SUBSTITUTE(MID(INDEX(D265:K265,MIN(8,MAX(1,C265))),FIND("月",INDEX(D265:K265,MIN(8,MAX(1,C265))))+1,10),"日","")),1)),DATE(VALUE(TRIM(MID(SUBSTITUTE(AA265,"/",REPT(" ",50)),1,50))),VALUE(TRIM(MID(SUBSTITUTE(AA265,"/",REPT(" ",50)),51,50))),IFERROR(VALUE(TRIM(MID(SUBSTITUTE(AA265,"/",REPT(" ",50)),101,50))),1))),IFERROR(DATEVALUE(INDEX(D265:K265,MIN(8,MAX(1,C265)))),"")))</f>
        <v/>
      </c>
      <c r="T265">
        <f>IF(B265="","",IF(AB265&lt;&gt;"",AB265,IFERROR(MATCH(SUBSTITUTE(SUBSTITUTE(P265," ",""),"　",""),入力!$AH$5:$AH$44,0),"")))</f>
        <v/>
      </c>
      <c r="U265">
        <f>IF(T265="","",INDEX(入力!$D$5:$D$44,T265))</f>
        <v/>
      </c>
      <c r="V265">
        <f>IF(B265="","",IF(T265="","要確認（名簿と照合できません）",IF(R265="","要確認（資格名がありません）",IF(S265="","要確認（取得日が読めません）",IF((IF(INDEX(入力!$N$5:$N$44,T265)=R265,1,0)+IF(INDEX(入力!$P$5:$P$44,T265)=R265,1,0)+IF(INDEX(入力!$R$5:$R$44,T265)=R265,1,0)+IF(INDEX(入力!$T$5:$T$44,T265)=R265,1,0)+IF(INDEX(入力!$V$5:$V$44,T265)=R265,1,0)+IF(INDEX(入力!$X$5:$X$44,T265)=R265,1,0))+(COUNTIFS($T$6:$T$405,T265,$R$6:$R$405,R265,$X$6:$X$405,"&lt;"&amp;X265))&gt;0,"重複","反映")))))</f>
        <v/>
      </c>
      <c r="W265">
        <f>IF(V265="反映",1,0)</f>
        <v/>
      </c>
      <c r="X265" t="n">
        <v>265</v>
      </c>
      <c r="Y265">
        <f>IF(W265=0,"",COUNTIFS($T$6:$T$405,T265,$W$6:$W$405,1,$S$6:$S$405,"&lt;"&amp;S265)+COUNTIFS($T$6:$T$405,T265,$W$6:$W$405,1,$S$6:$S$405,S265,$X$6:$X$405,"&lt;"&amp;X265)+1)</f>
        <v/>
      </c>
      <c r="Z265">
        <f>IF(Y265="","",T265&amp;"_"&amp;Y265)</f>
        <v/>
      </c>
      <c r="AA265">
        <f>SUBSTITUTE(SUBSTITUTE(SUBSTITUTE(SUBSTITUTE(SUBSTITUTE(INDEX(D265:K265,MIN(8,MAX(1,C265))),"年","/"),"月","/"),"日",""),"-","/"),".","/")</f>
        <v/>
      </c>
      <c r="AB265">
        <f>IFERROR(MATCH(O265,入力!$C$5:$C$44,0),"")</f>
        <v/>
      </c>
      <c r="AC265">
        <f>IF(AB265="","",INDEX(入力!$AH$5:$AH$44,AB265))</f>
        <v/>
      </c>
      <c r="AD265">
        <f>IF(INDEX($D265:$K265,IF(M265=1,2,1))=AC265,1,IF(INDEX($D265:$K265,IF(M265=1,2,1))&amp;INDEX($D265:$K265,IF(M265=1,2,1)+1)=AC265,2,IF(INDEX($D265:$K265,IF(M265=1,2,1))&amp;INDEX($D265:$K265,IF(M265=1,2,1)+1)&amp;INDEX($D265:$K265,IF(M265=1,2,1)+2)=AC265,3,IF(AB265&lt;&gt;"",2,IF(ISNUMBER(MATCH(INDEX($D265:$K265,IF(M265=1,2,1)),入力!$AH$5:$AH$44,0)),1,IF(ISNUMBER(MATCH(INDEX($D265:$K265,IF(M265=1,2,1))&amp;INDEX($D265:$K265,IF(M265=1,2,1)+1),入力!$AH$5:$AH$44,0)),2,IF(ISNUMBER(MATCH(INDEX($D265:$K265,IF(M265=1,2,1))&amp;INDEX($D265:$K265,IF(M265=1,2,1)+1)&amp;INDEX($D265:$K265,IF(M265=1,2,1)+2),入力!$AH$5:$AH$44,0)),3,2)))))))</f>
        <v/>
      </c>
      <c r="AE265">
        <f>IF(V265="","",IF(AND(V265="反映",N(Y265)&gt;20),"要確認（この生徒の取込が20件を超えました）",V265))</f>
        <v/>
      </c>
    </row>
    <row r="266">
      <c r="A266" s="138" t="n"/>
      <c r="B266">
        <f>TRIM(SUBSTITUTE(SUBSTITUTE(SUBSTITUTE(A266,CHAR(9)," "),"　"," "),CHAR(160)," "))</f>
        <v/>
      </c>
      <c r="C266">
        <f>IF(B266="",0,LEN(B266)-LEN(SUBSTITUTE(B266," ",""))+1)</f>
        <v/>
      </c>
      <c r="D266">
        <f>IF(C266&gt;=1,TRIM(MID(SUBSTITUTE(B266," ",REPT(" ",200)),1,200)),"")</f>
        <v/>
      </c>
      <c r="E266">
        <f>IF(C266&gt;=2,TRIM(MID(SUBSTITUTE(B266," ",REPT(" ",200)),201,200)),"")</f>
        <v/>
      </c>
      <c r="F266">
        <f>IF(C266&gt;=3,TRIM(MID(SUBSTITUTE(B266," ",REPT(" ",200)),401,200)),"")</f>
        <v/>
      </c>
      <c r="G266">
        <f>IF(C266&gt;=4,TRIM(MID(SUBSTITUTE(B266," ",REPT(" ",200)),601,200)),"")</f>
        <v/>
      </c>
      <c r="H266">
        <f>IF(C266&gt;=5,TRIM(MID(SUBSTITUTE(B266," ",REPT(" ",200)),801,200)),"")</f>
        <v/>
      </c>
      <c r="I266">
        <f>IF(C266&gt;=6,TRIM(MID(SUBSTITUTE(B266," ",REPT(" ",200)),1001,200)),"")</f>
        <v/>
      </c>
      <c r="J266">
        <f>IF(C266&gt;=7,TRIM(MID(SUBSTITUTE(B266," ",REPT(" ",200)),1201,200)),"")</f>
        <v/>
      </c>
      <c r="K266">
        <f>IF(C266&gt;=8,TRIM(MID(SUBSTITUTE(B266," ",REPT(" ",200)),1401,200)),"")</f>
        <v/>
      </c>
      <c r="L266">
        <f>SUBSTITUTE(SUBSTITUTE(SUBSTITUTE(D266,"年","-"),"組","-"),"番","")</f>
        <v/>
      </c>
      <c r="M266">
        <f>IF(D266="",0,IF(ISNUMBER(VALUE(SUBSTITUTE(L266,"-",""))),1,0))</f>
        <v/>
      </c>
      <c r="N266">
        <f>IF(M266=0,"",IFERROR(VALUE(TRIM(MID(SUBSTITUTE(L266,"-",REPT(" ",100)),101,100))),""))</f>
        <v/>
      </c>
      <c r="O266">
        <f>IF(M266=0,"",IFERROR(VALUE(TRIM(RIGHT(SUBSTITUTE(L266,"-",REPT(" ",100)),100))),""))</f>
        <v/>
      </c>
      <c r="P266">
        <f>IF(B266="","",TRIM(INDEX($D266:$K266,IF(M266=1,2,1))&amp;IF(AD266&gt;=2," "&amp;INDEX($D266:$K266,IF(M266=1,2,1)+1),"")&amp;IF(AD266&gt;=3," "&amp;INDEX($D266:$K266,IF(M266=1,2,1)+2),"")))</f>
        <v/>
      </c>
      <c r="Q266">
        <f>IF(C266&lt;2,"",TRIM(IF(AND(2&gt;=(IF(M266=1,2,1)+AD266),2&lt;=C266-IF(S266="",0,1)),E266&amp;" ","")&amp;IF(AND(3&gt;=(IF(M266=1,2,1)+AD266),3&lt;=C266-IF(S266="",0,1)),F266&amp;" ","")&amp;IF(AND(4&gt;=(IF(M266=1,2,1)+AD266),4&lt;=C266-IF(S266="",0,1)),G266&amp;" ","")&amp;IF(AND(5&gt;=(IF(M266=1,2,1)+AD266),5&lt;=C266-IF(S266="",0,1)),H266&amp;" ","")&amp;IF(AND(6&gt;=(IF(M266=1,2,1)+AD266),6&lt;=C266-IF(S266="",0,1)),I266&amp;" ","")&amp;IF(AND(7&gt;=(IF(M266=1,2,1)+AD266),7&lt;=C266-IF(S266="",0,1)),J266&amp;" ","")&amp;IF(AND(8&gt;=(IF(M266=1,2,1)+AD266),8&lt;=C266-IF(S266="",0,1)),K266&amp;" ","")))</f>
        <v/>
      </c>
      <c r="R266">
        <f>IF(Q266="","",IFERROR(INDEX(資格マスタ!$B:$B,MATCH(ASC(SUBSTITUTE(SUBSTITUTE(Q266," ",""),"　","")),資格マスタ!$D:$D,0)),Q266))</f>
        <v/>
      </c>
      <c r="S266" s="139">
        <f>IF(C266&lt;2,"",IFERROR(IF(OR(LEFT(INDEX(D266:K266,MIN(8,MAX(1,C266))),2)="令和",LEFT(INDEX(D266:K266,MIN(8,MAX(1,C266))),2)="平成",LEFT(INDEX(D266:K266,MIN(8,MAX(1,C266))),2)="昭和"),DATE(VALUE(MID(INDEX(D266:K266,MIN(8,MAX(1,C266))),3,FIND("年",INDEX(D266:K266,MIN(8,MAX(1,C266))))-3))+IF(LEFT(INDEX(D266:K266,MIN(8,MAX(1,C266))),2)="令和",2018,IF(LEFT(INDEX(D266:K266,MIN(8,MAX(1,C266))),2)="平成",1988,1925)),VALUE(MID(INDEX(D266:K266,MIN(8,MAX(1,C266))),FIND("年",INDEX(D266:K266,MIN(8,MAX(1,C266))))+1,FIND("月",INDEX(D266:K266,MIN(8,MAX(1,C266))))-FIND("年",INDEX(D266:K266,MIN(8,MAX(1,C266))))-1)),IFERROR(VALUE(SUBSTITUTE(MID(INDEX(D266:K266,MIN(8,MAX(1,C266))),FIND("月",INDEX(D266:K266,MIN(8,MAX(1,C266))))+1,10),"日","")),1)),DATE(VALUE(TRIM(MID(SUBSTITUTE(AA266,"/",REPT(" ",50)),1,50))),VALUE(TRIM(MID(SUBSTITUTE(AA266,"/",REPT(" ",50)),51,50))),IFERROR(VALUE(TRIM(MID(SUBSTITUTE(AA266,"/",REPT(" ",50)),101,50))),1))),IFERROR(DATEVALUE(INDEX(D266:K266,MIN(8,MAX(1,C266)))),"")))</f>
        <v/>
      </c>
      <c r="T266">
        <f>IF(B266="","",IF(AB266&lt;&gt;"",AB266,IFERROR(MATCH(SUBSTITUTE(SUBSTITUTE(P266," ",""),"　",""),入力!$AH$5:$AH$44,0),"")))</f>
        <v/>
      </c>
      <c r="U266">
        <f>IF(T266="","",INDEX(入力!$D$5:$D$44,T266))</f>
        <v/>
      </c>
      <c r="V266">
        <f>IF(B266="","",IF(T266="","要確認（名簿と照合できません）",IF(R266="","要確認（資格名がありません）",IF(S266="","要確認（取得日が読めません）",IF((IF(INDEX(入力!$N$5:$N$44,T266)=R266,1,0)+IF(INDEX(入力!$P$5:$P$44,T266)=R266,1,0)+IF(INDEX(入力!$R$5:$R$44,T266)=R266,1,0)+IF(INDEX(入力!$T$5:$T$44,T266)=R266,1,0)+IF(INDEX(入力!$V$5:$V$44,T266)=R266,1,0)+IF(INDEX(入力!$X$5:$X$44,T266)=R266,1,0))+(COUNTIFS($T$6:$T$405,T266,$R$6:$R$405,R266,$X$6:$X$405,"&lt;"&amp;X266))&gt;0,"重複","反映")))))</f>
        <v/>
      </c>
      <c r="W266">
        <f>IF(V266="反映",1,0)</f>
        <v/>
      </c>
      <c r="X266" t="n">
        <v>266</v>
      </c>
      <c r="Y266">
        <f>IF(W266=0,"",COUNTIFS($T$6:$T$405,T266,$W$6:$W$405,1,$S$6:$S$405,"&lt;"&amp;S266)+COUNTIFS($T$6:$T$405,T266,$W$6:$W$405,1,$S$6:$S$405,S266,$X$6:$X$405,"&lt;"&amp;X266)+1)</f>
        <v/>
      </c>
      <c r="Z266">
        <f>IF(Y266="","",T266&amp;"_"&amp;Y266)</f>
        <v/>
      </c>
      <c r="AA266">
        <f>SUBSTITUTE(SUBSTITUTE(SUBSTITUTE(SUBSTITUTE(SUBSTITUTE(INDEX(D266:K266,MIN(8,MAX(1,C266))),"年","/"),"月","/"),"日",""),"-","/"),".","/")</f>
        <v/>
      </c>
      <c r="AB266">
        <f>IFERROR(MATCH(O266,入力!$C$5:$C$44,0),"")</f>
        <v/>
      </c>
      <c r="AC266">
        <f>IF(AB266="","",INDEX(入力!$AH$5:$AH$44,AB266))</f>
        <v/>
      </c>
      <c r="AD266">
        <f>IF(INDEX($D266:$K266,IF(M266=1,2,1))=AC266,1,IF(INDEX($D266:$K266,IF(M266=1,2,1))&amp;INDEX($D266:$K266,IF(M266=1,2,1)+1)=AC266,2,IF(INDEX($D266:$K266,IF(M266=1,2,1))&amp;INDEX($D266:$K266,IF(M266=1,2,1)+1)&amp;INDEX($D266:$K266,IF(M266=1,2,1)+2)=AC266,3,IF(AB266&lt;&gt;"",2,IF(ISNUMBER(MATCH(INDEX($D266:$K266,IF(M266=1,2,1)),入力!$AH$5:$AH$44,0)),1,IF(ISNUMBER(MATCH(INDEX($D266:$K266,IF(M266=1,2,1))&amp;INDEX($D266:$K266,IF(M266=1,2,1)+1),入力!$AH$5:$AH$44,0)),2,IF(ISNUMBER(MATCH(INDEX($D266:$K266,IF(M266=1,2,1))&amp;INDEX($D266:$K266,IF(M266=1,2,1)+1)&amp;INDEX($D266:$K266,IF(M266=1,2,1)+2),入力!$AH$5:$AH$44,0)),3,2)))))))</f>
        <v/>
      </c>
      <c r="AE266">
        <f>IF(V266="","",IF(AND(V266="反映",N(Y266)&gt;20),"要確認（この生徒の取込が20件を超えました）",V266))</f>
        <v/>
      </c>
    </row>
    <row r="267">
      <c r="A267" s="138" t="n"/>
      <c r="B267">
        <f>TRIM(SUBSTITUTE(SUBSTITUTE(SUBSTITUTE(A267,CHAR(9)," "),"　"," "),CHAR(160)," "))</f>
        <v/>
      </c>
      <c r="C267">
        <f>IF(B267="",0,LEN(B267)-LEN(SUBSTITUTE(B267," ",""))+1)</f>
        <v/>
      </c>
      <c r="D267">
        <f>IF(C267&gt;=1,TRIM(MID(SUBSTITUTE(B267," ",REPT(" ",200)),1,200)),"")</f>
        <v/>
      </c>
      <c r="E267">
        <f>IF(C267&gt;=2,TRIM(MID(SUBSTITUTE(B267," ",REPT(" ",200)),201,200)),"")</f>
        <v/>
      </c>
      <c r="F267">
        <f>IF(C267&gt;=3,TRIM(MID(SUBSTITUTE(B267," ",REPT(" ",200)),401,200)),"")</f>
        <v/>
      </c>
      <c r="G267">
        <f>IF(C267&gt;=4,TRIM(MID(SUBSTITUTE(B267," ",REPT(" ",200)),601,200)),"")</f>
        <v/>
      </c>
      <c r="H267">
        <f>IF(C267&gt;=5,TRIM(MID(SUBSTITUTE(B267," ",REPT(" ",200)),801,200)),"")</f>
        <v/>
      </c>
      <c r="I267">
        <f>IF(C267&gt;=6,TRIM(MID(SUBSTITUTE(B267," ",REPT(" ",200)),1001,200)),"")</f>
        <v/>
      </c>
      <c r="J267">
        <f>IF(C267&gt;=7,TRIM(MID(SUBSTITUTE(B267," ",REPT(" ",200)),1201,200)),"")</f>
        <v/>
      </c>
      <c r="K267">
        <f>IF(C267&gt;=8,TRIM(MID(SUBSTITUTE(B267," ",REPT(" ",200)),1401,200)),"")</f>
        <v/>
      </c>
      <c r="L267">
        <f>SUBSTITUTE(SUBSTITUTE(SUBSTITUTE(D267,"年","-"),"組","-"),"番","")</f>
        <v/>
      </c>
      <c r="M267">
        <f>IF(D267="",0,IF(ISNUMBER(VALUE(SUBSTITUTE(L267,"-",""))),1,0))</f>
        <v/>
      </c>
      <c r="N267">
        <f>IF(M267=0,"",IFERROR(VALUE(TRIM(MID(SUBSTITUTE(L267,"-",REPT(" ",100)),101,100))),""))</f>
        <v/>
      </c>
      <c r="O267">
        <f>IF(M267=0,"",IFERROR(VALUE(TRIM(RIGHT(SUBSTITUTE(L267,"-",REPT(" ",100)),100))),""))</f>
        <v/>
      </c>
      <c r="P267">
        <f>IF(B267="","",TRIM(INDEX($D267:$K267,IF(M267=1,2,1))&amp;IF(AD267&gt;=2," "&amp;INDEX($D267:$K267,IF(M267=1,2,1)+1),"")&amp;IF(AD267&gt;=3," "&amp;INDEX($D267:$K267,IF(M267=1,2,1)+2),"")))</f>
        <v/>
      </c>
      <c r="Q267">
        <f>IF(C267&lt;2,"",TRIM(IF(AND(2&gt;=(IF(M267=1,2,1)+AD267),2&lt;=C267-IF(S267="",0,1)),E267&amp;" ","")&amp;IF(AND(3&gt;=(IF(M267=1,2,1)+AD267),3&lt;=C267-IF(S267="",0,1)),F267&amp;" ","")&amp;IF(AND(4&gt;=(IF(M267=1,2,1)+AD267),4&lt;=C267-IF(S267="",0,1)),G267&amp;" ","")&amp;IF(AND(5&gt;=(IF(M267=1,2,1)+AD267),5&lt;=C267-IF(S267="",0,1)),H267&amp;" ","")&amp;IF(AND(6&gt;=(IF(M267=1,2,1)+AD267),6&lt;=C267-IF(S267="",0,1)),I267&amp;" ","")&amp;IF(AND(7&gt;=(IF(M267=1,2,1)+AD267),7&lt;=C267-IF(S267="",0,1)),J267&amp;" ","")&amp;IF(AND(8&gt;=(IF(M267=1,2,1)+AD267),8&lt;=C267-IF(S267="",0,1)),K267&amp;" ","")))</f>
        <v/>
      </c>
      <c r="R267">
        <f>IF(Q267="","",IFERROR(INDEX(資格マスタ!$B:$B,MATCH(ASC(SUBSTITUTE(SUBSTITUTE(Q267," ",""),"　","")),資格マスタ!$D:$D,0)),Q267))</f>
        <v/>
      </c>
      <c r="S267" s="139">
        <f>IF(C267&lt;2,"",IFERROR(IF(OR(LEFT(INDEX(D267:K267,MIN(8,MAX(1,C267))),2)="令和",LEFT(INDEX(D267:K267,MIN(8,MAX(1,C267))),2)="平成",LEFT(INDEX(D267:K267,MIN(8,MAX(1,C267))),2)="昭和"),DATE(VALUE(MID(INDEX(D267:K267,MIN(8,MAX(1,C267))),3,FIND("年",INDEX(D267:K267,MIN(8,MAX(1,C267))))-3))+IF(LEFT(INDEX(D267:K267,MIN(8,MAX(1,C267))),2)="令和",2018,IF(LEFT(INDEX(D267:K267,MIN(8,MAX(1,C267))),2)="平成",1988,1925)),VALUE(MID(INDEX(D267:K267,MIN(8,MAX(1,C267))),FIND("年",INDEX(D267:K267,MIN(8,MAX(1,C267))))+1,FIND("月",INDEX(D267:K267,MIN(8,MAX(1,C267))))-FIND("年",INDEX(D267:K267,MIN(8,MAX(1,C267))))-1)),IFERROR(VALUE(SUBSTITUTE(MID(INDEX(D267:K267,MIN(8,MAX(1,C267))),FIND("月",INDEX(D267:K267,MIN(8,MAX(1,C267))))+1,10),"日","")),1)),DATE(VALUE(TRIM(MID(SUBSTITUTE(AA267,"/",REPT(" ",50)),1,50))),VALUE(TRIM(MID(SUBSTITUTE(AA267,"/",REPT(" ",50)),51,50))),IFERROR(VALUE(TRIM(MID(SUBSTITUTE(AA267,"/",REPT(" ",50)),101,50))),1))),IFERROR(DATEVALUE(INDEX(D267:K267,MIN(8,MAX(1,C267)))),"")))</f>
        <v/>
      </c>
      <c r="T267">
        <f>IF(B267="","",IF(AB267&lt;&gt;"",AB267,IFERROR(MATCH(SUBSTITUTE(SUBSTITUTE(P267," ",""),"　",""),入力!$AH$5:$AH$44,0),"")))</f>
        <v/>
      </c>
      <c r="U267">
        <f>IF(T267="","",INDEX(入力!$D$5:$D$44,T267))</f>
        <v/>
      </c>
      <c r="V267">
        <f>IF(B267="","",IF(T267="","要確認（名簿と照合できません）",IF(R267="","要確認（資格名がありません）",IF(S267="","要確認（取得日が読めません）",IF((IF(INDEX(入力!$N$5:$N$44,T267)=R267,1,0)+IF(INDEX(入力!$P$5:$P$44,T267)=R267,1,0)+IF(INDEX(入力!$R$5:$R$44,T267)=R267,1,0)+IF(INDEX(入力!$T$5:$T$44,T267)=R267,1,0)+IF(INDEX(入力!$V$5:$V$44,T267)=R267,1,0)+IF(INDEX(入力!$X$5:$X$44,T267)=R267,1,0))+(COUNTIFS($T$6:$T$405,T267,$R$6:$R$405,R267,$X$6:$X$405,"&lt;"&amp;X267))&gt;0,"重複","反映")))))</f>
        <v/>
      </c>
      <c r="W267">
        <f>IF(V267="反映",1,0)</f>
        <v/>
      </c>
      <c r="X267" t="n">
        <v>267</v>
      </c>
      <c r="Y267">
        <f>IF(W267=0,"",COUNTIFS($T$6:$T$405,T267,$W$6:$W$405,1,$S$6:$S$405,"&lt;"&amp;S267)+COUNTIFS($T$6:$T$405,T267,$W$6:$W$405,1,$S$6:$S$405,S267,$X$6:$X$405,"&lt;"&amp;X267)+1)</f>
        <v/>
      </c>
      <c r="Z267">
        <f>IF(Y267="","",T267&amp;"_"&amp;Y267)</f>
        <v/>
      </c>
      <c r="AA267">
        <f>SUBSTITUTE(SUBSTITUTE(SUBSTITUTE(SUBSTITUTE(SUBSTITUTE(INDEX(D267:K267,MIN(8,MAX(1,C267))),"年","/"),"月","/"),"日",""),"-","/"),".","/")</f>
        <v/>
      </c>
      <c r="AB267">
        <f>IFERROR(MATCH(O267,入力!$C$5:$C$44,0),"")</f>
        <v/>
      </c>
      <c r="AC267">
        <f>IF(AB267="","",INDEX(入力!$AH$5:$AH$44,AB267))</f>
        <v/>
      </c>
      <c r="AD267">
        <f>IF(INDEX($D267:$K267,IF(M267=1,2,1))=AC267,1,IF(INDEX($D267:$K267,IF(M267=1,2,1))&amp;INDEX($D267:$K267,IF(M267=1,2,1)+1)=AC267,2,IF(INDEX($D267:$K267,IF(M267=1,2,1))&amp;INDEX($D267:$K267,IF(M267=1,2,1)+1)&amp;INDEX($D267:$K267,IF(M267=1,2,1)+2)=AC267,3,IF(AB267&lt;&gt;"",2,IF(ISNUMBER(MATCH(INDEX($D267:$K267,IF(M267=1,2,1)),入力!$AH$5:$AH$44,0)),1,IF(ISNUMBER(MATCH(INDEX($D267:$K267,IF(M267=1,2,1))&amp;INDEX($D267:$K267,IF(M267=1,2,1)+1),入力!$AH$5:$AH$44,0)),2,IF(ISNUMBER(MATCH(INDEX($D267:$K267,IF(M267=1,2,1))&amp;INDEX($D267:$K267,IF(M267=1,2,1)+1)&amp;INDEX($D267:$K267,IF(M267=1,2,1)+2),入力!$AH$5:$AH$44,0)),3,2)))))))</f>
        <v/>
      </c>
      <c r="AE267">
        <f>IF(V267="","",IF(AND(V267="反映",N(Y267)&gt;20),"要確認（この生徒の取込が20件を超えました）",V267))</f>
        <v/>
      </c>
    </row>
    <row r="268">
      <c r="A268" s="138" t="n"/>
      <c r="B268">
        <f>TRIM(SUBSTITUTE(SUBSTITUTE(SUBSTITUTE(A268,CHAR(9)," "),"　"," "),CHAR(160)," "))</f>
        <v/>
      </c>
      <c r="C268">
        <f>IF(B268="",0,LEN(B268)-LEN(SUBSTITUTE(B268," ",""))+1)</f>
        <v/>
      </c>
      <c r="D268">
        <f>IF(C268&gt;=1,TRIM(MID(SUBSTITUTE(B268," ",REPT(" ",200)),1,200)),"")</f>
        <v/>
      </c>
      <c r="E268">
        <f>IF(C268&gt;=2,TRIM(MID(SUBSTITUTE(B268," ",REPT(" ",200)),201,200)),"")</f>
        <v/>
      </c>
      <c r="F268">
        <f>IF(C268&gt;=3,TRIM(MID(SUBSTITUTE(B268," ",REPT(" ",200)),401,200)),"")</f>
        <v/>
      </c>
      <c r="G268">
        <f>IF(C268&gt;=4,TRIM(MID(SUBSTITUTE(B268," ",REPT(" ",200)),601,200)),"")</f>
        <v/>
      </c>
      <c r="H268">
        <f>IF(C268&gt;=5,TRIM(MID(SUBSTITUTE(B268," ",REPT(" ",200)),801,200)),"")</f>
        <v/>
      </c>
      <c r="I268">
        <f>IF(C268&gt;=6,TRIM(MID(SUBSTITUTE(B268," ",REPT(" ",200)),1001,200)),"")</f>
        <v/>
      </c>
      <c r="J268">
        <f>IF(C268&gt;=7,TRIM(MID(SUBSTITUTE(B268," ",REPT(" ",200)),1201,200)),"")</f>
        <v/>
      </c>
      <c r="K268">
        <f>IF(C268&gt;=8,TRIM(MID(SUBSTITUTE(B268," ",REPT(" ",200)),1401,200)),"")</f>
        <v/>
      </c>
      <c r="L268">
        <f>SUBSTITUTE(SUBSTITUTE(SUBSTITUTE(D268,"年","-"),"組","-"),"番","")</f>
        <v/>
      </c>
      <c r="M268">
        <f>IF(D268="",0,IF(ISNUMBER(VALUE(SUBSTITUTE(L268,"-",""))),1,0))</f>
        <v/>
      </c>
      <c r="N268">
        <f>IF(M268=0,"",IFERROR(VALUE(TRIM(MID(SUBSTITUTE(L268,"-",REPT(" ",100)),101,100))),""))</f>
        <v/>
      </c>
      <c r="O268">
        <f>IF(M268=0,"",IFERROR(VALUE(TRIM(RIGHT(SUBSTITUTE(L268,"-",REPT(" ",100)),100))),""))</f>
        <v/>
      </c>
      <c r="P268">
        <f>IF(B268="","",TRIM(INDEX($D268:$K268,IF(M268=1,2,1))&amp;IF(AD268&gt;=2," "&amp;INDEX($D268:$K268,IF(M268=1,2,1)+1),"")&amp;IF(AD268&gt;=3," "&amp;INDEX($D268:$K268,IF(M268=1,2,1)+2),"")))</f>
        <v/>
      </c>
      <c r="Q268">
        <f>IF(C268&lt;2,"",TRIM(IF(AND(2&gt;=(IF(M268=1,2,1)+AD268),2&lt;=C268-IF(S268="",0,1)),E268&amp;" ","")&amp;IF(AND(3&gt;=(IF(M268=1,2,1)+AD268),3&lt;=C268-IF(S268="",0,1)),F268&amp;" ","")&amp;IF(AND(4&gt;=(IF(M268=1,2,1)+AD268),4&lt;=C268-IF(S268="",0,1)),G268&amp;" ","")&amp;IF(AND(5&gt;=(IF(M268=1,2,1)+AD268),5&lt;=C268-IF(S268="",0,1)),H268&amp;" ","")&amp;IF(AND(6&gt;=(IF(M268=1,2,1)+AD268),6&lt;=C268-IF(S268="",0,1)),I268&amp;" ","")&amp;IF(AND(7&gt;=(IF(M268=1,2,1)+AD268),7&lt;=C268-IF(S268="",0,1)),J268&amp;" ","")&amp;IF(AND(8&gt;=(IF(M268=1,2,1)+AD268),8&lt;=C268-IF(S268="",0,1)),K268&amp;" ","")))</f>
        <v/>
      </c>
      <c r="R268">
        <f>IF(Q268="","",IFERROR(INDEX(資格マスタ!$B:$B,MATCH(ASC(SUBSTITUTE(SUBSTITUTE(Q268," ",""),"　","")),資格マスタ!$D:$D,0)),Q268))</f>
        <v/>
      </c>
      <c r="S268" s="139">
        <f>IF(C268&lt;2,"",IFERROR(IF(OR(LEFT(INDEX(D268:K268,MIN(8,MAX(1,C268))),2)="令和",LEFT(INDEX(D268:K268,MIN(8,MAX(1,C268))),2)="平成",LEFT(INDEX(D268:K268,MIN(8,MAX(1,C268))),2)="昭和"),DATE(VALUE(MID(INDEX(D268:K268,MIN(8,MAX(1,C268))),3,FIND("年",INDEX(D268:K268,MIN(8,MAX(1,C268))))-3))+IF(LEFT(INDEX(D268:K268,MIN(8,MAX(1,C268))),2)="令和",2018,IF(LEFT(INDEX(D268:K268,MIN(8,MAX(1,C268))),2)="平成",1988,1925)),VALUE(MID(INDEX(D268:K268,MIN(8,MAX(1,C268))),FIND("年",INDEX(D268:K268,MIN(8,MAX(1,C268))))+1,FIND("月",INDEX(D268:K268,MIN(8,MAX(1,C268))))-FIND("年",INDEX(D268:K268,MIN(8,MAX(1,C268))))-1)),IFERROR(VALUE(SUBSTITUTE(MID(INDEX(D268:K268,MIN(8,MAX(1,C268))),FIND("月",INDEX(D268:K268,MIN(8,MAX(1,C268))))+1,10),"日","")),1)),DATE(VALUE(TRIM(MID(SUBSTITUTE(AA268,"/",REPT(" ",50)),1,50))),VALUE(TRIM(MID(SUBSTITUTE(AA268,"/",REPT(" ",50)),51,50))),IFERROR(VALUE(TRIM(MID(SUBSTITUTE(AA268,"/",REPT(" ",50)),101,50))),1))),IFERROR(DATEVALUE(INDEX(D268:K268,MIN(8,MAX(1,C268)))),"")))</f>
        <v/>
      </c>
      <c r="T268">
        <f>IF(B268="","",IF(AB268&lt;&gt;"",AB268,IFERROR(MATCH(SUBSTITUTE(SUBSTITUTE(P268," ",""),"　",""),入力!$AH$5:$AH$44,0),"")))</f>
        <v/>
      </c>
      <c r="U268">
        <f>IF(T268="","",INDEX(入力!$D$5:$D$44,T268))</f>
        <v/>
      </c>
      <c r="V268">
        <f>IF(B268="","",IF(T268="","要確認（名簿と照合できません）",IF(R268="","要確認（資格名がありません）",IF(S268="","要確認（取得日が読めません）",IF((IF(INDEX(入力!$N$5:$N$44,T268)=R268,1,0)+IF(INDEX(入力!$P$5:$P$44,T268)=R268,1,0)+IF(INDEX(入力!$R$5:$R$44,T268)=R268,1,0)+IF(INDEX(入力!$T$5:$T$44,T268)=R268,1,0)+IF(INDEX(入力!$V$5:$V$44,T268)=R268,1,0)+IF(INDEX(入力!$X$5:$X$44,T268)=R268,1,0))+(COUNTIFS($T$6:$T$405,T268,$R$6:$R$405,R268,$X$6:$X$405,"&lt;"&amp;X268))&gt;0,"重複","反映")))))</f>
        <v/>
      </c>
      <c r="W268">
        <f>IF(V268="反映",1,0)</f>
        <v/>
      </c>
      <c r="X268" t="n">
        <v>268</v>
      </c>
      <c r="Y268">
        <f>IF(W268=0,"",COUNTIFS($T$6:$T$405,T268,$W$6:$W$405,1,$S$6:$S$405,"&lt;"&amp;S268)+COUNTIFS($T$6:$T$405,T268,$W$6:$W$405,1,$S$6:$S$405,S268,$X$6:$X$405,"&lt;"&amp;X268)+1)</f>
        <v/>
      </c>
      <c r="Z268">
        <f>IF(Y268="","",T268&amp;"_"&amp;Y268)</f>
        <v/>
      </c>
      <c r="AA268">
        <f>SUBSTITUTE(SUBSTITUTE(SUBSTITUTE(SUBSTITUTE(SUBSTITUTE(INDEX(D268:K268,MIN(8,MAX(1,C268))),"年","/"),"月","/"),"日",""),"-","/"),".","/")</f>
        <v/>
      </c>
      <c r="AB268">
        <f>IFERROR(MATCH(O268,入力!$C$5:$C$44,0),"")</f>
        <v/>
      </c>
      <c r="AC268">
        <f>IF(AB268="","",INDEX(入力!$AH$5:$AH$44,AB268))</f>
        <v/>
      </c>
      <c r="AD268">
        <f>IF(INDEX($D268:$K268,IF(M268=1,2,1))=AC268,1,IF(INDEX($D268:$K268,IF(M268=1,2,1))&amp;INDEX($D268:$K268,IF(M268=1,2,1)+1)=AC268,2,IF(INDEX($D268:$K268,IF(M268=1,2,1))&amp;INDEX($D268:$K268,IF(M268=1,2,1)+1)&amp;INDEX($D268:$K268,IF(M268=1,2,1)+2)=AC268,3,IF(AB268&lt;&gt;"",2,IF(ISNUMBER(MATCH(INDEX($D268:$K268,IF(M268=1,2,1)),入力!$AH$5:$AH$44,0)),1,IF(ISNUMBER(MATCH(INDEX($D268:$K268,IF(M268=1,2,1))&amp;INDEX($D268:$K268,IF(M268=1,2,1)+1),入力!$AH$5:$AH$44,0)),2,IF(ISNUMBER(MATCH(INDEX($D268:$K268,IF(M268=1,2,1))&amp;INDEX($D268:$K268,IF(M268=1,2,1)+1)&amp;INDEX($D268:$K268,IF(M268=1,2,1)+2),入力!$AH$5:$AH$44,0)),3,2)))))))</f>
        <v/>
      </c>
      <c r="AE268">
        <f>IF(V268="","",IF(AND(V268="反映",N(Y268)&gt;20),"要確認（この生徒の取込が20件を超えました）",V268))</f>
        <v/>
      </c>
    </row>
    <row r="269">
      <c r="A269" s="138" t="n"/>
      <c r="B269">
        <f>TRIM(SUBSTITUTE(SUBSTITUTE(SUBSTITUTE(A269,CHAR(9)," "),"　"," "),CHAR(160)," "))</f>
        <v/>
      </c>
      <c r="C269">
        <f>IF(B269="",0,LEN(B269)-LEN(SUBSTITUTE(B269," ",""))+1)</f>
        <v/>
      </c>
      <c r="D269">
        <f>IF(C269&gt;=1,TRIM(MID(SUBSTITUTE(B269," ",REPT(" ",200)),1,200)),"")</f>
        <v/>
      </c>
      <c r="E269">
        <f>IF(C269&gt;=2,TRIM(MID(SUBSTITUTE(B269," ",REPT(" ",200)),201,200)),"")</f>
        <v/>
      </c>
      <c r="F269">
        <f>IF(C269&gt;=3,TRIM(MID(SUBSTITUTE(B269," ",REPT(" ",200)),401,200)),"")</f>
        <v/>
      </c>
      <c r="G269">
        <f>IF(C269&gt;=4,TRIM(MID(SUBSTITUTE(B269," ",REPT(" ",200)),601,200)),"")</f>
        <v/>
      </c>
      <c r="H269">
        <f>IF(C269&gt;=5,TRIM(MID(SUBSTITUTE(B269," ",REPT(" ",200)),801,200)),"")</f>
        <v/>
      </c>
      <c r="I269">
        <f>IF(C269&gt;=6,TRIM(MID(SUBSTITUTE(B269," ",REPT(" ",200)),1001,200)),"")</f>
        <v/>
      </c>
      <c r="J269">
        <f>IF(C269&gt;=7,TRIM(MID(SUBSTITUTE(B269," ",REPT(" ",200)),1201,200)),"")</f>
        <v/>
      </c>
      <c r="K269">
        <f>IF(C269&gt;=8,TRIM(MID(SUBSTITUTE(B269," ",REPT(" ",200)),1401,200)),"")</f>
        <v/>
      </c>
      <c r="L269">
        <f>SUBSTITUTE(SUBSTITUTE(SUBSTITUTE(D269,"年","-"),"組","-"),"番","")</f>
        <v/>
      </c>
      <c r="M269">
        <f>IF(D269="",0,IF(ISNUMBER(VALUE(SUBSTITUTE(L269,"-",""))),1,0))</f>
        <v/>
      </c>
      <c r="N269">
        <f>IF(M269=0,"",IFERROR(VALUE(TRIM(MID(SUBSTITUTE(L269,"-",REPT(" ",100)),101,100))),""))</f>
        <v/>
      </c>
      <c r="O269">
        <f>IF(M269=0,"",IFERROR(VALUE(TRIM(RIGHT(SUBSTITUTE(L269,"-",REPT(" ",100)),100))),""))</f>
        <v/>
      </c>
      <c r="P269">
        <f>IF(B269="","",TRIM(INDEX($D269:$K269,IF(M269=1,2,1))&amp;IF(AD269&gt;=2," "&amp;INDEX($D269:$K269,IF(M269=1,2,1)+1),"")&amp;IF(AD269&gt;=3," "&amp;INDEX($D269:$K269,IF(M269=1,2,1)+2),"")))</f>
        <v/>
      </c>
      <c r="Q269">
        <f>IF(C269&lt;2,"",TRIM(IF(AND(2&gt;=(IF(M269=1,2,1)+AD269),2&lt;=C269-IF(S269="",0,1)),E269&amp;" ","")&amp;IF(AND(3&gt;=(IF(M269=1,2,1)+AD269),3&lt;=C269-IF(S269="",0,1)),F269&amp;" ","")&amp;IF(AND(4&gt;=(IF(M269=1,2,1)+AD269),4&lt;=C269-IF(S269="",0,1)),G269&amp;" ","")&amp;IF(AND(5&gt;=(IF(M269=1,2,1)+AD269),5&lt;=C269-IF(S269="",0,1)),H269&amp;" ","")&amp;IF(AND(6&gt;=(IF(M269=1,2,1)+AD269),6&lt;=C269-IF(S269="",0,1)),I269&amp;" ","")&amp;IF(AND(7&gt;=(IF(M269=1,2,1)+AD269),7&lt;=C269-IF(S269="",0,1)),J269&amp;" ","")&amp;IF(AND(8&gt;=(IF(M269=1,2,1)+AD269),8&lt;=C269-IF(S269="",0,1)),K269&amp;" ","")))</f>
        <v/>
      </c>
      <c r="R269">
        <f>IF(Q269="","",IFERROR(INDEX(資格マスタ!$B:$B,MATCH(ASC(SUBSTITUTE(SUBSTITUTE(Q269," ",""),"　","")),資格マスタ!$D:$D,0)),Q269))</f>
        <v/>
      </c>
      <c r="S269" s="139">
        <f>IF(C269&lt;2,"",IFERROR(IF(OR(LEFT(INDEX(D269:K269,MIN(8,MAX(1,C269))),2)="令和",LEFT(INDEX(D269:K269,MIN(8,MAX(1,C269))),2)="平成",LEFT(INDEX(D269:K269,MIN(8,MAX(1,C269))),2)="昭和"),DATE(VALUE(MID(INDEX(D269:K269,MIN(8,MAX(1,C269))),3,FIND("年",INDEX(D269:K269,MIN(8,MAX(1,C269))))-3))+IF(LEFT(INDEX(D269:K269,MIN(8,MAX(1,C269))),2)="令和",2018,IF(LEFT(INDEX(D269:K269,MIN(8,MAX(1,C269))),2)="平成",1988,1925)),VALUE(MID(INDEX(D269:K269,MIN(8,MAX(1,C269))),FIND("年",INDEX(D269:K269,MIN(8,MAX(1,C269))))+1,FIND("月",INDEX(D269:K269,MIN(8,MAX(1,C269))))-FIND("年",INDEX(D269:K269,MIN(8,MAX(1,C269))))-1)),IFERROR(VALUE(SUBSTITUTE(MID(INDEX(D269:K269,MIN(8,MAX(1,C269))),FIND("月",INDEX(D269:K269,MIN(8,MAX(1,C269))))+1,10),"日","")),1)),DATE(VALUE(TRIM(MID(SUBSTITUTE(AA269,"/",REPT(" ",50)),1,50))),VALUE(TRIM(MID(SUBSTITUTE(AA269,"/",REPT(" ",50)),51,50))),IFERROR(VALUE(TRIM(MID(SUBSTITUTE(AA269,"/",REPT(" ",50)),101,50))),1))),IFERROR(DATEVALUE(INDEX(D269:K269,MIN(8,MAX(1,C269)))),"")))</f>
        <v/>
      </c>
      <c r="T269">
        <f>IF(B269="","",IF(AB269&lt;&gt;"",AB269,IFERROR(MATCH(SUBSTITUTE(SUBSTITUTE(P269," ",""),"　",""),入力!$AH$5:$AH$44,0),"")))</f>
        <v/>
      </c>
      <c r="U269">
        <f>IF(T269="","",INDEX(入力!$D$5:$D$44,T269))</f>
        <v/>
      </c>
      <c r="V269">
        <f>IF(B269="","",IF(T269="","要確認（名簿と照合できません）",IF(R269="","要確認（資格名がありません）",IF(S269="","要確認（取得日が読めません）",IF((IF(INDEX(入力!$N$5:$N$44,T269)=R269,1,0)+IF(INDEX(入力!$P$5:$P$44,T269)=R269,1,0)+IF(INDEX(入力!$R$5:$R$44,T269)=R269,1,0)+IF(INDEX(入力!$T$5:$T$44,T269)=R269,1,0)+IF(INDEX(入力!$V$5:$V$44,T269)=R269,1,0)+IF(INDEX(入力!$X$5:$X$44,T269)=R269,1,0))+(COUNTIFS($T$6:$T$405,T269,$R$6:$R$405,R269,$X$6:$X$405,"&lt;"&amp;X269))&gt;0,"重複","反映")))))</f>
        <v/>
      </c>
      <c r="W269">
        <f>IF(V269="反映",1,0)</f>
        <v/>
      </c>
      <c r="X269" t="n">
        <v>269</v>
      </c>
      <c r="Y269">
        <f>IF(W269=0,"",COUNTIFS($T$6:$T$405,T269,$W$6:$W$405,1,$S$6:$S$405,"&lt;"&amp;S269)+COUNTIFS($T$6:$T$405,T269,$W$6:$W$405,1,$S$6:$S$405,S269,$X$6:$X$405,"&lt;"&amp;X269)+1)</f>
        <v/>
      </c>
      <c r="Z269">
        <f>IF(Y269="","",T269&amp;"_"&amp;Y269)</f>
        <v/>
      </c>
      <c r="AA269">
        <f>SUBSTITUTE(SUBSTITUTE(SUBSTITUTE(SUBSTITUTE(SUBSTITUTE(INDEX(D269:K269,MIN(8,MAX(1,C269))),"年","/"),"月","/"),"日",""),"-","/"),".","/")</f>
        <v/>
      </c>
      <c r="AB269">
        <f>IFERROR(MATCH(O269,入力!$C$5:$C$44,0),"")</f>
        <v/>
      </c>
      <c r="AC269">
        <f>IF(AB269="","",INDEX(入力!$AH$5:$AH$44,AB269))</f>
        <v/>
      </c>
      <c r="AD269">
        <f>IF(INDEX($D269:$K269,IF(M269=1,2,1))=AC269,1,IF(INDEX($D269:$K269,IF(M269=1,2,1))&amp;INDEX($D269:$K269,IF(M269=1,2,1)+1)=AC269,2,IF(INDEX($D269:$K269,IF(M269=1,2,1))&amp;INDEX($D269:$K269,IF(M269=1,2,1)+1)&amp;INDEX($D269:$K269,IF(M269=1,2,1)+2)=AC269,3,IF(AB269&lt;&gt;"",2,IF(ISNUMBER(MATCH(INDEX($D269:$K269,IF(M269=1,2,1)),入力!$AH$5:$AH$44,0)),1,IF(ISNUMBER(MATCH(INDEX($D269:$K269,IF(M269=1,2,1))&amp;INDEX($D269:$K269,IF(M269=1,2,1)+1),入力!$AH$5:$AH$44,0)),2,IF(ISNUMBER(MATCH(INDEX($D269:$K269,IF(M269=1,2,1))&amp;INDEX($D269:$K269,IF(M269=1,2,1)+1)&amp;INDEX($D269:$K269,IF(M269=1,2,1)+2),入力!$AH$5:$AH$44,0)),3,2)))))))</f>
        <v/>
      </c>
      <c r="AE269">
        <f>IF(V269="","",IF(AND(V269="反映",N(Y269)&gt;20),"要確認（この生徒の取込が20件を超えました）",V269))</f>
        <v/>
      </c>
    </row>
    <row r="270">
      <c r="A270" s="138" t="n"/>
      <c r="B270">
        <f>TRIM(SUBSTITUTE(SUBSTITUTE(SUBSTITUTE(A270,CHAR(9)," "),"　"," "),CHAR(160)," "))</f>
        <v/>
      </c>
      <c r="C270">
        <f>IF(B270="",0,LEN(B270)-LEN(SUBSTITUTE(B270," ",""))+1)</f>
        <v/>
      </c>
      <c r="D270">
        <f>IF(C270&gt;=1,TRIM(MID(SUBSTITUTE(B270," ",REPT(" ",200)),1,200)),"")</f>
        <v/>
      </c>
      <c r="E270">
        <f>IF(C270&gt;=2,TRIM(MID(SUBSTITUTE(B270," ",REPT(" ",200)),201,200)),"")</f>
        <v/>
      </c>
      <c r="F270">
        <f>IF(C270&gt;=3,TRIM(MID(SUBSTITUTE(B270," ",REPT(" ",200)),401,200)),"")</f>
        <v/>
      </c>
      <c r="G270">
        <f>IF(C270&gt;=4,TRIM(MID(SUBSTITUTE(B270," ",REPT(" ",200)),601,200)),"")</f>
        <v/>
      </c>
      <c r="H270">
        <f>IF(C270&gt;=5,TRIM(MID(SUBSTITUTE(B270," ",REPT(" ",200)),801,200)),"")</f>
        <v/>
      </c>
      <c r="I270">
        <f>IF(C270&gt;=6,TRIM(MID(SUBSTITUTE(B270," ",REPT(" ",200)),1001,200)),"")</f>
        <v/>
      </c>
      <c r="J270">
        <f>IF(C270&gt;=7,TRIM(MID(SUBSTITUTE(B270," ",REPT(" ",200)),1201,200)),"")</f>
        <v/>
      </c>
      <c r="K270">
        <f>IF(C270&gt;=8,TRIM(MID(SUBSTITUTE(B270," ",REPT(" ",200)),1401,200)),"")</f>
        <v/>
      </c>
      <c r="L270">
        <f>SUBSTITUTE(SUBSTITUTE(SUBSTITUTE(D270,"年","-"),"組","-"),"番","")</f>
        <v/>
      </c>
      <c r="M270">
        <f>IF(D270="",0,IF(ISNUMBER(VALUE(SUBSTITUTE(L270,"-",""))),1,0))</f>
        <v/>
      </c>
      <c r="N270">
        <f>IF(M270=0,"",IFERROR(VALUE(TRIM(MID(SUBSTITUTE(L270,"-",REPT(" ",100)),101,100))),""))</f>
        <v/>
      </c>
      <c r="O270">
        <f>IF(M270=0,"",IFERROR(VALUE(TRIM(RIGHT(SUBSTITUTE(L270,"-",REPT(" ",100)),100))),""))</f>
        <v/>
      </c>
      <c r="P270">
        <f>IF(B270="","",TRIM(INDEX($D270:$K270,IF(M270=1,2,1))&amp;IF(AD270&gt;=2," "&amp;INDEX($D270:$K270,IF(M270=1,2,1)+1),"")&amp;IF(AD270&gt;=3," "&amp;INDEX($D270:$K270,IF(M270=1,2,1)+2),"")))</f>
        <v/>
      </c>
      <c r="Q270">
        <f>IF(C270&lt;2,"",TRIM(IF(AND(2&gt;=(IF(M270=1,2,1)+AD270),2&lt;=C270-IF(S270="",0,1)),E270&amp;" ","")&amp;IF(AND(3&gt;=(IF(M270=1,2,1)+AD270),3&lt;=C270-IF(S270="",0,1)),F270&amp;" ","")&amp;IF(AND(4&gt;=(IF(M270=1,2,1)+AD270),4&lt;=C270-IF(S270="",0,1)),G270&amp;" ","")&amp;IF(AND(5&gt;=(IF(M270=1,2,1)+AD270),5&lt;=C270-IF(S270="",0,1)),H270&amp;" ","")&amp;IF(AND(6&gt;=(IF(M270=1,2,1)+AD270),6&lt;=C270-IF(S270="",0,1)),I270&amp;" ","")&amp;IF(AND(7&gt;=(IF(M270=1,2,1)+AD270),7&lt;=C270-IF(S270="",0,1)),J270&amp;" ","")&amp;IF(AND(8&gt;=(IF(M270=1,2,1)+AD270),8&lt;=C270-IF(S270="",0,1)),K270&amp;" ","")))</f>
        <v/>
      </c>
      <c r="R270">
        <f>IF(Q270="","",IFERROR(INDEX(資格マスタ!$B:$B,MATCH(ASC(SUBSTITUTE(SUBSTITUTE(Q270," ",""),"　","")),資格マスタ!$D:$D,0)),Q270))</f>
        <v/>
      </c>
      <c r="S270" s="139">
        <f>IF(C270&lt;2,"",IFERROR(IF(OR(LEFT(INDEX(D270:K270,MIN(8,MAX(1,C270))),2)="令和",LEFT(INDEX(D270:K270,MIN(8,MAX(1,C270))),2)="平成",LEFT(INDEX(D270:K270,MIN(8,MAX(1,C270))),2)="昭和"),DATE(VALUE(MID(INDEX(D270:K270,MIN(8,MAX(1,C270))),3,FIND("年",INDEX(D270:K270,MIN(8,MAX(1,C270))))-3))+IF(LEFT(INDEX(D270:K270,MIN(8,MAX(1,C270))),2)="令和",2018,IF(LEFT(INDEX(D270:K270,MIN(8,MAX(1,C270))),2)="平成",1988,1925)),VALUE(MID(INDEX(D270:K270,MIN(8,MAX(1,C270))),FIND("年",INDEX(D270:K270,MIN(8,MAX(1,C270))))+1,FIND("月",INDEX(D270:K270,MIN(8,MAX(1,C270))))-FIND("年",INDEX(D270:K270,MIN(8,MAX(1,C270))))-1)),IFERROR(VALUE(SUBSTITUTE(MID(INDEX(D270:K270,MIN(8,MAX(1,C270))),FIND("月",INDEX(D270:K270,MIN(8,MAX(1,C270))))+1,10),"日","")),1)),DATE(VALUE(TRIM(MID(SUBSTITUTE(AA270,"/",REPT(" ",50)),1,50))),VALUE(TRIM(MID(SUBSTITUTE(AA270,"/",REPT(" ",50)),51,50))),IFERROR(VALUE(TRIM(MID(SUBSTITUTE(AA270,"/",REPT(" ",50)),101,50))),1))),IFERROR(DATEVALUE(INDEX(D270:K270,MIN(8,MAX(1,C270)))),"")))</f>
        <v/>
      </c>
      <c r="T270">
        <f>IF(B270="","",IF(AB270&lt;&gt;"",AB270,IFERROR(MATCH(SUBSTITUTE(SUBSTITUTE(P270," ",""),"　",""),入力!$AH$5:$AH$44,0),"")))</f>
        <v/>
      </c>
      <c r="U270">
        <f>IF(T270="","",INDEX(入力!$D$5:$D$44,T270))</f>
        <v/>
      </c>
      <c r="V270">
        <f>IF(B270="","",IF(T270="","要確認（名簿と照合できません）",IF(R270="","要確認（資格名がありません）",IF(S270="","要確認（取得日が読めません）",IF((IF(INDEX(入力!$N$5:$N$44,T270)=R270,1,0)+IF(INDEX(入力!$P$5:$P$44,T270)=R270,1,0)+IF(INDEX(入力!$R$5:$R$44,T270)=R270,1,0)+IF(INDEX(入力!$T$5:$T$44,T270)=R270,1,0)+IF(INDEX(入力!$V$5:$V$44,T270)=R270,1,0)+IF(INDEX(入力!$X$5:$X$44,T270)=R270,1,0))+(COUNTIFS($T$6:$T$405,T270,$R$6:$R$405,R270,$X$6:$X$405,"&lt;"&amp;X270))&gt;0,"重複","反映")))))</f>
        <v/>
      </c>
      <c r="W270">
        <f>IF(V270="反映",1,0)</f>
        <v/>
      </c>
      <c r="X270" t="n">
        <v>270</v>
      </c>
      <c r="Y270">
        <f>IF(W270=0,"",COUNTIFS($T$6:$T$405,T270,$W$6:$W$405,1,$S$6:$S$405,"&lt;"&amp;S270)+COUNTIFS($T$6:$T$405,T270,$W$6:$W$405,1,$S$6:$S$405,S270,$X$6:$X$405,"&lt;"&amp;X270)+1)</f>
        <v/>
      </c>
      <c r="Z270">
        <f>IF(Y270="","",T270&amp;"_"&amp;Y270)</f>
        <v/>
      </c>
      <c r="AA270">
        <f>SUBSTITUTE(SUBSTITUTE(SUBSTITUTE(SUBSTITUTE(SUBSTITUTE(INDEX(D270:K270,MIN(8,MAX(1,C270))),"年","/"),"月","/"),"日",""),"-","/"),".","/")</f>
        <v/>
      </c>
      <c r="AB270">
        <f>IFERROR(MATCH(O270,入力!$C$5:$C$44,0),"")</f>
        <v/>
      </c>
      <c r="AC270">
        <f>IF(AB270="","",INDEX(入力!$AH$5:$AH$44,AB270))</f>
        <v/>
      </c>
      <c r="AD270">
        <f>IF(INDEX($D270:$K270,IF(M270=1,2,1))=AC270,1,IF(INDEX($D270:$K270,IF(M270=1,2,1))&amp;INDEX($D270:$K270,IF(M270=1,2,1)+1)=AC270,2,IF(INDEX($D270:$K270,IF(M270=1,2,1))&amp;INDEX($D270:$K270,IF(M270=1,2,1)+1)&amp;INDEX($D270:$K270,IF(M270=1,2,1)+2)=AC270,3,IF(AB270&lt;&gt;"",2,IF(ISNUMBER(MATCH(INDEX($D270:$K270,IF(M270=1,2,1)),入力!$AH$5:$AH$44,0)),1,IF(ISNUMBER(MATCH(INDEX($D270:$K270,IF(M270=1,2,1))&amp;INDEX($D270:$K270,IF(M270=1,2,1)+1),入力!$AH$5:$AH$44,0)),2,IF(ISNUMBER(MATCH(INDEX($D270:$K270,IF(M270=1,2,1))&amp;INDEX($D270:$K270,IF(M270=1,2,1)+1)&amp;INDEX($D270:$K270,IF(M270=1,2,1)+2),入力!$AH$5:$AH$44,0)),3,2)))))))</f>
        <v/>
      </c>
      <c r="AE270">
        <f>IF(V270="","",IF(AND(V270="反映",N(Y270)&gt;20),"要確認（この生徒の取込が20件を超えました）",V270))</f>
        <v/>
      </c>
    </row>
    <row r="271">
      <c r="A271" s="138" t="n"/>
      <c r="B271">
        <f>TRIM(SUBSTITUTE(SUBSTITUTE(SUBSTITUTE(A271,CHAR(9)," "),"　"," "),CHAR(160)," "))</f>
        <v/>
      </c>
      <c r="C271">
        <f>IF(B271="",0,LEN(B271)-LEN(SUBSTITUTE(B271," ",""))+1)</f>
        <v/>
      </c>
      <c r="D271">
        <f>IF(C271&gt;=1,TRIM(MID(SUBSTITUTE(B271," ",REPT(" ",200)),1,200)),"")</f>
        <v/>
      </c>
      <c r="E271">
        <f>IF(C271&gt;=2,TRIM(MID(SUBSTITUTE(B271," ",REPT(" ",200)),201,200)),"")</f>
        <v/>
      </c>
      <c r="F271">
        <f>IF(C271&gt;=3,TRIM(MID(SUBSTITUTE(B271," ",REPT(" ",200)),401,200)),"")</f>
        <v/>
      </c>
      <c r="G271">
        <f>IF(C271&gt;=4,TRIM(MID(SUBSTITUTE(B271," ",REPT(" ",200)),601,200)),"")</f>
        <v/>
      </c>
      <c r="H271">
        <f>IF(C271&gt;=5,TRIM(MID(SUBSTITUTE(B271," ",REPT(" ",200)),801,200)),"")</f>
        <v/>
      </c>
      <c r="I271">
        <f>IF(C271&gt;=6,TRIM(MID(SUBSTITUTE(B271," ",REPT(" ",200)),1001,200)),"")</f>
        <v/>
      </c>
      <c r="J271">
        <f>IF(C271&gt;=7,TRIM(MID(SUBSTITUTE(B271," ",REPT(" ",200)),1201,200)),"")</f>
        <v/>
      </c>
      <c r="K271">
        <f>IF(C271&gt;=8,TRIM(MID(SUBSTITUTE(B271," ",REPT(" ",200)),1401,200)),"")</f>
        <v/>
      </c>
      <c r="L271">
        <f>SUBSTITUTE(SUBSTITUTE(SUBSTITUTE(D271,"年","-"),"組","-"),"番","")</f>
        <v/>
      </c>
      <c r="M271">
        <f>IF(D271="",0,IF(ISNUMBER(VALUE(SUBSTITUTE(L271,"-",""))),1,0))</f>
        <v/>
      </c>
      <c r="N271">
        <f>IF(M271=0,"",IFERROR(VALUE(TRIM(MID(SUBSTITUTE(L271,"-",REPT(" ",100)),101,100))),""))</f>
        <v/>
      </c>
      <c r="O271">
        <f>IF(M271=0,"",IFERROR(VALUE(TRIM(RIGHT(SUBSTITUTE(L271,"-",REPT(" ",100)),100))),""))</f>
        <v/>
      </c>
      <c r="P271">
        <f>IF(B271="","",TRIM(INDEX($D271:$K271,IF(M271=1,2,1))&amp;IF(AD271&gt;=2," "&amp;INDEX($D271:$K271,IF(M271=1,2,1)+1),"")&amp;IF(AD271&gt;=3," "&amp;INDEX($D271:$K271,IF(M271=1,2,1)+2),"")))</f>
        <v/>
      </c>
      <c r="Q271">
        <f>IF(C271&lt;2,"",TRIM(IF(AND(2&gt;=(IF(M271=1,2,1)+AD271),2&lt;=C271-IF(S271="",0,1)),E271&amp;" ","")&amp;IF(AND(3&gt;=(IF(M271=1,2,1)+AD271),3&lt;=C271-IF(S271="",0,1)),F271&amp;" ","")&amp;IF(AND(4&gt;=(IF(M271=1,2,1)+AD271),4&lt;=C271-IF(S271="",0,1)),G271&amp;" ","")&amp;IF(AND(5&gt;=(IF(M271=1,2,1)+AD271),5&lt;=C271-IF(S271="",0,1)),H271&amp;" ","")&amp;IF(AND(6&gt;=(IF(M271=1,2,1)+AD271),6&lt;=C271-IF(S271="",0,1)),I271&amp;" ","")&amp;IF(AND(7&gt;=(IF(M271=1,2,1)+AD271),7&lt;=C271-IF(S271="",0,1)),J271&amp;" ","")&amp;IF(AND(8&gt;=(IF(M271=1,2,1)+AD271),8&lt;=C271-IF(S271="",0,1)),K271&amp;" ","")))</f>
        <v/>
      </c>
      <c r="R271">
        <f>IF(Q271="","",IFERROR(INDEX(資格マスタ!$B:$B,MATCH(ASC(SUBSTITUTE(SUBSTITUTE(Q271," ",""),"　","")),資格マスタ!$D:$D,0)),Q271))</f>
        <v/>
      </c>
      <c r="S271" s="139">
        <f>IF(C271&lt;2,"",IFERROR(IF(OR(LEFT(INDEX(D271:K271,MIN(8,MAX(1,C271))),2)="令和",LEFT(INDEX(D271:K271,MIN(8,MAX(1,C271))),2)="平成",LEFT(INDEX(D271:K271,MIN(8,MAX(1,C271))),2)="昭和"),DATE(VALUE(MID(INDEX(D271:K271,MIN(8,MAX(1,C271))),3,FIND("年",INDEX(D271:K271,MIN(8,MAX(1,C271))))-3))+IF(LEFT(INDEX(D271:K271,MIN(8,MAX(1,C271))),2)="令和",2018,IF(LEFT(INDEX(D271:K271,MIN(8,MAX(1,C271))),2)="平成",1988,1925)),VALUE(MID(INDEX(D271:K271,MIN(8,MAX(1,C271))),FIND("年",INDEX(D271:K271,MIN(8,MAX(1,C271))))+1,FIND("月",INDEX(D271:K271,MIN(8,MAX(1,C271))))-FIND("年",INDEX(D271:K271,MIN(8,MAX(1,C271))))-1)),IFERROR(VALUE(SUBSTITUTE(MID(INDEX(D271:K271,MIN(8,MAX(1,C271))),FIND("月",INDEX(D271:K271,MIN(8,MAX(1,C271))))+1,10),"日","")),1)),DATE(VALUE(TRIM(MID(SUBSTITUTE(AA271,"/",REPT(" ",50)),1,50))),VALUE(TRIM(MID(SUBSTITUTE(AA271,"/",REPT(" ",50)),51,50))),IFERROR(VALUE(TRIM(MID(SUBSTITUTE(AA271,"/",REPT(" ",50)),101,50))),1))),IFERROR(DATEVALUE(INDEX(D271:K271,MIN(8,MAX(1,C271)))),"")))</f>
        <v/>
      </c>
      <c r="T271">
        <f>IF(B271="","",IF(AB271&lt;&gt;"",AB271,IFERROR(MATCH(SUBSTITUTE(SUBSTITUTE(P271," ",""),"　",""),入力!$AH$5:$AH$44,0),"")))</f>
        <v/>
      </c>
      <c r="U271">
        <f>IF(T271="","",INDEX(入力!$D$5:$D$44,T271))</f>
        <v/>
      </c>
      <c r="V271">
        <f>IF(B271="","",IF(T271="","要確認（名簿と照合できません）",IF(R271="","要確認（資格名がありません）",IF(S271="","要確認（取得日が読めません）",IF((IF(INDEX(入力!$N$5:$N$44,T271)=R271,1,0)+IF(INDEX(入力!$P$5:$P$44,T271)=R271,1,0)+IF(INDEX(入力!$R$5:$R$44,T271)=R271,1,0)+IF(INDEX(入力!$T$5:$T$44,T271)=R271,1,0)+IF(INDEX(入力!$V$5:$V$44,T271)=R271,1,0)+IF(INDEX(入力!$X$5:$X$44,T271)=R271,1,0))+(COUNTIFS($T$6:$T$405,T271,$R$6:$R$405,R271,$X$6:$X$405,"&lt;"&amp;X271))&gt;0,"重複","反映")))))</f>
        <v/>
      </c>
      <c r="W271">
        <f>IF(V271="反映",1,0)</f>
        <v/>
      </c>
      <c r="X271" t="n">
        <v>271</v>
      </c>
      <c r="Y271">
        <f>IF(W271=0,"",COUNTIFS($T$6:$T$405,T271,$W$6:$W$405,1,$S$6:$S$405,"&lt;"&amp;S271)+COUNTIFS($T$6:$T$405,T271,$W$6:$W$405,1,$S$6:$S$405,S271,$X$6:$X$405,"&lt;"&amp;X271)+1)</f>
        <v/>
      </c>
      <c r="Z271">
        <f>IF(Y271="","",T271&amp;"_"&amp;Y271)</f>
        <v/>
      </c>
      <c r="AA271">
        <f>SUBSTITUTE(SUBSTITUTE(SUBSTITUTE(SUBSTITUTE(SUBSTITUTE(INDEX(D271:K271,MIN(8,MAX(1,C271))),"年","/"),"月","/"),"日",""),"-","/"),".","/")</f>
        <v/>
      </c>
      <c r="AB271">
        <f>IFERROR(MATCH(O271,入力!$C$5:$C$44,0),"")</f>
        <v/>
      </c>
      <c r="AC271">
        <f>IF(AB271="","",INDEX(入力!$AH$5:$AH$44,AB271))</f>
        <v/>
      </c>
      <c r="AD271">
        <f>IF(INDEX($D271:$K271,IF(M271=1,2,1))=AC271,1,IF(INDEX($D271:$K271,IF(M271=1,2,1))&amp;INDEX($D271:$K271,IF(M271=1,2,1)+1)=AC271,2,IF(INDEX($D271:$K271,IF(M271=1,2,1))&amp;INDEX($D271:$K271,IF(M271=1,2,1)+1)&amp;INDEX($D271:$K271,IF(M271=1,2,1)+2)=AC271,3,IF(AB271&lt;&gt;"",2,IF(ISNUMBER(MATCH(INDEX($D271:$K271,IF(M271=1,2,1)),入力!$AH$5:$AH$44,0)),1,IF(ISNUMBER(MATCH(INDEX($D271:$K271,IF(M271=1,2,1))&amp;INDEX($D271:$K271,IF(M271=1,2,1)+1),入力!$AH$5:$AH$44,0)),2,IF(ISNUMBER(MATCH(INDEX($D271:$K271,IF(M271=1,2,1))&amp;INDEX($D271:$K271,IF(M271=1,2,1)+1)&amp;INDEX($D271:$K271,IF(M271=1,2,1)+2),入力!$AH$5:$AH$44,0)),3,2)))))))</f>
        <v/>
      </c>
      <c r="AE271">
        <f>IF(V271="","",IF(AND(V271="反映",N(Y271)&gt;20),"要確認（この生徒の取込が20件を超えました）",V271))</f>
        <v/>
      </c>
    </row>
    <row r="272">
      <c r="A272" s="138" t="n"/>
      <c r="B272">
        <f>TRIM(SUBSTITUTE(SUBSTITUTE(SUBSTITUTE(A272,CHAR(9)," "),"　"," "),CHAR(160)," "))</f>
        <v/>
      </c>
      <c r="C272">
        <f>IF(B272="",0,LEN(B272)-LEN(SUBSTITUTE(B272," ",""))+1)</f>
        <v/>
      </c>
      <c r="D272">
        <f>IF(C272&gt;=1,TRIM(MID(SUBSTITUTE(B272," ",REPT(" ",200)),1,200)),"")</f>
        <v/>
      </c>
      <c r="E272">
        <f>IF(C272&gt;=2,TRIM(MID(SUBSTITUTE(B272," ",REPT(" ",200)),201,200)),"")</f>
        <v/>
      </c>
      <c r="F272">
        <f>IF(C272&gt;=3,TRIM(MID(SUBSTITUTE(B272," ",REPT(" ",200)),401,200)),"")</f>
        <v/>
      </c>
      <c r="G272">
        <f>IF(C272&gt;=4,TRIM(MID(SUBSTITUTE(B272," ",REPT(" ",200)),601,200)),"")</f>
        <v/>
      </c>
      <c r="H272">
        <f>IF(C272&gt;=5,TRIM(MID(SUBSTITUTE(B272," ",REPT(" ",200)),801,200)),"")</f>
        <v/>
      </c>
      <c r="I272">
        <f>IF(C272&gt;=6,TRIM(MID(SUBSTITUTE(B272," ",REPT(" ",200)),1001,200)),"")</f>
        <v/>
      </c>
      <c r="J272">
        <f>IF(C272&gt;=7,TRIM(MID(SUBSTITUTE(B272," ",REPT(" ",200)),1201,200)),"")</f>
        <v/>
      </c>
      <c r="K272">
        <f>IF(C272&gt;=8,TRIM(MID(SUBSTITUTE(B272," ",REPT(" ",200)),1401,200)),"")</f>
        <v/>
      </c>
      <c r="L272">
        <f>SUBSTITUTE(SUBSTITUTE(SUBSTITUTE(D272,"年","-"),"組","-"),"番","")</f>
        <v/>
      </c>
      <c r="M272">
        <f>IF(D272="",0,IF(ISNUMBER(VALUE(SUBSTITUTE(L272,"-",""))),1,0))</f>
        <v/>
      </c>
      <c r="N272">
        <f>IF(M272=0,"",IFERROR(VALUE(TRIM(MID(SUBSTITUTE(L272,"-",REPT(" ",100)),101,100))),""))</f>
        <v/>
      </c>
      <c r="O272">
        <f>IF(M272=0,"",IFERROR(VALUE(TRIM(RIGHT(SUBSTITUTE(L272,"-",REPT(" ",100)),100))),""))</f>
        <v/>
      </c>
      <c r="P272">
        <f>IF(B272="","",TRIM(INDEX($D272:$K272,IF(M272=1,2,1))&amp;IF(AD272&gt;=2," "&amp;INDEX($D272:$K272,IF(M272=1,2,1)+1),"")&amp;IF(AD272&gt;=3," "&amp;INDEX($D272:$K272,IF(M272=1,2,1)+2),"")))</f>
        <v/>
      </c>
      <c r="Q272">
        <f>IF(C272&lt;2,"",TRIM(IF(AND(2&gt;=(IF(M272=1,2,1)+AD272),2&lt;=C272-IF(S272="",0,1)),E272&amp;" ","")&amp;IF(AND(3&gt;=(IF(M272=1,2,1)+AD272),3&lt;=C272-IF(S272="",0,1)),F272&amp;" ","")&amp;IF(AND(4&gt;=(IF(M272=1,2,1)+AD272),4&lt;=C272-IF(S272="",0,1)),G272&amp;" ","")&amp;IF(AND(5&gt;=(IF(M272=1,2,1)+AD272),5&lt;=C272-IF(S272="",0,1)),H272&amp;" ","")&amp;IF(AND(6&gt;=(IF(M272=1,2,1)+AD272),6&lt;=C272-IF(S272="",0,1)),I272&amp;" ","")&amp;IF(AND(7&gt;=(IF(M272=1,2,1)+AD272),7&lt;=C272-IF(S272="",0,1)),J272&amp;" ","")&amp;IF(AND(8&gt;=(IF(M272=1,2,1)+AD272),8&lt;=C272-IF(S272="",0,1)),K272&amp;" ","")))</f>
        <v/>
      </c>
      <c r="R272">
        <f>IF(Q272="","",IFERROR(INDEX(資格マスタ!$B:$B,MATCH(ASC(SUBSTITUTE(SUBSTITUTE(Q272," ",""),"　","")),資格マスタ!$D:$D,0)),Q272))</f>
        <v/>
      </c>
      <c r="S272" s="139">
        <f>IF(C272&lt;2,"",IFERROR(IF(OR(LEFT(INDEX(D272:K272,MIN(8,MAX(1,C272))),2)="令和",LEFT(INDEX(D272:K272,MIN(8,MAX(1,C272))),2)="平成",LEFT(INDEX(D272:K272,MIN(8,MAX(1,C272))),2)="昭和"),DATE(VALUE(MID(INDEX(D272:K272,MIN(8,MAX(1,C272))),3,FIND("年",INDEX(D272:K272,MIN(8,MAX(1,C272))))-3))+IF(LEFT(INDEX(D272:K272,MIN(8,MAX(1,C272))),2)="令和",2018,IF(LEFT(INDEX(D272:K272,MIN(8,MAX(1,C272))),2)="平成",1988,1925)),VALUE(MID(INDEX(D272:K272,MIN(8,MAX(1,C272))),FIND("年",INDEX(D272:K272,MIN(8,MAX(1,C272))))+1,FIND("月",INDEX(D272:K272,MIN(8,MAX(1,C272))))-FIND("年",INDEX(D272:K272,MIN(8,MAX(1,C272))))-1)),IFERROR(VALUE(SUBSTITUTE(MID(INDEX(D272:K272,MIN(8,MAX(1,C272))),FIND("月",INDEX(D272:K272,MIN(8,MAX(1,C272))))+1,10),"日","")),1)),DATE(VALUE(TRIM(MID(SUBSTITUTE(AA272,"/",REPT(" ",50)),1,50))),VALUE(TRIM(MID(SUBSTITUTE(AA272,"/",REPT(" ",50)),51,50))),IFERROR(VALUE(TRIM(MID(SUBSTITUTE(AA272,"/",REPT(" ",50)),101,50))),1))),IFERROR(DATEVALUE(INDEX(D272:K272,MIN(8,MAX(1,C272)))),"")))</f>
        <v/>
      </c>
      <c r="T272">
        <f>IF(B272="","",IF(AB272&lt;&gt;"",AB272,IFERROR(MATCH(SUBSTITUTE(SUBSTITUTE(P272," ",""),"　",""),入力!$AH$5:$AH$44,0),"")))</f>
        <v/>
      </c>
      <c r="U272">
        <f>IF(T272="","",INDEX(入力!$D$5:$D$44,T272))</f>
        <v/>
      </c>
      <c r="V272">
        <f>IF(B272="","",IF(T272="","要確認（名簿と照合できません）",IF(R272="","要確認（資格名がありません）",IF(S272="","要確認（取得日が読めません）",IF((IF(INDEX(入力!$N$5:$N$44,T272)=R272,1,0)+IF(INDEX(入力!$P$5:$P$44,T272)=R272,1,0)+IF(INDEX(入力!$R$5:$R$44,T272)=R272,1,0)+IF(INDEX(入力!$T$5:$T$44,T272)=R272,1,0)+IF(INDEX(入力!$V$5:$V$44,T272)=R272,1,0)+IF(INDEX(入力!$X$5:$X$44,T272)=R272,1,0))+(COUNTIFS($T$6:$T$405,T272,$R$6:$R$405,R272,$X$6:$X$405,"&lt;"&amp;X272))&gt;0,"重複","反映")))))</f>
        <v/>
      </c>
      <c r="W272">
        <f>IF(V272="反映",1,0)</f>
        <v/>
      </c>
      <c r="X272" t="n">
        <v>272</v>
      </c>
      <c r="Y272">
        <f>IF(W272=0,"",COUNTIFS($T$6:$T$405,T272,$W$6:$W$405,1,$S$6:$S$405,"&lt;"&amp;S272)+COUNTIFS($T$6:$T$405,T272,$W$6:$W$405,1,$S$6:$S$405,S272,$X$6:$X$405,"&lt;"&amp;X272)+1)</f>
        <v/>
      </c>
      <c r="Z272">
        <f>IF(Y272="","",T272&amp;"_"&amp;Y272)</f>
        <v/>
      </c>
      <c r="AA272">
        <f>SUBSTITUTE(SUBSTITUTE(SUBSTITUTE(SUBSTITUTE(SUBSTITUTE(INDEX(D272:K272,MIN(8,MAX(1,C272))),"年","/"),"月","/"),"日",""),"-","/"),".","/")</f>
        <v/>
      </c>
      <c r="AB272">
        <f>IFERROR(MATCH(O272,入力!$C$5:$C$44,0),"")</f>
        <v/>
      </c>
      <c r="AC272">
        <f>IF(AB272="","",INDEX(入力!$AH$5:$AH$44,AB272))</f>
        <v/>
      </c>
      <c r="AD272">
        <f>IF(INDEX($D272:$K272,IF(M272=1,2,1))=AC272,1,IF(INDEX($D272:$K272,IF(M272=1,2,1))&amp;INDEX($D272:$K272,IF(M272=1,2,1)+1)=AC272,2,IF(INDEX($D272:$K272,IF(M272=1,2,1))&amp;INDEX($D272:$K272,IF(M272=1,2,1)+1)&amp;INDEX($D272:$K272,IF(M272=1,2,1)+2)=AC272,3,IF(AB272&lt;&gt;"",2,IF(ISNUMBER(MATCH(INDEX($D272:$K272,IF(M272=1,2,1)),入力!$AH$5:$AH$44,0)),1,IF(ISNUMBER(MATCH(INDEX($D272:$K272,IF(M272=1,2,1))&amp;INDEX($D272:$K272,IF(M272=1,2,1)+1),入力!$AH$5:$AH$44,0)),2,IF(ISNUMBER(MATCH(INDEX($D272:$K272,IF(M272=1,2,1))&amp;INDEX($D272:$K272,IF(M272=1,2,1)+1)&amp;INDEX($D272:$K272,IF(M272=1,2,1)+2),入力!$AH$5:$AH$44,0)),3,2)))))))</f>
        <v/>
      </c>
      <c r="AE272">
        <f>IF(V272="","",IF(AND(V272="反映",N(Y272)&gt;20),"要確認（この生徒の取込が20件を超えました）",V272))</f>
        <v/>
      </c>
    </row>
    <row r="273">
      <c r="A273" s="138" t="n"/>
      <c r="B273">
        <f>TRIM(SUBSTITUTE(SUBSTITUTE(SUBSTITUTE(A273,CHAR(9)," "),"　"," "),CHAR(160)," "))</f>
        <v/>
      </c>
      <c r="C273">
        <f>IF(B273="",0,LEN(B273)-LEN(SUBSTITUTE(B273," ",""))+1)</f>
        <v/>
      </c>
      <c r="D273">
        <f>IF(C273&gt;=1,TRIM(MID(SUBSTITUTE(B273," ",REPT(" ",200)),1,200)),"")</f>
        <v/>
      </c>
      <c r="E273">
        <f>IF(C273&gt;=2,TRIM(MID(SUBSTITUTE(B273," ",REPT(" ",200)),201,200)),"")</f>
        <v/>
      </c>
      <c r="F273">
        <f>IF(C273&gt;=3,TRIM(MID(SUBSTITUTE(B273," ",REPT(" ",200)),401,200)),"")</f>
        <v/>
      </c>
      <c r="G273">
        <f>IF(C273&gt;=4,TRIM(MID(SUBSTITUTE(B273," ",REPT(" ",200)),601,200)),"")</f>
        <v/>
      </c>
      <c r="H273">
        <f>IF(C273&gt;=5,TRIM(MID(SUBSTITUTE(B273," ",REPT(" ",200)),801,200)),"")</f>
        <v/>
      </c>
      <c r="I273">
        <f>IF(C273&gt;=6,TRIM(MID(SUBSTITUTE(B273," ",REPT(" ",200)),1001,200)),"")</f>
        <v/>
      </c>
      <c r="J273">
        <f>IF(C273&gt;=7,TRIM(MID(SUBSTITUTE(B273," ",REPT(" ",200)),1201,200)),"")</f>
        <v/>
      </c>
      <c r="K273">
        <f>IF(C273&gt;=8,TRIM(MID(SUBSTITUTE(B273," ",REPT(" ",200)),1401,200)),"")</f>
        <v/>
      </c>
      <c r="L273">
        <f>SUBSTITUTE(SUBSTITUTE(SUBSTITUTE(D273,"年","-"),"組","-"),"番","")</f>
        <v/>
      </c>
      <c r="M273">
        <f>IF(D273="",0,IF(ISNUMBER(VALUE(SUBSTITUTE(L273,"-",""))),1,0))</f>
        <v/>
      </c>
      <c r="N273">
        <f>IF(M273=0,"",IFERROR(VALUE(TRIM(MID(SUBSTITUTE(L273,"-",REPT(" ",100)),101,100))),""))</f>
        <v/>
      </c>
      <c r="O273">
        <f>IF(M273=0,"",IFERROR(VALUE(TRIM(RIGHT(SUBSTITUTE(L273,"-",REPT(" ",100)),100))),""))</f>
        <v/>
      </c>
      <c r="P273">
        <f>IF(B273="","",TRIM(INDEX($D273:$K273,IF(M273=1,2,1))&amp;IF(AD273&gt;=2," "&amp;INDEX($D273:$K273,IF(M273=1,2,1)+1),"")&amp;IF(AD273&gt;=3," "&amp;INDEX($D273:$K273,IF(M273=1,2,1)+2),"")))</f>
        <v/>
      </c>
      <c r="Q273">
        <f>IF(C273&lt;2,"",TRIM(IF(AND(2&gt;=(IF(M273=1,2,1)+AD273),2&lt;=C273-IF(S273="",0,1)),E273&amp;" ","")&amp;IF(AND(3&gt;=(IF(M273=1,2,1)+AD273),3&lt;=C273-IF(S273="",0,1)),F273&amp;" ","")&amp;IF(AND(4&gt;=(IF(M273=1,2,1)+AD273),4&lt;=C273-IF(S273="",0,1)),G273&amp;" ","")&amp;IF(AND(5&gt;=(IF(M273=1,2,1)+AD273),5&lt;=C273-IF(S273="",0,1)),H273&amp;" ","")&amp;IF(AND(6&gt;=(IF(M273=1,2,1)+AD273),6&lt;=C273-IF(S273="",0,1)),I273&amp;" ","")&amp;IF(AND(7&gt;=(IF(M273=1,2,1)+AD273),7&lt;=C273-IF(S273="",0,1)),J273&amp;" ","")&amp;IF(AND(8&gt;=(IF(M273=1,2,1)+AD273),8&lt;=C273-IF(S273="",0,1)),K273&amp;" ","")))</f>
        <v/>
      </c>
      <c r="R273">
        <f>IF(Q273="","",IFERROR(INDEX(資格マスタ!$B:$B,MATCH(ASC(SUBSTITUTE(SUBSTITUTE(Q273," ",""),"　","")),資格マスタ!$D:$D,0)),Q273))</f>
        <v/>
      </c>
      <c r="S273" s="139">
        <f>IF(C273&lt;2,"",IFERROR(IF(OR(LEFT(INDEX(D273:K273,MIN(8,MAX(1,C273))),2)="令和",LEFT(INDEX(D273:K273,MIN(8,MAX(1,C273))),2)="平成",LEFT(INDEX(D273:K273,MIN(8,MAX(1,C273))),2)="昭和"),DATE(VALUE(MID(INDEX(D273:K273,MIN(8,MAX(1,C273))),3,FIND("年",INDEX(D273:K273,MIN(8,MAX(1,C273))))-3))+IF(LEFT(INDEX(D273:K273,MIN(8,MAX(1,C273))),2)="令和",2018,IF(LEFT(INDEX(D273:K273,MIN(8,MAX(1,C273))),2)="平成",1988,1925)),VALUE(MID(INDEX(D273:K273,MIN(8,MAX(1,C273))),FIND("年",INDEX(D273:K273,MIN(8,MAX(1,C273))))+1,FIND("月",INDEX(D273:K273,MIN(8,MAX(1,C273))))-FIND("年",INDEX(D273:K273,MIN(8,MAX(1,C273))))-1)),IFERROR(VALUE(SUBSTITUTE(MID(INDEX(D273:K273,MIN(8,MAX(1,C273))),FIND("月",INDEX(D273:K273,MIN(8,MAX(1,C273))))+1,10),"日","")),1)),DATE(VALUE(TRIM(MID(SUBSTITUTE(AA273,"/",REPT(" ",50)),1,50))),VALUE(TRIM(MID(SUBSTITUTE(AA273,"/",REPT(" ",50)),51,50))),IFERROR(VALUE(TRIM(MID(SUBSTITUTE(AA273,"/",REPT(" ",50)),101,50))),1))),IFERROR(DATEVALUE(INDEX(D273:K273,MIN(8,MAX(1,C273)))),"")))</f>
        <v/>
      </c>
      <c r="T273">
        <f>IF(B273="","",IF(AB273&lt;&gt;"",AB273,IFERROR(MATCH(SUBSTITUTE(SUBSTITUTE(P273," ",""),"　",""),入力!$AH$5:$AH$44,0),"")))</f>
        <v/>
      </c>
      <c r="U273">
        <f>IF(T273="","",INDEX(入力!$D$5:$D$44,T273))</f>
        <v/>
      </c>
      <c r="V273">
        <f>IF(B273="","",IF(T273="","要確認（名簿と照合できません）",IF(R273="","要確認（資格名がありません）",IF(S273="","要確認（取得日が読めません）",IF((IF(INDEX(入力!$N$5:$N$44,T273)=R273,1,0)+IF(INDEX(入力!$P$5:$P$44,T273)=R273,1,0)+IF(INDEX(入力!$R$5:$R$44,T273)=R273,1,0)+IF(INDEX(入力!$T$5:$T$44,T273)=R273,1,0)+IF(INDEX(入力!$V$5:$V$44,T273)=R273,1,0)+IF(INDEX(入力!$X$5:$X$44,T273)=R273,1,0))+(COUNTIFS($T$6:$T$405,T273,$R$6:$R$405,R273,$X$6:$X$405,"&lt;"&amp;X273))&gt;0,"重複","反映")))))</f>
        <v/>
      </c>
      <c r="W273">
        <f>IF(V273="反映",1,0)</f>
        <v/>
      </c>
      <c r="X273" t="n">
        <v>273</v>
      </c>
      <c r="Y273">
        <f>IF(W273=0,"",COUNTIFS($T$6:$T$405,T273,$W$6:$W$405,1,$S$6:$S$405,"&lt;"&amp;S273)+COUNTIFS($T$6:$T$405,T273,$W$6:$W$405,1,$S$6:$S$405,S273,$X$6:$X$405,"&lt;"&amp;X273)+1)</f>
        <v/>
      </c>
      <c r="Z273">
        <f>IF(Y273="","",T273&amp;"_"&amp;Y273)</f>
        <v/>
      </c>
      <c r="AA273">
        <f>SUBSTITUTE(SUBSTITUTE(SUBSTITUTE(SUBSTITUTE(SUBSTITUTE(INDEX(D273:K273,MIN(8,MAX(1,C273))),"年","/"),"月","/"),"日",""),"-","/"),".","/")</f>
        <v/>
      </c>
      <c r="AB273">
        <f>IFERROR(MATCH(O273,入力!$C$5:$C$44,0),"")</f>
        <v/>
      </c>
      <c r="AC273">
        <f>IF(AB273="","",INDEX(入力!$AH$5:$AH$44,AB273))</f>
        <v/>
      </c>
      <c r="AD273">
        <f>IF(INDEX($D273:$K273,IF(M273=1,2,1))=AC273,1,IF(INDEX($D273:$K273,IF(M273=1,2,1))&amp;INDEX($D273:$K273,IF(M273=1,2,1)+1)=AC273,2,IF(INDEX($D273:$K273,IF(M273=1,2,1))&amp;INDEX($D273:$K273,IF(M273=1,2,1)+1)&amp;INDEX($D273:$K273,IF(M273=1,2,1)+2)=AC273,3,IF(AB273&lt;&gt;"",2,IF(ISNUMBER(MATCH(INDEX($D273:$K273,IF(M273=1,2,1)),入力!$AH$5:$AH$44,0)),1,IF(ISNUMBER(MATCH(INDEX($D273:$K273,IF(M273=1,2,1))&amp;INDEX($D273:$K273,IF(M273=1,2,1)+1),入力!$AH$5:$AH$44,0)),2,IF(ISNUMBER(MATCH(INDEX($D273:$K273,IF(M273=1,2,1))&amp;INDEX($D273:$K273,IF(M273=1,2,1)+1)&amp;INDEX($D273:$K273,IF(M273=1,2,1)+2),入力!$AH$5:$AH$44,0)),3,2)))))))</f>
        <v/>
      </c>
      <c r="AE273">
        <f>IF(V273="","",IF(AND(V273="反映",N(Y273)&gt;20),"要確認（この生徒の取込が20件を超えました）",V273))</f>
        <v/>
      </c>
    </row>
    <row r="274">
      <c r="A274" s="138" t="n"/>
      <c r="B274">
        <f>TRIM(SUBSTITUTE(SUBSTITUTE(SUBSTITUTE(A274,CHAR(9)," "),"　"," "),CHAR(160)," "))</f>
        <v/>
      </c>
      <c r="C274">
        <f>IF(B274="",0,LEN(B274)-LEN(SUBSTITUTE(B274," ",""))+1)</f>
        <v/>
      </c>
      <c r="D274">
        <f>IF(C274&gt;=1,TRIM(MID(SUBSTITUTE(B274," ",REPT(" ",200)),1,200)),"")</f>
        <v/>
      </c>
      <c r="E274">
        <f>IF(C274&gt;=2,TRIM(MID(SUBSTITUTE(B274," ",REPT(" ",200)),201,200)),"")</f>
        <v/>
      </c>
      <c r="F274">
        <f>IF(C274&gt;=3,TRIM(MID(SUBSTITUTE(B274," ",REPT(" ",200)),401,200)),"")</f>
        <v/>
      </c>
      <c r="G274">
        <f>IF(C274&gt;=4,TRIM(MID(SUBSTITUTE(B274," ",REPT(" ",200)),601,200)),"")</f>
        <v/>
      </c>
      <c r="H274">
        <f>IF(C274&gt;=5,TRIM(MID(SUBSTITUTE(B274," ",REPT(" ",200)),801,200)),"")</f>
        <v/>
      </c>
      <c r="I274">
        <f>IF(C274&gt;=6,TRIM(MID(SUBSTITUTE(B274," ",REPT(" ",200)),1001,200)),"")</f>
        <v/>
      </c>
      <c r="J274">
        <f>IF(C274&gt;=7,TRIM(MID(SUBSTITUTE(B274," ",REPT(" ",200)),1201,200)),"")</f>
        <v/>
      </c>
      <c r="K274">
        <f>IF(C274&gt;=8,TRIM(MID(SUBSTITUTE(B274," ",REPT(" ",200)),1401,200)),"")</f>
        <v/>
      </c>
      <c r="L274">
        <f>SUBSTITUTE(SUBSTITUTE(SUBSTITUTE(D274,"年","-"),"組","-"),"番","")</f>
        <v/>
      </c>
      <c r="M274">
        <f>IF(D274="",0,IF(ISNUMBER(VALUE(SUBSTITUTE(L274,"-",""))),1,0))</f>
        <v/>
      </c>
      <c r="N274">
        <f>IF(M274=0,"",IFERROR(VALUE(TRIM(MID(SUBSTITUTE(L274,"-",REPT(" ",100)),101,100))),""))</f>
        <v/>
      </c>
      <c r="O274">
        <f>IF(M274=0,"",IFERROR(VALUE(TRIM(RIGHT(SUBSTITUTE(L274,"-",REPT(" ",100)),100))),""))</f>
        <v/>
      </c>
      <c r="P274">
        <f>IF(B274="","",TRIM(INDEX($D274:$K274,IF(M274=1,2,1))&amp;IF(AD274&gt;=2," "&amp;INDEX($D274:$K274,IF(M274=1,2,1)+1),"")&amp;IF(AD274&gt;=3," "&amp;INDEX($D274:$K274,IF(M274=1,2,1)+2),"")))</f>
        <v/>
      </c>
      <c r="Q274">
        <f>IF(C274&lt;2,"",TRIM(IF(AND(2&gt;=(IF(M274=1,2,1)+AD274),2&lt;=C274-IF(S274="",0,1)),E274&amp;" ","")&amp;IF(AND(3&gt;=(IF(M274=1,2,1)+AD274),3&lt;=C274-IF(S274="",0,1)),F274&amp;" ","")&amp;IF(AND(4&gt;=(IF(M274=1,2,1)+AD274),4&lt;=C274-IF(S274="",0,1)),G274&amp;" ","")&amp;IF(AND(5&gt;=(IF(M274=1,2,1)+AD274),5&lt;=C274-IF(S274="",0,1)),H274&amp;" ","")&amp;IF(AND(6&gt;=(IF(M274=1,2,1)+AD274),6&lt;=C274-IF(S274="",0,1)),I274&amp;" ","")&amp;IF(AND(7&gt;=(IF(M274=1,2,1)+AD274),7&lt;=C274-IF(S274="",0,1)),J274&amp;" ","")&amp;IF(AND(8&gt;=(IF(M274=1,2,1)+AD274),8&lt;=C274-IF(S274="",0,1)),K274&amp;" ","")))</f>
        <v/>
      </c>
      <c r="R274">
        <f>IF(Q274="","",IFERROR(INDEX(資格マスタ!$B:$B,MATCH(ASC(SUBSTITUTE(SUBSTITUTE(Q274," ",""),"　","")),資格マスタ!$D:$D,0)),Q274))</f>
        <v/>
      </c>
      <c r="S274" s="139">
        <f>IF(C274&lt;2,"",IFERROR(IF(OR(LEFT(INDEX(D274:K274,MIN(8,MAX(1,C274))),2)="令和",LEFT(INDEX(D274:K274,MIN(8,MAX(1,C274))),2)="平成",LEFT(INDEX(D274:K274,MIN(8,MAX(1,C274))),2)="昭和"),DATE(VALUE(MID(INDEX(D274:K274,MIN(8,MAX(1,C274))),3,FIND("年",INDEX(D274:K274,MIN(8,MAX(1,C274))))-3))+IF(LEFT(INDEX(D274:K274,MIN(8,MAX(1,C274))),2)="令和",2018,IF(LEFT(INDEX(D274:K274,MIN(8,MAX(1,C274))),2)="平成",1988,1925)),VALUE(MID(INDEX(D274:K274,MIN(8,MAX(1,C274))),FIND("年",INDEX(D274:K274,MIN(8,MAX(1,C274))))+1,FIND("月",INDEX(D274:K274,MIN(8,MAX(1,C274))))-FIND("年",INDEX(D274:K274,MIN(8,MAX(1,C274))))-1)),IFERROR(VALUE(SUBSTITUTE(MID(INDEX(D274:K274,MIN(8,MAX(1,C274))),FIND("月",INDEX(D274:K274,MIN(8,MAX(1,C274))))+1,10),"日","")),1)),DATE(VALUE(TRIM(MID(SUBSTITUTE(AA274,"/",REPT(" ",50)),1,50))),VALUE(TRIM(MID(SUBSTITUTE(AA274,"/",REPT(" ",50)),51,50))),IFERROR(VALUE(TRIM(MID(SUBSTITUTE(AA274,"/",REPT(" ",50)),101,50))),1))),IFERROR(DATEVALUE(INDEX(D274:K274,MIN(8,MAX(1,C274)))),"")))</f>
        <v/>
      </c>
      <c r="T274">
        <f>IF(B274="","",IF(AB274&lt;&gt;"",AB274,IFERROR(MATCH(SUBSTITUTE(SUBSTITUTE(P274," ",""),"　",""),入力!$AH$5:$AH$44,0),"")))</f>
        <v/>
      </c>
      <c r="U274">
        <f>IF(T274="","",INDEX(入力!$D$5:$D$44,T274))</f>
        <v/>
      </c>
      <c r="V274">
        <f>IF(B274="","",IF(T274="","要確認（名簿と照合できません）",IF(R274="","要確認（資格名がありません）",IF(S274="","要確認（取得日が読めません）",IF((IF(INDEX(入力!$N$5:$N$44,T274)=R274,1,0)+IF(INDEX(入力!$P$5:$P$44,T274)=R274,1,0)+IF(INDEX(入力!$R$5:$R$44,T274)=R274,1,0)+IF(INDEX(入力!$T$5:$T$44,T274)=R274,1,0)+IF(INDEX(入力!$V$5:$V$44,T274)=R274,1,0)+IF(INDEX(入力!$X$5:$X$44,T274)=R274,1,0))+(COUNTIFS($T$6:$T$405,T274,$R$6:$R$405,R274,$X$6:$X$405,"&lt;"&amp;X274))&gt;0,"重複","反映")))))</f>
        <v/>
      </c>
      <c r="W274">
        <f>IF(V274="反映",1,0)</f>
        <v/>
      </c>
      <c r="X274" t="n">
        <v>274</v>
      </c>
      <c r="Y274">
        <f>IF(W274=0,"",COUNTIFS($T$6:$T$405,T274,$W$6:$W$405,1,$S$6:$S$405,"&lt;"&amp;S274)+COUNTIFS($T$6:$T$405,T274,$W$6:$W$405,1,$S$6:$S$405,S274,$X$6:$X$405,"&lt;"&amp;X274)+1)</f>
        <v/>
      </c>
      <c r="Z274">
        <f>IF(Y274="","",T274&amp;"_"&amp;Y274)</f>
        <v/>
      </c>
      <c r="AA274">
        <f>SUBSTITUTE(SUBSTITUTE(SUBSTITUTE(SUBSTITUTE(SUBSTITUTE(INDEX(D274:K274,MIN(8,MAX(1,C274))),"年","/"),"月","/"),"日",""),"-","/"),".","/")</f>
        <v/>
      </c>
      <c r="AB274">
        <f>IFERROR(MATCH(O274,入力!$C$5:$C$44,0),"")</f>
        <v/>
      </c>
      <c r="AC274">
        <f>IF(AB274="","",INDEX(入力!$AH$5:$AH$44,AB274))</f>
        <v/>
      </c>
      <c r="AD274">
        <f>IF(INDEX($D274:$K274,IF(M274=1,2,1))=AC274,1,IF(INDEX($D274:$K274,IF(M274=1,2,1))&amp;INDEX($D274:$K274,IF(M274=1,2,1)+1)=AC274,2,IF(INDEX($D274:$K274,IF(M274=1,2,1))&amp;INDEX($D274:$K274,IF(M274=1,2,1)+1)&amp;INDEX($D274:$K274,IF(M274=1,2,1)+2)=AC274,3,IF(AB274&lt;&gt;"",2,IF(ISNUMBER(MATCH(INDEX($D274:$K274,IF(M274=1,2,1)),入力!$AH$5:$AH$44,0)),1,IF(ISNUMBER(MATCH(INDEX($D274:$K274,IF(M274=1,2,1))&amp;INDEX($D274:$K274,IF(M274=1,2,1)+1),入力!$AH$5:$AH$44,0)),2,IF(ISNUMBER(MATCH(INDEX($D274:$K274,IF(M274=1,2,1))&amp;INDEX($D274:$K274,IF(M274=1,2,1)+1)&amp;INDEX($D274:$K274,IF(M274=1,2,1)+2),入力!$AH$5:$AH$44,0)),3,2)))))))</f>
        <v/>
      </c>
      <c r="AE274">
        <f>IF(V274="","",IF(AND(V274="反映",N(Y274)&gt;20),"要確認（この生徒の取込が20件を超えました）",V274))</f>
        <v/>
      </c>
    </row>
    <row r="275">
      <c r="A275" s="138" t="n"/>
      <c r="B275">
        <f>TRIM(SUBSTITUTE(SUBSTITUTE(SUBSTITUTE(A275,CHAR(9)," "),"　"," "),CHAR(160)," "))</f>
        <v/>
      </c>
      <c r="C275">
        <f>IF(B275="",0,LEN(B275)-LEN(SUBSTITUTE(B275," ",""))+1)</f>
        <v/>
      </c>
      <c r="D275">
        <f>IF(C275&gt;=1,TRIM(MID(SUBSTITUTE(B275," ",REPT(" ",200)),1,200)),"")</f>
        <v/>
      </c>
      <c r="E275">
        <f>IF(C275&gt;=2,TRIM(MID(SUBSTITUTE(B275," ",REPT(" ",200)),201,200)),"")</f>
        <v/>
      </c>
      <c r="F275">
        <f>IF(C275&gt;=3,TRIM(MID(SUBSTITUTE(B275," ",REPT(" ",200)),401,200)),"")</f>
        <v/>
      </c>
      <c r="G275">
        <f>IF(C275&gt;=4,TRIM(MID(SUBSTITUTE(B275," ",REPT(" ",200)),601,200)),"")</f>
        <v/>
      </c>
      <c r="H275">
        <f>IF(C275&gt;=5,TRIM(MID(SUBSTITUTE(B275," ",REPT(" ",200)),801,200)),"")</f>
        <v/>
      </c>
      <c r="I275">
        <f>IF(C275&gt;=6,TRIM(MID(SUBSTITUTE(B275," ",REPT(" ",200)),1001,200)),"")</f>
        <v/>
      </c>
      <c r="J275">
        <f>IF(C275&gt;=7,TRIM(MID(SUBSTITUTE(B275," ",REPT(" ",200)),1201,200)),"")</f>
        <v/>
      </c>
      <c r="K275">
        <f>IF(C275&gt;=8,TRIM(MID(SUBSTITUTE(B275," ",REPT(" ",200)),1401,200)),"")</f>
        <v/>
      </c>
      <c r="L275">
        <f>SUBSTITUTE(SUBSTITUTE(SUBSTITUTE(D275,"年","-"),"組","-"),"番","")</f>
        <v/>
      </c>
      <c r="M275">
        <f>IF(D275="",0,IF(ISNUMBER(VALUE(SUBSTITUTE(L275,"-",""))),1,0))</f>
        <v/>
      </c>
      <c r="N275">
        <f>IF(M275=0,"",IFERROR(VALUE(TRIM(MID(SUBSTITUTE(L275,"-",REPT(" ",100)),101,100))),""))</f>
        <v/>
      </c>
      <c r="O275">
        <f>IF(M275=0,"",IFERROR(VALUE(TRIM(RIGHT(SUBSTITUTE(L275,"-",REPT(" ",100)),100))),""))</f>
        <v/>
      </c>
      <c r="P275">
        <f>IF(B275="","",TRIM(INDEX($D275:$K275,IF(M275=1,2,1))&amp;IF(AD275&gt;=2," "&amp;INDEX($D275:$K275,IF(M275=1,2,1)+1),"")&amp;IF(AD275&gt;=3," "&amp;INDEX($D275:$K275,IF(M275=1,2,1)+2),"")))</f>
        <v/>
      </c>
      <c r="Q275">
        <f>IF(C275&lt;2,"",TRIM(IF(AND(2&gt;=(IF(M275=1,2,1)+AD275),2&lt;=C275-IF(S275="",0,1)),E275&amp;" ","")&amp;IF(AND(3&gt;=(IF(M275=1,2,1)+AD275),3&lt;=C275-IF(S275="",0,1)),F275&amp;" ","")&amp;IF(AND(4&gt;=(IF(M275=1,2,1)+AD275),4&lt;=C275-IF(S275="",0,1)),G275&amp;" ","")&amp;IF(AND(5&gt;=(IF(M275=1,2,1)+AD275),5&lt;=C275-IF(S275="",0,1)),H275&amp;" ","")&amp;IF(AND(6&gt;=(IF(M275=1,2,1)+AD275),6&lt;=C275-IF(S275="",0,1)),I275&amp;" ","")&amp;IF(AND(7&gt;=(IF(M275=1,2,1)+AD275),7&lt;=C275-IF(S275="",0,1)),J275&amp;" ","")&amp;IF(AND(8&gt;=(IF(M275=1,2,1)+AD275),8&lt;=C275-IF(S275="",0,1)),K275&amp;" ","")))</f>
        <v/>
      </c>
      <c r="R275">
        <f>IF(Q275="","",IFERROR(INDEX(資格マスタ!$B:$B,MATCH(ASC(SUBSTITUTE(SUBSTITUTE(Q275," ",""),"　","")),資格マスタ!$D:$D,0)),Q275))</f>
        <v/>
      </c>
      <c r="S275" s="139">
        <f>IF(C275&lt;2,"",IFERROR(IF(OR(LEFT(INDEX(D275:K275,MIN(8,MAX(1,C275))),2)="令和",LEFT(INDEX(D275:K275,MIN(8,MAX(1,C275))),2)="平成",LEFT(INDEX(D275:K275,MIN(8,MAX(1,C275))),2)="昭和"),DATE(VALUE(MID(INDEX(D275:K275,MIN(8,MAX(1,C275))),3,FIND("年",INDEX(D275:K275,MIN(8,MAX(1,C275))))-3))+IF(LEFT(INDEX(D275:K275,MIN(8,MAX(1,C275))),2)="令和",2018,IF(LEFT(INDEX(D275:K275,MIN(8,MAX(1,C275))),2)="平成",1988,1925)),VALUE(MID(INDEX(D275:K275,MIN(8,MAX(1,C275))),FIND("年",INDEX(D275:K275,MIN(8,MAX(1,C275))))+1,FIND("月",INDEX(D275:K275,MIN(8,MAX(1,C275))))-FIND("年",INDEX(D275:K275,MIN(8,MAX(1,C275))))-1)),IFERROR(VALUE(SUBSTITUTE(MID(INDEX(D275:K275,MIN(8,MAX(1,C275))),FIND("月",INDEX(D275:K275,MIN(8,MAX(1,C275))))+1,10),"日","")),1)),DATE(VALUE(TRIM(MID(SUBSTITUTE(AA275,"/",REPT(" ",50)),1,50))),VALUE(TRIM(MID(SUBSTITUTE(AA275,"/",REPT(" ",50)),51,50))),IFERROR(VALUE(TRIM(MID(SUBSTITUTE(AA275,"/",REPT(" ",50)),101,50))),1))),IFERROR(DATEVALUE(INDEX(D275:K275,MIN(8,MAX(1,C275)))),"")))</f>
        <v/>
      </c>
      <c r="T275">
        <f>IF(B275="","",IF(AB275&lt;&gt;"",AB275,IFERROR(MATCH(SUBSTITUTE(SUBSTITUTE(P275," ",""),"　",""),入力!$AH$5:$AH$44,0),"")))</f>
        <v/>
      </c>
      <c r="U275">
        <f>IF(T275="","",INDEX(入力!$D$5:$D$44,T275))</f>
        <v/>
      </c>
      <c r="V275">
        <f>IF(B275="","",IF(T275="","要確認（名簿と照合できません）",IF(R275="","要確認（資格名がありません）",IF(S275="","要確認（取得日が読めません）",IF((IF(INDEX(入力!$N$5:$N$44,T275)=R275,1,0)+IF(INDEX(入力!$P$5:$P$44,T275)=R275,1,0)+IF(INDEX(入力!$R$5:$R$44,T275)=R275,1,0)+IF(INDEX(入力!$T$5:$T$44,T275)=R275,1,0)+IF(INDEX(入力!$V$5:$V$44,T275)=R275,1,0)+IF(INDEX(入力!$X$5:$X$44,T275)=R275,1,0))+(COUNTIFS($T$6:$T$405,T275,$R$6:$R$405,R275,$X$6:$X$405,"&lt;"&amp;X275))&gt;0,"重複","反映")))))</f>
        <v/>
      </c>
      <c r="W275">
        <f>IF(V275="反映",1,0)</f>
        <v/>
      </c>
      <c r="X275" t="n">
        <v>275</v>
      </c>
      <c r="Y275">
        <f>IF(W275=0,"",COUNTIFS($T$6:$T$405,T275,$W$6:$W$405,1,$S$6:$S$405,"&lt;"&amp;S275)+COUNTIFS($T$6:$T$405,T275,$W$6:$W$405,1,$S$6:$S$405,S275,$X$6:$X$405,"&lt;"&amp;X275)+1)</f>
        <v/>
      </c>
      <c r="Z275">
        <f>IF(Y275="","",T275&amp;"_"&amp;Y275)</f>
        <v/>
      </c>
      <c r="AA275">
        <f>SUBSTITUTE(SUBSTITUTE(SUBSTITUTE(SUBSTITUTE(SUBSTITUTE(INDEX(D275:K275,MIN(8,MAX(1,C275))),"年","/"),"月","/"),"日",""),"-","/"),".","/")</f>
        <v/>
      </c>
      <c r="AB275">
        <f>IFERROR(MATCH(O275,入力!$C$5:$C$44,0),"")</f>
        <v/>
      </c>
      <c r="AC275">
        <f>IF(AB275="","",INDEX(入力!$AH$5:$AH$44,AB275))</f>
        <v/>
      </c>
      <c r="AD275">
        <f>IF(INDEX($D275:$K275,IF(M275=1,2,1))=AC275,1,IF(INDEX($D275:$K275,IF(M275=1,2,1))&amp;INDEX($D275:$K275,IF(M275=1,2,1)+1)=AC275,2,IF(INDEX($D275:$K275,IF(M275=1,2,1))&amp;INDEX($D275:$K275,IF(M275=1,2,1)+1)&amp;INDEX($D275:$K275,IF(M275=1,2,1)+2)=AC275,3,IF(AB275&lt;&gt;"",2,IF(ISNUMBER(MATCH(INDEX($D275:$K275,IF(M275=1,2,1)),入力!$AH$5:$AH$44,0)),1,IF(ISNUMBER(MATCH(INDEX($D275:$K275,IF(M275=1,2,1))&amp;INDEX($D275:$K275,IF(M275=1,2,1)+1),入力!$AH$5:$AH$44,0)),2,IF(ISNUMBER(MATCH(INDEX($D275:$K275,IF(M275=1,2,1))&amp;INDEX($D275:$K275,IF(M275=1,2,1)+1)&amp;INDEX($D275:$K275,IF(M275=1,2,1)+2),入力!$AH$5:$AH$44,0)),3,2)))))))</f>
        <v/>
      </c>
      <c r="AE275">
        <f>IF(V275="","",IF(AND(V275="反映",N(Y275)&gt;20),"要確認（この生徒の取込が20件を超えました）",V275))</f>
        <v/>
      </c>
    </row>
    <row r="276">
      <c r="A276" s="138" t="n"/>
      <c r="B276">
        <f>TRIM(SUBSTITUTE(SUBSTITUTE(SUBSTITUTE(A276,CHAR(9)," "),"　"," "),CHAR(160)," "))</f>
        <v/>
      </c>
      <c r="C276">
        <f>IF(B276="",0,LEN(B276)-LEN(SUBSTITUTE(B276," ",""))+1)</f>
        <v/>
      </c>
      <c r="D276">
        <f>IF(C276&gt;=1,TRIM(MID(SUBSTITUTE(B276," ",REPT(" ",200)),1,200)),"")</f>
        <v/>
      </c>
      <c r="E276">
        <f>IF(C276&gt;=2,TRIM(MID(SUBSTITUTE(B276," ",REPT(" ",200)),201,200)),"")</f>
        <v/>
      </c>
      <c r="F276">
        <f>IF(C276&gt;=3,TRIM(MID(SUBSTITUTE(B276," ",REPT(" ",200)),401,200)),"")</f>
        <v/>
      </c>
      <c r="G276">
        <f>IF(C276&gt;=4,TRIM(MID(SUBSTITUTE(B276," ",REPT(" ",200)),601,200)),"")</f>
        <v/>
      </c>
      <c r="H276">
        <f>IF(C276&gt;=5,TRIM(MID(SUBSTITUTE(B276," ",REPT(" ",200)),801,200)),"")</f>
        <v/>
      </c>
      <c r="I276">
        <f>IF(C276&gt;=6,TRIM(MID(SUBSTITUTE(B276," ",REPT(" ",200)),1001,200)),"")</f>
        <v/>
      </c>
      <c r="J276">
        <f>IF(C276&gt;=7,TRIM(MID(SUBSTITUTE(B276," ",REPT(" ",200)),1201,200)),"")</f>
        <v/>
      </c>
      <c r="K276">
        <f>IF(C276&gt;=8,TRIM(MID(SUBSTITUTE(B276," ",REPT(" ",200)),1401,200)),"")</f>
        <v/>
      </c>
      <c r="L276">
        <f>SUBSTITUTE(SUBSTITUTE(SUBSTITUTE(D276,"年","-"),"組","-"),"番","")</f>
        <v/>
      </c>
      <c r="M276">
        <f>IF(D276="",0,IF(ISNUMBER(VALUE(SUBSTITUTE(L276,"-",""))),1,0))</f>
        <v/>
      </c>
      <c r="N276">
        <f>IF(M276=0,"",IFERROR(VALUE(TRIM(MID(SUBSTITUTE(L276,"-",REPT(" ",100)),101,100))),""))</f>
        <v/>
      </c>
      <c r="O276">
        <f>IF(M276=0,"",IFERROR(VALUE(TRIM(RIGHT(SUBSTITUTE(L276,"-",REPT(" ",100)),100))),""))</f>
        <v/>
      </c>
      <c r="P276">
        <f>IF(B276="","",TRIM(INDEX($D276:$K276,IF(M276=1,2,1))&amp;IF(AD276&gt;=2," "&amp;INDEX($D276:$K276,IF(M276=1,2,1)+1),"")&amp;IF(AD276&gt;=3," "&amp;INDEX($D276:$K276,IF(M276=1,2,1)+2),"")))</f>
        <v/>
      </c>
      <c r="Q276">
        <f>IF(C276&lt;2,"",TRIM(IF(AND(2&gt;=(IF(M276=1,2,1)+AD276),2&lt;=C276-IF(S276="",0,1)),E276&amp;" ","")&amp;IF(AND(3&gt;=(IF(M276=1,2,1)+AD276),3&lt;=C276-IF(S276="",0,1)),F276&amp;" ","")&amp;IF(AND(4&gt;=(IF(M276=1,2,1)+AD276),4&lt;=C276-IF(S276="",0,1)),G276&amp;" ","")&amp;IF(AND(5&gt;=(IF(M276=1,2,1)+AD276),5&lt;=C276-IF(S276="",0,1)),H276&amp;" ","")&amp;IF(AND(6&gt;=(IF(M276=1,2,1)+AD276),6&lt;=C276-IF(S276="",0,1)),I276&amp;" ","")&amp;IF(AND(7&gt;=(IF(M276=1,2,1)+AD276),7&lt;=C276-IF(S276="",0,1)),J276&amp;" ","")&amp;IF(AND(8&gt;=(IF(M276=1,2,1)+AD276),8&lt;=C276-IF(S276="",0,1)),K276&amp;" ","")))</f>
        <v/>
      </c>
      <c r="R276">
        <f>IF(Q276="","",IFERROR(INDEX(資格マスタ!$B:$B,MATCH(ASC(SUBSTITUTE(SUBSTITUTE(Q276," ",""),"　","")),資格マスタ!$D:$D,0)),Q276))</f>
        <v/>
      </c>
      <c r="S276" s="139">
        <f>IF(C276&lt;2,"",IFERROR(IF(OR(LEFT(INDEX(D276:K276,MIN(8,MAX(1,C276))),2)="令和",LEFT(INDEX(D276:K276,MIN(8,MAX(1,C276))),2)="平成",LEFT(INDEX(D276:K276,MIN(8,MAX(1,C276))),2)="昭和"),DATE(VALUE(MID(INDEX(D276:K276,MIN(8,MAX(1,C276))),3,FIND("年",INDEX(D276:K276,MIN(8,MAX(1,C276))))-3))+IF(LEFT(INDEX(D276:K276,MIN(8,MAX(1,C276))),2)="令和",2018,IF(LEFT(INDEX(D276:K276,MIN(8,MAX(1,C276))),2)="平成",1988,1925)),VALUE(MID(INDEX(D276:K276,MIN(8,MAX(1,C276))),FIND("年",INDEX(D276:K276,MIN(8,MAX(1,C276))))+1,FIND("月",INDEX(D276:K276,MIN(8,MAX(1,C276))))-FIND("年",INDEX(D276:K276,MIN(8,MAX(1,C276))))-1)),IFERROR(VALUE(SUBSTITUTE(MID(INDEX(D276:K276,MIN(8,MAX(1,C276))),FIND("月",INDEX(D276:K276,MIN(8,MAX(1,C276))))+1,10),"日","")),1)),DATE(VALUE(TRIM(MID(SUBSTITUTE(AA276,"/",REPT(" ",50)),1,50))),VALUE(TRIM(MID(SUBSTITUTE(AA276,"/",REPT(" ",50)),51,50))),IFERROR(VALUE(TRIM(MID(SUBSTITUTE(AA276,"/",REPT(" ",50)),101,50))),1))),IFERROR(DATEVALUE(INDEX(D276:K276,MIN(8,MAX(1,C276)))),"")))</f>
        <v/>
      </c>
      <c r="T276">
        <f>IF(B276="","",IF(AB276&lt;&gt;"",AB276,IFERROR(MATCH(SUBSTITUTE(SUBSTITUTE(P276," ",""),"　",""),入力!$AH$5:$AH$44,0),"")))</f>
        <v/>
      </c>
      <c r="U276">
        <f>IF(T276="","",INDEX(入力!$D$5:$D$44,T276))</f>
        <v/>
      </c>
      <c r="V276">
        <f>IF(B276="","",IF(T276="","要確認（名簿と照合できません）",IF(R276="","要確認（資格名がありません）",IF(S276="","要確認（取得日が読めません）",IF((IF(INDEX(入力!$N$5:$N$44,T276)=R276,1,0)+IF(INDEX(入力!$P$5:$P$44,T276)=R276,1,0)+IF(INDEX(入力!$R$5:$R$44,T276)=R276,1,0)+IF(INDEX(入力!$T$5:$T$44,T276)=R276,1,0)+IF(INDEX(入力!$V$5:$V$44,T276)=R276,1,0)+IF(INDEX(入力!$X$5:$X$44,T276)=R276,1,0))+(COUNTIFS($T$6:$T$405,T276,$R$6:$R$405,R276,$X$6:$X$405,"&lt;"&amp;X276))&gt;0,"重複","反映")))))</f>
        <v/>
      </c>
      <c r="W276">
        <f>IF(V276="反映",1,0)</f>
        <v/>
      </c>
      <c r="X276" t="n">
        <v>276</v>
      </c>
      <c r="Y276">
        <f>IF(W276=0,"",COUNTIFS($T$6:$T$405,T276,$W$6:$W$405,1,$S$6:$S$405,"&lt;"&amp;S276)+COUNTIFS($T$6:$T$405,T276,$W$6:$W$405,1,$S$6:$S$405,S276,$X$6:$X$405,"&lt;"&amp;X276)+1)</f>
        <v/>
      </c>
      <c r="Z276">
        <f>IF(Y276="","",T276&amp;"_"&amp;Y276)</f>
        <v/>
      </c>
      <c r="AA276">
        <f>SUBSTITUTE(SUBSTITUTE(SUBSTITUTE(SUBSTITUTE(SUBSTITUTE(INDEX(D276:K276,MIN(8,MAX(1,C276))),"年","/"),"月","/"),"日",""),"-","/"),".","/")</f>
        <v/>
      </c>
      <c r="AB276">
        <f>IFERROR(MATCH(O276,入力!$C$5:$C$44,0),"")</f>
        <v/>
      </c>
      <c r="AC276">
        <f>IF(AB276="","",INDEX(入力!$AH$5:$AH$44,AB276))</f>
        <v/>
      </c>
      <c r="AD276">
        <f>IF(INDEX($D276:$K276,IF(M276=1,2,1))=AC276,1,IF(INDEX($D276:$K276,IF(M276=1,2,1))&amp;INDEX($D276:$K276,IF(M276=1,2,1)+1)=AC276,2,IF(INDEX($D276:$K276,IF(M276=1,2,1))&amp;INDEX($D276:$K276,IF(M276=1,2,1)+1)&amp;INDEX($D276:$K276,IF(M276=1,2,1)+2)=AC276,3,IF(AB276&lt;&gt;"",2,IF(ISNUMBER(MATCH(INDEX($D276:$K276,IF(M276=1,2,1)),入力!$AH$5:$AH$44,0)),1,IF(ISNUMBER(MATCH(INDEX($D276:$K276,IF(M276=1,2,1))&amp;INDEX($D276:$K276,IF(M276=1,2,1)+1),入力!$AH$5:$AH$44,0)),2,IF(ISNUMBER(MATCH(INDEX($D276:$K276,IF(M276=1,2,1))&amp;INDEX($D276:$K276,IF(M276=1,2,1)+1)&amp;INDEX($D276:$K276,IF(M276=1,2,1)+2),入力!$AH$5:$AH$44,0)),3,2)))))))</f>
        <v/>
      </c>
      <c r="AE276">
        <f>IF(V276="","",IF(AND(V276="反映",N(Y276)&gt;20),"要確認（この生徒の取込が20件を超えました）",V276))</f>
        <v/>
      </c>
    </row>
    <row r="277">
      <c r="A277" s="138" t="n"/>
      <c r="B277">
        <f>TRIM(SUBSTITUTE(SUBSTITUTE(SUBSTITUTE(A277,CHAR(9)," "),"　"," "),CHAR(160)," "))</f>
        <v/>
      </c>
      <c r="C277">
        <f>IF(B277="",0,LEN(B277)-LEN(SUBSTITUTE(B277," ",""))+1)</f>
        <v/>
      </c>
      <c r="D277">
        <f>IF(C277&gt;=1,TRIM(MID(SUBSTITUTE(B277," ",REPT(" ",200)),1,200)),"")</f>
        <v/>
      </c>
      <c r="E277">
        <f>IF(C277&gt;=2,TRIM(MID(SUBSTITUTE(B277," ",REPT(" ",200)),201,200)),"")</f>
        <v/>
      </c>
      <c r="F277">
        <f>IF(C277&gt;=3,TRIM(MID(SUBSTITUTE(B277," ",REPT(" ",200)),401,200)),"")</f>
        <v/>
      </c>
      <c r="G277">
        <f>IF(C277&gt;=4,TRIM(MID(SUBSTITUTE(B277," ",REPT(" ",200)),601,200)),"")</f>
        <v/>
      </c>
      <c r="H277">
        <f>IF(C277&gt;=5,TRIM(MID(SUBSTITUTE(B277," ",REPT(" ",200)),801,200)),"")</f>
        <v/>
      </c>
      <c r="I277">
        <f>IF(C277&gt;=6,TRIM(MID(SUBSTITUTE(B277," ",REPT(" ",200)),1001,200)),"")</f>
        <v/>
      </c>
      <c r="J277">
        <f>IF(C277&gt;=7,TRIM(MID(SUBSTITUTE(B277," ",REPT(" ",200)),1201,200)),"")</f>
        <v/>
      </c>
      <c r="K277">
        <f>IF(C277&gt;=8,TRIM(MID(SUBSTITUTE(B277," ",REPT(" ",200)),1401,200)),"")</f>
        <v/>
      </c>
      <c r="L277">
        <f>SUBSTITUTE(SUBSTITUTE(SUBSTITUTE(D277,"年","-"),"組","-"),"番","")</f>
        <v/>
      </c>
      <c r="M277">
        <f>IF(D277="",0,IF(ISNUMBER(VALUE(SUBSTITUTE(L277,"-",""))),1,0))</f>
        <v/>
      </c>
      <c r="N277">
        <f>IF(M277=0,"",IFERROR(VALUE(TRIM(MID(SUBSTITUTE(L277,"-",REPT(" ",100)),101,100))),""))</f>
        <v/>
      </c>
      <c r="O277">
        <f>IF(M277=0,"",IFERROR(VALUE(TRIM(RIGHT(SUBSTITUTE(L277,"-",REPT(" ",100)),100))),""))</f>
        <v/>
      </c>
      <c r="P277">
        <f>IF(B277="","",TRIM(INDEX($D277:$K277,IF(M277=1,2,1))&amp;IF(AD277&gt;=2," "&amp;INDEX($D277:$K277,IF(M277=1,2,1)+1),"")&amp;IF(AD277&gt;=3," "&amp;INDEX($D277:$K277,IF(M277=1,2,1)+2),"")))</f>
        <v/>
      </c>
      <c r="Q277">
        <f>IF(C277&lt;2,"",TRIM(IF(AND(2&gt;=(IF(M277=1,2,1)+AD277),2&lt;=C277-IF(S277="",0,1)),E277&amp;" ","")&amp;IF(AND(3&gt;=(IF(M277=1,2,1)+AD277),3&lt;=C277-IF(S277="",0,1)),F277&amp;" ","")&amp;IF(AND(4&gt;=(IF(M277=1,2,1)+AD277),4&lt;=C277-IF(S277="",0,1)),G277&amp;" ","")&amp;IF(AND(5&gt;=(IF(M277=1,2,1)+AD277),5&lt;=C277-IF(S277="",0,1)),H277&amp;" ","")&amp;IF(AND(6&gt;=(IF(M277=1,2,1)+AD277),6&lt;=C277-IF(S277="",0,1)),I277&amp;" ","")&amp;IF(AND(7&gt;=(IF(M277=1,2,1)+AD277),7&lt;=C277-IF(S277="",0,1)),J277&amp;" ","")&amp;IF(AND(8&gt;=(IF(M277=1,2,1)+AD277),8&lt;=C277-IF(S277="",0,1)),K277&amp;" ","")))</f>
        <v/>
      </c>
      <c r="R277">
        <f>IF(Q277="","",IFERROR(INDEX(資格マスタ!$B:$B,MATCH(ASC(SUBSTITUTE(SUBSTITUTE(Q277," ",""),"　","")),資格マスタ!$D:$D,0)),Q277))</f>
        <v/>
      </c>
      <c r="S277" s="139">
        <f>IF(C277&lt;2,"",IFERROR(IF(OR(LEFT(INDEX(D277:K277,MIN(8,MAX(1,C277))),2)="令和",LEFT(INDEX(D277:K277,MIN(8,MAX(1,C277))),2)="平成",LEFT(INDEX(D277:K277,MIN(8,MAX(1,C277))),2)="昭和"),DATE(VALUE(MID(INDEX(D277:K277,MIN(8,MAX(1,C277))),3,FIND("年",INDEX(D277:K277,MIN(8,MAX(1,C277))))-3))+IF(LEFT(INDEX(D277:K277,MIN(8,MAX(1,C277))),2)="令和",2018,IF(LEFT(INDEX(D277:K277,MIN(8,MAX(1,C277))),2)="平成",1988,1925)),VALUE(MID(INDEX(D277:K277,MIN(8,MAX(1,C277))),FIND("年",INDEX(D277:K277,MIN(8,MAX(1,C277))))+1,FIND("月",INDEX(D277:K277,MIN(8,MAX(1,C277))))-FIND("年",INDEX(D277:K277,MIN(8,MAX(1,C277))))-1)),IFERROR(VALUE(SUBSTITUTE(MID(INDEX(D277:K277,MIN(8,MAX(1,C277))),FIND("月",INDEX(D277:K277,MIN(8,MAX(1,C277))))+1,10),"日","")),1)),DATE(VALUE(TRIM(MID(SUBSTITUTE(AA277,"/",REPT(" ",50)),1,50))),VALUE(TRIM(MID(SUBSTITUTE(AA277,"/",REPT(" ",50)),51,50))),IFERROR(VALUE(TRIM(MID(SUBSTITUTE(AA277,"/",REPT(" ",50)),101,50))),1))),IFERROR(DATEVALUE(INDEX(D277:K277,MIN(8,MAX(1,C277)))),"")))</f>
        <v/>
      </c>
      <c r="T277">
        <f>IF(B277="","",IF(AB277&lt;&gt;"",AB277,IFERROR(MATCH(SUBSTITUTE(SUBSTITUTE(P277," ",""),"　",""),入力!$AH$5:$AH$44,0),"")))</f>
        <v/>
      </c>
      <c r="U277">
        <f>IF(T277="","",INDEX(入力!$D$5:$D$44,T277))</f>
        <v/>
      </c>
      <c r="V277">
        <f>IF(B277="","",IF(T277="","要確認（名簿と照合できません）",IF(R277="","要確認（資格名がありません）",IF(S277="","要確認（取得日が読めません）",IF((IF(INDEX(入力!$N$5:$N$44,T277)=R277,1,0)+IF(INDEX(入力!$P$5:$P$44,T277)=R277,1,0)+IF(INDEX(入力!$R$5:$R$44,T277)=R277,1,0)+IF(INDEX(入力!$T$5:$T$44,T277)=R277,1,0)+IF(INDEX(入力!$V$5:$V$44,T277)=R277,1,0)+IF(INDEX(入力!$X$5:$X$44,T277)=R277,1,0))+(COUNTIFS($T$6:$T$405,T277,$R$6:$R$405,R277,$X$6:$X$405,"&lt;"&amp;X277))&gt;0,"重複","反映")))))</f>
        <v/>
      </c>
      <c r="W277">
        <f>IF(V277="反映",1,0)</f>
        <v/>
      </c>
      <c r="X277" t="n">
        <v>277</v>
      </c>
      <c r="Y277">
        <f>IF(W277=0,"",COUNTIFS($T$6:$T$405,T277,$W$6:$W$405,1,$S$6:$S$405,"&lt;"&amp;S277)+COUNTIFS($T$6:$T$405,T277,$W$6:$W$405,1,$S$6:$S$405,S277,$X$6:$X$405,"&lt;"&amp;X277)+1)</f>
        <v/>
      </c>
      <c r="Z277">
        <f>IF(Y277="","",T277&amp;"_"&amp;Y277)</f>
        <v/>
      </c>
      <c r="AA277">
        <f>SUBSTITUTE(SUBSTITUTE(SUBSTITUTE(SUBSTITUTE(SUBSTITUTE(INDEX(D277:K277,MIN(8,MAX(1,C277))),"年","/"),"月","/"),"日",""),"-","/"),".","/")</f>
        <v/>
      </c>
      <c r="AB277">
        <f>IFERROR(MATCH(O277,入力!$C$5:$C$44,0),"")</f>
        <v/>
      </c>
      <c r="AC277">
        <f>IF(AB277="","",INDEX(入力!$AH$5:$AH$44,AB277))</f>
        <v/>
      </c>
      <c r="AD277">
        <f>IF(INDEX($D277:$K277,IF(M277=1,2,1))=AC277,1,IF(INDEX($D277:$K277,IF(M277=1,2,1))&amp;INDEX($D277:$K277,IF(M277=1,2,1)+1)=AC277,2,IF(INDEX($D277:$K277,IF(M277=1,2,1))&amp;INDEX($D277:$K277,IF(M277=1,2,1)+1)&amp;INDEX($D277:$K277,IF(M277=1,2,1)+2)=AC277,3,IF(AB277&lt;&gt;"",2,IF(ISNUMBER(MATCH(INDEX($D277:$K277,IF(M277=1,2,1)),入力!$AH$5:$AH$44,0)),1,IF(ISNUMBER(MATCH(INDEX($D277:$K277,IF(M277=1,2,1))&amp;INDEX($D277:$K277,IF(M277=1,2,1)+1),入力!$AH$5:$AH$44,0)),2,IF(ISNUMBER(MATCH(INDEX($D277:$K277,IF(M277=1,2,1))&amp;INDEX($D277:$K277,IF(M277=1,2,1)+1)&amp;INDEX($D277:$K277,IF(M277=1,2,1)+2),入力!$AH$5:$AH$44,0)),3,2)))))))</f>
        <v/>
      </c>
      <c r="AE277">
        <f>IF(V277="","",IF(AND(V277="反映",N(Y277)&gt;20),"要確認（この生徒の取込が20件を超えました）",V277))</f>
        <v/>
      </c>
    </row>
    <row r="278">
      <c r="A278" s="138" t="n"/>
      <c r="B278">
        <f>TRIM(SUBSTITUTE(SUBSTITUTE(SUBSTITUTE(A278,CHAR(9)," "),"　"," "),CHAR(160)," "))</f>
        <v/>
      </c>
      <c r="C278">
        <f>IF(B278="",0,LEN(B278)-LEN(SUBSTITUTE(B278," ",""))+1)</f>
        <v/>
      </c>
      <c r="D278">
        <f>IF(C278&gt;=1,TRIM(MID(SUBSTITUTE(B278," ",REPT(" ",200)),1,200)),"")</f>
        <v/>
      </c>
      <c r="E278">
        <f>IF(C278&gt;=2,TRIM(MID(SUBSTITUTE(B278," ",REPT(" ",200)),201,200)),"")</f>
        <v/>
      </c>
      <c r="F278">
        <f>IF(C278&gt;=3,TRIM(MID(SUBSTITUTE(B278," ",REPT(" ",200)),401,200)),"")</f>
        <v/>
      </c>
      <c r="G278">
        <f>IF(C278&gt;=4,TRIM(MID(SUBSTITUTE(B278," ",REPT(" ",200)),601,200)),"")</f>
        <v/>
      </c>
      <c r="H278">
        <f>IF(C278&gt;=5,TRIM(MID(SUBSTITUTE(B278," ",REPT(" ",200)),801,200)),"")</f>
        <v/>
      </c>
      <c r="I278">
        <f>IF(C278&gt;=6,TRIM(MID(SUBSTITUTE(B278," ",REPT(" ",200)),1001,200)),"")</f>
        <v/>
      </c>
      <c r="J278">
        <f>IF(C278&gt;=7,TRIM(MID(SUBSTITUTE(B278," ",REPT(" ",200)),1201,200)),"")</f>
        <v/>
      </c>
      <c r="K278">
        <f>IF(C278&gt;=8,TRIM(MID(SUBSTITUTE(B278," ",REPT(" ",200)),1401,200)),"")</f>
        <v/>
      </c>
      <c r="L278">
        <f>SUBSTITUTE(SUBSTITUTE(SUBSTITUTE(D278,"年","-"),"組","-"),"番","")</f>
        <v/>
      </c>
      <c r="M278">
        <f>IF(D278="",0,IF(ISNUMBER(VALUE(SUBSTITUTE(L278,"-",""))),1,0))</f>
        <v/>
      </c>
      <c r="N278">
        <f>IF(M278=0,"",IFERROR(VALUE(TRIM(MID(SUBSTITUTE(L278,"-",REPT(" ",100)),101,100))),""))</f>
        <v/>
      </c>
      <c r="O278">
        <f>IF(M278=0,"",IFERROR(VALUE(TRIM(RIGHT(SUBSTITUTE(L278,"-",REPT(" ",100)),100))),""))</f>
        <v/>
      </c>
      <c r="P278">
        <f>IF(B278="","",TRIM(INDEX($D278:$K278,IF(M278=1,2,1))&amp;IF(AD278&gt;=2," "&amp;INDEX($D278:$K278,IF(M278=1,2,1)+1),"")&amp;IF(AD278&gt;=3," "&amp;INDEX($D278:$K278,IF(M278=1,2,1)+2),"")))</f>
        <v/>
      </c>
      <c r="Q278">
        <f>IF(C278&lt;2,"",TRIM(IF(AND(2&gt;=(IF(M278=1,2,1)+AD278),2&lt;=C278-IF(S278="",0,1)),E278&amp;" ","")&amp;IF(AND(3&gt;=(IF(M278=1,2,1)+AD278),3&lt;=C278-IF(S278="",0,1)),F278&amp;" ","")&amp;IF(AND(4&gt;=(IF(M278=1,2,1)+AD278),4&lt;=C278-IF(S278="",0,1)),G278&amp;" ","")&amp;IF(AND(5&gt;=(IF(M278=1,2,1)+AD278),5&lt;=C278-IF(S278="",0,1)),H278&amp;" ","")&amp;IF(AND(6&gt;=(IF(M278=1,2,1)+AD278),6&lt;=C278-IF(S278="",0,1)),I278&amp;" ","")&amp;IF(AND(7&gt;=(IF(M278=1,2,1)+AD278),7&lt;=C278-IF(S278="",0,1)),J278&amp;" ","")&amp;IF(AND(8&gt;=(IF(M278=1,2,1)+AD278),8&lt;=C278-IF(S278="",0,1)),K278&amp;" ","")))</f>
        <v/>
      </c>
      <c r="R278">
        <f>IF(Q278="","",IFERROR(INDEX(資格マスタ!$B:$B,MATCH(ASC(SUBSTITUTE(SUBSTITUTE(Q278," ",""),"　","")),資格マスタ!$D:$D,0)),Q278))</f>
        <v/>
      </c>
      <c r="S278" s="139">
        <f>IF(C278&lt;2,"",IFERROR(IF(OR(LEFT(INDEX(D278:K278,MIN(8,MAX(1,C278))),2)="令和",LEFT(INDEX(D278:K278,MIN(8,MAX(1,C278))),2)="平成",LEFT(INDEX(D278:K278,MIN(8,MAX(1,C278))),2)="昭和"),DATE(VALUE(MID(INDEX(D278:K278,MIN(8,MAX(1,C278))),3,FIND("年",INDEX(D278:K278,MIN(8,MAX(1,C278))))-3))+IF(LEFT(INDEX(D278:K278,MIN(8,MAX(1,C278))),2)="令和",2018,IF(LEFT(INDEX(D278:K278,MIN(8,MAX(1,C278))),2)="平成",1988,1925)),VALUE(MID(INDEX(D278:K278,MIN(8,MAX(1,C278))),FIND("年",INDEX(D278:K278,MIN(8,MAX(1,C278))))+1,FIND("月",INDEX(D278:K278,MIN(8,MAX(1,C278))))-FIND("年",INDEX(D278:K278,MIN(8,MAX(1,C278))))-1)),IFERROR(VALUE(SUBSTITUTE(MID(INDEX(D278:K278,MIN(8,MAX(1,C278))),FIND("月",INDEX(D278:K278,MIN(8,MAX(1,C278))))+1,10),"日","")),1)),DATE(VALUE(TRIM(MID(SUBSTITUTE(AA278,"/",REPT(" ",50)),1,50))),VALUE(TRIM(MID(SUBSTITUTE(AA278,"/",REPT(" ",50)),51,50))),IFERROR(VALUE(TRIM(MID(SUBSTITUTE(AA278,"/",REPT(" ",50)),101,50))),1))),IFERROR(DATEVALUE(INDEX(D278:K278,MIN(8,MAX(1,C278)))),"")))</f>
        <v/>
      </c>
      <c r="T278">
        <f>IF(B278="","",IF(AB278&lt;&gt;"",AB278,IFERROR(MATCH(SUBSTITUTE(SUBSTITUTE(P278," ",""),"　",""),入力!$AH$5:$AH$44,0),"")))</f>
        <v/>
      </c>
      <c r="U278">
        <f>IF(T278="","",INDEX(入力!$D$5:$D$44,T278))</f>
        <v/>
      </c>
      <c r="V278">
        <f>IF(B278="","",IF(T278="","要確認（名簿と照合できません）",IF(R278="","要確認（資格名がありません）",IF(S278="","要確認（取得日が読めません）",IF((IF(INDEX(入力!$N$5:$N$44,T278)=R278,1,0)+IF(INDEX(入力!$P$5:$P$44,T278)=R278,1,0)+IF(INDEX(入力!$R$5:$R$44,T278)=R278,1,0)+IF(INDEX(入力!$T$5:$T$44,T278)=R278,1,0)+IF(INDEX(入力!$V$5:$V$44,T278)=R278,1,0)+IF(INDEX(入力!$X$5:$X$44,T278)=R278,1,0))+(COUNTIFS($T$6:$T$405,T278,$R$6:$R$405,R278,$X$6:$X$405,"&lt;"&amp;X278))&gt;0,"重複","反映")))))</f>
        <v/>
      </c>
      <c r="W278">
        <f>IF(V278="反映",1,0)</f>
        <v/>
      </c>
      <c r="X278" t="n">
        <v>278</v>
      </c>
      <c r="Y278">
        <f>IF(W278=0,"",COUNTIFS($T$6:$T$405,T278,$W$6:$W$405,1,$S$6:$S$405,"&lt;"&amp;S278)+COUNTIFS($T$6:$T$405,T278,$W$6:$W$405,1,$S$6:$S$405,S278,$X$6:$X$405,"&lt;"&amp;X278)+1)</f>
        <v/>
      </c>
      <c r="Z278">
        <f>IF(Y278="","",T278&amp;"_"&amp;Y278)</f>
        <v/>
      </c>
      <c r="AA278">
        <f>SUBSTITUTE(SUBSTITUTE(SUBSTITUTE(SUBSTITUTE(SUBSTITUTE(INDEX(D278:K278,MIN(8,MAX(1,C278))),"年","/"),"月","/"),"日",""),"-","/"),".","/")</f>
        <v/>
      </c>
      <c r="AB278">
        <f>IFERROR(MATCH(O278,入力!$C$5:$C$44,0),"")</f>
        <v/>
      </c>
      <c r="AC278">
        <f>IF(AB278="","",INDEX(入力!$AH$5:$AH$44,AB278))</f>
        <v/>
      </c>
      <c r="AD278">
        <f>IF(INDEX($D278:$K278,IF(M278=1,2,1))=AC278,1,IF(INDEX($D278:$K278,IF(M278=1,2,1))&amp;INDEX($D278:$K278,IF(M278=1,2,1)+1)=AC278,2,IF(INDEX($D278:$K278,IF(M278=1,2,1))&amp;INDEX($D278:$K278,IF(M278=1,2,1)+1)&amp;INDEX($D278:$K278,IF(M278=1,2,1)+2)=AC278,3,IF(AB278&lt;&gt;"",2,IF(ISNUMBER(MATCH(INDEX($D278:$K278,IF(M278=1,2,1)),入力!$AH$5:$AH$44,0)),1,IF(ISNUMBER(MATCH(INDEX($D278:$K278,IF(M278=1,2,1))&amp;INDEX($D278:$K278,IF(M278=1,2,1)+1),入力!$AH$5:$AH$44,0)),2,IF(ISNUMBER(MATCH(INDEX($D278:$K278,IF(M278=1,2,1))&amp;INDEX($D278:$K278,IF(M278=1,2,1)+1)&amp;INDEX($D278:$K278,IF(M278=1,2,1)+2),入力!$AH$5:$AH$44,0)),3,2)))))))</f>
        <v/>
      </c>
      <c r="AE278">
        <f>IF(V278="","",IF(AND(V278="反映",N(Y278)&gt;20),"要確認（この生徒の取込が20件を超えました）",V278))</f>
        <v/>
      </c>
    </row>
    <row r="279">
      <c r="A279" s="138" t="n"/>
      <c r="B279">
        <f>TRIM(SUBSTITUTE(SUBSTITUTE(SUBSTITUTE(A279,CHAR(9)," "),"　"," "),CHAR(160)," "))</f>
        <v/>
      </c>
      <c r="C279">
        <f>IF(B279="",0,LEN(B279)-LEN(SUBSTITUTE(B279," ",""))+1)</f>
        <v/>
      </c>
      <c r="D279">
        <f>IF(C279&gt;=1,TRIM(MID(SUBSTITUTE(B279," ",REPT(" ",200)),1,200)),"")</f>
        <v/>
      </c>
      <c r="E279">
        <f>IF(C279&gt;=2,TRIM(MID(SUBSTITUTE(B279," ",REPT(" ",200)),201,200)),"")</f>
        <v/>
      </c>
      <c r="F279">
        <f>IF(C279&gt;=3,TRIM(MID(SUBSTITUTE(B279," ",REPT(" ",200)),401,200)),"")</f>
        <v/>
      </c>
      <c r="G279">
        <f>IF(C279&gt;=4,TRIM(MID(SUBSTITUTE(B279," ",REPT(" ",200)),601,200)),"")</f>
        <v/>
      </c>
      <c r="H279">
        <f>IF(C279&gt;=5,TRIM(MID(SUBSTITUTE(B279," ",REPT(" ",200)),801,200)),"")</f>
        <v/>
      </c>
      <c r="I279">
        <f>IF(C279&gt;=6,TRIM(MID(SUBSTITUTE(B279," ",REPT(" ",200)),1001,200)),"")</f>
        <v/>
      </c>
      <c r="J279">
        <f>IF(C279&gt;=7,TRIM(MID(SUBSTITUTE(B279," ",REPT(" ",200)),1201,200)),"")</f>
        <v/>
      </c>
      <c r="K279">
        <f>IF(C279&gt;=8,TRIM(MID(SUBSTITUTE(B279," ",REPT(" ",200)),1401,200)),"")</f>
        <v/>
      </c>
      <c r="L279">
        <f>SUBSTITUTE(SUBSTITUTE(SUBSTITUTE(D279,"年","-"),"組","-"),"番","")</f>
        <v/>
      </c>
      <c r="M279">
        <f>IF(D279="",0,IF(ISNUMBER(VALUE(SUBSTITUTE(L279,"-",""))),1,0))</f>
        <v/>
      </c>
      <c r="N279">
        <f>IF(M279=0,"",IFERROR(VALUE(TRIM(MID(SUBSTITUTE(L279,"-",REPT(" ",100)),101,100))),""))</f>
        <v/>
      </c>
      <c r="O279">
        <f>IF(M279=0,"",IFERROR(VALUE(TRIM(RIGHT(SUBSTITUTE(L279,"-",REPT(" ",100)),100))),""))</f>
        <v/>
      </c>
      <c r="P279">
        <f>IF(B279="","",TRIM(INDEX($D279:$K279,IF(M279=1,2,1))&amp;IF(AD279&gt;=2," "&amp;INDEX($D279:$K279,IF(M279=1,2,1)+1),"")&amp;IF(AD279&gt;=3," "&amp;INDEX($D279:$K279,IF(M279=1,2,1)+2),"")))</f>
        <v/>
      </c>
      <c r="Q279">
        <f>IF(C279&lt;2,"",TRIM(IF(AND(2&gt;=(IF(M279=1,2,1)+AD279),2&lt;=C279-IF(S279="",0,1)),E279&amp;" ","")&amp;IF(AND(3&gt;=(IF(M279=1,2,1)+AD279),3&lt;=C279-IF(S279="",0,1)),F279&amp;" ","")&amp;IF(AND(4&gt;=(IF(M279=1,2,1)+AD279),4&lt;=C279-IF(S279="",0,1)),G279&amp;" ","")&amp;IF(AND(5&gt;=(IF(M279=1,2,1)+AD279),5&lt;=C279-IF(S279="",0,1)),H279&amp;" ","")&amp;IF(AND(6&gt;=(IF(M279=1,2,1)+AD279),6&lt;=C279-IF(S279="",0,1)),I279&amp;" ","")&amp;IF(AND(7&gt;=(IF(M279=1,2,1)+AD279),7&lt;=C279-IF(S279="",0,1)),J279&amp;" ","")&amp;IF(AND(8&gt;=(IF(M279=1,2,1)+AD279),8&lt;=C279-IF(S279="",0,1)),K279&amp;" ","")))</f>
        <v/>
      </c>
      <c r="R279">
        <f>IF(Q279="","",IFERROR(INDEX(資格マスタ!$B:$B,MATCH(ASC(SUBSTITUTE(SUBSTITUTE(Q279," ",""),"　","")),資格マスタ!$D:$D,0)),Q279))</f>
        <v/>
      </c>
      <c r="S279" s="139">
        <f>IF(C279&lt;2,"",IFERROR(IF(OR(LEFT(INDEX(D279:K279,MIN(8,MAX(1,C279))),2)="令和",LEFT(INDEX(D279:K279,MIN(8,MAX(1,C279))),2)="平成",LEFT(INDEX(D279:K279,MIN(8,MAX(1,C279))),2)="昭和"),DATE(VALUE(MID(INDEX(D279:K279,MIN(8,MAX(1,C279))),3,FIND("年",INDEX(D279:K279,MIN(8,MAX(1,C279))))-3))+IF(LEFT(INDEX(D279:K279,MIN(8,MAX(1,C279))),2)="令和",2018,IF(LEFT(INDEX(D279:K279,MIN(8,MAX(1,C279))),2)="平成",1988,1925)),VALUE(MID(INDEX(D279:K279,MIN(8,MAX(1,C279))),FIND("年",INDEX(D279:K279,MIN(8,MAX(1,C279))))+1,FIND("月",INDEX(D279:K279,MIN(8,MAX(1,C279))))-FIND("年",INDEX(D279:K279,MIN(8,MAX(1,C279))))-1)),IFERROR(VALUE(SUBSTITUTE(MID(INDEX(D279:K279,MIN(8,MAX(1,C279))),FIND("月",INDEX(D279:K279,MIN(8,MAX(1,C279))))+1,10),"日","")),1)),DATE(VALUE(TRIM(MID(SUBSTITUTE(AA279,"/",REPT(" ",50)),1,50))),VALUE(TRIM(MID(SUBSTITUTE(AA279,"/",REPT(" ",50)),51,50))),IFERROR(VALUE(TRIM(MID(SUBSTITUTE(AA279,"/",REPT(" ",50)),101,50))),1))),IFERROR(DATEVALUE(INDEX(D279:K279,MIN(8,MAX(1,C279)))),"")))</f>
        <v/>
      </c>
      <c r="T279">
        <f>IF(B279="","",IF(AB279&lt;&gt;"",AB279,IFERROR(MATCH(SUBSTITUTE(SUBSTITUTE(P279," ",""),"　",""),入力!$AH$5:$AH$44,0),"")))</f>
        <v/>
      </c>
      <c r="U279">
        <f>IF(T279="","",INDEX(入力!$D$5:$D$44,T279))</f>
        <v/>
      </c>
      <c r="V279">
        <f>IF(B279="","",IF(T279="","要確認（名簿と照合できません）",IF(R279="","要確認（資格名がありません）",IF(S279="","要確認（取得日が読めません）",IF((IF(INDEX(入力!$N$5:$N$44,T279)=R279,1,0)+IF(INDEX(入力!$P$5:$P$44,T279)=R279,1,0)+IF(INDEX(入力!$R$5:$R$44,T279)=R279,1,0)+IF(INDEX(入力!$T$5:$T$44,T279)=R279,1,0)+IF(INDEX(入力!$V$5:$V$44,T279)=R279,1,0)+IF(INDEX(入力!$X$5:$X$44,T279)=R279,1,0))+(COUNTIFS($T$6:$T$405,T279,$R$6:$R$405,R279,$X$6:$X$405,"&lt;"&amp;X279))&gt;0,"重複","反映")))))</f>
        <v/>
      </c>
      <c r="W279">
        <f>IF(V279="反映",1,0)</f>
        <v/>
      </c>
      <c r="X279" t="n">
        <v>279</v>
      </c>
      <c r="Y279">
        <f>IF(W279=0,"",COUNTIFS($T$6:$T$405,T279,$W$6:$W$405,1,$S$6:$S$405,"&lt;"&amp;S279)+COUNTIFS($T$6:$T$405,T279,$W$6:$W$405,1,$S$6:$S$405,S279,$X$6:$X$405,"&lt;"&amp;X279)+1)</f>
        <v/>
      </c>
      <c r="Z279">
        <f>IF(Y279="","",T279&amp;"_"&amp;Y279)</f>
        <v/>
      </c>
      <c r="AA279">
        <f>SUBSTITUTE(SUBSTITUTE(SUBSTITUTE(SUBSTITUTE(SUBSTITUTE(INDEX(D279:K279,MIN(8,MAX(1,C279))),"年","/"),"月","/"),"日",""),"-","/"),".","/")</f>
        <v/>
      </c>
      <c r="AB279">
        <f>IFERROR(MATCH(O279,入力!$C$5:$C$44,0),"")</f>
        <v/>
      </c>
      <c r="AC279">
        <f>IF(AB279="","",INDEX(入力!$AH$5:$AH$44,AB279))</f>
        <v/>
      </c>
      <c r="AD279">
        <f>IF(INDEX($D279:$K279,IF(M279=1,2,1))=AC279,1,IF(INDEX($D279:$K279,IF(M279=1,2,1))&amp;INDEX($D279:$K279,IF(M279=1,2,1)+1)=AC279,2,IF(INDEX($D279:$K279,IF(M279=1,2,1))&amp;INDEX($D279:$K279,IF(M279=1,2,1)+1)&amp;INDEX($D279:$K279,IF(M279=1,2,1)+2)=AC279,3,IF(AB279&lt;&gt;"",2,IF(ISNUMBER(MATCH(INDEX($D279:$K279,IF(M279=1,2,1)),入力!$AH$5:$AH$44,0)),1,IF(ISNUMBER(MATCH(INDEX($D279:$K279,IF(M279=1,2,1))&amp;INDEX($D279:$K279,IF(M279=1,2,1)+1),入力!$AH$5:$AH$44,0)),2,IF(ISNUMBER(MATCH(INDEX($D279:$K279,IF(M279=1,2,1))&amp;INDEX($D279:$K279,IF(M279=1,2,1)+1)&amp;INDEX($D279:$K279,IF(M279=1,2,1)+2),入力!$AH$5:$AH$44,0)),3,2)))))))</f>
        <v/>
      </c>
      <c r="AE279">
        <f>IF(V279="","",IF(AND(V279="反映",N(Y279)&gt;20),"要確認（この生徒の取込が20件を超えました）",V279))</f>
        <v/>
      </c>
    </row>
    <row r="280">
      <c r="A280" s="138" t="n"/>
      <c r="B280">
        <f>TRIM(SUBSTITUTE(SUBSTITUTE(SUBSTITUTE(A280,CHAR(9)," "),"　"," "),CHAR(160)," "))</f>
        <v/>
      </c>
      <c r="C280">
        <f>IF(B280="",0,LEN(B280)-LEN(SUBSTITUTE(B280," ",""))+1)</f>
        <v/>
      </c>
      <c r="D280">
        <f>IF(C280&gt;=1,TRIM(MID(SUBSTITUTE(B280," ",REPT(" ",200)),1,200)),"")</f>
        <v/>
      </c>
      <c r="E280">
        <f>IF(C280&gt;=2,TRIM(MID(SUBSTITUTE(B280," ",REPT(" ",200)),201,200)),"")</f>
        <v/>
      </c>
      <c r="F280">
        <f>IF(C280&gt;=3,TRIM(MID(SUBSTITUTE(B280," ",REPT(" ",200)),401,200)),"")</f>
        <v/>
      </c>
      <c r="G280">
        <f>IF(C280&gt;=4,TRIM(MID(SUBSTITUTE(B280," ",REPT(" ",200)),601,200)),"")</f>
        <v/>
      </c>
      <c r="H280">
        <f>IF(C280&gt;=5,TRIM(MID(SUBSTITUTE(B280," ",REPT(" ",200)),801,200)),"")</f>
        <v/>
      </c>
      <c r="I280">
        <f>IF(C280&gt;=6,TRIM(MID(SUBSTITUTE(B280," ",REPT(" ",200)),1001,200)),"")</f>
        <v/>
      </c>
      <c r="J280">
        <f>IF(C280&gt;=7,TRIM(MID(SUBSTITUTE(B280," ",REPT(" ",200)),1201,200)),"")</f>
        <v/>
      </c>
      <c r="K280">
        <f>IF(C280&gt;=8,TRIM(MID(SUBSTITUTE(B280," ",REPT(" ",200)),1401,200)),"")</f>
        <v/>
      </c>
      <c r="L280">
        <f>SUBSTITUTE(SUBSTITUTE(SUBSTITUTE(D280,"年","-"),"組","-"),"番","")</f>
        <v/>
      </c>
      <c r="M280">
        <f>IF(D280="",0,IF(ISNUMBER(VALUE(SUBSTITUTE(L280,"-",""))),1,0))</f>
        <v/>
      </c>
      <c r="N280">
        <f>IF(M280=0,"",IFERROR(VALUE(TRIM(MID(SUBSTITUTE(L280,"-",REPT(" ",100)),101,100))),""))</f>
        <v/>
      </c>
      <c r="O280">
        <f>IF(M280=0,"",IFERROR(VALUE(TRIM(RIGHT(SUBSTITUTE(L280,"-",REPT(" ",100)),100))),""))</f>
        <v/>
      </c>
      <c r="P280">
        <f>IF(B280="","",TRIM(INDEX($D280:$K280,IF(M280=1,2,1))&amp;IF(AD280&gt;=2," "&amp;INDEX($D280:$K280,IF(M280=1,2,1)+1),"")&amp;IF(AD280&gt;=3," "&amp;INDEX($D280:$K280,IF(M280=1,2,1)+2),"")))</f>
        <v/>
      </c>
      <c r="Q280">
        <f>IF(C280&lt;2,"",TRIM(IF(AND(2&gt;=(IF(M280=1,2,1)+AD280),2&lt;=C280-IF(S280="",0,1)),E280&amp;" ","")&amp;IF(AND(3&gt;=(IF(M280=1,2,1)+AD280),3&lt;=C280-IF(S280="",0,1)),F280&amp;" ","")&amp;IF(AND(4&gt;=(IF(M280=1,2,1)+AD280),4&lt;=C280-IF(S280="",0,1)),G280&amp;" ","")&amp;IF(AND(5&gt;=(IF(M280=1,2,1)+AD280),5&lt;=C280-IF(S280="",0,1)),H280&amp;" ","")&amp;IF(AND(6&gt;=(IF(M280=1,2,1)+AD280),6&lt;=C280-IF(S280="",0,1)),I280&amp;" ","")&amp;IF(AND(7&gt;=(IF(M280=1,2,1)+AD280),7&lt;=C280-IF(S280="",0,1)),J280&amp;" ","")&amp;IF(AND(8&gt;=(IF(M280=1,2,1)+AD280),8&lt;=C280-IF(S280="",0,1)),K280&amp;" ","")))</f>
        <v/>
      </c>
      <c r="R280">
        <f>IF(Q280="","",IFERROR(INDEX(資格マスタ!$B:$B,MATCH(ASC(SUBSTITUTE(SUBSTITUTE(Q280," ",""),"　","")),資格マスタ!$D:$D,0)),Q280))</f>
        <v/>
      </c>
      <c r="S280" s="139">
        <f>IF(C280&lt;2,"",IFERROR(IF(OR(LEFT(INDEX(D280:K280,MIN(8,MAX(1,C280))),2)="令和",LEFT(INDEX(D280:K280,MIN(8,MAX(1,C280))),2)="平成",LEFT(INDEX(D280:K280,MIN(8,MAX(1,C280))),2)="昭和"),DATE(VALUE(MID(INDEX(D280:K280,MIN(8,MAX(1,C280))),3,FIND("年",INDEX(D280:K280,MIN(8,MAX(1,C280))))-3))+IF(LEFT(INDEX(D280:K280,MIN(8,MAX(1,C280))),2)="令和",2018,IF(LEFT(INDEX(D280:K280,MIN(8,MAX(1,C280))),2)="平成",1988,1925)),VALUE(MID(INDEX(D280:K280,MIN(8,MAX(1,C280))),FIND("年",INDEX(D280:K280,MIN(8,MAX(1,C280))))+1,FIND("月",INDEX(D280:K280,MIN(8,MAX(1,C280))))-FIND("年",INDEX(D280:K280,MIN(8,MAX(1,C280))))-1)),IFERROR(VALUE(SUBSTITUTE(MID(INDEX(D280:K280,MIN(8,MAX(1,C280))),FIND("月",INDEX(D280:K280,MIN(8,MAX(1,C280))))+1,10),"日","")),1)),DATE(VALUE(TRIM(MID(SUBSTITUTE(AA280,"/",REPT(" ",50)),1,50))),VALUE(TRIM(MID(SUBSTITUTE(AA280,"/",REPT(" ",50)),51,50))),IFERROR(VALUE(TRIM(MID(SUBSTITUTE(AA280,"/",REPT(" ",50)),101,50))),1))),IFERROR(DATEVALUE(INDEX(D280:K280,MIN(8,MAX(1,C280)))),"")))</f>
        <v/>
      </c>
      <c r="T280">
        <f>IF(B280="","",IF(AB280&lt;&gt;"",AB280,IFERROR(MATCH(SUBSTITUTE(SUBSTITUTE(P280," ",""),"　",""),入力!$AH$5:$AH$44,0),"")))</f>
        <v/>
      </c>
      <c r="U280">
        <f>IF(T280="","",INDEX(入力!$D$5:$D$44,T280))</f>
        <v/>
      </c>
      <c r="V280">
        <f>IF(B280="","",IF(T280="","要確認（名簿と照合できません）",IF(R280="","要確認（資格名がありません）",IF(S280="","要確認（取得日が読めません）",IF((IF(INDEX(入力!$N$5:$N$44,T280)=R280,1,0)+IF(INDEX(入力!$P$5:$P$44,T280)=R280,1,0)+IF(INDEX(入力!$R$5:$R$44,T280)=R280,1,0)+IF(INDEX(入力!$T$5:$T$44,T280)=R280,1,0)+IF(INDEX(入力!$V$5:$V$44,T280)=R280,1,0)+IF(INDEX(入力!$X$5:$X$44,T280)=R280,1,0))+(COUNTIFS($T$6:$T$405,T280,$R$6:$R$405,R280,$X$6:$X$405,"&lt;"&amp;X280))&gt;0,"重複","反映")))))</f>
        <v/>
      </c>
      <c r="W280">
        <f>IF(V280="反映",1,0)</f>
        <v/>
      </c>
      <c r="X280" t="n">
        <v>280</v>
      </c>
      <c r="Y280">
        <f>IF(W280=0,"",COUNTIFS($T$6:$T$405,T280,$W$6:$W$405,1,$S$6:$S$405,"&lt;"&amp;S280)+COUNTIFS($T$6:$T$405,T280,$W$6:$W$405,1,$S$6:$S$405,S280,$X$6:$X$405,"&lt;"&amp;X280)+1)</f>
        <v/>
      </c>
      <c r="Z280">
        <f>IF(Y280="","",T280&amp;"_"&amp;Y280)</f>
        <v/>
      </c>
      <c r="AA280">
        <f>SUBSTITUTE(SUBSTITUTE(SUBSTITUTE(SUBSTITUTE(SUBSTITUTE(INDEX(D280:K280,MIN(8,MAX(1,C280))),"年","/"),"月","/"),"日",""),"-","/"),".","/")</f>
        <v/>
      </c>
      <c r="AB280">
        <f>IFERROR(MATCH(O280,入力!$C$5:$C$44,0),"")</f>
        <v/>
      </c>
      <c r="AC280">
        <f>IF(AB280="","",INDEX(入力!$AH$5:$AH$44,AB280))</f>
        <v/>
      </c>
      <c r="AD280">
        <f>IF(INDEX($D280:$K280,IF(M280=1,2,1))=AC280,1,IF(INDEX($D280:$K280,IF(M280=1,2,1))&amp;INDEX($D280:$K280,IF(M280=1,2,1)+1)=AC280,2,IF(INDEX($D280:$K280,IF(M280=1,2,1))&amp;INDEX($D280:$K280,IF(M280=1,2,1)+1)&amp;INDEX($D280:$K280,IF(M280=1,2,1)+2)=AC280,3,IF(AB280&lt;&gt;"",2,IF(ISNUMBER(MATCH(INDEX($D280:$K280,IF(M280=1,2,1)),入力!$AH$5:$AH$44,0)),1,IF(ISNUMBER(MATCH(INDEX($D280:$K280,IF(M280=1,2,1))&amp;INDEX($D280:$K280,IF(M280=1,2,1)+1),入力!$AH$5:$AH$44,0)),2,IF(ISNUMBER(MATCH(INDEX($D280:$K280,IF(M280=1,2,1))&amp;INDEX($D280:$K280,IF(M280=1,2,1)+1)&amp;INDEX($D280:$K280,IF(M280=1,2,1)+2),入力!$AH$5:$AH$44,0)),3,2)))))))</f>
        <v/>
      </c>
      <c r="AE280">
        <f>IF(V280="","",IF(AND(V280="反映",N(Y280)&gt;20),"要確認（この生徒の取込が20件を超えました）",V280))</f>
        <v/>
      </c>
    </row>
    <row r="281">
      <c r="A281" s="138" t="n"/>
      <c r="B281">
        <f>TRIM(SUBSTITUTE(SUBSTITUTE(SUBSTITUTE(A281,CHAR(9)," "),"　"," "),CHAR(160)," "))</f>
        <v/>
      </c>
      <c r="C281">
        <f>IF(B281="",0,LEN(B281)-LEN(SUBSTITUTE(B281," ",""))+1)</f>
        <v/>
      </c>
      <c r="D281">
        <f>IF(C281&gt;=1,TRIM(MID(SUBSTITUTE(B281," ",REPT(" ",200)),1,200)),"")</f>
        <v/>
      </c>
      <c r="E281">
        <f>IF(C281&gt;=2,TRIM(MID(SUBSTITUTE(B281," ",REPT(" ",200)),201,200)),"")</f>
        <v/>
      </c>
      <c r="F281">
        <f>IF(C281&gt;=3,TRIM(MID(SUBSTITUTE(B281," ",REPT(" ",200)),401,200)),"")</f>
        <v/>
      </c>
      <c r="G281">
        <f>IF(C281&gt;=4,TRIM(MID(SUBSTITUTE(B281," ",REPT(" ",200)),601,200)),"")</f>
        <v/>
      </c>
      <c r="H281">
        <f>IF(C281&gt;=5,TRIM(MID(SUBSTITUTE(B281," ",REPT(" ",200)),801,200)),"")</f>
        <v/>
      </c>
      <c r="I281">
        <f>IF(C281&gt;=6,TRIM(MID(SUBSTITUTE(B281," ",REPT(" ",200)),1001,200)),"")</f>
        <v/>
      </c>
      <c r="J281">
        <f>IF(C281&gt;=7,TRIM(MID(SUBSTITUTE(B281," ",REPT(" ",200)),1201,200)),"")</f>
        <v/>
      </c>
      <c r="K281">
        <f>IF(C281&gt;=8,TRIM(MID(SUBSTITUTE(B281," ",REPT(" ",200)),1401,200)),"")</f>
        <v/>
      </c>
      <c r="L281">
        <f>SUBSTITUTE(SUBSTITUTE(SUBSTITUTE(D281,"年","-"),"組","-"),"番","")</f>
        <v/>
      </c>
      <c r="M281">
        <f>IF(D281="",0,IF(ISNUMBER(VALUE(SUBSTITUTE(L281,"-",""))),1,0))</f>
        <v/>
      </c>
      <c r="N281">
        <f>IF(M281=0,"",IFERROR(VALUE(TRIM(MID(SUBSTITUTE(L281,"-",REPT(" ",100)),101,100))),""))</f>
        <v/>
      </c>
      <c r="O281">
        <f>IF(M281=0,"",IFERROR(VALUE(TRIM(RIGHT(SUBSTITUTE(L281,"-",REPT(" ",100)),100))),""))</f>
        <v/>
      </c>
      <c r="P281">
        <f>IF(B281="","",TRIM(INDEX($D281:$K281,IF(M281=1,2,1))&amp;IF(AD281&gt;=2," "&amp;INDEX($D281:$K281,IF(M281=1,2,1)+1),"")&amp;IF(AD281&gt;=3," "&amp;INDEX($D281:$K281,IF(M281=1,2,1)+2),"")))</f>
        <v/>
      </c>
      <c r="Q281">
        <f>IF(C281&lt;2,"",TRIM(IF(AND(2&gt;=(IF(M281=1,2,1)+AD281),2&lt;=C281-IF(S281="",0,1)),E281&amp;" ","")&amp;IF(AND(3&gt;=(IF(M281=1,2,1)+AD281),3&lt;=C281-IF(S281="",0,1)),F281&amp;" ","")&amp;IF(AND(4&gt;=(IF(M281=1,2,1)+AD281),4&lt;=C281-IF(S281="",0,1)),G281&amp;" ","")&amp;IF(AND(5&gt;=(IF(M281=1,2,1)+AD281),5&lt;=C281-IF(S281="",0,1)),H281&amp;" ","")&amp;IF(AND(6&gt;=(IF(M281=1,2,1)+AD281),6&lt;=C281-IF(S281="",0,1)),I281&amp;" ","")&amp;IF(AND(7&gt;=(IF(M281=1,2,1)+AD281),7&lt;=C281-IF(S281="",0,1)),J281&amp;" ","")&amp;IF(AND(8&gt;=(IF(M281=1,2,1)+AD281),8&lt;=C281-IF(S281="",0,1)),K281&amp;" ","")))</f>
        <v/>
      </c>
      <c r="R281">
        <f>IF(Q281="","",IFERROR(INDEX(資格マスタ!$B:$B,MATCH(ASC(SUBSTITUTE(SUBSTITUTE(Q281," ",""),"　","")),資格マスタ!$D:$D,0)),Q281))</f>
        <v/>
      </c>
      <c r="S281" s="139">
        <f>IF(C281&lt;2,"",IFERROR(IF(OR(LEFT(INDEX(D281:K281,MIN(8,MAX(1,C281))),2)="令和",LEFT(INDEX(D281:K281,MIN(8,MAX(1,C281))),2)="平成",LEFT(INDEX(D281:K281,MIN(8,MAX(1,C281))),2)="昭和"),DATE(VALUE(MID(INDEX(D281:K281,MIN(8,MAX(1,C281))),3,FIND("年",INDEX(D281:K281,MIN(8,MAX(1,C281))))-3))+IF(LEFT(INDEX(D281:K281,MIN(8,MAX(1,C281))),2)="令和",2018,IF(LEFT(INDEX(D281:K281,MIN(8,MAX(1,C281))),2)="平成",1988,1925)),VALUE(MID(INDEX(D281:K281,MIN(8,MAX(1,C281))),FIND("年",INDEX(D281:K281,MIN(8,MAX(1,C281))))+1,FIND("月",INDEX(D281:K281,MIN(8,MAX(1,C281))))-FIND("年",INDEX(D281:K281,MIN(8,MAX(1,C281))))-1)),IFERROR(VALUE(SUBSTITUTE(MID(INDEX(D281:K281,MIN(8,MAX(1,C281))),FIND("月",INDEX(D281:K281,MIN(8,MAX(1,C281))))+1,10),"日","")),1)),DATE(VALUE(TRIM(MID(SUBSTITUTE(AA281,"/",REPT(" ",50)),1,50))),VALUE(TRIM(MID(SUBSTITUTE(AA281,"/",REPT(" ",50)),51,50))),IFERROR(VALUE(TRIM(MID(SUBSTITUTE(AA281,"/",REPT(" ",50)),101,50))),1))),IFERROR(DATEVALUE(INDEX(D281:K281,MIN(8,MAX(1,C281)))),"")))</f>
        <v/>
      </c>
      <c r="T281">
        <f>IF(B281="","",IF(AB281&lt;&gt;"",AB281,IFERROR(MATCH(SUBSTITUTE(SUBSTITUTE(P281," ",""),"　",""),入力!$AH$5:$AH$44,0),"")))</f>
        <v/>
      </c>
      <c r="U281">
        <f>IF(T281="","",INDEX(入力!$D$5:$D$44,T281))</f>
        <v/>
      </c>
      <c r="V281">
        <f>IF(B281="","",IF(T281="","要確認（名簿と照合できません）",IF(R281="","要確認（資格名がありません）",IF(S281="","要確認（取得日が読めません）",IF((IF(INDEX(入力!$N$5:$N$44,T281)=R281,1,0)+IF(INDEX(入力!$P$5:$P$44,T281)=R281,1,0)+IF(INDEX(入力!$R$5:$R$44,T281)=R281,1,0)+IF(INDEX(入力!$T$5:$T$44,T281)=R281,1,0)+IF(INDEX(入力!$V$5:$V$44,T281)=R281,1,0)+IF(INDEX(入力!$X$5:$X$44,T281)=R281,1,0))+(COUNTIFS($T$6:$T$405,T281,$R$6:$R$405,R281,$X$6:$X$405,"&lt;"&amp;X281))&gt;0,"重複","反映")))))</f>
        <v/>
      </c>
      <c r="W281">
        <f>IF(V281="反映",1,0)</f>
        <v/>
      </c>
      <c r="X281" t="n">
        <v>281</v>
      </c>
      <c r="Y281">
        <f>IF(W281=0,"",COUNTIFS($T$6:$T$405,T281,$W$6:$W$405,1,$S$6:$S$405,"&lt;"&amp;S281)+COUNTIFS($T$6:$T$405,T281,$W$6:$W$405,1,$S$6:$S$405,S281,$X$6:$X$405,"&lt;"&amp;X281)+1)</f>
        <v/>
      </c>
      <c r="Z281">
        <f>IF(Y281="","",T281&amp;"_"&amp;Y281)</f>
        <v/>
      </c>
      <c r="AA281">
        <f>SUBSTITUTE(SUBSTITUTE(SUBSTITUTE(SUBSTITUTE(SUBSTITUTE(INDEX(D281:K281,MIN(8,MAX(1,C281))),"年","/"),"月","/"),"日",""),"-","/"),".","/")</f>
        <v/>
      </c>
      <c r="AB281">
        <f>IFERROR(MATCH(O281,入力!$C$5:$C$44,0),"")</f>
        <v/>
      </c>
      <c r="AC281">
        <f>IF(AB281="","",INDEX(入力!$AH$5:$AH$44,AB281))</f>
        <v/>
      </c>
      <c r="AD281">
        <f>IF(INDEX($D281:$K281,IF(M281=1,2,1))=AC281,1,IF(INDEX($D281:$K281,IF(M281=1,2,1))&amp;INDEX($D281:$K281,IF(M281=1,2,1)+1)=AC281,2,IF(INDEX($D281:$K281,IF(M281=1,2,1))&amp;INDEX($D281:$K281,IF(M281=1,2,1)+1)&amp;INDEX($D281:$K281,IF(M281=1,2,1)+2)=AC281,3,IF(AB281&lt;&gt;"",2,IF(ISNUMBER(MATCH(INDEX($D281:$K281,IF(M281=1,2,1)),入力!$AH$5:$AH$44,0)),1,IF(ISNUMBER(MATCH(INDEX($D281:$K281,IF(M281=1,2,1))&amp;INDEX($D281:$K281,IF(M281=1,2,1)+1),入力!$AH$5:$AH$44,0)),2,IF(ISNUMBER(MATCH(INDEX($D281:$K281,IF(M281=1,2,1))&amp;INDEX($D281:$K281,IF(M281=1,2,1)+1)&amp;INDEX($D281:$K281,IF(M281=1,2,1)+2),入力!$AH$5:$AH$44,0)),3,2)))))))</f>
        <v/>
      </c>
      <c r="AE281">
        <f>IF(V281="","",IF(AND(V281="反映",N(Y281)&gt;20),"要確認（この生徒の取込が20件を超えました）",V281))</f>
        <v/>
      </c>
    </row>
    <row r="282">
      <c r="A282" s="138" t="n"/>
      <c r="B282">
        <f>TRIM(SUBSTITUTE(SUBSTITUTE(SUBSTITUTE(A282,CHAR(9)," "),"　"," "),CHAR(160)," "))</f>
        <v/>
      </c>
      <c r="C282">
        <f>IF(B282="",0,LEN(B282)-LEN(SUBSTITUTE(B282," ",""))+1)</f>
        <v/>
      </c>
      <c r="D282">
        <f>IF(C282&gt;=1,TRIM(MID(SUBSTITUTE(B282," ",REPT(" ",200)),1,200)),"")</f>
        <v/>
      </c>
      <c r="E282">
        <f>IF(C282&gt;=2,TRIM(MID(SUBSTITUTE(B282," ",REPT(" ",200)),201,200)),"")</f>
        <v/>
      </c>
      <c r="F282">
        <f>IF(C282&gt;=3,TRIM(MID(SUBSTITUTE(B282," ",REPT(" ",200)),401,200)),"")</f>
        <v/>
      </c>
      <c r="G282">
        <f>IF(C282&gt;=4,TRIM(MID(SUBSTITUTE(B282," ",REPT(" ",200)),601,200)),"")</f>
        <v/>
      </c>
      <c r="H282">
        <f>IF(C282&gt;=5,TRIM(MID(SUBSTITUTE(B282," ",REPT(" ",200)),801,200)),"")</f>
        <v/>
      </c>
      <c r="I282">
        <f>IF(C282&gt;=6,TRIM(MID(SUBSTITUTE(B282," ",REPT(" ",200)),1001,200)),"")</f>
        <v/>
      </c>
      <c r="J282">
        <f>IF(C282&gt;=7,TRIM(MID(SUBSTITUTE(B282," ",REPT(" ",200)),1201,200)),"")</f>
        <v/>
      </c>
      <c r="K282">
        <f>IF(C282&gt;=8,TRIM(MID(SUBSTITUTE(B282," ",REPT(" ",200)),1401,200)),"")</f>
        <v/>
      </c>
      <c r="L282">
        <f>SUBSTITUTE(SUBSTITUTE(SUBSTITUTE(D282,"年","-"),"組","-"),"番","")</f>
        <v/>
      </c>
      <c r="M282">
        <f>IF(D282="",0,IF(ISNUMBER(VALUE(SUBSTITUTE(L282,"-",""))),1,0))</f>
        <v/>
      </c>
      <c r="N282">
        <f>IF(M282=0,"",IFERROR(VALUE(TRIM(MID(SUBSTITUTE(L282,"-",REPT(" ",100)),101,100))),""))</f>
        <v/>
      </c>
      <c r="O282">
        <f>IF(M282=0,"",IFERROR(VALUE(TRIM(RIGHT(SUBSTITUTE(L282,"-",REPT(" ",100)),100))),""))</f>
        <v/>
      </c>
      <c r="P282">
        <f>IF(B282="","",TRIM(INDEX($D282:$K282,IF(M282=1,2,1))&amp;IF(AD282&gt;=2," "&amp;INDEX($D282:$K282,IF(M282=1,2,1)+1),"")&amp;IF(AD282&gt;=3," "&amp;INDEX($D282:$K282,IF(M282=1,2,1)+2),"")))</f>
        <v/>
      </c>
      <c r="Q282">
        <f>IF(C282&lt;2,"",TRIM(IF(AND(2&gt;=(IF(M282=1,2,1)+AD282),2&lt;=C282-IF(S282="",0,1)),E282&amp;" ","")&amp;IF(AND(3&gt;=(IF(M282=1,2,1)+AD282),3&lt;=C282-IF(S282="",0,1)),F282&amp;" ","")&amp;IF(AND(4&gt;=(IF(M282=1,2,1)+AD282),4&lt;=C282-IF(S282="",0,1)),G282&amp;" ","")&amp;IF(AND(5&gt;=(IF(M282=1,2,1)+AD282),5&lt;=C282-IF(S282="",0,1)),H282&amp;" ","")&amp;IF(AND(6&gt;=(IF(M282=1,2,1)+AD282),6&lt;=C282-IF(S282="",0,1)),I282&amp;" ","")&amp;IF(AND(7&gt;=(IF(M282=1,2,1)+AD282),7&lt;=C282-IF(S282="",0,1)),J282&amp;" ","")&amp;IF(AND(8&gt;=(IF(M282=1,2,1)+AD282),8&lt;=C282-IF(S282="",0,1)),K282&amp;" ","")))</f>
        <v/>
      </c>
      <c r="R282">
        <f>IF(Q282="","",IFERROR(INDEX(資格マスタ!$B:$B,MATCH(ASC(SUBSTITUTE(SUBSTITUTE(Q282," ",""),"　","")),資格マスタ!$D:$D,0)),Q282))</f>
        <v/>
      </c>
      <c r="S282" s="139">
        <f>IF(C282&lt;2,"",IFERROR(IF(OR(LEFT(INDEX(D282:K282,MIN(8,MAX(1,C282))),2)="令和",LEFT(INDEX(D282:K282,MIN(8,MAX(1,C282))),2)="平成",LEFT(INDEX(D282:K282,MIN(8,MAX(1,C282))),2)="昭和"),DATE(VALUE(MID(INDEX(D282:K282,MIN(8,MAX(1,C282))),3,FIND("年",INDEX(D282:K282,MIN(8,MAX(1,C282))))-3))+IF(LEFT(INDEX(D282:K282,MIN(8,MAX(1,C282))),2)="令和",2018,IF(LEFT(INDEX(D282:K282,MIN(8,MAX(1,C282))),2)="平成",1988,1925)),VALUE(MID(INDEX(D282:K282,MIN(8,MAX(1,C282))),FIND("年",INDEX(D282:K282,MIN(8,MAX(1,C282))))+1,FIND("月",INDEX(D282:K282,MIN(8,MAX(1,C282))))-FIND("年",INDEX(D282:K282,MIN(8,MAX(1,C282))))-1)),IFERROR(VALUE(SUBSTITUTE(MID(INDEX(D282:K282,MIN(8,MAX(1,C282))),FIND("月",INDEX(D282:K282,MIN(8,MAX(1,C282))))+1,10),"日","")),1)),DATE(VALUE(TRIM(MID(SUBSTITUTE(AA282,"/",REPT(" ",50)),1,50))),VALUE(TRIM(MID(SUBSTITUTE(AA282,"/",REPT(" ",50)),51,50))),IFERROR(VALUE(TRIM(MID(SUBSTITUTE(AA282,"/",REPT(" ",50)),101,50))),1))),IFERROR(DATEVALUE(INDEX(D282:K282,MIN(8,MAX(1,C282)))),"")))</f>
        <v/>
      </c>
      <c r="T282">
        <f>IF(B282="","",IF(AB282&lt;&gt;"",AB282,IFERROR(MATCH(SUBSTITUTE(SUBSTITUTE(P282," ",""),"　",""),入力!$AH$5:$AH$44,0),"")))</f>
        <v/>
      </c>
      <c r="U282">
        <f>IF(T282="","",INDEX(入力!$D$5:$D$44,T282))</f>
        <v/>
      </c>
      <c r="V282">
        <f>IF(B282="","",IF(T282="","要確認（名簿と照合できません）",IF(R282="","要確認（資格名がありません）",IF(S282="","要確認（取得日が読めません）",IF((IF(INDEX(入力!$N$5:$N$44,T282)=R282,1,0)+IF(INDEX(入力!$P$5:$P$44,T282)=R282,1,0)+IF(INDEX(入力!$R$5:$R$44,T282)=R282,1,0)+IF(INDEX(入力!$T$5:$T$44,T282)=R282,1,0)+IF(INDEX(入力!$V$5:$V$44,T282)=R282,1,0)+IF(INDEX(入力!$X$5:$X$44,T282)=R282,1,0))+(COUNTIFS($T$6:$T$405,T282,$R$6:$R$405,R282,$X$6:$X$405,"&lt;"&amp;X282))&gt;0,"重複","反映")))))</f>
        <v/>
      </c>
      <c r="W282">
        <f>IF(V282="反映",1,0)</f>
        <v/>
      </c>
      <c r="X282" t="n">
        <v>282</v>
      </c>
      <c r="Y282">
        <f>IF(W282=0,"",COUNTIFS($T$6:$T$405,T282,$W$6:$W$405,1,$S$6:$S$405,"&lt;"&amp;S282)+COUNTIFS($T$6:$T$405,T282,$W$6:$W$405,1,$S$6:$S$405,S282,$X$6:$X$405,"&lt;"&amp;X282)+1)</f>
        <v/>
      </c>
      <c r="Z282">
        <f>IF(Y282="","",T282&amp;"_"&amp;Y282)</f>
        <v/>
      </c>
      <c r="AA282">
        <f>SUBSTITUTE(SUBSTITUTE(SUBSTITUTE(SUBSTITUTE(SUBSTITUTE(INDEX(D282:K282,MIN(8,MAX(1,C282))),"年","/"),"月","/"),"日",""),"-","/"),".","/")</f>
        <v/>
      </c>
      <c r="AB282">
        <f>IFERROR(MATCH(O282,入力!$C$5:$C$44,0),"")</f>
        <v/>
      </c>
      <c r="AC282">
        <f>IF(AB282="","",INDEX(入力!$AH$5:$AH$44,AB282))</f>
        <v/>
      </c>
      <c r="AD282">
        <f>IF(INDEX($D282:$K282,IF(M282=1,2,1))=AC282,1,IF(INDEX($D282:$K282,IF(M282=1,2,1))&amp;INDEX($D282:$K282,IF(M282=1,2,1)+1)=AC282,2,IF(INDEX($D282:$K282,IF(M282=1,2,1))&amp;INDEX($D282:$K282,IF(M282=1,2,1)+1)&amp;INDEX($D282:$K282,IF(M282=1,2,1)+2)=AC282,3,IF(AB282&lt;&gt;"",2,IF(ISNUMBER(MATCH(INDEX($D282:$K282,IF(M282=1,2,1)),入力!$AH$5:$AH$44,0)),1,IF(ISNUMBER(MATCH(INDEX($D282:$K282,IF(M282=1,2,1))&amp;INDEX($D282:$K282,IF(M282=1,2,1)+1),入力!$AH$5:$AH$44,0)),2,IF(ISNUMBER(MATCH(INDEX($D282:$K282,IF(M282=1,2,1))&amp;INDEX($D282:$K282,IF(M282=1,2,1)+1)&amp;INDEX($D282:$K282,IF(M282=1,2,1)+2),入力!$AH$5:$AH$44,0)),3,2)))))))</f>
        <v/>
      </c>
      <c r="AE282">
        <f>IF(V282="","",IF(AND(V282="反映",N(Y282)&gt;20),"要確認（この生徒の取込が20件を超えました）",V282))</f>
        <v/>
      </c>
    </row>
    <row r="283">
      <c r="A283" s="138" t="n"/>
      <c r="B283">
        <f>TRIM(SUBSTITUTE(SUBSTITUTE(SUBSTITUTE(A283,CHAR(9)," "),"　"," "),CHAR(160)," "))</f>
        <v/>
      </c>
      <c r="C283">
        <f>IF(B283="",0,LEN(B283)-LEN(SUBSTITUTE(B283," ",""))+1)</f>
        <v/>
      </c>
      <c r="D283">
        <f>IF(C283&gt;=1,TRIM(MID(SUBSTITUTE(B283," ",REPT(" ",200)),1,200)),"")</f>
        <v/>
      </c>
      <c r="E283">
        <f>IF(C283&gt;=2,TRIM(MID(SUBSTITUTE(B283," ",REPT(" ",200)),201,200)),"")</f>
        <v/>
      </c>
      <c r="F283">
        <f>IF(C283&gt;=3,TRIM(MID(SUBSTITUTE(B283," ",REPT(" ",200)),401,200)),"")</f>
        <v/>
      </c>
      <c r="G283">
        <f>IF(C283&gt;=4,TRIM(MID(SUBSTITUTE(B283," ",REPT(" ",200)),601,200)),"")</f>
        <v/>
      </c>
      <c r="H283">
        <f>IF(C283&gt;=5,TRIM(MID(SUBSTITUTE(B283," ",REPT(" ",200)),801,200)),"")</f>
        <v/>
      </c>
      <c r="I283">
        <f>IF(C283&gt;=6,TRIM(MID(SUBSTITUTE(B283," ",REPT(" ",200)),1001,200)),"")</f>
        <v/>
      </c>
      <c r="J283">
        <f>IF(C283&gt;=7,TRIM(MID(SUBSTITUTE(B283," ",REPT(" ",200)),1201,200)),"")</f>
        <v/>
      </c>
      <c r="K283">
        <f>IF(C283&gt;=8,TRIM(MID(SUBSTITUTE(B283," ",REPT(" ",200)),1401,200)),"")</f>
        <v/>
      </c>
      <c r="L283">
        <f>SUBSTITUTE(SUBSTITUTE(SUBSTITUTE(D283,"年","-"),"組","-"),"番","")</f>
        <v/>
      </c>
      <c r="M283">
        <f>IF(D283="",0,IF(ISNUMBER(VALUE(SUBSTITUTE(L283,"-",""))),1,0))</f>
        <v/>
      </c>
      <c r="N283">
        <f>IF(M283=0,"",IFERROR(VALUE(TRIM(MID(SUBSTITUTE(L283,"-",REPT(" ",100)),101,100))),""))</f>
        <v/>
      </c>
      <c r="O283">
        <f>IF(M283=0,"",IFERROR(VALUE(TRIM(RIGHT(SUBSTITUTE(L283,"-",REPT(" ",100)),100))),""))</f>
        <v/>
      </c>
      <c r="P283">
        <f>IF(B283="","",TRIM(INDEX($D283:$K283,IF(M283=1,2,1))&amp;IF(AD283&gt;=2," "&amp;INDEX($D283:$K283,IF(M283=1,2,1)+1),"")&amp;IF(AD283&gt;=3," "&amp;INDEX($D283:$K283,IF(M283=1,2,1)+2),"")))</f>
        <v/>
      </c>
      <c r="Q283">
        <f>IF(C283&lt;2,"",TRIM(IF(AND(2&gt;=(IF(M283=1,2,1)+AD283),2&lt;=C283-IF(S283="",0,1)),E283&amp;" ","")&amp;IF(AND(3&gt;=(IF(M283=1,2,1)+AD283),3&lt;=C283-IF(S283="",0,1)),F283&amp;" ","")&amp;IF(AND(4&gt;=(IF(M283=1,2,1)+AD283),4&lt;=C283-IF(S283="",0,1)),G283&amp;" ","")&amp;IF(AND(5&gt;=(IF(M283=1,2,1)+AD283),5&lt;=C283-IF(S283="",0,1)),H283&amp;" ","")&amp;IF(AND(6&gt;=(IF(M283=1,2,1)+AD283),6&lt;=C283-IF(S283="",0,1)),I283&amp;" ","")&amp;IF(AND(7&gt;=(IF(M283=1,2,1)+AD283),7&lt;=C283-IF(S283="",0,1)),J283&amp;" ","")&amp;IF(AND(8&gt;=(IF(M283=1,2,1)+AD283),8&lt;=C283-IF(S283="",0,1)),K283&amp;" ","")))</f>
        <v/>
      </c>
      <c r="R283">
        <f>IF(Q283="","",IFERROR(INDEX(資格マスタ!$B:$B,MATCH(ASC(SUBSTITUTE(SUBSTITUTE(Q283," ",""),"　","")),資格マスタ!$D:$D,0)),Q283))</f>
        <v/>
      </c>
      <c r="S283" s="139">
        <f>IF(C283&lt;2,"",IFERROR(IF(OR(LEFT(INDEX(D283:K283,MIN(8,MAX(1,C283))),2)="令和",LEFT(INDEX(D283:K283,MIN(8,MAX(1,C283))),2)="平成",LEFT(INDEX(D283:K283,MIN(8,MAX(1,C283))),2)="昭和"),DATE(VALUE(MID(INDEX(D283:K283,MIN(8,MAX(1,C283))),3,FIND("年",INDEX(D283:K283,MIN(8,MAX(1,C283))))-3))+IF(LEFT(INDEX(D283:K283,MIN(8,MAX(1,C283))),2)="令和",2018,IF(LEFT(INDEX(D283:K283,MIN(8,MAX(1,C283))),2)="平成",1988,1925)),VALUE(MID(INDEX(D283:K283,MIN(8,MAX(1,C283))),FIND("年",INDEX(D283:K283,MIN(8,MAX(1,C283))))+1,FIND("月",INDEX(D283:K283,MIN(8,MAX(1,C283))))-FIND("年",INDEX(D283:K283,MIN(8,MAX(1,C283))))-1)),IFERROR(VALUE(SUBSTITUTE(MID(INDEX(D283:K283,MIN(8,MAX(1,C283))),FIND("月",INDEX(D283:K283,MIN(8,MAX(1,C283))))+1,10),"日","")),1)),DATE(VALUE(TRIM(MID(SUBSTITUTE(AA283,"/",REPT(" ",50)),1,50))),VALUE(TRIM(MID(SUBSTITUTE(AA283,"/",REPT(" ",50)),51,50))),IFERROR(VALUE(TRIM(MID(SUBSTITUTE(AA283,"/",REPT(" ",50)),101,50))),1))),IFERROR(DATEVALUE(INDEX(D283:K283,MIN(8,MAX(1,C283)))),"")))</f>
        <v/>
      </c>
      <c r="T283">
        <f>IF(B283="","",IF(AB283&lt;&gt;"",AB283,IFERROR(MATCH(SUBSTITUTE(SUBSTITUTE(P283," ",""),"　",""),入力!$AH$5:$AH$44,0),"")))</f>
        <v/>
      </c>
      <c r="U283">
        <f>IF(T283="","",INDEX(入力!$D$5:$D$44,T283))</f>
        <v/>
      </c>
      <c r="V283">
        <f>IF(B283="","",IF(T283="","要確認（名簿と照合できません）",IF(R283="","要確認（資格名がありません）",IF(S283="","要確認（取得日が読めません）",IF((IF(INDEX(入力!$N$5:$N$44,T283)=R283,1,0)+IF(INDEX(入力!$P$5:$P$44,T283)=R283,1,0)+IF(INDEX(入力!$R$5:$R$44,T283)=R283,1,0)+IF(INDEX(入力!$T$5:$T$44,T283)=R283,1,0)+IF(INDEX(入力!$V$5:$V$44,T283)=R283,1,0)+IF(INDEX(入力!$X$5:$X$44,T283)=R283,1,0))+(COUNTIFS($T$6:$T$405,T283,$R$6:$R$405,R283,$X$6:$X$405,"&lt;"&amp;X283))&gt;0,"重複","反映")))))</f>
        <v/>
      </c>
      <c r="W283">
        <f>IF(V283="反映",1,0)</f>
        <v/>
      </c>
      <c r="X283" t="n">
        <v>283</v>
      </c>
      <c r="Y283">
        <f>IF(W283=0,"",COUNTIFS($T$6:$T$405,T283,$W$6:$W$405,1,$S$6:$S$405,"&lt;"&amp;S283)+COUNTIFS($T$6:$T$405,T283,$W$6:$W$405,1,$S$6:$S$405,S283,$X$6:$X$405,"&lt;"&amp;X283)+1)</f>
        <v/>
      </c>
      <c r="Z283">
        <f>IF(Y283="","",T283&amp;"_"&amp;Y283)</f>
        <v/>
      </c>
      <c r="AA283">
        <f>SUBSTITUTE(SUBSTITUTE(SUBSTITUTE(SUBSTITUTE(SUBSTITUTE(INDEX(D283:K283,MIN(8,MAX(1,C283))),"年","/"),"月","/"),"日",""),"-","/"),".","/")</f>
        <v/>
      </c>
      <c r="AB283">
        <f>IFERROR(MATCH(O283,入力!$C$5:$C$44,0),"")</f>
        <v/>
      </c>
      <c r="AC283">
        <f>IF(AB283="","",INDEX(入力!$AH$5:$AH$44,AB283))</f>
        <v/>
      </c>
      <c r="AD283">
        <f>IF(INDEX($D283:$K283,IF(M283=1,2,1))=AC283,1,IF(INDEX($D283:$K283,IF(M283=1,2,1))&amp;INDEX($D283:$K283,IF(M283=1,2,1)+1)=AC283,2,IF(INDEX($D283:$K283,IF(M283=1,2,1))&amp;INDEX($D283:$K283,IF(M283=1,2,1)+1)&amp;INDEX($D283:$K283,IF(M283=1,2,1)+2)=AC283,3,IF(AB283&lt;&gt;"",2,IF(ISNUMBER(MATCH(INDEX($D283:$K283,IF(M283=1,2,1)),入力!$AH$5:$AH$44,0)),1,IF(ISNUMBER(MATCH(INDEX($D283:$K283,IF(M283=1,2,1))&amp;INDEX($D283:$K283,IF(M283=1,2,1)+1),入力!$AH$5:$AH$44,0)),2,IF(ISNUMBER(MATCH(INDEX($D283:$K283,IF(M283=1,2,1))&amp;INDEX($D283:$K283,IF(M283=1,2,1)+1)&amp;INDEX($D283:$K283,IF(M283=1,2,1)+2),入力!$AH$5:$AH$44,0)),3,2)))))))</f>
        <v/>
      </c>
      <c r="AE283">
        <f>IF(V283="","",IF(AND(V283="反映",N(Y283)&gt;20),"要確認（この生徒の取込が20件を超えました）",V283))</f>
        <v/>
      </c>
    </row>
    <row r="284">
      <c r="A284" s="138" t="n"/>
      <c r="B284">
        <f>TRIM(SUBSTITUTE(SUBSTITUTE(SUBSTITUTE(A284,CHAR(9)," "),"　"," "),CHAR(160)," "))</f>
        <v/>
      </c>
      <c r="C284">
        <f>IF(B284="",0,LEN(B284)-LEN(SUBSTITUTE(B284," ",""))+1)</f>
        <v/>
      </c>
      <c r="D284">
        <f>IF(C284&gt;=1,TRIM(MID(SUBSTITUTE(B284," ",REPT(" ",200)),1,200)),"")</f>
        <v/>
      </c>
      <c r="E284">
        <f>IF(C284&gt;=2,TRIM(MID(SUBSTITUTE(B284," ",REPT(" ",200)),201,200)),"")</f>
        <v/>
      </c>
      <c r="F284">
        <f>IF(C284&gt;=3,TRIM(MID(SUBSTITUTE(B284," ",REPT(" ",200)),401,200)),"")</f>
        <v/>
      </c>
      <c r="G284">
        <f>IF(C284&gt;=4,TRIM(MID(SUBSTITUTE(B284," ",REPT(" ",200)),601,200)),"")</f>
        <v/>
      </c>
      <c r="H284">
        <f>IF(C284&gt;=5,TRIM(MID(SUBSTITUTE(B284," ",REPT(" ",200)),801,200)),"")</f>
        <v/>
      </c>
      <c r="I284">
        <f>IF(C284&gt;=6,TRIM(MID(SUBSTITUTE(B284," ",REPT(" ",200)),1001,200)),"")</f>
        <v/>
      </c>
      <c r="J284">
        <f>IF(C284&gt;=7,TRIM(MID(SUBSTITUTE(B284," ",REPT(" ",200)),1201,200)),"")</f>
        <v/>
      </c>
      <c r="K284">
        <f>IF(C284&gt;=8,TRIM(MID(SUBSTITUTE(B284," ",REPT(" ",200)),1401,200)),"")</f>
        <v/>
      </c>
      <c r="L284">
        <f>SUBSTITUTE(SUBSTITUTE(SUBSTITUTE(D284,"年","-"),"組","-"),"番","")</f>
        <v/>
      </c>
      <c r="M284">
        <f>IF(D284="",0,IF(ISNUMBER(VALUE(SUBSTITUTE(L284,"-",""))),1,0))</f>
        <v/>
      </c>
      <c r="N284">
        <f>IF(M284=0,"",IFERROR(VALUE(TRIM(MID(SUBSTITUTE(L284,"-",REPT(" ",100)),101,100))),""))</f>
        <v/>
      </c>
      <c r="O284">
        <f>IF(M284=0,"",IFERROR(VALUE(TRIM(RIGHT(SUBSTITUTE(L284,"-",REPT(" ",100)),100))),""))</f>
        <v/>
      </c>
      <c r="P284">
        <f>IF(B284="","",TRIM(INDEX($D284:$K284,IF(M284=1,2,1))&amp;IF(AD284&gt;=2," "&amp;INDEX($D284:$K284,IF(M284=1,2,1)+1),"")&amp;IF(AD284&gt;=3," "&amp;INDEX($D284:$K284,IF(M284=1,2,1)+2),"")))</f>
        <v/>
      </c>
      <c r="Q284">
        <f>IF(C284&lt;2,"",TRIM(IF(AND(2&gt;=(IF(M284=1,2,1)+AD284),2&lt;=C284-IF(S284="",0,1)),E284&amp;" ","")&amp;IF(AND(3&gt;=(IF(M284=1,2,1)+AD284),3&lt;=C284-IF(S284="",0,1)),F284&amp;" ","")&amp;IF(AND(4&gt;=(IF(M284=1,2,1)+AD284),4&lt;=C284-IF(S284="",0,1)),G284&amp;" ","")&amp;IF(AND(5&gt;=(IF(M284=1,2,1)+AD284),5&lt;=C284-IF(S284="",0,1)),H284&amp;" ","")&amp;IF(AND(6&gt;=(IF(M284=1,2,1)+AD284),6&lt;=C284-IF(S284="",0,1)),I284&amp;" ","")&amp;IF(AND(7&gt;=(IF(M284=1,2,1)+AD284),7&lt;=C284-IF(S284="",0,1)),J284&amp;" ","")&amp;IF(AND(8&gt;=(IF(M284=1,2,1)+AD284),8&lt;=C284-IF(S284="",0,1)),K284&amp;" ","")))</f>
        <v/>
      </c>
      <c r="R284">
        <f>IF(Q284="","",IFERROR(INDEX(資格マスタ!$B:$B,MATCH(ASC(SUBSTITUTE(SUBSTITUTE(Q284," ",""),"　","")),資格マスタ!$D:$D,0)),Q284))</f>
        <v/>
      </c>
      <c r="S284" s="139">
        <f>IF(C284&lt;2,"",IFERROR(IF(OR(LEFT(INDEX(D284:K284,MIN(8,MAX(1,C284))),2)="令和",LEFT(INDEX(D284:K284,MIN(8,MAX(1,C284))),2)="平成",LEFT(INDEX(D284:K284,MIN(8,MAX(1,C284))),2)="昭和"),DATE(VALUE(MID(INDEX(D284:K284,MIN(8,MAX(1,C284))),3,FIND("年",INDEX(D284:K284,MIN(8,MAX(1,C284))))-3))+IF(LEFT(INDEX(D284:K284,MIN(8,MAX(1,C284))),2)="令和",2018,IF(LEFT(INDEX(D284:K284,MIN(8,MAX(1,C284))),2)="平成",1988,1925)),VALUE(MID(INDEX(D284:K284,MIN(8,MAX(1,C284))),FIND("年",INDEX(D284:K284,MIN(8,MAX(1,C284))))+1,FIND("月",INDEX(D284:K284,MIN(8,MAX(1,C284))))-FIND("年",INDEX(D284:K284,MIN(8,MAX(1,C284))))-1)),IFERROR(VALUE(SUBSTITUTE(MID(INDEX(D284:K284,MIN(8,MAX(1,C284))),FIND("月",INDEX(D284:K284,MIN(8,MAX(1,C284))))+1,10),"日","")),1)),DATE(VALUE(TRIM(MID(SUBSTITUTE(AA284,"/",REPT(" ",50)),1,50))),VALUE(TRIM(MID(SUBSTITUTE(AA284,"/",REPT(" ",50)),51,50))),IFERROR(VALUE(TRIM(MID(SUBSTITUTE(AA284,"/",REPT(" ",50)),101,50))),1))),IFERROR(DATEVALUE(INDEX(D284:K284,MIN(8,MAX(1,C284)))),"")))</f>
        <v/>
      </c>
      <c r="T284">
        <f>IF(B284="","",IF(AB284&lt;&gt;"",AB284,IFERROR(MATCH(SUBSTITUTE(SUBSTITUTE(P284," ",""),"　",""),入力!$AH$5:$AH$44,0),"")))</f>
        <v/>
      </c>
      <c r="U284">
        <f>IF(T284="","",INDEX(入力!$D$5:$D$44,T284))</f>
        <v/>
      </c>
      <c r="V284">
        <f>IF(B284="","",IF(T284="","要確認（名簿と照合できません）",IF(R284="","要確認（資格名がありません）",IF(S284="","要確認（取得日が読めません）",IF((IF(INDEX(入力!$N$5:$N$44,T284)=R284,1,0)+IF(INDEX(入力!$P$5:$P$44,T284)=R284,1,0)+IF(INDEX(入力!$R$5:$R$44,T284)=R284,1,0)+IF(INDEX(入力!$T$5:$T$44,T284)=R284,1,0)+IF(INDEX(入力!$V$5:$V$44,T284)=R284,1,0)+IF(INDEX(入力!$X$5:$X$44,T284)=R284,1,0))+(COUNTIFS($T$6:$T$405,T284,$R$6:$R$405,R284,$X$6:$X$405,"&lt;"&amp;X284))&gt;0,"重複","反映")))))</f>
        <v/>
      </c>
      <c r="W284">
        <f>IF(V284="反映",1,0)</f>
        <v/>
      </c>
      <c r="X284" t="n">
        <v>284</v>
      </c>
      <c r="Y284">
        <f>IF(W284=0,"",COUNTIFS($T$6:$T$405,T284,$W$6:$W$405,1,$S$6:$S$405,"&lt;"&amp;S284)+COUNTIFS($T$6:$T$405,T284,$W$6:$W$405,1,$S$6:$S$405,S284,$X$6:$X$405,"&lt;"&amp;X284)+1)</f>
        <v/>
      </c>
      <c r="Z284">
        <f>IF(Y284="","",T284&amp;"_"&amp;Y284)</f>
        <v/>
      </c>
      <c r="AA284">
        <f>SUBSTITUTE(SUBSTITUTE(SUBSTITUTE(SUBSTITUTE(SUBSTITUTE(INDEX(D284:K284,MIN(8,MAX(1,C284))),"年","/"),"月","/"),"日",""),"-","/"),".","/")</f>
        <v/>
      </c>
      <c r="AB284">
        <f>IFERROR(MATCH(O284,入力!$C$5:$C$44,0),"")</f>
        <v/>
      </c>
      <c r="AC284">
        <f>IF(AB284="","",INDEX(入力!$AH$5:$AH$44,AB284))</f>
        <v/>
      </c>
      <c r="AD284">
        <f>IF(INDEX($D284:$K284,IF(M284=1,2,1))=AC284,1,IF(INDEX($D284:$K284,IF(M284=1,2,1))&amp;INDEX($D284:$K284,IF(M284=1,2,1)+1)=AC284,2,IF(INDEX($D284:$K284,IF(M284=1,2,1))&amp;INDEX($D284:$K284,IF(M284=1,2,1)+1)&amp;INDEX($D284:$K284,IF(M284=1,2,1)+2)=AC284,3,IF(AB284&lt;&gt;"",2,IF(ISNUMBER(MATCH(INDEX($D284:$K284,IF(M284=1,2,1)),入力!$AH$5:$AH$44,0)),1,IF(ISNUMBER(MATCH(INDEX($D284:$K284,IF(M284=1,2,1))&amp;INDEX($D284:$K284,IF(M284=1,2,1)+1),入力!$AH$5:$AH$44,0)),2,IF(ISNUMBER(MATCH(INDEX($D284:$K284,IF(M284=1,2,1))&amp;INDEX($D284:$K284,IF(M284=1,2,1)+1)&amp;INDEX($D284:$K284,IF(M284=1,2,1)+2),入力!$AH$5:$AH$44,0)),3,2)))))))</f>
        <v/>
      </c>
      <c r="AE284">
        <f>IF(V284="","",IF(AND(V284="反映",N(Y284)&gt;20),"要確認（この生徒の取込が20件を超えました）",V284))</f>
        <v/>
      </c>
    </row>
    <row r="285">
      <c r="A285" s="138" t="n"/>
      <c r="B285">
        <f>TRIM(SUBSTITUTE(SUBSTITUTE(SUBSTITUTE(A285,CHAR(9)," "),"　"," "),CHAR(160)," "))</f>
        <v/>
      </c>
      <c r="C285">
        <f>IF(B285="",0,LEN(B285)-LEN(SUBSTITUTE(B285," ",""))+1)</f>
        <v/>
      </c>
      <c r="D285">
        <f>IF(C285&gt;=1,TRIM(MID(SUBSTITUTE(B285," ",REPT(" ",200)),1,200)),"")</f>
        <v/>
      </c>
      <c r="E285">
        <f>IF(C285&gt;=2,TRIM(MID(SUBSTITUTE(B285," ",REPT(" ",200)),201,200)),"")</f>
        <v/>
      </c>
      <c r="F285">
        <f>IF(C285&gt;=3,TRIM(MID(SUBSTITUTE(B285," ",REPT(" ",200)),401,200)),"")</f>
        <v/>
      </c>
      <c r="G285">
        <f>IF(C285&gt;=4,TRIM(MID(SUBSTITUTE(B285," ",REPT(" ",200)),601,200)),"")</f>
        <v/>
      </c>
      <c r="H285">
        <f>IF(C285&gt;=5,TRIM(MID(SUBSTITUTE(B285," ",REPT(" ",200)),801,200)),"")</f>
        <v/>
      </c>
      <c r="I285">
        <f>IF(C285&gt;=6,TRIM(MID(SUBSTITUTE(B285," ",REPT(" ",200)),1001,200)),"")</f>
        <v/>
      </c>
      <c r="J285">
        <f>IF(C285&gt;=7,TRIM(MID(SUBSTITUTE(B285," ",REPT(" ",200)),1201,200)),"")</f>
        <v/>
      </c>
      <c r="K285">
        <f>IF(C285&gt;=8,TRIM(MID(SUBSTITUTE(B285," ",REPT(" ",200)),1401,200)),"")</f>
        <v/>
      </c>
      <c r="L285">
        <f>SUBSTITUTE(SUBSTITUTE(SUBSTITUTE(D285,"年","-"),"組","-"),"番","")</f>
        <v/>
      </c>
      <c r="M285">
        <f>IF(D285="",0,IF(ISNUMBER(VALUE(SUBSTITUTE(L285,"-",""))),1,0))</f>
        <v/>
      </c>
      <c r="N285">
        <f>IF(M285=0,"",IFERROR(VALUE(TRIM(MID(SUBSTITUTE(L285,"-",REPT(" ",100)),101,100))),""))</f>
        <v/>
      </c>
      <c r="O285">
        <f>IF(M285=0,"",IFERROR(VALUE(TRIM(RIGHT(SUBSTITUTE(L285,"-",REPT(" ",100)),100))),""))</f>
        <v/>
      </c>
      <c r="P285">
        <f>IF(B285="","",TRIM(INDEX($D285:$K285,IF(M285=1,2,1))&amp;IF(AD285&gt;=2," "&amp;INDEX($D285:$K285,IF(M285=1,2,1)+1),"")&amp;IF(AD285&gt;=3," "&amp;INDEX($D285:$K285,IF(M285=1,2,1)+2),"")))</f>
        <v/>
      </c>
      <c r="Q285">
        <f>IF(C285&lt;2,"",TRIM(IF(AND(2&gt;=(IF(M285=1,2,1)+AD285),2&lt;=C285-IF(S285="",0,1)),E285&amp;" ","")&amp;IF(AND(3&gt;=(IF(M285=1,2,1)+AD285),3&lt;=C285-IF(S285="",0,1)),F285&amp;" ","")&amp;IF(AND(4&gt;=(IF(M285=1,2,1)+AD285),4&lt;=C285-IF(S285="",0,1)),G285&amp;" ","")&amp;IF(AND(5&gt;=(IF(M285=1,2,1)+AD285),5&lt;=C285-IF(S285="",0,1)),H285&amp;" ","")&amp;IF(AND(6&gt;=(IF(M285=1,2,1)+AD285),6&lt;=C285-IF(S285="",0,1)),I285&amp;" ","")&amp;IF(AND(7&gt;=(IF(M285=1,2,1)+AD285),7&lt;=C285-IF(S285="",0,1)),J285&amp;" ","")&amp;IF(AND(8&gt;=(IF(M285=1,2,1)+AD285),8&lt;=C285-IF(S285="",0,1)),K285&amp;" ","")))</f>
        <v/>
      </c>
      <c r="R285">
        <f>IF(Q285="","",IFERROR(INDEX(資格マスタ!$B:$B,MATCH(ASC(SUBSTITUTE(SUBSTITUTE(Q285," ",""),"　","")),資格マスタ!$D:$D,0)),Q285))</f>
        <v/>
      </c>
      <c r="S285" s="139">
        <f>IF(C285&lt;2,"",IFERROR(IF(OR(LEFT(INDEX(D285:K285,MIN(8,MAX(1,C285))),2)="令和",LEFT(INDEX(D285:K285,MIN(8,MAX(1,C285))),2)="平成",LEFT(INDEX(D285:K285,MIN(8,MAX(1,C285))),2)="昭和"),DATE(VALUE(MID(INDEX(D285:K285,MIN(8,MAX(1,C285))),3,FIND("年",INDEX(D285:K285,MIN(8,MAX(1,C285))))-3))+IF(LEFT(INDEX(D285:K285,MIN(8,MAX(1,C285))),2)="令和",2018,IF(LEFT(INDEX(D285:K285,MIN(8,MAX(1,C285))),2)="平成",1988,1925)),VALUE(MID(INDEX(D285:K285,MIN(8,MAX(1,C285))),FIND("年",INDEX(D285:K285,MIN(8,MAX(1,C285))))+1,FIND("月",INDEX(D285:K285,MIN(8,MAX(1,C285))))-FIND("年",INDEX(D285:K285,MIN(8,MAX(1,C285))))-1)),IFERROR(VALUE(SUBSTITUTE(MID(INDEX(D285:K285,MIN(8,MAX(1,C285))),FIND("月",INDEX(D285:K285,MIN(8,MAX(1,C285))))+1,10),"日","")),1)),DATE(VALUE(TRIM(MID(SUBSTITUTE(AA285,"/",REPT(" ",50)),1,50))),VALUE(TRIM(MID(SUBSTITUTE(AA285,"/",REPT(" ",50)),51,50))),IFERROR(VALUE(TRIM(MID(SUBSTITUTE(AA285,"/",REPT(" ",50)),101,50))),1))),IFERROR(DATEVALUE(INDEX(D285:K285,MIN(8,MAX(1,C285)))),"")))</f>
        <v/>
      </c>
      <c r="T285">
        <f>IF(B285="","",IF(AB285&lt;&gt;"",AB285,IFERROR(MATCH(SUBSTITUTE(SUBSTITUTE(P285," ",""),"　",""),入力!$AH$5:$AH$44,0),"")))</f>
        <v/>
      </c>
      <c r="U285">
        <f>IF(T285="","",INDEX(入力!$D$5:$D$44,T285))</f>
        <v/>
      </c>
      <c r="V285">
        <f>IF(B285="","",IF(T285="","要確認（名簿と照合できません）",IF(R285="","要確認（資格名がありません）",IF(S285="","要確認（取得日が読めません）",IF((IF(INDEX(入力!$N$5:$N$44,T285)=R285,1,0)+IF(INDEX(入力!$P$5:$P$44,T285)=R285,1,0)+IF(INDEX(入力!$R$5:$R$44,T285)=R285,1,0)+IF(INDEX(入力!$T$5:$T$44,T285)=R285,1,0)+IF(INDEX(入力!$V$5:$V$44,T285)=R285,1,0)+IF(INDEX(入力!$X$5:$X$44,T285)=R285,1,0))+(COUNTIFS($T$6:$T$405,T285,$R$6:$R$405,R285,$X$6:$X$405,"&lt;"&amp;X285))&gt;0,"重複","反映")))))</f>
        <v/>
      </c>
      <c r="W285">
        <f>IF(V285="反映",1,0)</f>
        <v/>
      </c>
      <c r="X285" t="n">
        <v>285</v>
      </c>
      <c r="Y285">
        <f>IF(W285=0,"",COUNTIFS($T$6:$T$405,T285,$W$6:$W$405,1,$S$6:$S$405,"&lt;"&amp;S285)+COUNTIFS($T$6:$T$405,T285,$W$6:$W$405,1,$S$6:$S$405,S285,$X$6:$X$405,"&lt;"&amp;X285)+1)</f>
        <v/>
      </c>
      <c r="Z285">
        <f>IF(Y285="","",T285&amp;"_"&amp;Y285)</f>
        <v/>
      </c>
      <c r="AA285">
        <f>SUBSTITUTE(SUBSTITUTE(SUBSTITUTE(SUBSTITUTE(SUBSTITUTE(INDEX(D285:K285,MIN(8,MAX(1,C285))),"年","/"),"月","/"),"日",""),"-","/"),".","/")</f>
        <v/>
      </c>
      <c r="AB285">
        <f>IFERROR(MATCH(O285,入力!$C$5:$C$44,0),"")</f>
        <v/>
      </c>
      <c r="AC285">
        <f>IF(AB285="","",INDEX(入力!$AH$5:$AH$44,AB285))</f>
        <v/>
      </c>
      <c r="AD285">
        <f>IF(INDEX($D285:$K285,IF(M285=1,2,1))=AC285,1,IF(INDEX($D285:$K285,IF(M285=1,2,1))&amp;INDEX($D285:$K285,IF(M285=1,2,1)+1)=AC285,2,IF(INDEX($D285:$K285,IF(M285=1,2,1))&amp;INDEX($D285:$K285,IF(M285=1,2,1)+1)&amp;INDEX($D285:$K285,IF(M285=1,2,1)+2)=AC285,3,IF(AB285&lt;&gt;"",2,IF(ISNUMBER(MATCH(INDEX($D285:$K285,IF(M285=1,2,1)),入力!$AH$5:$AH$44,0)),1,IF(ISNUMBER(MATCH(INDEX($D285:$K285,IF(M285=1,2,1))&amp;INDEX($D285:$K285,IF(M285=1,2,1)+1),入力!$AH$5:$AH$44,0)),2,IF(ISNUMBER(MATCH(INDEX($D285:$K285,IF(M285=1,2,1))&amp;INDEX($D285:$K285,IF(M285=1,2,1)+1)&amp;INDEX($D285:$K285,IF(M285=1,2,1)+2),入力!$AH$5:$AH$44,0)),3,2)))))))</f>
        <v/>
      </c>
      <c r="AE285">
        <f>IF(V285="","",IF(AND(V285="反映",N(Y285)&gt;20),"要確認（この生徒の取込が20件を超えました）",V285))</f>
        <v/>
      </c>
    </row>
    <row r="286">
      <c r="A286" s="138" t="n"/>
      <c r="B286">
        <f>TRIM(SUBSTITUTE(SUBSTITUTE(SUBSTITUTE(A286,CHAR(9)," "),"　"," "),CHAR(160)," "))</f>
        <v/>
      </c>
      <c r="C286">
        <f>IF(B286="",0,LEN(B286)-LEN(SUBSTITUTE(B286," ",""))+1)</f>
        <v/>
      </c>
      <c r="D286">
        <f>IF(C286&gt;=1,TRIM(MID(SUBSTITUTE(B286," ",REPT(" ",200)),1,200)),"")</f>
        <v/>
      </c>
      <c r="E286">
        <f>IF(C286&gt;=2,TRIM(MID(SUBSTITUTE(B286," ",REPT(" ",200)),201,200)),"")</f>
        <v/>
      </c>
      <c r="F286">
        <f>IF(C286&gt;=3,TRIM(MID(SUBSTITUTE(B286," ",REPT(" ",200)),401,200)),"")</f>
        <v/>
      </c>
      <c r="G286">
        <f>IF(C286&gt;=4,TRIM(MID(SUBSTITUTE(B286," ",REPT(" ",200)),601,200)),"")</f>
        <v/>
      </c>
      <c r="H286">
        <f>IF(C286&gt;=5,TRIM(MID(SUBSTITUTE(B286," ",REPT(" ",200)),801,200)),"")</f>
        <v/>
      </c>
      <c r="I286">
        <f>IF(C286&gt;=6,TRIM(MID(SUBSTITUTE(B286," ",REPT(" ",200)),1001,200)),"")</f>
        <v/>
      </c>
      <c r="J286">
        <f>IF(C286&gt;=7,TRIM(MID(SUBSTITUTE(B286," ",REPT(" ",200)),1201,200)),"")</f>
        <v/>
      </c>
      <c r="K286">
        <f>IF(C286&gt;=8,TRIM(MID(SUBSTITUTE(B286," ",REPT(" ",200)),1401,200)),"")</f>
        <v/>
      </c>
      <c r="L286">
        <f>SUBSTITUTE(SUBSTITUTE(SUBSTITUTE(D286,"年","-"),"組","-"),"番","")</f>
        <v/>
      </c>
      <c r="M286">
        <f>IF(D286="",0,IF(ISNUMBER(VALUE(SUBSTITUTE(L286,"-",""))),1,0))</f>
        <v/>
      </c>
      <c r="N286">
        <f>IF(M286=0,"",IFERROR(VALUE(TRIM(MID(SUBSTITUTE(L286,"-",REPT(" ",100)),101,100))),""))</f>
        <v/>
      </c>
      <c r="O286">
        <f>IF(M286=0,"",IFERROR(VALUE(TRIM(RIGHT(SUBSTITUTE(L286,"-",REPT(" ",100)),100))),""))</f>
        <v/>
      </c>
      <c r="P286">
        <f>IF(B286="","",TRIM(INDEX($D286:$K286,IF(M286=1,2,1))&amp;IF(AD286&gt;=2," "&amp;INDEX($D286:$K286,IF(M286=1,2,1)+1),"")&amp;IF(AD286&gt;=3," "&amp;INDEX($D286:$K286,IF(M286=1,2,1)+2),"")))</f>
        <v/>
      </c>
      <c r="Q286">
        <f>IF(C286&lt;2,"",TRIM(IF(AND(2&gt;=(IF(M286=1,2,1)+AD286),2&lt;=C286-IF(S286="",0,1)),E286&amp;" ","")&amp;IF(AND(3&gt;=(IF(M286=1,2,1)+AD286),3&lt;=C286-IF(S286="",0,1)),F286&amp;" ","")&amp;IF(AND(4&gt;=(IF(M286=1,2,1)+AD286),4&lt;=C286-IF(S286="",0,1)),G286&amp;" ","")&amp;IF(AND(5&gt;=(IF(M286=1,2,1)+AD286),5&lt;=C286-IF(S286="",0,1)),H286&amp;" ","")&amp;IF(AND(6&gt;=(IF(M286=1,2,1)+AD286),6&lt;=C286-IF(S286="",0,1)),I286&amp;" ","")&amp;IF(AND(7&gt;=(IF(M286=1,2,1)+AD286),7&lt;=C286-IF(S286="",0,1)),J286&amp;" ","")&amp;IF(AND(8&gt;=(IF(M286=1,2,1)+AD286),8&lt;=C286-IF(S286="",0,1)),K286&amp;" ","")))</f>
        <v/>
      </c>
      <c r="R286">
        <f>IF(Q286="","",IFERROR(INDEX(資格マスタ!$B:$B,MATCH(ASC(SUBSTITUTE(SUBSTITUTE(Q286," ",""),"　","")),資格マスタ!$D:$D,0)),Q286))</f>
        <v/>
      </c>
      <c r="S286" s="139">
        <f>IF(C286&lt;2,"",IFERROR(IF(OR(LEFT(INDEX(D286:K286,MIN(8,MAX(1,C286))),2)="令和",LEFT(INDEX(D286:K286,MIN(8,MAX(1,C286))),2)="平成",LEFT(INDEX(D286:K286,MIN(8,MAX(1,C286))),2)="昭和"),DATE(VALUE(MID(INDEX(D286:K286,MIN(8,MAX(1,C286))),3,FIND("年",INDEX(D286:K286,MIN(8,MAX(1,C286))))-3))+IF(LEFT(INDEX(D286:K286,MIN(8,MAX(1,C286))),2)="令和",2018,IF(LEFT(INDEX(D286:K286,MIN(8,MAX(1,C286))),2)="平成",1988,1925)),VALUE(MID(INDEX(D286:K286,MIN(8,MAX(1,C286))),FIND("年",INDEX(D286:K286,MIN(8,MAX(1,C286))))+1,FIND("月",INDEX(D286:K286,MIN(8,MAX(1,C286))))-FIND("年",INDEX(D286:K286,MIN(8,MAX(1,C286))))-1)),IFERROR(VALUE(SUBSTITUTE(MID(INDEX(D286:K286,MIN(8,MAX(1,C286))),FIND("月",INDEX(D286:K286,MIN(8,MAX(1,C286))))+1,10),"日","")),1)),DATE(VALUE(TRIM(MID(SUBSTITUTE(AA286,"/",REPT(" ",50)),1,50))),VALUE(TRIM(MID(SUBSTITUTE(AA286,"/",REPT(" ",50)),51,50))),IFERROR(VALUE(TRIM(MID(SUBSTITUTE(AA286,"/",REPT(" ",50)),101,50))),1))),IFERROR(DATEVALUE(INDEX(D286:K286,MIN(8,MAX(1,C286)))),"")))</f>
        <v/>
      </c>
      <c r="T286">
        <f>IF(B286="","",IF(AB286&lt;&gt;"",AB286,IFERROR(MATCH(SUBSTITUTE(SUBSTITUTE(P286," ",""),"　",""),入力!$AH$5:$AH$44,0),"")))</f>
        <v/>
      </c>
      <c r="U286">
        <f>IF(T286="","",INDEX(入力!$D$5:$D$44,T286))</f>
        <v/>
      </c>
      <c r="V286">
        <f>IF(B286="","",IF(T286="","要確認（名簿と照合できません）",IF(R286="","要確認（資格名がありません）",IF(S286="","要確認（取得日が読めません）",IF((IF(INDEX(入力!$N$5:$N$44,T286)=R286,1,0)+IF(INDEX(入力!$P$5:$P$44,T286)=R286,1,0)+IF(INDEX(入力!$R$5:$R$44,T286)=R286,1,0)+IF(INDEX(入力!$T$5:$T$44,T286)=R286,1,0)+IF(INDEX(入力!$V$5:$V$44,T286)=R286,1,0)+IF(INDEX(入力!$X$5:$X$44,T286)=R286,1,0))+(COUNTIFS($T$6:$T$405,T286,$R$6:$R$405,R286,$X$6:$X$405,"&lt;"&amp;X286))&gt;0,"重複","反映")))))</f>
        <v/>
      </c>
      <c r="W286">
        <f>IF(V286="反映",1,0)</f>
        <v/>
      </c>
      <c r="X286" t="n">
        <v>286</v>
      </c>
      <c r="Y286">
        <f>IF(W286=0,"",COUNTIFS($T$6:$T$405,T286,$W$6:$W$405,1,$S$6:$S$405,"&lt;"&amp;S286)+COUNTIFS($T$6:$T$405,T286,$W$6:$W$405,1,$S$6:$S$405,S286,$X$6:$X$405,"&lt;"&amp;X286)+1)</f>
        <v/>
      </c>
      <c r="Z286">
        <f>IF(Y286="","",T286&amp;"_"&amp;Y286)</f>
        <v/>
      </c>
      <c r="AA286">
        <f>SUBSTITUTE(SUBSTITUTE(SUBSTITUTE(SUBSTITUTE(SUBSTITUTE(INDEX(D286:K286,MIN(8,MAX(1,C286))),"年","/"),"月","/"),"日",""),"-","/"),".","/")</f>
        <v/>
      </c>
      <c r="AB286">
        <f>IFERROR(MATCH(O286,入力!$C$5:$C$44,0),"")</f>
        <v/>
      </c>
      <c r="AC286">
        <f>IF(AB286="","",INDEX(入力!$AH$5:$AH$44,AB286))</f>
        <v/>
      </c>
      <c r="AD286">
        <f>IF(INDEX($D286:$K286,IF(M286=1,2,1))=AC286,1,IF(INDEX($D286:$K286,IF(M286=1,2,1))&amp;INDEX($D286:$K286,IF(M286=1,2,1)+1)=AC286,2,IF(INDEX($D286:$K286,IF(M286=1,2,1))&amp;INDEX($D286:$K286,IF(M286=1,2,1)+1)&amp;INDEX($D286:$K286,IF(M286=1,2,1)+2)=AC286,3,IF(AB286&lt;&gt;"",2,IF(ISNUMBER(MATCH(INDEX($D286:$K286,IF(M286=1,2,1)),入力!$AH$5:$AH$44,0)),1,IF(ISNUMBER(MATCH(INDEX($D286:$K286,IF(M286=1,2,1))&amp;INDEX($D286:$K286,IF(M286=1,2,1)+1),入力!$AH$5:$AH$44,0)),2,IF(ISNUMBER(MATCH(INDEX($D286:$K286,IF(M286=1,2,1))&amp;INDEX($D286:$K286,IF(M286=1,2,1)+1)&amp;INDEX($D286:$K286,IF(M286=1,2,1)+2),入力!$AH$5:$AH$44,0)),3,2)))))))</f>
        <v/>
      </c>
      <c r="AE286">
        <f>IF(V286="","",IF(AND(V286="反映",N(Y286)&gt;20),"要確認（この生徒の取込が20件を超えました）",V286))</f>
        <v/>
      </c>
    </row>
    <row r="287">
      <c r="A287" s="138" t="n"/>
      <c r="B287">
        <f>TRIM(SUBSTITUTE(SUBSTITUTE(SUBSTITUTE(A287,CHAR(9)," "),"　"," "),CHAR(160)," "))</f>
        <v/>
      </c>
      <c r="C287">
        <f>IF(B287="",0,LEN(B287)-LEN(SUBSTITUTE(B287," ",""))+1)</f>
        <v/>
      </c>
      <c r="D287">
        <f>IF(C287&gt;=1,TRIM(MID(SUBSTITUTE(B287," ",REPT(" ",200)),1,200)),"")</f>
        <v/>
      </c>
      <c r="E287">
        <f>IF(C287&gt;=2,TRIM(MID(SUBSTITUTE(B287," ",REPT(" ",200)),201,200)),"")</f>
        <v/>
      </c>
      <c r="F287">
        <f>IF(C287&gt;=3,TRIM(MID(SUBSTITUTE(B287," ",REPT(" ",200)),401,200)),"")</f>
        <v/>
      </c>
      <c r="G287">
        <f>IF(C287&gt;=4,TRIM(MID(SUBSTITUTE(B287," ",REPT(" ",200)),601,200)),"")</f>
        <v/>
      </c>
      <c r="H287">
        <f>IF(C287&gt;=5,TRIM(MID(SUBSTITUTE(B287," ",REPT(" ",200)),801,200)),"")</f>
        <v/>
      </c>
      <c r="I287">
        <f>IF(C287&gt;=6,TRIM(MID(SUBSTITUTE(B287," ",REPT(" ",200)),1001,200)),"")</f>
        <v/>
      </c>
      <c r="J287">
        <f>IF(C287&gt;=7,TRIM(MID(SUBSTITUTE(B287," ",REPT(" ",200)),1201,200)),"")</f>
        <v/>
      </c>
      <c r="K287">
        <f>IF(C287&gt;=8,TRIM(MID(SUBSTITUTE(B287," ",REPT(" ",200)),1401,200)),"")</f>
        <v/>
      </c>
      <c r="L287">
        <f>SUBSTITUTE(SUBSTITUTE(SUBSTITUTE(D287,"年","-"),"組","-"),"番","")</f>
        <v/>
      </c>
      <c r="M287">
        <f>IF(D287="",0,IF(ISNUMBER(VALUE(SUBSTITUTE(L287,"-",""))),1,0))</f>
        <v/>
      </c>
      <c r="N287">
        <f>IF(M287=0,"",IFERROR(VALUE(TRIM(MID(SUBSTITUTE(L287,"-",REPT(" ",100)),101,100))),""))</f>
        <v/>
      </c>
      <c r="O287">
        <f>IF(M287=0,"",IFERROR(VALUE(TRIM(RIGHT(SUBSTITUTE(L287,"-",REPT(" ",100)),100))),""))</f>
        <v/>
      </c>
      <c r="P287">
        <f>IF(B287="","",TRIM(INDEX($D287:$K287,IF(M287=1,2,1))&amp;IF(AD287&gt;=2," "&amp;INDEX($D287:$K287,IF(M287=1,2,1)+1),"")&amp;IF(AD287&gt;=3," "&amp;INDEX($D287:$K287,IF(M287=1,2,1)+2),"")))</f>
        <v/>
      </c>
      <c r="Q287">
        <f>IF(C287&lt;2,"",TRIM(IF(AND(2&gt;=(IF(M287=1,2,1)+AD287),2&lt;=C287-IF(S287="",0,1)),E287&amp;" ","")&amp;IF(AND(3&gt;=(IF(M287=1,2,1)+AD287),3&lt;=C287-IF(S287="",0,1)),F287&amp;" ","")&amp;IF(AND(4&gt;=(IF(M287=1,2,1)+AD287),4&lt;=C287-IF(S287="",0,1)),G287&amp;" ","")&amp;IF(AND(5&gt;=(IF(M287=1,2,1)+AD287),5&lt;=C287-IF(S287="",0,1)),H287&amp;" ","")&amp;IF(AND(6&gt;=(IF(M287=1,2,1)+AD287),6&lt;=C287-IF(S287="",0,1)),I287&amp;" ","")&amp;IF(AND(7&gt;=(IF(M287=1,2,1)+AD287),7&lt;=C287-IF(S287="",0,1)),J287&amp;" ","")&amp;IF(AND(8&gt;=(IF(M287=1,2,1)+AD287),8&lt;=C287-IF(S287="",0,1)),K287&amp;" ","")))</f>
        <v/>
      </c>
      <c r="R287">
        <f>IF(Q287="","",IFERROR(INDEX(資格マスタ!$B:$B,MATCH(ASC(SUBSTITUTE(SUBSTITUTE(Q287," ",""),"　","")),資格マスタ!$D:$D,0)),Q287))</f>
        <v/>
      </c>
      <c r="S287" s="139">
        <f>IF(C287&lt;2,"",IFERROR(IF(OR(LEFT(INDEX(D287:K287,MIN(8,MAX(1,C287))),2)="令和",LEFT(INDEX(D287:K287,MIN(8,MAX(1,C287))),2)="平成",LEFT(INDEX(D287:K287,MIN(8,MAX(1,C287))),2)="昭和"),DATE(VALUE(MID(INDEX(D287:K287,MIN(8,MAX(1,C287))),3,FIND("年",INDEX(D287:K287,MIN(8,MAX(1,C287))))-3))+IF(LEFT(INDEX(D287:K287,MIN(8,MAX(1,C287))),2)="令和",2018,IF(LEFT(INDEX(D287:K287,MIN(8,MAX(1,C287))),2)="平成",1988,1925)),VALUE(MID(INDEX(D287:K287,MIN(8,MAX(1,C287))),FIND("年",INDEX(D287:K287,MIN(8,MAX(1,C287))))+1,FIND("月",INDEX(D287:K287,MIN(8,MAX(1,C287))))-FIND("年",INDEX(D287:K287,MIN(8,MAX(1,C287))))-1)),IFERROR(VALUE(SUBSTITUTE(MID(INDEX(D287:K287,MIN(8,MAX(1,C287))),FIND("月",INDEX(D287:K287,MIN(8,MAX(1,C287))))+1,10),"日","")),1)),DATE(VALUE(TRIM(MID(SUBSTITUTE(AA287,"/",REPT(" ",50)),1,50))),VALUE(TRIM(MID(SUBSTITUTE(AA287,"/",REPT(" ",50)),51,50))),IFERROR(VALUE(TRIM(MID(SUBSTITUTE(AA287,"/",REPT(" ",50)),101,50))),1))),IFERROR(DATEVALUE(INDEX(D287:K287,MIN(8,MAX(1,C287)))),"")))</f>
        <v/>
      </c>
      <c r="T287">
        <f>IF(B287="","",IF(AB287&lt;&gt;"",AB287,IFERROR(MATCH(SUBSTITUTE(SUBSTITUTE(P287," ",""),"　",""),入力!$AH$5:$AH$44,0),"")))</f>
        <v/>
      </c>
      <c r="U287">
        <f>IF(T287="","",INDEX(入力!$D$5:$D$44,T287))</f>
        <v/>
      </c>
      <c r="V287">
        <f>IF(B287="","",IF(T287="","要確認（名簿と照合できません）",IF(R287="","要確認（資格名がありません）",IF(S287="","要確認（取得日が読めません）",IF((IF(INDEX(入力!$N$5:$N$44,T287)=R287,1,0)+IF(INDEX(入力!$P$5:$P$44,T287)=R287,1,0)+IF(INDEX(入力!$R$5:$R$44,T287)=R287,1,0)+IF(INDEX(入力!$T$5:$T$44,T287)=R287,1,0)+IF(INDEX(入力!$V$5:$V$44,T287)=R287,1,0)+IF(INDEX(入力!$X$5:$X$44,T287)=R287,1,0))+(COUNTIFS($T$6:$T$405,T287,$R$6:$R$405,R287,$X$6:$X$405,"&lt;"&amp;X287))&gt;0,"重複","反映")))))</f>
        <v/>
      </c>
      <c r="W287">
        <f>IF(V287="反映",1,0)</f>
        <v/>
      </c>
      <c r="X287" t="n">
        <v>287</v>
      </c>
      <c r="Y287">
        <f>IF(W287=0,"",COUNTIFS($T$6:$T$405,T287,$W$6:$W$405,1,$S$6:$S$405,"&lt;"&amp;S287)+COUNTIFS($T$6:$T$405,T287,$W$6:$W$405,1,$S$6:$S$405,S287,$X$6:$X$405,"&lt;"&amp;X287)+1)</f>
        <v/>
      </c>
      <c r="Z287">
        <f>IF(Y287="","",T287&amp;"_"&amp;Y287)</f>
        <v/>
      </c>
      <c r="AA287">
        <f>SUBSTITUTE(SUBSTITUTE(SUBSTITUTE(SUBSTITUTE(SUBSTITUTE(INDEX(D287:K287,MIN(8,MAX(1,C287))),"年","/"),"月","/"),"日",""),"-","/"),".","/")</f>
        <v/>
      </c>
      <c r="AB287">
        <f>IFERROR(MATCH(O287,入力!$C$5:$C$44,0),"")</f>
        <v/>
      </c>
      <c r="AC287">
        <f>IF(AB287="","",INDEX(入力!$AH$5:$AH$44,AB287))</f>
        <v/>
      </c>
      <c r="AD287">
        <f>IF(INDEX($D287:$K287,IF(M287=1,2,1))=AC287,1,IF(INDEX($D287:$K287,IF(M287=1,2,1))&amp;INDEX($D287:$K287,IF(M287=1,2,1)+1)=AC287,2,IF(INDEX($D287:$K287,IF(M287=1,2,1))&amp;INDEX($D287:$K287,IF(M287=1,2,1)+1)&amp;INDEX($D287:$K287,IF(M287=1,2,1)+2)=AC287,3,IF(AB287&lt;&gt;"",2,IF(ISNUMBER(MATCH(INDEX($D287:$K287,IF(M287=1,2,1)),入力!$AH$5:$AH$44,0)),1,IF(ISNUMBER(MATCH(INDEX($D287:$K287,IF(M287=1,2,1))&amp;INDEX($D287:$K287,IF(M287=1,2,1)+1),入力!$AH$5:$AH$44,0)),2,IF(ISNUMBER(MATCH(INDEX($D287:$K287,IF(M287=1,2,1))&amp;INDEX($D287:$K287,IF(M287=1,2,1)+1)&amp;INDEX($D287:$K287,IF(M287=1,2,1)+2),入力!$AH$5:$AH$44,0)),3,2)))))))</f>
        <v/>
      </c>
      <c r="AE287">
        <f>IF(V287="","",IF(AND(V287="反映",N(Y287)&gt;20),"要確認（この生徒の取込が20件を超えました）",V287))</f>
        <v/>
      </c>
    </row>
    <row r="288">
      <c r="A288" s="138" t="n"/>
      <c r="B288">
        <f>TRIM(SUBSTITUTE(SUBSTITUTE(SUBSTITUTE(A288,CHAR(9)," "),"　"," "),CHAR(160)," "))</f>
        <v/>
      </c>
      <c r="C288">
        <f>IF(B288="",0,LEN(B288)-LEN(SUBSTITUTE(B288," ",""))+1)</f>
        <v/>
      </c>
      <c r="D288">
        <f>IF(C288&gt;=1,TRIM(MID(SUBSTITUTE(B288," ",REPT(" ",200)),1,200)),"")</f>
        <v/>
      </c>
      <c r="E288">
        <f>IF(C288&gt;=2,TRIM(MID(SUBSTITUTE(B288," ",REPT(" ",200)),201,200)),"")</f>
        <v/>
      </c>
      <c r="F288">
        <f>IF(C288&gt;=3,TRIM(MID(SUBSTITUTE(B288," ",REPT(" ",200)),401,200)),"")</f>
        <v/>
      </c>
      <c r="G288">
        <f>IF(C288&gt;=4,TRIM(MID(SUBSTITUTE(B288," ",REPT(" ",200)),601,200)),"")</f>
        <v/>
      </c>
      <c r="H288">
        <f>IF(C288&gt;=5,TRIM(MID(SUBSTITUTE(B288," ",REPT(" ",200)),801,200)),"")</f>
        <v/>
      </c>
      <c r="I288">
        <f>IF(C288&gt;=6,TRIM(MID(SUBSTITUTE(B288," ",REPT(" ",200)),1001,200)),"")</f>
        <v/>
      </c>
      <c r="J288">
        <f>IF(C288&gt;=7,TRIM(MID(SUBSTITUTE(B288," ",REPT(" ",200)),1201,200)),"")</f>
        <v/>
      </c>
      <c r="K288">
        <f>IF(C288&gt;=8,TRIM(MID(SUBSTITUTE(B288," ",REPT(" ",200)),1401,200)),"")</f>
        <v/>
      </c>
      <c r="L288">
        <f>SUBSTITUTE(SUBSTITUTE(SUBSTITUTE(D288,"年","-"),"組","-"),"番","")</f>
        <v/>
      </c>
      <c r="M288">
        <f>IF(D288="",0,IF(ISNUMBER(VALUE(SUBSTITUTE(L288,"-",""))),1,0))</f>
        <v/>
      </c>
      <c r="N288">
        <f>IF(M288=0,"",IFERROR(VALUE(TRIM(MID(SUBSTITUTE(L288,"-",REPT(" ",100)),101,100))),""))</f>
        <v/>
      </c>
      <c r="O288">
        <f>IF(M288=0,"",IFERROR(VALUE(TRIM(RIGHT(SUBSTITUTE(L288,"-",REPT(" ",100)),100))),""))</f>
        <v/>
      </c>
      <c r="P288">
        <f>IF(B288="","",TRIM(INDEX($D288:$K288,IF(M288=1,2,1))&amp;IF(AD288&gt;=2," "&amp;INDEX($D288:$K288,IF(M288=1,2,1)+1),"")&amp;IF(AD288&gt;=3," "&amp;INDEX($D288:$K288,IF(M288=1,2,1)+2),"")))</f>
        <v/>
      </c>
      <c r="Q288">
        <f>IF(C288&lt;2,"",TRIM(IF(AND(2&gt;=(IF(M288=1,2,1)+AD288),2&lt;=C288-IF(S288="",0,1)),E288&amp;" ","")&amp;IF(AND(3&gt;=(IF(M288=1,2,1)+AD288),3&lt;=C288-IF(S288="",0,1)),F288&amp;" ","")&amp;IF(AND(4&gt;=(IF(M288=1,2,1)+AD288),4&lt;=C288-IF(S288="",0,1)),G288&amp;" ","")&amp;IF(AND(5&gt;=(IF(M288=1,2,1)+AD288),5&lt;=C288-IF(S288="",0,1)),H288&amp;" ","")&amp;IF(AND(6&gt;=(IF(M288=1,2,1)+AD288),6&lt;=C288-IF(S288="",0,1)),I288&amp;" ","")&amp;IF(AND(7&gt;=(IF(M288=1,2,1)+AD288),7&lt;=C288-IF(S288="",0,1)),J288&amp;" ","")&amp;IF(AND(8&gt;=(IF(M288=1,2,1)+AD288),8&lt;=C288-IF(S288="",0,1)),K288&amp;" ","")))</f>
        <v/>
      </c>
      <c r="R288">
        <f>IF(Q288="","",IFERROR(INDEX(資格マスタ!$B:$B,MATCH(ASC(SUBSTITUTE(SUBSTITUTE(Q288," ",""),"　","")),資格マスタ!$D:$D,0)),Q288))</f>
        <v/>
      </c>
      <c r="S288" s="139">
        <f>IF(C288&lt;2,"",IFERROR(IF(OR(LEFT(INDEX(D288:K288,MIN(8,MAX(1,C288))),2)="令和",LEFT(INDEX(D288:K288,MIN(8,MAX(1,C288))),2)="平成",LEFT(INDEX(D288:K288,MIN(8,MAX(1,C288))),2)="昭和"),DATE(VALUE(MID(INDEX(D288:K288,MIN(8,MAX(1,C288))),3,FIND("年",INDEX(D288:K288,MIN(8,MAX(1,C288))))-3))+IF(LEFT(INDEX(D288:K288,MIN(8,MAX(1,C288))),2)="令和",2018,IF(LEFT(INDEX(D288:K288,MIN(8,MAX(1,C288))),2)="平成",1988,1925)),VALUE(MID(INDEX(D288:K288,MIN(8,MAX(1,C288))),FIND("年",INDEX(D288:K288,MIN(8,MAX(1,C288))))+1,FIND("月",INDEX(D288:K288,MIN(8,MAX(1,C288))))-FIND("年",INDEX(D288:K288,MIN(8,MAX(1,C288))))-1)),IFERROR(VALUE(SUBSTITUTE(MID(INDEX(D288:K288,MIN(8,MAX(1,C288))),FIND("月",INDEX(D288:K288,MIN(8,MAX(1,C288))))+1,10),"日","")),1)),DATE(VALUE(TRIM(MID(SUBSTITUTE(AA288,"/",REPT(" ",50)),1,50))),VALUE(TRIM(MID(SUBSTITUTE(AA288,"/",REPT(" ",50)),51,50))),IFERROR(VALUE(TRIM(MID(SUBSTITUTE(AA288,"/",REPT(" ",50)),101,50))),1))),IFERROR(DATEVALUE(INDEX(D288:K288,MIN(8,MAX(1,C288)))),"")))</f>
        <v/>
      </c>
      <c r="T288">
        <f>IF(B288="","",IF(AB288&lt;&gt;"",AB288,IFERROR(MATCH(SUBSTITUTE(SUBSTITUTE(P288," ",""),"　",""),入力!$AH$5:$AH$44,0),"")))</f>
        <v/>
      </c>
      <c r="U288">
        <f>IF(T288="","",INDEX(入力!$D$5:$D$44,T288))</f>
        <v/>
      </c>
      <c r="V288">
        <f>IF(B288="","",IF(T288="","要確認（名簿と照合できません）",IF(R288="","要確認（資格名がありません）",IF(S288="","要確認（取得日が読めません）",IF((IF(INDEX(入力!$N$5:$N$44,T288)=R288,1,0)+IF(INDEX(入力!$P$5:$P$44,T288)=R288,1,0)+IF(INDEX(入力!$R$5:$R$44,T288)=R288,1,0)+IF(INDEX(入力!$T$5:$T$44,T288)=R288,1,0)+IF(INDEX(入力!$V$5:$V$44,T288)=R288,1,0)+IF(INDEX(入力!$X$5:$X$44,T288)=R288,1,0))+(COUNTIFS($T$6:$T$405,T288,$R$6:$R$405,R288,$X$6:$X$405,"&lt;"&amp;X288))&gt;0,"重複","反映")))))</f>
        <v/>
      </c>
      <c r="W288">
        <f>IF(V288="反映",1,0)</f>
        <v/>
      </c>
      <c r="X288" t="n">
        <v>288</v>
      </c>
      <c r="Y288">
        <f>IF(W288=0,"",COUNTIFS($T$6:$T$405,T288,$W$6:$W$405,1,$S$6:$S$405,"&lt;"&amp;S288)+COUNTIFS($T$6:$T$405,T288,$W$6:$W$405,1,$S$6:$S$405,S288,$X$6:$X$405,"&lt;"&amp;X288)+1)</f>
        <v/>
      </c>
      <c r="Z288">
        <f>IF(Y288="","",T288&amp;"_"&amp;Y288)</f>
        <v/>
      </c>
      <c r="AA288">
        <f>SUBSTITUTE(SUBSTITUTE(SUBSTITUTE(SUBSTITUTE(SUBSTITUTE(INDEX(D288:K288,MIN(8,MAX(1,C288))),"年","/"),"月","/"),"日",""),"-","/"),".","/")</f>
        <v/>
      </c>
      <c r="AB288">
        <f>IFERROR(MATCH(O288,入力!$C$5:$C$44,0),"")</f>
        <v/>
      </c>
      <c r="AC288">
        <f>IF(AB288="","",INDEX(入力!$AH$5:$AH$44,AB288))</f>
        <v/>
      </c>
      <c r="AD288">
        <f>IF(INDEX($D288:$K288,IF(M288=1,2,1))=AC288,1,IF(INDEX($D288:$K288,IF(M288=1,2,1))&amp;INDEX($D288:$K288,IF(M288=1,2,1)+1)=AC288,2,IF(INDEX($D288:$K288,IF(M288=1,2,1))&amp;INDEX($D288:$K288,IF(M288=1,2,1)+1)&amp;INDEX($D288:$K288,IF(M288=1,2,1)+2)=AC288,3,IF(AB288&lt;&gt;"",2,IF(ISNUMBER(MATCH(INDEX($D288:$K288,IF(M288=1,2,1)),入力!$AH$5:$AH$44,0)),1,IF(ISNUMBER(MATCH(INDEX($D288:$K288,IF(M288=1,2,1))&amp;INDEX($D288:$K288,IF(M288=1,2,1)+1),入力!$AH$5:$AH$44,0)),2,IF(ISNUMBER(MATCH(INDEX($D288:$K288,IF(M288=1,2,1))&amp;INDEX($D288:$K288,IF(M288=1,2,1)+1)&amp;INDEX($D288:$K288,IF(M288=1,2,1)+2),入力!$AH$5:$AH$44,0)),3,2)))))))</f>
        <v/>
      </c>
      <c r="AE288">
        <f>IF(V288="","",IF(AND(V288="反映",N(Y288)&gt;20),"要確認（この生徒の取込が20件を超えました）",V288))</f>
        <v/>
      </c>
    </row>
    <row r="289">
      <c r="A289" s="138" t="n"/>
      <c r="B289">
        <f>TRIM(SUBSTITUTE(SUBSTITUTE(SUBSTITUTE(A289,CHAR(9)," "),"　"," "),CHAR(160)," "))</f>
        <v/>
      </c>
      <c r="C289">
        <f>IF(B289="",0,LEN(B289)-LEN(SUBSTITUTE(B289," ",""))+1)</f>
        <v/>
      </c>
      <c r="D289">
        <f>IF(C289&gt;=1,TRIM(MID(SUBSTITUTE(B289," ",REPT(" ",200)),1,200)),"")</f>
        <v/>
      </c>
      <c r="E289">
        <f>IF(C289&gt;=2,TRIM(MID(SUBSTITUTE(B289," ",REPT(" ",200)),201,200)),"")</f>
        <v/>
      </c>
      <c r="F289">
        <f>IF(C289&gt;=3,TRIM(MID(SUBSTITUTE(B289," ",REPT(" ",200)),401,200)),"")</f>
        <v/>
      </c>
      <c r="G289">
        <f>IF(C289&gt;=4,TRIM(MID(SUBSTITUTE(B289," ",REPT(" ",200)),601,200)),"")</f>
        <v/>
      </c>
      <c r="H289">
        <f>IF(C289&gt;=5,TRIM(MID(SUBSTITUTE(B289," ",REPT(" ",200)),801,200)),"")</f>
        <v/>
      </c>
      <c r="I289">
        <f>IF(C289&gt;=6,TRIM(MID(SUBSTITUTE(B289," ",REPT(" ",200)),1001,200)),"")</f>
        <v/>
      </c>
      <c r="J289">
        <f>IF(C289&gt;=7,TRIM(MID(SUBSTITUTE(B289," ",REPT(" ",200)),1201,200)),"")</f>
        <v/>
      </c>
      <c r="K289">
        <f>IF(C289&gt;=8,TRIM(MID(SUBSTITUTE(B289," ",REPT(" ",200)),1401,200)),"")</f>
        <v/>
      </c>
      <c r="L289">
        <f>SUBSTITUTE(SUBSTITUTE(SUBSTITUTE(D289,"年","-"),"組","-"),"番","")</f>
        <v/>
      </c>
      <c r="M289">
        <f>IF(D289="",0,IF(ISNUMBER(VALUE(SUBSTITUTE(L289,"-",""))),1,0))</f>
        <v/>
      </c>
      <c r="N289">
        <f>IF(M289=0,"",IFERROR(VALUE(TRIM(MID(SUBSTITUTE(L289,"-",REPT(" ",100)),101,100))),""))</f>
        <v/>
      </c>
      <c r="O289">
        <f>IF(M289=0,"",IFERROR(VALUE(TRIM(RIGHT(SUBSTITUTE(L289,"-",REPT(" ",100)),100))),""))</f>
        <v/>
      </c>
      <c r="P289">
        <f>IF(B289="","",TRIM(INDEX($D289:$K289,IF(M289=1,2,1))&amp;IF(AD289&gt;=2," "&amp;INDEX($D289:$K289,IF(M289=1,2,1)+1),"")&amp;IF(AD289&gt;=3," "&amp;INDEX($D289:$K289,IF(M289=1,2,1)+2),"")))</f>
        <v/>
      </c>
      <c r="Q289">
        <f>IF(C289&lt;2,"",TRIM(IF(AND(2&gt;=(IF(M289=1,2,1)+AD289),2&lt;=C289-IF(S289="",0,1)),E289&amp;" ","")&amp;IF(AND(3&gt;=(IF(M289=1,2,1)+AD289),3&lt;=C289-IF(S289="",0,1)),F289&amp;" ","")&amp;IF(AND(4&gt;=(IF(M289=1,2,1)+AD289),4&lt;=C289-IF(S289="",0,1)),G289&amp;" ","")&amp;IF(AND(5&gt;=(IF(M289=1,2,1)+AD289),5&lt;=C289-IF(S289="",0,1)),H289&amp;" ","")&amp;IF(AND(6&gt;=(IF(M289=1,2,1)+AD289),6&lt;=C289-IF(S289="",0,1)),I289&amp;" ","")&amp;IF(AND(7&gt;=(IF(M289=1,2,1)+AD289),7&lt;=C289-IF(S289="",0,1)),J289&amp;" ","")&amp;IF(AND(8&gt;=(IF(M289=1,2,1)+AD289),8&lt;=C289-IF(S289="",0,1)),K289&amp;" ","")))</f>
        <v/>
      </c>
      <c r="R289">
        <f>IF(Q289="","",IFERROR(INDEX(資格マスタ!$B:$B,MATCH(ASC(SUBSTITUTE(SUBSTITUTE(Q289," ",""),"　","")),資格マスタ!$D:$D,0)),Q289))</f>
        <v/>
      </c>
      <c r="S289" s="139">
        <f>IF(C289&lt;2,"",IFERROR(IF(OR(LEFT(INDEX(D289:K289,MIN(8,MAX(1,C289))),2)="令和",LEFT(INDEX(D289:K289,MIN(8,MAX(1,C289))),2)="平成",LEFT(INDEX(D289:K289,MIN(8,MAX(1,C289))),2)="昭和"),DATE(VALUE(MID(INDEX(D289:K289,MIN(8,MAX(1,C289))),3,FIND("年",INDEX(D289:K289,MIN(8,MAX(1,C289))))-3))+IF(LEFT(INDEX(D289:K289,MIN(8,MAX(1,C289))),2)="令和",2018,IF(LEFT(INDEX(D289:K289,MIN(8,MAX(1,C289))),2)="平成",1988,1925)),VALUE(MID(INDEX(D289:K289,MIN(8,MAX(1,C289))),FIND("年",INDEX(D289:K289,MIN(8,MAX(1,C289))))+1,FIND("月",INDEX(D289:K289,MIN(8,MAX(1,C289))))-FIND("年",INDEX(D289:K289,MIN(8,MAX(1,C289))))-1)),IFERROR(VALUE(SUBSTITUTE(MID(INDEX(D289:K289,MIN(8,MAX(1,C289))),FIND("月",INDEX(D289:K289,MIN(8,MAX(1,C289))))+1,10),"日","")),1)),DATE(VALUE(TRIM(MID(SUBSTITUTE(AA289,"/",REPT(" ",50)),1,50))),VALUE(TRIM(MID(SUBSTITUTE(AA289,"/",REPT(" ",50)),51,50))),IFERROR(VALUE(TRIM(MID(SUBSTITUTE(AA289,"/",REPT(" ",50)),101,50))),1))),IFERROR(DATEVALUE(INDEX(D289:K289,MIN(8,MAX(1,C289)))),"")))</f>
        <v/>
      </c>
      <c r="T289">
        <f>IF(B289="","",IF(AB289&lt;&gt;"",AB289,IFERROR(MATCH(SUBSTITUTE(SUBSTITUTE(P289," ",""),"　",""),入力!$AH$5:$AH$44,0),"")))</f>
        <v/>
      </c>
      <c r="U289">
        <f>IF(T289="","",INDEX(入力!$D$5:$D$44,T289))</f>
        <v/>
      </c>
      <c r="V289">
        <f>IF(B289="","",IF(T289="","要確認（名簿と照合できません）",IF(R289="","要確認（資格名がありません）",IF(S289="","要確認（取得日が読めません）",IF((IF(INDEX(入力!$N$5:$N$44,T289)=R289,1,0)+IF(INDEX(入力!$P$5:$P$44,T289)=R289,1,0)+IF(INDEX(入力!$R$5:$R$44,T289)=R289,1,0)+IF(INDEX(入力!$T$5:$T$44,T289)=R289,1,0)+IF(INDEX(入力!$V$5:$V$44,T289)=R289,1,0)+IF(INDEX(入力!$X$5:$X$44,T289)=R289,1,0))+(COUNTIFS($T$6:$T$405,T289,$R$6:$R$405,R289,$X$6:$X$405,"&lt;"&amp;X289))&gt;0,"重複","反映")))))</f>
        <v/>
      </c>
      <c r="W289">
        <f>IF(V289="反映",1,0)</f>
        <v/>
      </c>
      <c r="X289" t="n">
        <v>289</v>
      </c>
      <c r="Y289">
        <f>IF(W289=0,"",COUNTIFS($T$6:$T$405,T289,$W$6:$W$405,1,$S$6:$S$405,"&lt;"&amp;S289)+COUNTIFS($T$6:$T$405,T289,$W$6:$W$405,1,$S$6:$S$405,S289,$X$6:$X$405,"&lt;"&amp;X289)+1)</f>
        <v/>
      </c>
      <c r="Z289">
        <f>IF(Y289="","",T289&amp;"_"&amp;Y289)</f>
        <v/>
      </c>
      <c r="AA289">
        <f>SUBSTITUTE(SUBSTITUTE(SUBSTITUTE(SUBSTITUTE(SUBSTITUTE(INDEX(D289:K289,MIN(8,MAX(1,C289))),"年","/"),"月","/"),"日",""),"-","/"),".","/")</f>
        <v/>
      </c>
      <c r="AB289">
        <f>IFERROR(MATCH(O289,入力!$C$5:$C$44,0),"")</f>
        <v/>
      </c>
      <c r="AC289">
        <f>IF(AB289="","",INDEX(入力!$AH$5:$AH$44,AB289))</f>
        <v/>
      </c>
      <c r="AD289">
        <f>IF(INDEX($D289:$K289,IF(M289=1,2,1))=AC289,1,IF(INDEX($D289:$K289,IF(M289=1,2,1))&amp;INDEX($D289:$K289,IF(M289=1,2,1)+1)=AC289,2,IF(INDEX($D289:$K289,IF(M289=1,2,1))&amp;INDEX($D289:$K289,IF(M289=1,2,1)+1)&amp;INDEX($D289:$K289,IF(M289=1,2,1)+2)=AC289,3,IF(AB289&lt;&gt;"",2,IF(ISNUMBER(MATCH(INDEX($D289:$K289,IF(M289=1,2,1)),入力!$AH$5:$AH$44,0)),1,IF(ISNUMBER(MATCH(INDEX($D289:$K289,IF(M289=1,2,1))&amp;INDEX($D289:$K289,IF(M289=1,2,1)+1),入力!$AH$5:$AH$44,0)),2,IF(ISNUMBER(MATCH(INDEX($D289:$K289,IF(M289=1,2,1))&amp;INDEX($D289:$K289,IF(M289=1,2,1)+1)&amp;INDEX($D289:$K289,IF(M289=1,2,1)+2),入力!$AH$5:$AH$44,0)),3,2)))))))</f>
        <v/>
      </c>
      <c r="AE289">
        <f>IF(V289="","",IF(AND(V289="反映",N(Y289)&gt;20),"要確認（この生徒の取込が20件を超えました）",V289))</f>
        <v/>
      </c>
    </row>
    <row r="290">
      <c r="A290" s="138" t="n"/>
      <c r="B290">
        <f>TRIM(SUBSTITUTE(SUBSTITUTE(SUBSTITUTE(A290,CHAR(9)," "),"　"," "),CHAR(160)," "))</f>
        <v/>
      </c>
      <c r="C290">
        <f>IF(B290="",0,LEN(B290)-LEN(SUBSTITUTE(B290," ",""))+1)</f>
        <v/>
      </c>
      <c r="D290">
        <f>IF(C290&gt;=1,TRIM(MID(SUBSTITUTE(B290," ",REPT(" ",200)),1,200)),"")</f>
        <v/>
      </c>
      <c r="E290">
        <f>IF(C290&gt;=2,TRIM(MID(SUBSTITUTE(B290," ",REPT(" ",200)),201,200)),"")</f>
        <v/>
      </c>
      <c r="F290">
        <f>IF(C290&gt;=3,TRIM(MID(SUBSTITUTE(B290," ",REPT(" ",200)),401,200)),"")</f>
        <v/>
      </c>
      <c r="G290">
        <f>IF(C290&gt;=4,TRIM(MID(SUBSTITUTE(B290," ",REPT(" ",200)),601,200)),"")</f>
        <v/>
      </c>
      <c r="H290">
        <f>IF(C290&gt;=5,TRIM(MID(SUBSTITUTE(B290," ",REPT(" ",200)),801,200)),"")</f>
        <v/>
      </c>
      <c r="I290">
        <f>IF(C290&gt;=6,TRIM(MID(SUBSTITUTE(B290," ",REPT(" ",200)),1001,200)),"")</f>
        <v/>
      </c>
      <c r="J290">
        <f>IF(C290&gt;=7,TRIM(MID(SUBSTITUTE(B290," ",REPT(" ",200)),1201,200)),"")</f>
        <v/>
      </c>
      <c r="K290">
        <f>IF(C290&gt;=8,TRIM(MID(SUBSTITUTE(B290," ",REPT(" ",200)),1401,200)),"")</f>
        <v/>
      </c>
      <c r="L290">
        <f>SUBSTITUTE(SUBSTITUTE(SUBSTITUTE(D290,"年","-"),"組","-"),"番","")</f>
        <v/>
      </c>
      <c r="M290">
        <f>IF(D290="",0,IF(ISNUMBER(VALUE(SUBSTITUTE(L290,"-",""))),1,0))</f>
        <v/>
      </c>
      <c r="N290">
        <f>IF(M290=0,"",IFERROR(VALUE(TRIM(MID(SUBSTITUTE(L290,"-",REPT(" ",100)),101,100))),""))</f>
        <v/>
      </c>
      <c r="O290">
        <f>IF(M290=0,"",IFERROR(VALUE(TRIM(RIGHT(SUBSTITUTE(L290,"-",REPT(" ",100)),100))),""))</f>
        <v/>
      </c>
      <c r="P290">
        <f>IF(B290="","",TRIM(INDEX($D290:$K290,IF(M290=1,2,1))&amp;IF(AD290&gt;=2," "&amp;INDEX($D290:$K290,IF(M290=1,2,1)+1),"")&amp;IF(AD290&gt;=3," "&amp;INDEX($D290:$K290,IF(M290=1,2,1)+2),"")))</f>
        <v/>
      </c>
      <c r="Q290">
        <f>IF(C290&lt;2,"",TRIM(IF(AND(2&gt;=(IF(M290=1,2,1)+AD290),2&lt;=C290-IF(S290="",0,1)),E290&amp;" ","")&amp;IF(AND(3&gt;=(IF(M290=1,2,1)+AD290),3&lt;=C290-IF(S290="",0,1)),F290&amp;" ","")&amp;IF(AND(4&gt;=(IF(M290=1,2,1)+AD290),4&lt;=C290-IF(S290="",0,1)),G290&amp;" ","")&amp;IF(AND(5&gt;=(IF(M290=1,2,1)+AD290),5&lt;=C290-IF(S290="",0,1)),H290&amp;" ","")&amp;IF(AND(6&gt;=(IF(M290=1,2,1)+AD290),6&lt;=C290-IF(S290="",0,1)),I290&amp;" ","")&amp;IF(AND(7&gt;=(IF(M290=1,2,1)+AD290),7&lt;=C290-IF(S290="",0,1)),J290&amp;" ","")&amp;IF(AND(8&gt;=(IF(M290=1,2,1)+AD290),8&lt;=C290-IF(S290="",0,1)),K290&amp;" ","")))</f>
        <v/>
      </c>
      <c r="R290">
        <f>IF(Q290="","",IFERROR(INDEX(資格マスタ!$B:$B,MATCH(ASC(SUBSTITUTE(SUBSTITUTE(Q290," ",""),"　","")),資格マスタ!$D:$D,0)),Q290))</f>
        <v/>
      </c>
      <c r="S290" s="139">
        <f>IF(C290&lt;2,"",IFERROR(IF(OR(LEFT(INDEX(D290:K290,MIN(8,MAX(1,C290))),2)="令和",LEFT(INDEX(D290:K290,MIN(8,MAX(1,C290))),2)="平成",LEFT(INDEX(D290:K290,MIN(8,MAX(1,C290))),2)="昭和"),DATE(VALUE(MID(INDEX(D290:K290,MIN(8,MAX(1,C290))),3,FIND("年",INDEX(D290:K290,MIN(8,MAX(1,C290))))-3))+IF(LEFT(INDEX(D290:K290,MIN(8,MAX(1,C290))),2)="令和",2018,IF(LEFT(INDEX(D290:K290,MIN(8,MAX(1,C290))),2)="平成",1988,1925)),VALUE(MID(INDEX(D290:K290,MIN(8,MAX(1,C290))),FIND("年",INDEX(D290:K290,MIN(8,MAX(1,C290))))+1,FIND("月",INDEX(D290:K290,MIN(8,MAX(1,C290))))-FIND("年",INDEX(D290:K290,MIN(8,MAX(1,C290))))-1)),IFERROR(VALUE(SUBSTITUTE(MID(INDEX(D290:K290,MIN(8,MAX(1,C290))),FIND("月",INDEX(D290:K290,MIN(8,MAX(1,C290))))+1,10),"日","")),1)),DATE(VALUE(TRIM(MID(SUBSTITUTE(AA290,"/",REPT(" ",50)),1,50))),VALUE(TRIM(MID(SUBSTITUTE(AA290,"/",REPT(" ",50)),51,50))),IFERROR(VALUE(TRIM(MID(SUBSTITUTE(AA290,"/",REPT(" ",50)),101,50))),1))),IFERROR(DATEVALUE(INDEX(D290:K290,MIN(8,MAX(1,C290)))),"")))</f>
        <v/>
      </c>
      <c r="T290">
        <f>IF(B290="","",IF(AB290&lt;&gt;"",AB290,IFERROR(MATCH(SUBSTITUTE(SUBSTITUTE(P290," ",""),"　",""),入力!$AH$5:$AH$44,0),"")))</f>
        <v/>
      </c>
      <c r="U290">
        <f>IF(T290="","",INDEX(入力!$D$5:$D$44,T290))</f>
        <v/>
      </c>
      <c r="V290">
        <f>IF(B290="","",IF(T290="","要確認（名簿と照合できません）",IF(R290="","要確認（資格名がありません）",IF(S290="","要確認（取得日が読めません）",IF((IF(INDEX(入力!$N$5:$N$44,T290)=R290,1,0)+IF(INDEX(入力!$P$5:$P$44,T290)=R290,1,0)+IF(INDEX(入力!$R$5:$R$44,T290)=R290,1,0)+IF(INDEX(入力!$T$5:$T$44,T290)=R290,1,0)+IF(INDEX(入力!$V$5:$V$44,T290)=R290,1,0)+IF(INDEX(入力!$X$5:$X$44,T290)=R290,1,0))+(COUNTIFS($T$6:$T$405,T290,$R$6:$R$405,R290,$X$6:$X$405,"&lt;"&amp;X290))&gt;0,"重複","反映")))))</f>
        <v/>
      </c>
      <c r="W290">
        <f>IF(V290="反映",1,0)</f>
        <v/>
      </c>
      <c r="X290" t="n">
        <v>290</v>
      </c>
      <c r="Y290">
        <f>IF(W290=0,"",COUNTIFS($T$6:$T$405,T290,$W$6:$W$405,1,$S$6:$S$405,"&lt;"&amp;S290)+COUNTIFS($T$6:$T$405,T290,$W$6:$W$405,1,$S$6:$S$405,S290,$X$6:$X$405,"&lt;"&amp;X290)+1)</f>
        <v/>
      </c>
      <c r="Z290">
        <f>IF(Y290="","",T290&amp;"_"&amp;Y290)</f>
        <v/>
      </c>
      <c r="AA290">
        <f>SUBSTITUTE(SUBSTITUTE(SUBSTITUTE(SUBSTITUTE(SUBSTITUTE(INDEX(D290:K290,MIN(8,MAX(1,C290))),"年","/"),"月","/"),"日",""),"-","/"),".","/")</f>
        <v/>
      </c>
      <c r="AB290">
        <f>IFERROR(MATCH(O290,入力!$C$5:$C$44,0),"")</f>
        <v/>
      </c>
      <c r="AC290">
        <f>IF(AB290="","",INDEX(入力!$AH$5:$AH$44,AB290))</f>
        <v/>
      </c>
      <c r="AD290">
        <f>IF(INDEX($D290:$K290,IF(M290=1,2,1))=AC290,1,IF(INDEX($D290:$K290,IF(M290=1,2,1))&amp;INDEX($D290:$K290,IF(M290=1,2,1)+1)=AC290,2,IF(INDEX($D290:$K290,IF(M290=1,2,1))&amp;INDEX($D290:$K290,IF(M290=1,2,1)+1)&amp;INDEX($D290:$K290,IF(M290=1,2,1)+2)=AC290,3,IF(AB290&lt;&gt;"",2,IF(ISNUMBER(MATCH(INDEX($D290:$K290,IF(M290=1,2,1)),入力!$AH$5:$AH$44,0)),1,IF(ISNUMBER(MATCH(INDEX($D290:$K290,IF(M290=1,2,1))&amp;INDEX($D290:$K290,IF(M290=1,2,1)+1),入力!$AH$5:$AH$44,0)),2,IF(ISNUMBER(MATCH(INDEX($D290:$K290,IF(M290=1,2,1))&amp;INDEX($D290:$K290,IF(M290=1,2,1)+1)&amp;INDEX($D290:$K290,IF(M290=1,2,1)+2),入力!$AH$5:$AH$44,0)),3,2)))))))</f>
        <v/>
      </c>
      <c r="AE290">
        <f>IF(V290="","",IF(AND(V290="反映",N(Y290)&gt;20),"要確認（この生徒の取込が20件を超えました）",V290))</f>
        <v/>
      </c>
    </row>
    <row r="291">
      <c r="A291" s="138" t="n"/>
      <c r="B291">
        <f>TRIM(SUBSTITUTE(SUBSTITUTE(SUBSTITUTE(A291,CHAR(9)," "),"　"," "),CHAR(160)," "))</f>
        <v/>
      </c>
      <c r="C291">
        <f>IF(B291="",0,LEN(B291)-LEN(SUBSTITUTE(B291," ",""))+1)</f>
        <v/>
      </c>
      <c r="D291">
        <f>IF(C291&gt;=1,TRIM(MID(SUBSTITUTE(B291," ",REPT(" ",200)),1,200)),"")</f>
        <v/>
      </c>
      <c r="E291">
        <f>IF(C291&gt;=2,TRIM(MID(SUBSTITUTE(B291," ",REPT(" ",200)),201,200)),"")</f>
        <v/>
      </c>
      <c r="F291">
        <f>IF(C291&gt;=3,TRIM(MID(SUBSTITUTE(B291," ",REPT(" ",200)),401,200)),"")</f>
        <v/>
      </c>
      <c r="G291">
        <f>IF(C291&gt;=4,TRIM(MID(SUBSTITUTE(B291," ",REPT(" ",200)),601,200)),"")</f>
        <v/>
      </c>
      <c r="H291">
        <f>IF(C291&gt;=5,TRIM(MID(SUBSTITUTE(B291," ",REPT(" ",200)),801,200)),"")</f>
        <v/>
      </c>
      <c r="I291">
        <f>IF(C291&gt;=6,TRIM(MID(SUBSTITUTE(B291," ",REPT(" ",200)),1001,200)),"")</f>
        <v/>
      </c>
      <c r="J291">
        <f>IF(C291&gt;=7,TRIM(MID(SUBSTITUTE(B291," ",REPT(" ",200)),1201,200)),"")</f>
        <v/>
      </c>
      <c r="K291">
        <f>IF(C291&gt;=8,TRIM(MID(SUBSTITUTE(B291," ",REPT(" ",200)),1401,200)),"")</f>
        <v/>
      </c>
      <c r="L291">
        <f>SUBSTITUTE(SUBSTITUTE(SUBSTITUTE(D291,"年","-"),"組","-"),"番","")</f>
        <v/>
      </c>
      <c r="M291">
        <f>IF(D291="",0,IF(ISNUMBER(VALUE(SUBSTITUTE(L291,"-",""))),1,0))</f>
        <v/>
      </c>
      <c r="N291">
        <f>IF(M291=0,"",IFERROR(VALUE(TRIM(MID(SUBSTITUTE(L291,"-",REPT(" ",100)),101,100))),""))</f>
        <v/>
      </c>
      <c r="O291">
        <f>IF(M291=0,"",IFERROR(VALUE(TRIM(RIGHT(SUBSTITUTE(L291,"-",REPT(" ",100)),100))),""))</f>
        <v/>
      </c>
      <c r="P291">
        <f>IF(B291="","",TRIM(INDEX($D291:$K291,IF(M291=1,2,1))&amp;IF(AD291&gt;=2," "&amp;INDEX($D291:$K291,IF(M291=1,2,1)+1),"")&amp;IF(AD291&gt;=3," "&amp;INDEX($D291:$K291,IF(M291=1,2,1)+2),"")))</f>
        <v/>
      </c>
      <c r="Q291">
        <f>IF(C291&lt;2,"",TRIM(IF(AND(2&gt;=(IF(M291=1,2,1)+AD291),2&lt;=C291-IF(S291="",0,1)),E291&amp;" ","")&amp;IF(AND(3&gt;=(IF(M291=1,2,1)+AD291),3&lt;=C291-IF(S291="",0,1)),F291&amp;" ","")&amp;IF(AND(4&gt;=(IF(M291=1,2,1)+AD291),4&lt;=C291-IF(S291="",0,1)),G291&amp;" ","")&amp;IF(AND(5&gt;=(IF(M291=1,2,1)+AD291),5&lt;=C291-IF(S291="",0,1)),H291&amp;" ","")&amp;IF(AND(6&gt;=(IF(M291=1,2,1)+AD291),6&lt;=C291-IF(S291="",0,1)),I291&amp;" ","")&amp;IF(AND(7&gt;=(IF(M291=1,2,1)+AD291),7&lt;=C291-IF(S291="",0,1)),J291&amp;" ","")&amp;IF(AND(8&gt;=(IF(M291=1,2,1)+AD291),8&lt;=C291-IF(S291="",0,1)),K291&amp;" ","")))</f>
        <v/>
      </c>
      <c r="R291">
        <f>IF(Q291="","",IFERROR(INDEX(資格マスタ!$B:$B,MATCH(ASC(SUBSTITUTE(SUBSTITUTE(Q291," ",""),"　","")),資格マスタ!$D:$D,0)),Q291))</f>
        <v/>
      </c>
      <c r="S291" s="139">
        <f>IF(C291&lt;2,"",IFERROR(IF(OR(LEFT(INDEX(D291:K291,MIN(8,MAX(1,C291))),2)="令和",LEFT(INDEX(D291:K291,MIN(8,MAX(1,C291))),2)="平成",LEFT(INDEX(D291:K291,MIN(8,MAX(1,C291))),2)="昭和"),DATE(VALUE(MID(INDEX(D291:K291,MIN(8,MAX(1,C291))),3,FIND("年",INDEX(D291:K291,MIN(8,MAX(1,C291))))-3))+IF(LEFT(INDEX(D291:K291,MIN(8,MAX(1,C291))),2)="令和",2018,IF(LEFT(INDEX(D291:K291,MIN(8,MAX(1,C291))),2)="平成",1988,1925)),VALUE(MID(INDEX(D291:K291,MIN(8,MAX(1,C291))),FIND("年",INDEX(D291:K291,MIN(8,MAX(1,C291))))+1,FIND("月",INDEX(D291:K291,MIN(8,MAX(1,C291))))-FIND("年",INDEX(D291:K291,MIN(8,MAX(1,C291))))-1)),IFERROR(VALUE(SUBSTITUTE(MID(INDEX(D291:K291,MIN(8,MAX(1,C291))),FIND("月",INDEX(D291:K291,MIN(8,MAX(1,C291))))+1,10),"日","")),1)),DATE(VALUE(TRIM(MID(SUBSTITUTE(AA291,"/",REPT(" ",50)),1,50))),VALUE(TRIM(MID(SUBSTITUTE(AA291,"/",REPT(" ",50)),51,50))),IFERROR(VALUE(TRIM(MID(SUBSTITUTE(AA291,"/",REPT(" ",50)),101,50))),1))),IFERROR(DATEVALUE(INDEX(D291:K291,MIN(8,MAX(1,C291)))),"")))</f>
        <v/>
      </c>
      <c r="T291">
        <f>IF(B291="","",IF(AB291&lt;&gt;"",AB291,IFERROR(MATCH(SUBSTITUTE(SUBSTITUTE(P291," ",""),"　",""),入力!$AH$5:$AH$44,0),"")))</f>
        <v/>
      </c>
      <c r="U291">
        <f>IF(T291="","",INDEX(入力!$D$5:$D$44,T291))</f>
        <v/>
      </c>
      <c r="V291">
        <f>IF(B291="","",IF(T291="","要確認（名簿と照合できません）",IF(R291="","要確認（資格名がありません）",IF(S291="","要確認（取得日が読めません）",IF((IF(INDEX(入力!$N$5:$N$44,T291)=R291,1,0)+IF(INDEX(入力!$P$5:$P$44,T291)=R291,1,0)+IF(INDEX(入力!$R$5:$R$44,T291)=R291,1,0)+IF(INDEX(入力!$T$5:$T$44,T291)=R291,1,0)+IF(INDEX(入力!$V$5:$V$44,T291)=R291,1,0)+IF(INDEX(入力!$X$5:$X$44,T291)=R291,1,0))+(COUNTIFS($T$6:$T$405,T291,$R$6:$R$405,R291,$X$6:$X$405,"&lt;"&amp;X291))&gt;0,"重複","反映")))))</f>
        <v/>
      </c>
      <c r="W291">
        <f>IF(V291="反映",1,0)</f>
        <v/>
      </c>
      <c r="X291" t="n">
        <v>291</v>
      </c>
      <c r="Y291">
        <f>IF(W291=0,"",COUNTIFS($T$6:$T$405,T291,$W$6:$W$405,1,$S$6:$S$405,"&lt;"&amp;S291)+COUNTIFS($T$6:$T$405,T291,$W$6:$W$405,1,$S$6:$S$405,S291,$X$6:$X$405,"&lt;"&amp;X291)+1)</f>
        <v/>
      </c>
      <c r="Z291">
        <f>IF(Y291="","",T291&amp;"_"&amp;Y291)</f>
        <v/>
      </c>
      <c r="AA291">
        <f>SUBSTITUTE(SUBSTITUTE(SUBSTITUTE(SUBSTITUTE(SUBSTITUTE(INDEX(D291:K291,MIN(8,MAX(1,C291))),"年","/"),"月","/"),"日",""),"-","/"),".","/")</f>
        <v/>
      </c>
      <c r="AB291">
        <f>IFERROR(MATCH(O291,入力!$C$5:$C$44,0),"")</f>
        <v/>
      </c>
      <c r="AC291">
        <f>IF(AB291="","",INDEX(入力!$AH$5:$AH$44,AB291))</f>
        <v/>
      </c>
      <c r="AD291">
        <f>IF(INDEX($D291:$K291,IF(M291=1,2,1))=AC291,1,IF(INDEX($D291:$K291,IF(M291=1,2,1))&amp;INDEX($D291:$K291,IF(M291=1,2,1)+1)=AC291,2,IF(INDEX($D291:$K291,IF(M291=1,2,1))&amp;INDEX($D291:$K291,IF(M291=1,2,1)+1)&amp;INDEX($D291:$K291,IF(M291=1,2,1)+2)=AC291,3,IF(AB291&lt;&gt;"",2,IF(ISNUMBER(MATCH(INDEX($D291:$K291,IF(M291=1,2,1)),入力!$AH$5:$AH$44,0)),1,IF(ISNUMBER(MATCH(INDEX($D291:$K291,IF(M291=1,2,1))&amp;INDEX($D291:$K291,IF(M291=1,2,1)+1),入力!$AH$5:$AH$44,0)),2,IF(ISNUMBER(MATCH(INDEX($D291:$K291,IF(M291=1,2,1))&amp;INDEX($D291:$K291,IF(M291=1,2,1)+1)&amp;INDEX($D291:$K291,IF(M291=1,2,1)+2),入力!$AH$5:$AH$44,0)),3,2)))))))</f>
        <v/>
      </c>
      <c r="AE291">
        <f>IF(V291="","",IF(AND(V291="反映",N(Y291)&gt;20),"要確認（この生徒の取込が20件を超えました）",V291))</f>
        <v/>
      </c>
    </row>
    <row r="292">
      <c r="A292" s="138" t="n"/>
      <c r="B292">
        <f>TRIM(SUBSTITUTE(SUBSTITUTE(SUBSTITUTE(A292,CHAR(9)," "),"　"," "),CHAR(160)," "))</f>
        <v/>
      </c>
      <c r="C292">
        <f>IF(B292="",0,LEN(B292)-LEN(SUBSTITUTE(B292," ",""))+1)</f>
        <v/>
      </c>
      <c r="D292">
        <f>IF(C292&gt;=1,TRIM(MID(SUBSTITUTE(B292," ",REPT(" ",200)),1,200)),"")</f>
        <v/>
      </c>
      <c r="E292">
        <f>IF(C292&gt;=2,TRIM(MID(SUBSTITUTE(B292," ",REPT(" ",200)),201,200)),"")</f>
        <v/>
      </c>
      <c r="F292">
        <f>IF(C292&gt;=3,TRIM(MID(SUBSTITUTE(B292," ",REPT(" ",200)),401,200)),"")</f>
        <v/>
      </c>
      <c r="G292">
        <f>IF(C292&gt;=4,TRIM(MID(SUBSTITUTE(B292," ",REPT(" ",200)),601,200)),"")</f>
        <v/>
      </c>
      <c r="H292">
        <f>IF(C292&gt;=5,TRIM(MID(SUBSTITUTE(B292," ",REPT(" ",200)),801,200)),"")</f>
        <v/>
      </c>
      <c r="I292">
        <f>IF(C292&gt;=6,TRIM(MID(SUBSTITUTE(B292," ",REPT(" ",200)),1001,200)),"")</f>
        <v/>
      </c>
      <c r="J292">
        <f>IF(C292&gt;=7,TRIM(MID(SUBSTITUTE(B292," ",REPT(" ",200)),1201,200)),"")</f>
        <v/>
      </c>
      <c r="K292">
        <f>IF(C292&gt;=8,TRIM(MID(SUBSTITUTE(B292," ",REPT(" ",200)),1401,200)),"")</f>
        <v/>
      </c>
      <c r="L292">
        <f>SUBSTITUTE(SUBSTITUTE(SUBSTITUTE(D292,"年","-"),"組","-"),"番","")</f>
        <v/>
      </c>
      <c r="M292">
        <f>IF(D292="",0,IF(ISNUMBER(VALUE(SUBSTITUTE(L292,"-",""))),1,0))</f>
        <v/>
      </c>
      <c r="N292">
        <f>IF(M292=0,"",IFERROR(VALUE(TRIM(MID(SUBSTITUTE(L292,"-",REPT(" ",100)),101,100))),""))</f>
        <v/>
      </c>
      <c r="O292">
        <f>IF(M292=0,"",IFERROR(VALUE(TRIM(RIGHT(SUBSTITUTE(L292,"-",REPT(" ",100)),100))),""))</f>
        <v/>
      </c>
      <c r="P292">
        <f>IF(B292="","",TRIM(INDEX($D292:$K292,IF(M292=1,2,1))&amp;IF(AD292&gt;=2," "&amp;INDEX($D292:$K292,IF(M292=1,2,1)+1),"")&amp;IF(AD292&gt;=3," "&amp;INDEX($D292:$K292,IF(M292=1,2,1)+2),"")))</f>
        <v/>
      </c>
      <c r="Q292">
        <f>IF(C292&lt;2,"",TRIM(IF(AND(2&gt;=(IF(M292=1,2,1)+AD292),2&lt;=C292-IF(S292="",0,1)),E292&amp;" ","")&amp;IF(AND(3&gt;=(IF(M292=1,2,1)+AD292),3&lt;=C292-IF(S292="",0,1)),F292&amp;" ","")&amp;IF(AND(4&gt;=(IF(M292=1,2,1)+AD292),4&lt;=C292-IF(S292="",0,1)),G292&amp;" ","")&amp;IF(AND(5&gt;=(IF(M292=1,2,1)+AD292),5&lt;=C292-IF(S292="",0,1)),H292&amp;" ","")&amp;IF(AND(6&gt;=(IF(M292=1,2,1)+AD292),6&lt;=C292-IF(S292="",0,1)),I292&amp;" ","")&amp;IF(AND(7&gt;=(IF(M292=1,2,1)+AD292),7&lt;=C292-IF(S292="",0,1)),J292&amp;" ","")&amp;IF(AND(8&gt;=(IF(M292=1,2,1)+AD292),8&lt;=C292-IF(S292="",0,1)),K292&amp;" ","")))</f>
        <v/>
      </c>
      <c r="R292">
        <f>IF(Q292="","",IFERROR(INDEX(資格マスタ!$B:$B,MATCH(ASC(SUBSTITUTE(SUBSTITUTE(Q292," ",""),"　","")),資格マスタ!$D:$D,0)),Q292))</f>
        <v/>
      </c>
      <c r="S292" s="139">
        <f>IF(C292&lt;2,"",IFERROR(IF(OR(LEFT(INDEX(D292:K292,MIN(8,MAX(1,C292))),2)="令和",LEFT(INDEX(D292:K292,MIN(8,MAX(1,C292))),2)="平成",LEFT(INDEX(D292:K292,MIN(8,MAX(1,C292))),2)="昭和"),DATE(VALUE(MID(INDEX(D292:K292,MIN(8,MAX(1,C292))),3,FIND("年",INDEX(D292:K292,MIN(8,MAX(1,C292))))-3))+IF(LEFT(INDEX(D292:K292,MIN(8,MAX(1,C292))),2)="令和",2018,IF(LEFT(INDEX(D292:K292,MIN(8,MAX(1,C292))),2)="平成",1988,1925)),VALUE(MID(INDEX(D292:K292,MIN(8,MAX(1,C292))),FIND("年",INDEX(D292:K292,MIN(8,MAX(1,C292))))+1,FIND("月",INDEX(D292:K292,MIN(8,MAX(1,C292))))-FIND("年",INDEX(D292:K292,MIN(8,MAX(1,C292))))-1)),IFERROR(VALUE(SUBSTITUTE(MID(INDEX(D292:K292,MIN(8,MAX(1,C292))),FIND("月",INDEX(D292:K292,MIN(8,MAX(1,C292))))+1,10),"日","")),1)),DATE(VALUE(TRIM(MID(SUBSTITUTE(AA292,"/",REPT(" ",50)),1,50))),VALUE(TRIM(MID(SUBSTITUTE(AA292,"/",REPT(" ",50)),51,50))),IFERROR(VALUE(TRIM(MID(SUBSTITUTE(AA292,"/",REPT(" ",50)),101,50))),1))),IFERROR(DATEVALUE(INDEX(D292:K292,MIN(8,MAX(1,C292)))),"")))</f>
        <v/>
      </c>
      <c r="T292">
        <f>IF(B292="","",IF(AB292&lt;&gt;"",AB292,IFERROR(MATCH(SUBSTITUTE(SUBSTITUTE(P292," ",""),"　",""),入力!$AH$5:$AH$44,0),"")))</f>
        <v/>
      </c>
      <c r="U292">
        <f>IF(T292="","",INDEX(入力!$D$5:$D$44,T292))</f>
        <v/>
      </c>
      <c r="V292">
        <f>IF(B292="","",IF(T292="","要確認（名簿と照合できません）",IF(R292="","要確認（資格名がありません）",IF(S292="","要確認（取得日が読めません）",IF((IF(INDEX(入力!$N$5:$N$44,T292)=R292,1,0)+IF(INDEX(入力!$P$5:$P$44,T292)=R292,1,0)+IF(INDEX(入力!$R$5:$R$44,T292)=R292,1,0)+IF(INDEX(入力!$T$5:$T$44,T292)=R292,1,0)+IF(INDEX(入力!$V$5:$V$44,T292)=R292,1,0)+IF(INDEX(入力!$X$5:$X$44,T292)=R292,1,0))+(COUNTIFS($T$6:$T$405,T292,$R$6:$R$405,R292,$X$6:$X$405,"&lt;"&amp;X292))&gt;0,"重複","反映")))))</f>
        <v/>
      </c>
      <c r="W292">
        <f>IF(V292="反映",1,0)</f>
        <v/>
      </c>
      <c r="X292" t="n">
        <v>292</v>
      </c>
      <c r="Y292">
        <f>IF(W292=0,"",COUNTIFS($T$6:$T$405,T292,$W$6:$W$405,1,$S$6:$S$405,"&lt;"&amp;S292)+COUNTIFS($T$6:$T$405,T292,$W$6:$W$405,1,$S$6:$S$405,S292,$X$6:$X$405,"&lt;"&amp;X292)+1)</f>
        <v/>
      </c>
      <c r="Z292">
        <f>IF(Y292="","",T292&amp;"_"&amp;Y292)</f>
        <v/>
      </c>
      <c r="AA292">
        <f>SUBSTITUTE(SUBSTITUTE(SUBSTITUTE(SUBSTITUTE(SUBSTITUTE(INDEX(D292:K292,MIN(8,MAX(1,C292))),"年","/"),"月","/"),"日",""),"-","/"),".","/")</f>
        <v/>
      </c>
      <c r="AB292">
        <f>IFERROR(MATCH(O292,入力!$C$5:$C$44,0),"")</f>
        <v/>
      </c>
      <c r="AC292">
        <f>IF(AB292="","",INDEX(入力!$AH$5:$AH$44,AB292))</f>
        <v/>
      </c>
      <c r="AD292">
        <f>IF(INDEX($D292:$K292,IF(M292=1,2,1))=AC292,1,IF(INDEX($D292:$K292,IF(M292=1,2,1))&amp;INDEX($D292:$K292,IF(M292=1,2,1)+1)=AC292,2,IF(INDEX($D292:$K292,IF(M292=1,2,1))&amp;INDEX($D292:$K292,IF(M292=1,2,1)+1)&amp;INDEX($D292:$K292,IF(M292=1,2,1)+2)=AC292,3,IF(AB292&lt;&gt;"",2,IF(ISNUMBER(MATCH(INDEX($D292:$K292,IF(M292=1,2,1)),入力!$AH$5:$AH$44,0)),1,IF(ISNUMBER(MATCH(INDEX($D292:$K292,IF(M292=1,2,1))&amp;INDEX($D292:$K292,IF(M292=1,2,1)+1),入力!$AH$5:$AH$44,0)),2,IF(ISNUMBER(MATCH(INDEX($D292:$K292,IF(M292=1,2,1))&amp;INDEX($D292:$K292,IF(M292=1,2,1)+1)&amp;INDEX($D292:$K292,IF(M292=1,2,1)+2),入力!$AH$5:$AH$44,0)),3,2)))))))</f>
        <v/>
      </c>
      <c r="AE292">
        <f>IF(V292="","",IF(AND(V292="反映",N(Y292)&gt;20),"要確認（この生徒の取込が20件を超えました）",V292))</f>
        <v/>
      </c>
    </row>
    <row r="293">
      <c r="A293" s="138" t="n"/>
      <c r="B293">
        <f>TRIM(SUBSTITUTE(SUBSTITUTE(SUBSTITUTE(A293,CHAR(9)," "),"　"," "),CHAR(160)," "))</f>
        <v/>
      </c>
      <c r="C293">
        <f>IF(B293="",0,LEN(B293)-LEN(SUBSTITUTE(B293," ",""))+1)</f>
        <v/>
      </c>
      <c r="D293">
        <f>IF(C293&gt;=1,TRIM(MID(SUBSTITUTE(B293," ",REPT(" ",200)),1,200)),"")</f>
        <v/>
      </c>
      <c r="E293">
        <f>IF(C293&gt;=2,TRIM(MID(SUBSTITUTE(B293," ",REPT(" ",200)),201,200)),"")</f>
        <v/>
      </c>
      <c r="F293">
        <f>IF(C293&gt;=3,TRIM(MID(SUBSTITUTE(B293," ",REPT(" ",200)),401,200)),"")</f>
        <v/>
      </c>
      <c r="G293">
        <f>IF(C293&gt;=4,TRIM(MID(SUBSTITUTE(B293," ",REPT(" ",200)),601,200)),"")</f>
        <v/>
      </c>
      <c r="H293">
        <f>IF(C293&gt;=5,TRIM(MID(SUBSTITUTE(B293," ",REPT(" ",200)),801,200)),"")</f>
        <v/>
      </c>
      <c r="I293">
        <f>IF(C293&gt;=6,TRIM(MID(SUBSTITUTE(B293," ",REPT(" ",200)),1001,200)),"")</f>
        <v/>
      </c>
      <c r="J293">
        <f>IF(C293&gt;=7,TRIM(MID(SUBSTITUTE(B293," ",REPT(" ",200)),1201,200)),"")</f>
        <v/>
      </c>
      <c r="K293">
        <f>IF(C293&gt;=8,TRIM(MID(SUBSTITUTE(B293," ",REPT(" ",200)),1401,200)),"")</f>
        <v/>
      </c>
      <c r="L293">
        <f>SUBSTITUTE(SUBSTITUTE(SUBSTITUTE(D293,"年","-"),"組","-"),"番","")</f>
        <v/>
      </c>
      <c r="M293">
        <f>IF(D293="",0,IF(ISNUMBER(VALUE(SUBSTITUTE(L293,"-",""))),1,0))</f>
        <v/>
      </c>
      <c r="N293">
        <f>IF(M293=0,"",IFERROR(VALUE(TRIM(MID(SUBSTITUTE(L293,"-",REPT(" ",100)),101,100))),""))</f>
        <v/>
      </c>
      <c r="O293">
        <f>IF(M293=0,"",IFERROR(VALUE(TRIM(RIGHT(SUBSTITUTE(L293,"-",REPT(" ",100)),100))),""))</f>
        <v/>
      </c>
      <c r="P293">
        <f>IF(B293="","",TRIM(INDEX($D293:$K293,IF(M293=1,2,1))&amp;IF(AD293&gt;=2," "&amp;INDEX($D293:$K293,IF(M293=1,2,1)+1),"")&amp;IF(AD293&gt;=3," "&amp;INDEX($D293:$K293,IF(M293=1,2,1)+2),"")))</f>
        <v/>
      </c>
      <c r="Q293">
        <f>IF(C293&lt;2,"",TRIM(IF(AND(2&gt;=(IF(M293=1,2,1)+AD293),2&lt;=C293-IF(S293="",0,1)),E293&amp;" ","")&amp;IF(AND(3&gt;=(IF(M293=1,2,1)+AD293),3&lt;=C293-IF(S293="",0,1)),F293&amp;" ","")&amp;IF(AND(4&gt;=(IF(M293=1,2,1)+AD293),4&lt;=C293-IF(S293="",0,1)),G293&amp;" ","")&amp;IF(AND(5&gt;=(IF(M293=1,2,1)+AD293),5&lt;=C293-IF(S293="",0,1)),H293&amp;" ","")&amp;IF(AND(6&gt;=(IF(M293=1,2,1)+AD293),6&lt;=C293-IF(S293="",0,1)),I293&amp;" ","")&amp;IF(AND(7&gt;=(IF(M293=1,2,1)+AD293),7&lt;=C293-IF(S293="",0,1)),J293&amp;" ","")&amp;IF(AND(8&gt;=(IF(M293=1,2,1)+AD293),8&lt;=C293-IF(S293="",0,1)),K293&amp;" ","")))</f>
        <v/>
      </c>
      <c r="R293">
        <f>IF(Q293="","",IFERROR(INDEX(資格マスタ!$B:$B,MATCH(ASC(SUBSTITUTE(SUBSTITUTE(Q293," ",""),"　","")),資格マスタ!$D:$D,0)),Q293))</f>
        <v/>
      </c>
      <c r="S293" s="139">
        <f>IF(C293&lt;2,"",IFERROR(IF(OR(LEFT(INDEX(D293:K293,MIN(8,MAX(1,C293))),2)="令和",LEFT(INDEX(D293:K293,MIN(8,MAX(1,C293))),2)="平成",LEFT(INDEX(D293:K293,MIN(8,MAX(1,C293))),2)="昭和"),DATE(VALUE(MID(INDEX(D293:K293,MIN(8,MAX(1,C293))),3,FIND("年",INDEX(D293:K293,MIN(8,MAX(1,C293))))-3))+IF(LEFT(INDEX(D293:K293,MIN(8,MAX(1,C293))),2)="令和",2018,IF(LEFT(INDEX(D293:K293,MIN(8,MAX(1,C293))),2)="平成",1988,1925)),VALUE(MID(INDEX(D293:K293,MIN(8,MAX(1,C293))),FIND("年",INDEX(D293:K293,MIN(8,MAX(1,C293))))+1,FIND("月",INDEX(D293:K293,MIN(8,MAX(1,C293))))-FIND("年",INDEX(D293:K293,MIN(8,MAX(1,C293))))-1)),IFERROR(VALUE(SUBSTITUTE(MID(INDEX(D293:K293,MIN(8,MAX(1,C293))),FIND("月",INDEX(D293:K293,MIN(8,MAX(1,C293))))+1,10),"日","")),1)),DATE(VALUE(TRIM(MID(SUBSTITUTE(AA293,"/",REPT(" ",50)),1,50))),VALUE(TRIM(MID(SUBSTITUTE(AA293,"/",REPT(" ",50)),51,50))),IFERROR(VALUE(TRIM(MID(SUBSTITUTE(AA293,"/",REPT(" ",50)),101,50))),1))),IFERROR(DATEVALUE(INDEX(D293:K293,MIN(8,MAX(1,C293)))),"")))</f>
        <v/>
      </c>
      <c r="T293">
        <f>IF(B293="","",IF(AB293&lt;&gt;"",AB293,IFERROR(MATCH(SUBSTITUTE(SUBSTITUTE(P293," ",""),"　",""),入力!$AH$5:$AH$44,0),"")))</f>
        <v/>
      </c>
      <c r="U293">
        <f>IF(T293="","",INDEX(入力!$D$5:$D$44,T293))</f>
        <v/>
      </c>
      <c r="V293">
        <f>IF(B293="","",IF(T293="","要確認（名簿と照合できません）",IF(R293="","要確認（資格名がありません）",IF(S293="","要確認（取得日が読めません）",IF((IF(INDEX(入力!$N$5:$N$44,T293)=R293,1,0)+IF(INDEX(入力!$P$5:$P$44,T293)=R293,1,0)+IF(INDEX(入力!$R$5:$R$44,T293)=R293,1,0)+IF(INDEX(入力!$T$5:$T$44,T293)=R293,1,0)+IF(INDEX(入力!$V$5:$V$44,T293)=R293,1,0)+IF(INDEX(入力!$X$5:$X$44,T293)=R293,1,0))+(COUNTIFS($T$6:$T$405,T293,$R$6:$R$405,R293,$X$6:$X$405,"&lt;"&amp;X293))&gt;0,"重複","反映")))))</f>
        <v/>
      </c>
      <c r="W293">
        <f>IF(V293="反映",1,0)</f>
        <v/>
      </c>
      <c r="X293" t="n">
        <v>293</v>
      </c>
      <c r="Y293">
        <f>IF(W293=0,"",COUNTIFS($T$6:$T$405,T293,$W$6:$W$405,1,$S$6:$S$405,"&lt;"&amp;S293)+COUNTIFS($T$6:$T$405,T293,$W$6:$W$405,1,$S$6:$S$405,S293,$X$6:$X$405,"&lt;"&amp;X293)+1)</f>
        <v/>
      </c>
      <c r="Z293">
        <f>IF(Y293="","",T293&amp;"_"&amp;Y293)</f>
        <v/>
      </c>
      <c r="AA293">
        <f>SUBSTITUTE(SUBSTITUTE(SUBSTITUTE(SUBSTITUTE(SUBSTITUTE(INDEX(D293:K293,MIN(8,MAX(1,C293))),"年","/"),"月","/"),"日",""),"-","/"),".","/")</f>
        <v/>
      </c>
      <c r="AB293">
        <f>IFERROR(MATCH(O293,入力!$C$5:$C$44,0),"")</f>
        <v/>
      </c>
      <c r="AC293">
        <f>IF(AB293="","",INDEX(入力!$AH$5:$AH$44,AB293))</f>
        <v/>
      </c>
      <c r="AD293">
        <f>IF(INDEX($D293:$K293,IF(M293=1,2,1))=AC293,1,IF(INDEX($D293:$K293,IF(M293=1,2,1))&amp;INDEX($D293:$K293,IF(M293=1,2,1)+1)=AC293,2,IF(INDEX($D293:$K293,IF(M293=1,2,1))&amp;INDEX($D293:$K293,IF(M293=1,2,1)+1)&amp;INDEX($D293:$K293,IF(M293=1,2,1)+2)=AC293,3,IF(AB293&lt;&gt;"",2,IF(ISNUMBER(MATCH(INDEX($D293:$K293,IF(M293=1,2,1)),入力!$AH$5:$AH$44,0)),1,IF(ISNUMBER(MATCH(INDEX($D293:$K293,IF(M293=1,2,1))&amp;INDEX($D293:$K293,IF(M293=1,2,1)+1),入力!$AH$5:$AH$44,0)),2,IF(ISNUMBER(MATCH(INDEX($D293:$K293,IF(M293=1,2,1))&amp;INDEX($D293:$K293,IF(M293=1,2,1)+1)&amp;INDEX($D293:$K293,IF(M293=1,2,1)+2),入力!$AH$5:$AH$44,0)),3,2)))))))</f>
        <v/>
      </c>
      <c r="AE293">
        <f>IF(V293="","",IF(AND(V293="反映",N(Y293)&gt;20),"要確認（この生徒の取込が20件を超えました）",V293))</f>
        <v/>
      </c>
    </row>
    <row r="294">
      <c r="A294" s="138" t="n"/>
      <c r="B294">
        <f>TRIM(SUBSTITUTE(SUBSTITUTE(SUBSTITUTE(A294,CHAR(9)," "),"　"," "),CHAR(160)," "))</f>
        <v/>
      </c>
      <c r="C294">
        <f>IF(B294="",0,LEN(B294)-LEN(SUBSTITUTE(B294," ",""))+1)</f>
        <v/>
      </c>
      <c r="D294">
        <f>IF(C294&gt;=1,TRIM(MID(SUBSTITUTE(B294," ",REPT(" ",200)),1,200)),"")</f>
        <v/>
      </c>
      <c r="E294">
        <f>IF(C294&gt;=2,TRIM(MID(SUBSTITUTE(B294," ",REPT(" ",200)),201,200)),"")</f>
        <v/>
      </c>
      <c r="F294">
        <f>IF(C294&gt;=3,TRIM(MID(SUBSTITUTE(B294," ",REPT(" ",200)),401,200)),"")</f>
        <v/>
      </c>
      <c r="G294">
        <f>IF(C294&gt;=4,TRIM(MID(SUBSTITUTE(B294," ",REPT(" ",200)),601,200)),"")</f>
        <v/>
      </c>
      <c r="H294">
        <f>IF(C294&gt;=5,TRIM(MID(SUBSTITUTE(B294," ",REPT(" ",200)),801,200)),"")</f>
        <v/>
      </c>
      <c r="I294">
        <f>IF(C294&gt;=6,TRIM(MID(SUBSTITUTE(B294," ",REPT(" ",200)),1001,200)),"")</f>
        <v/>
      </c>
      <c r="J294">
        <f>IF(C294&gt;=7,TRIM(MID(SUBSTITUTE(B294," ",REPT(" ",200)),1201,200)),"")</f>
        <v/>
      </c>
      <c r="K294">
        <f>IF(C294&gt;=8,TRIM(MID(SUBSTITUTE(B294," ",REPT(" ",200)),1401,200)),"")</f>
        <v/>
      </c>
      <c r="L294">
        <f>SUBSTITUTE(SUBSTITUTE(SUBSTITUTE(D294,"年","-"),"組","-"),"番","")</f>
        <v/>
      </c>
      <c r="M294">
        <f>IF(D294="",0,IF(ISNUMBER(VALUE(SUBSTITUTE(L294,"-",""))),1,0))</f>
        <v/>
      </c>
      <c r="N294">
        <f>IF(M294=0,"",IFERROR(VALUE(TRIM(MID(SUBSTITUTE(L294,"-",REPT(" ",100)),101,100))),""))</f>
        <v/>
      </c>
      <c r="O294">
        <f>IF(M294=0,"",IFERROR(VALUE(TRIM(RIGHT(SUBSTITUTE(L294,"-",REPT(" ",100)),100))),""))</f>
        <v/>
      </c>
      <c r="P294">
        <f>IF(B294="","",TRIM(INDEX($D294:$K294,IF(M294=1,2,1))&amp;IF(AD294&gt;=2," "&amp;INDEX($D294:$K294,IF(M294=1,2,1)+1),"")&amp;IF(AD294&gt;=3," "&amp;INDEX($D294:$K294,IF(M294=1,2,1)+2),"")))</f>
        <v/>
      </c>
      <c r="Q294">
        <f>IF(C294&lt;2,"",TRIM(IF(AND(2&gt;=(IF(M294=1,2,1)+AD294),2&lt;=C294-IF(S294="",0,1)),E294&amp;" ","")&amp;IF(AND(3&gt;=(IF(M294=1,2,1)+AD294),3&lt;=C294-IF(S294="",0,1)),F294&amp;" ","")&amp;IF(AND(4&gt;=(IF(M294=1,2,1)+AD294),4&lt;=C294-IF(S294="",0,1)),G294&amp;" ","")&amp;IF(AND(5&gt;=(IF(M294=1,2,1)+AD294),5&lt;=C294-IF(S294="",0,1)),H294&amp;" ","")&amp;IF(AND(6&gt;=(IF(M294=1,2,1)+AD294),6&lt;=C294-IF(S294="",0,1)),I294&amp;" ","")&amp;IF(AND(7&gt;=(IF(M294=1,2,1)+AD294),7&lt;=C294-IF(S294="",0,1)),J294&amp;" ","")&amp;IF(AND(8&gt;=(IF(M294=1,2,1)+AD294),8&lt;=C294-IF(S294="",0,1)),K294&amp;" ","")))</f>
        <v/>
      </c>
      <c r="R294">
        <f>IF(Q294="","",IFERROR(INDEX(資格マスタ!$B:$B,MATCH(ASC(SUBSTITUTE(SUBSTITUTE(Q294," ",""),"　","")),資格マスタ!$D:$D,0)),Q294))</f>
        <v/>
      </c>
      <c r="S294" s="139">
        <f>IF(C294&lt;2,"",IFERROR(IF(OR(LEFT(INDEX(D294:K294,MIN(8,MAX(1,C294))),2)="令和",LEFT(INDEX(D294:K294,MIN(8,MAX(1,C294))),2)="平成",LEFT(INDEX(D294:K294,MIN(8,MAX(1,C294))),2)="昭和"),DATE(VALUE(MID(INDEX(D294:K294,MIN(8,MAX(1,C294))),3,FIND("年",INDEX(D294:K294,MIN(8,MAX(1,C294))))-3))+IF(LEFT(INDEX(D294:K294,MIN(8,MAX(1,C294))),2)="令和",2018,IF(LEFT(INDEX(D294:K294,MIN(8,MAX(1,C294))),2)="平成",1988,1925)),VALUE(MID(INDEX(D294:K294,MIN(8,MAX(1,C294))),FIND("年",INDEX(D294:K294,MIN(8,MAX(1,C294))))+1,FIND("月",INDEX(D294:K294,MIN(8,MAX(1,C294))))-FIND("年",INDEX(D294:K294,MIN(8,MAX(1,C294))))-1)),IFERROR(VALUE(SUBSTITUTE(MID(INDEX(D294:K294,MIN(8,MAX(1,C294))),FIND("月",INDEX(D294:K294,MIN(8,MAX(1,C294))))+1,10),"日","")),1)),DATE(VALUE(TRIM(MID(SUBSTITUTE(AA294,"/",REPT(" ",50)),1,50))),VALUE(TRIM(MID(SUBSTITUTE(AA294,"/",REPT(" ",50)),51,50))),IFERROR(VALUE(TRIM(MID(SUBSTITUTE(AA294,"/",REPT(" ",50)),101,50))),1))),IFERROR(DATEVALUE(INDEX(D294:K294,MIN(8,MAX(1,C294)))),"")))</f>
        <v/>
      </c>
      <c r="T294">
        <f>IF(B294="","",IF(AB294&lt;&gt;"",AB294,IFERROR(MATCH(SUBSTITUTE(SUBSTITUTE(P294," ",""),"　",""),入力!$AH$5:$AH$44,0),"")))</f>
        <v/>
      </c>
      <c r="U294">
        <f>IF(T294="","",INDEX(入力!$D$5:$D$44,T294))</f>
        <v/>
      </c>
      <c r="V294">
        <f>IF(B294="","",IF(T294="","要確認（名簿と照合できません）",IF(R294="","要確認（資格名がありません）",IF(S294="","要確認（取得日が読めません）",IF((IF(INDEX(入力!$N$5:$N$44,T294)=R294,1,0)+IF(INDEX(入力!$P$5:$P$44,T294)=R294,1,0)+IF(INDEX(入力!$R$5:$R$44,T294)=R294,1,0)+IF(INDEX(入力!$T$5:$T$44,T294)=R294,1,0)+IF(INDEX(入力!$V$5:$V$44,T294)=R294,1,0)+IF(INDEX(入力!$X$5:$X$44,T294)=R294,1,0))+(COUNTIFS($T$6:$T$405,T294,$R$6:$R$405,R294,$X$6:$X$405,"&lt;"&amp;X294))&gt;0,"重複","反映")))))</f>
        <v/>
      </c>
      <c r="W294">
        <f>IF(V294="反映",1,0)</f>
        <v/>
      </c>
      <c r="X294" t="n">
        <v>294</v>
      </c>
      <c r="Y294">
        <f>IF(W294=0,"",COUNTIFS($T$6:$T$405,T294,$W$6:$W$405,1,$S$6:$S$405,"&lt;"&amp;S294)+COUNTIFS($T$6:$T$405,T294,$W$6:$W$405,1,$S$6:$S$405,S294,$X$6:$X$405,"&lt;"&amp;X294)+1)</f>
        <v/>
      </c>
      <c r="Z294">
        <f>IF(Y294="","",T294&amp;"_"&amp;Y294)</f>
        <v/>
      </c>
      <c r="AA294">
        <f>SUBSTITUTE(SUBSTITUTE(SUBSTITUTE(SUBSTITUTE(SUBSTITUTE(INDEX(D294:K294,MIN(8,MAX(1,C294))),"年","/"),"月","/"),"日",""),"-","/"),".","/")</f>
        <v/>
      </c>
      <c r="AB294">
        <f>IFERROR(MATCH(O294,入力!$C$5:$C$44,0),"")</f>
        <v/>
      </c>
      <c r="AC294">
        <f>IF(AB294="","",INDEX(入力!$AH$5:$AH$44,AB294))</f>
        <v/>
      </c>
      <c r="AD294">
        <f>IF(INDEX($D294:$K294,IF(M294=1,2,1))=AC294,1,IF(INDEX($D294:$K294,IF(M294=1,2,1))&amp;INDEX($D294:$K294,IF(M294=1,2,1)+1)=AC294,2,IF(INDEX($D294:$K294,IF(M294=1,2,1))&amp;INDEX($D294:$K294,IF(M294=1,2,1)+1)&amp;INDEX($D294:$K294,IF(M294=1,2,1)+2)=AC294,3,IF(AB294&lt;&gt;"",2,IF(ISNUMBER(MATCH(INDEX($D294:$K294,IF(M294=1,2,1)),入力!$AH$5:$AH$44,0)),1,IF(ISNUMBER(MATCH(INDEX($D294:$K294,IF(M294=1,2,1))&amp;INDEX($D294:$K294,IF(M294=1,2,1)+1),入力!$AH$5:$AH$44,0)),2,IF(ISNUMBER(MATCH(INDEX($D294:$K294,IF(M294=1,2,1))&amp;INDEX($D294:$K294,IF(M294=1,2,1)+1)&amp;INDEX($D294:$K294,IF(M294=1,2,1)+2),入力!$AH$5:$AH$44,0)),3,2)))))))</f>
        <v/>
      </c>
      <c r="AE294">
        <f>IF(V294="","",IF(AND(V294="反映",N(Y294)&gt;20),"要確認（この生徒の取込が20件を超えました）",V294))</f>
        <v/>
      </c>
    </row>
    <row r="295">
      <c r="A295" s="138" t="n"/>
      <c r="B295">
        <f>TRIM(SUBSTITUTE(SUBSTITUTE(SUBSTITUTE(A295,CHAR(9)," "),"　"," "),CHAR(160)," "))</f>
        <v/>
      </c>
      <c r="C295">
        <f>IF(B295="",0,LEN(B295)-LEN(SUBSTITUTE(B295," ",""))+1)</f>
        <v/>
      </c>
      <c r="D295">
        <f>IF(C295&gt;=1,TRIM(MID(SUBSTITUTE(B295," ",REPT(" ",200)),1,200)),"")</f>
        <v/>
      </c>
      <c r="E295">
        <f>IF(C295&gt;=2,TRIM(MID(SUBSTITUTE(B295," ",REPT(" ",200)),201,200)),"")</f>
        <v/>
      </c>
      <c r="F295">
        <f>IF(C295&gt;=3,TRIM(MID(SUBSTITUTE(B295," ",REPT(" ",200)),401,200)),"")</f>
        <v/>
      </c>
      <c r="G295">
        <f>IF(C295&gt;=4,TRIM(MID(SUBSTITUTE(B295," ",REPT(" ",200)),601,200)),"")</f>
        <v/>
      </c>
      <c r="H295">
        <f>IF(C295&gt;=5,TRIM(MID(SUBSTITUTE(B295," ",REPT(" ",200)),801,200)),"")</f>
        <v/>
      </c>
      <c r="I295">
        <f>IF(C295&gt;=6,TRIM(MID(SUBSTITUTE(B295," ",REPT(" ",200)),1001,200)),"")</f>
        <v/>
      </c>
      <c r="J295">
        <f>IF(C295&gt;=7,TRIM(MID(SUBSTITUTE(B295," ",REPT(" ",200)),1201,200)),"")</f>
        <v/>
      </c>
      <c r="K295">
        <f>IF(C295&gt;=8,TRIM(MID(SUBSTITUTE(B295," ",REPT(" ",200)),1401,200)),"")</f>
        <v/>
      </c>
      <c r="L295">
        <f>SUBSTITUTE(SUBSTITUTE(SUBSTITUTE(D295,"年","-"),"組","-"),"番","")</f>
        <v/>
      </c>
      <c r="M295">
        <f>IF(D295="",0,IF(ISNUMBER(VALUE(SUBSTITUTE(L295,"-",""))),1,0))</f>
        <v/>
      </c>
      <c r="N295">
        <f>IF(M295=0,"",IFERROR(VALUE(TRIM(MID(SUBSTITUTE(L295,"-",REPT(" ",100)),101,100))),""))</f>
        <v/>
      </c>
      <c r="O295">
        <f>IF(M295=0,"",IFERROR(VALUE(TRIM(RIGHT(SUBSTITUTE(L295,"-",REPT(" ",100)),100))),""))</f>
        <v/>
      </c>
      <c r="P295">
        <f>IF(B295="","",TRIM(INDEX($D295:$K295,IF(M295=1,2,1))&amp;IF(AD295&gt;=2," "&amp;INDEX($D295:$K295,IF(M295=1,2,1)+1),"")&amp;IF(AD295&gt;=3," "&amp;INDEX($D295:$K295,IF(M295=1,2,1)+2),"")))</f>
        <v/>
      </c>
      <c r="Q295">
        <f>IF(C295&lt;2,"",TRIM(IF(AND(2&gt;=(IF(M295=1,2,1)+AD295),2&lt;=C295-IF(S295="",0,1)),E295&amp;" ","")&amp;IF(AND(3&gt;=(IF(M295=1,2,1)+AD295),3&lt;=C295-IF(S295="",0,1)),F295&amp;" ","")&amp;IF(AND(4&gt;=(IF(M295=1,2,1)+AD295),4&lt;=C295-IF(S295="",0,1)),G295&amp;" ","")&amp;IF(AND(5&gt;=(IF(M295=1,2,1)+AD295),5&lt;=C295-IF(S295="",0,1)),H295&amp;" ","")&amp;IF(AND(6&gt;=(IF(M295=1,2,1)+AD295),6&lt;=C295-IF(S295="",0,1)),I295&amp;" ","")&amp;IF(AND(7&gt;=(IF(M295=1,2,1)+AD295),7&lt;=C295-IF(S295="",0,1)),J295&amp;" ","")&amp;IF(AND(8&gt;=(IF(M295=1,2,1)+AD295),8&lt;=C295-IF(S295="",0,1)),K295&amp;" ","")))</f>
        <v/>
      </c>
      <c r="R295">
        <f>IF(Q295="","",IFERROR(INDEX(資格マスタ!$B:$B,MATCH(ASC(SUBSTITUTE(SUBSTITUTE(Q295," ",""),"　","")),資格マスタ!$D:$D,0)),Q295))</f>
        <v/>
      </c>
      <c r="S295" s="139">
        <f>IF(C295&lt;2,"",IFERROR(IF(OR(LEFT(INDEX(D295:K295,MIN(8,MAX(1,C295))),2)="令和",LEFT(INDEX(D295:K295,MIN(8,MAX(1,C295))),2)="平成",LEFT(INDEX(D295:K295,MIN(8,MAX(1,C295))),2)="昭和"),DATE(VALUE(MID(INDEX(D295:K295,MIN(8,MAX(1,C295))),3,FIND("年",INDEX(D295:K295,MIN(8,MAX(1,C295))))-3))+IF(LEFT(INDEX(D295:K295,MIN(8,MAX(1,C295))),2)="令和",2018,IF(LEFT(INDEX(D295:K295,MIN(8,MAX(1,C295))),2)="平成",1988,1925)),VALUE(MID(INDEX(D295:K295,MIN(8,MAX(1,C295))),FIND("年",INDEX(D295:K295,MIN(8,MAX(1,C295))))+1,FIND("月",INDEX(D295:K295,MIN(8,MAX(1,C295))))-FIND("年",INDEX(D295:K295,MIN(8,MAX(1,C295))))-1)),IFERROR(VALUE(SUBSTITUTE(MID(INDEX(D295:K295,MIN(8,MAX(1,C295))),FIND("月",INDEX(D295:K295,MIN(8,MAX(1,C295))))+1,10),"日","")),1)),DATE(VALUE(TRIM(MID(SUBSTITUTE(AA295,"/",REPT(" ",50)),1,50))),VALUE(TRIM(MID(SUBSTITUTE(AA295,"/",REPT(" ",50)),51,50))),IFERROR(VALUE(TRIM(MID(SUBSTITUTE(AA295,"/",REPT(" ",50)),101,50))),1))),IFERROR(DATEVALUE(INDEX(D295:K295,MIN(8,MAX(1,C295)))),"")))</f>
        <v/>
      </c>
      <c r="T295">
        <f>IF(B295="","",IF(AB295&lt;&gt;"",AB295,IFERROR(MATCH(SUBSTITUTE(SUBSTITUTE(P295," ",""),"　",""),入力!$AH$5:$AH$44,0),"")))</f>
        <v/>
      </c>
      <c r="U295">
        <f>IF(T295="","",INDEX(入力!$D$5:$D$44,T295))</f>
        <v/>
      </c>
      <c r="V295">
        <f>IF(B295="","",IF(T295="","要確認（名簿と照合できません）",IF(R295="","要確認（資格名がありません）",IF(S295="","要確認（取得日が読めません）",IF((IF(INDEX(入力!$N$5:$N$44,T295)=R295,1,0)+IF(INDEX(入力!$P$5:$P$44,T295)=R295,1,0)+IF(INDEX(入力!$R$5:$R$44,T295)=R295,1,0)+IF(INDEX(入力!$T$5:$T$44,T295)=R295,1,0)+IF(INDEX(入力!$V$5:$V$44,T295)=R295,1,0)+IF(INDEX(入力!$X$5:$X$44,T295)=R295,1,0))+(COUNTIFS($T$6:$T$405,T295,$R$6:$R$405,R295,$X$6:$X$405,"&lt;"&amp;X295))&gt;0,"重複","反映")))))</f>
        <v/>
      </c>
      <c r="W295">
        <f>IF(V295="反映",1,0)</f>
        <v/>
      </c>
      <c r="X295" t="n">
        <v>295</v>
      </c>
      <c r="Y295">
        <f>IF(W295=0,"",COUNTIFS($T$6:$T$405,T295,$W$6:$W$405,1,$S$6:$S$405,"&lt;"&amp;S295)+COUNTIFS($T$6:$T$405,T295,$W$6:$W$405,1,$S$6:$S$405,S295,$X$6:$X$405,"&lt;"&amp;X295)+1)</f>
        <v/>
      </c>
      <c r="Z295">
        <f>IF(Y295="","",T295&amp;"_"&amp;Y295)</f>
        <v/>
      </c>
      <c r="AA295">
        <f>SUBSTITUTE(SUBSTITUTE(SUBSTITUTE(SUBSTITUTE(SUBSTITUTE(INDEX(D295:K295,MIN(8,MAX(1,C295))),"年","/"),"月","/"),"日",""),"-","/"),".","/")</f>
        <v/>
      </c>
      <c r="AB295">
        <f>IFERROR(MATCH(O295,入力!$C$5:$C$44,0),"")</f>
        <v/>
      </c>
      <c r="AC295">
        <f>IF(AB295="","",INDEX(入力!$AH$5:$AH$44,AB295))</f>
        <v/>
      </c>
      <c r="AD295">
        <f>IF(INDEX($D295:$K295,IF(M295=1,2,1))=AC295,1,IF(INDEX($D295:$K295,IF(M295=1,2,1))&amp;INDEX($D295:$K295,IF(M295=1,2,1)+1)=AC295,2,IF(INDEX($D295:$K295,IF(M295=1,2,1))&amp;INDEX($D295:$K295,IF(M295=1,2,1)+1)&amp;INDEX($D295:$K295,IF(M295=1,2,1)+2)=AC295,3,IF(AB295&lt;&gt;"",2,IF(ISNUMBER(MATCH(INDEX($D295:$K295,IF(M295=1,2,1)),入力!$AH$5:$AH$44,0)),1,IF(ISNUMBER(MATCH(INDEX($D295:$K295,IF(M295=1,2,1))&amp;INDEX($D295:$K295,IF(M295=1,2,1)+1),入力!$AH$5:$AH$44,0)),2,IF(ISNUMBER(MATCH(INDEX($D295:$K295,IF(M295=1,2,1))&amp;INDEX($D295:$K295,IF(M295=1,2,1)+1)&amp;INDEX($D295:$K295,IF(M295=1,2,1)+2),入力!$AH$5:$AH$44,0)),3,2)))))))</f>
        <v/>
      </c>
      <c r="AE295">
        <f>IF(V295="","",IF(AND(V295="反映",N(Y295)&gt;20),"要確認（この生徒の取込が20件を超えました）",V295))</f>
        <v/>
      </c>
    </row>
    <row r="296">
      <c r="A296" s="138" t="n"/>
      <c r="B296">
        <f>TRIM(SUBSTITUTE(SUBSTITUTE(SUBSTITUTE(A296,CHAR(9)," "),"　"," "),CHAR(160)," "))</f>
        <v/>
      </c>
      <c r="C296">
        <f>IF(B296="",0,LEN(B296)-LEN(SUBSTITUTE(B296," ",""))+1)</f>
        <v/>
      </c>
      <c r="D296">
        <f>IF(C296&gt;=1,TRIM(MID(SUBSTITUTE(B296," ",REPT(" ",200)),1,200)),"")</f>
        <v/>
      </c>
      <c r="E296">
        <f>IF(C296&gt;=2,TRIM(MID(SUBSTITUTE(B296," ",REPT(" ",200)),201,200)),"")</f>
        <v/>
      </c>
      <c r="F296">
        <f>IF(C296&gt;=3,TRIM(MID(SUBSTITUTE(B296," ",REPT(" ",200)),401,200)),"")</f>
        <v/>
      </c>
      <c r="G296">
        <f>IF(C296&gt;=4,TRIM(MID(SUBSTITUTE(B296," ",REPT(" ",200)),601,200)),"")</f>
        <v/>
      </c>
      <c r="H296">
        <f>IF(C296&gt;=5,TRIM(MID(SUBSTITUTE(B296," ",REPT(" ",200)),801,200)),"")</f>
        <v/>
      </c>
      <c r="I296">
        <f>IF(C296&gt;=6,TRIM(MID(SUBSTITUTE(B296," ",REPT(" ",200)),1001,200)),"")</f>
        <v/>
      </c>
      <c r="J296">
        <f>IF(C296&gt;=7,TRIM(MID(SUBSTITUTE(B296," ",REPT(" ",200)),1201,200)),"")</f>
        <v/>
      </c>
      <c r="K296">
        <f>IF(C296&gt;=8,TRIM(MID(SUBSTITUTE(B296," ",REPT(" ",200)),1401,200)),"")</f>
        <v/>
      </c>
      <c r="L296">
        <f>SUBSTITUTE(SUBSTITUTE(SUBSTITUTE(D296,"年","-"),"組","-"),"番","")</f>
        <v/>
      </c>
      <c r="M296">
        <f>IF(D296="",0,IF(ISNUMBER(VALUE(SUBSTITUTE(L296,"-",""))),1,0))</f>
        <v/>
      </c>
      <c r="N296">
        <f>IF(M296=0,"",IFERROR(VALUE(TRIM(MID(SUBSTITUTE(L296,"-",REPT(" ",100)),101,100))),""))</f>
        <v/>
      </c>
      <c r="O296">
        <f>IF(M296=0,"",IFERROR(VALUE(TRIM(RIGHT(SUBSTITUTE(L296,"-",REPT(" ",100)),100))),""))</f>
        <v/>
      </c>
      <c r="P296">
        <f>IF(B296="","",TRIM(INDEX($D296:$K296,IF(M296=1,2,1))&amp;IF(AD296&gt;=2," "&amp;INDEX($D296:$K296,IF(M296=1,2,1)+1),"")&amp;IF(AD296&gt;=3," "&amp;INDEX($D296:$K296,IF(M296=1,2,1)+2),"")))</f>
        <v/>
      </c>
      <c r="Q296">
        <f>IF(C296&lt;2,"",TRIM(IF(AND(2&gt;=(IF(M296=1,2,1)+AD296),2&lt;=C296-IF(S296="",0,1)),E296&amp;" ","")&amp;IF(AND(3&gt;=(IF(M296=1,2,1)+AD296),3&lt;=C296-IF(S296="",0,1)),F296&amp;" ","")&amp;IF(AND(4&gt;=(IF(M296=1,2,1)+AD296),4&lt;=C296-IF(S296="",0,1)),G296&amp;" ","")&amp;IF(AND(5&gt;=(IF(M296=1,2,1)+AD296),5&lt;=C296-IF(S296="",0,1)),H296&amp;" ","")&amp;IF(AND(6&gt;=(IF(M296=1,2,1)+AD296),6&lt;=C296-IF(S296="",0,1)),I296&amp;" ","")&amp;IF(AND(7&gt;=(IF(M296=1,2,1)+AD296),7&lt;=C296-IF(S296="",0,1)),J296&amp;" ","")&amp;IF(AND(8&gt;=(IF(M296=1,2,1)+AD296),8&lt;=C296-IF(S296="",0,1)),K296&amp;" ","")))</f>
        <v/>
      </c>
      <c r="R296">
        <f>IF(Q296="","",IFERROR(INDEX(資格マスタ!$B:$B,MATCH(ASC(SUBSTITUTE(SUBSTITUTE(Q296," ",""),"　","")),資格マスタ!$D:$D,0)),Q296))</f>
        <v/>
      </c>
      <c r="S296" s="139">
        <f>IF(C296&lt;2,"",IFERROR(IF(OR(LEFT(INDEX(D296:K296,MIN(8,MAX(1,C296))),2)="令和",LEFT(INDEX(D296:K296,MIN(8,MAX(1,C296))),2)="平成",LEFT(INDEX(D296:K296,MIN(8,MAX(1,C296))),2)="昭和"),DATE(VALUE(MID(INDEX(D296:K296,MIN(8,MAX(1,C296))),3,FIND("年",INDEX(D296:K296,MIN(8,MAX(1,C296))))-3))+IF(LEFT(INDEX(D296:K296,MIN(8,MAX(1,C296))),2)="令和",2018,IF(LEFT(INDEX(D296:K296,MIN(8,MAX(1,C296))),2)="平成",1988,1925)),VALUE(MID(INDEX(D296:K296,MIN(8,MAX(1,C296))),FIND("年",INDEX(D296:K296,MIN(8,MAX(1,C296))))+1,FIND("月",INDEX(D296:K296,MIN(8,MAX(1,C296))))-FIND("年",INDEX(D296:K296,MIN(8,MAX(1,C296))))-1)),IFERROR(VALUE(SUBSTITUTE(MID(INDEX(D296:K296,MIN(8,MAX(1,C296))),FIND("月",INDEX(D296:K296,MIN(8,MAX(1,C296))))+1,10),"日","")),1)),DATE(VALUE(TRIM(MID(SUBSTITUTE(AA296,"/",REPT(" ",50)),1,50))),VALUE(TRIM(MID(SUBSTITUTE(AA296,"/",REPT(" ",50)),51,50))),IFERROR(VALUE(TRIM(MID(SUBSTITUTE(AA296,"/",REPT(" ",50)),101,50))),1))),IFERROR(DATEVALUE(INDEX(D296:K296,MIN(8,MAX(1,C296)))),"")))</f>
        <v/>
      </c>
      <c r="T296">
        <f>IF(B296="","",IF(AB296&lt;&gt;"",AB296,IFERROR(MATCH(SUBSTITUTE(SUBSTITUTE(P296," ",""),"　",""),入力!$AH$5:$AH$44,0),"")))</f>
        <v/>
      </c>
      <c r="U296">
        <f>IF(T296="","",INDEX(入力!$D$5:$D$44,T296))</f>
        <v/>
      </c>
      <c r="V296">
        <f>IF(B296="","",IF(T296="","要確認（名簿と照合できません）",IF(R296="","要確認（資格名がありません）",IF(S296="","要確認（取得日が読めません）",IF((IF(INDEX(入力!$N$5:$N$44,T296)=R296,1,0)+IF(INDEX(入力!$P$5:$P$44,T296)=R296,1,0)+IF(INDEX(入力!$R$5:$R$44,T296)=R296,1,0)+IF(INDEX(入力!$T$5:$T$44,T296)=R296,1,0)+IF(INDEX(入力!$V$5:$V$44,T296)=R296,1,0)+IF(INDEX(入力!$X$5:$X$44,T296)=R296,1,0))+(COUNTIFS($T$6:$T$405,T296,$R$6:$R$405,R296,$X$6:$X$405,"&lt;"&amp;X296))&gt;0,"重複","反映")))))</f>
        <v/>
      </c>
      <c r="W296">
        <f>IF(V296="反映",1,0)</f>
        <v/>
      </c>
      <c r="X296" t="n">
        <v>296</v>
      </c>
      <c r="Y296">
        <f>IF(W296=0,"",COUNTIFS($T$6:$T$405,T296,$W$6:$W$405,1,$S$6:$S$405,"&lt;"&amp;S296)+COUNTIFS($T$6:$T$405,T296,$W$6:$W$405,1,$S$6:$S$405,S296,$X$6:$X$405,"&lt;"&amp;X296)+1)</f>
        <v/>
      </c>
      <c r="Z296">
        <f>IF(Y296="","",T296&amp;"_"&amp;Y296)</f>
        <v/>
      </c>
      <c r="AA296">
        <f>SUBSTITUTE(SUBSTITUTE(SUBSTITUTE(SUBSTITUTE(SUBSTITUTE(INDEX(D296:K296,MIN(8,MAX(1,C296))),"年","/"),"月","/"),"日",""),"-","/"),".","/")</f>
        <v/>
      </c>
      <c r="AB296">
        <f>IFERROR(MATCH(O296,入力!$C$5:$C$44,0),"")</f>
        <v/>
      </c>
      <c r="AC296">
        <f>IF(AB296="","",INDEX(入力!$AH$5:$AH$44,AB296))</f>
        <v/>
      </c>
      <c r="AD296">
        <f>IF(INDEX($D296:$K296,IF(M296=1,2,1))=AC296,1,IF(INDEX($D296:$K296,IF(M296=1,2,1))&amp;INDEX($D296:$K296,IF(M296=1,2,1)+1)=AC296,2,IF(INDEX($D296:$K296,IF(M296=1,2,1))&amp;INDEX($D296:$K296,IF(M296=1,2,1)+1)&amp;INDEX($D296:$K296,IF(M296=1,2,1)+2)=AC296,3,IF(AB296&lt;&gt;"",2,IF(ISNUMBER(MATCH(INDEX($D296:$K296,IF(M296=1,2,1)),入力!$AH$5:$AH$44,0)),1,IF(ISNUMBER(MATCH(INDEX($D296:$K296,IF(M296=1,2,1))&amp;INDEX($D296:$K296,IF(M296=1,2,1)+1),入力!$AH$5:$AH$44,0)),2,IF(ISNUMBER(MATCH(INDEX($D296:$K296,IF(M296=1,2,1))&amp;INDEX($D296:$K296,IF(M296=1,2,1)+1)&amp;INDEX($D296:$K296,IF(M296=1,2,1)+2),入力!$AH$5:$AH$44,0)),3,2)))))))</f>
        <v/>
      </c>
      <c r="AE296">
        <f>IF(V296="","",IF(AND(V296="反映",N(Y296)&gt;20),"要確認（この生徒の取込が20件を超えました）",V296))</f>
        <v/>
      </c>
    </row>
    <row r="297">
      <c r="A297" s="138" t="n"/>
      <c r="B297">
        <f>TRIM(SUBSTITUTE(SUBSTITUTE(SUBSTITUTE(A297,CHAR(9)," "),"　"," "),CHAR(160)," "))</f>
        <v/>
      </c>
      <c r="C297">
        <f>IF(B297="",0,LEN(B297)-LEN(SUBSTITUTE(B297," ",""))+1)</f>
        <v/>
      </c>
      <c r="D297">
        <f>IF(C297&gt;=1,TRIM(MID(SUBSTITUTE(B297," ",REPT(" ",200)),1,200)),"")</f>
        <v/>
      </c>
      <c r="E297">
        <f>IF(C297&gt;=2,TRIM(MID(SUBSTITUTE(B297," ",REPT(" ",200)),201,200)),"")</f>
        <v/>
      </c>
      <c r="F297">
        <f>IF(C297&gt;=3,TRIM(MID(SUBSTITUTE(B297," ",REPT(" ",200)),401,200)),"")</f>
        <v/>
      </c>
      <c r="G297">
        <f>IF(C297&gt;=4,TRIM(MID(SUBSTITUTE(B297," ",REPT(" ",200)),601,200)),"")</f>
        <v/>
      </c>
      <c r="H297">
        <f>IF(C297&gt;=5,TRIM(MID(SUBSTITUTE(B297," ",REPT(" ",200)),801,200)),"")</f>
        <v/>
      </c>
      <c r="I297">
        <f>IF(C297&gt;=6,TRIM(MID(SUBSTITUTE(B297," ",REPT(" ",200)),1001,200)),"")</f>
        <v/>
      </c>
      <c r="J297">
        <f>IF(C297&gt;=7,TRIM(MID(SUBSTITUTE(B297," ",REPT(" ",200)),1201,200)),"")</f>
        <v/>
      </c>
      <c r="K297">
        <f>IF(C297&gt;=8,TRIM(MID(SUBSTITUTE(B297," ",REPT(" ",200)),1401,200)),"")</f>
        <v/>
      </c>
      <c r="L297">
        <f>SUBSTITUTE(SUBSTITUTE(SUBSTITUTE(D297,"年","-"),"組","-"),"番","")</f>
        <v/>
      </c>
      <c r="M297">
        <f>IF(D297="",0,IF(ISNUMBER(VALUE(SUBSTITUTE(L297,"-",""))),1,0))</f>
        <v/>
      </c>
      <c r="N297">
        <f>IF(M297=0,"",IFERROR(VALUE(TRIM(MID(SUBSTITUTE(L297,"-",REPT(" ",100)),101,100))),""))</f>
        <v/>
      </c>
      <c r="O297">
        <f>IF(M297=0,"",IFERROR(VALUE(TRIM(RIGHT(SUBSTITUTE(L297,"-",REPT(" ",100)),100))),""))</f>
        <v/>
      </c>
      <c r="P297">
        <f>IF(B297="","",TRIM(INDEX($D297:$K297,IF(M297=1,2,1))&amp;IF(AD297&gt;=2," "&amp;INDEX($D297:$K297,IF(M297=1,2,1)+1),"")&amp;IF(AD297&gt;=3," "&amp;INDEX($D297:$K297,IF(M297=1,2,1)+2),"")))</f>
        <v/>
      </c>
      <c r="Q297">
        <f>IF(C297&lt;2,"",TRIM(IF(AND(2&gt;=(IF(M297=1,2,1)+AD297),2&lt;=C297-IF(S297="",0,1)),E297&amp;" ","")&amp;IF(AND(3&gt;=(IF(M297=1,2,1)+AD297),3&lt;=C297-IF(S297="",0,1)),F297&amp;" ","")&amp;IF(AND(4&gt;=(IF(M297=1,2,1)+AD297),4&lt;=C297-IF(S297="",0,1)),G297&amp;" ","")&amp;IF(AND(5&gt;=(IF(M297=1,2,1)+AD297),5&lt;=C297-IF(S297="",0,1)),H297&amp;" ","")&amp;IF(AND(6&gt;=(IF(M297=1,2,1)+AD297),6&lt;=C297-IF(S297="",0,1)),I297&amp;" ","")&amp;IF(AND(7&gt;=(IF(M297=1,2,1)+AD297),7&lt;=C297-IF(S297="",0,1)),J297&amp;" ","")&amp;IF(AND(8&gt;=(IF(M297=1,2,1)+AD297),8&lt;=C297-IF(S297="",0,1)),K297&amp;" ","")))</f>
        <v/>
      </c>
      <c r="R297">
        <f>IF(Q297="","",IFERROR(INDEX(資格マスタ!$B:$B,MATCH(ASC(SUBSTITUTE(SUBSTITUTE(Q297," ",""),"　","")),資格マスタ!$D:$D,0)),Q297))</f>
        <v/>
      </c>
      <c r="S297" s="139">
        <f>IF(C297&lt;2,"",IFERROR(IF(OR(LEFT(INDEX(D297:K297,MIN(8,MAX(1,C297))),2)="令和",LEFT(INDEX(D297:K297,MIN(8,MAX(1,C297))),2)="平成",LEFT(INDEX(D297:K297,MIN(8,MAX(1,C297))),2)="昭和"),DATE(VALUE(MID(INDEX(D297:K297,MIN(8,MAX(1,C297))),3,FIND("年",INDEX(D297:K297,MIN(8,MAX(1,C297))))-3))+IF(LEFT(INDEX(D297:K297,MIN(8,MAX(1,C297))),2)="令和",2018,IF(LEFT(INDEX(D297:K297,MIN(8,MAX(1,C297))),2)="平成",1988,1925)),VALUE(MID(INDEX(D297:K297,MIN(8,MAX(1,C297))),FIND("年",INDEX(D297:K297,MIN(8,MAX(1,C297))))+1,FIND("月",INDEX(D297:K297,MIN(8,MAX(1,C297))))-FIND("年",INDEX(D297:K297,MIN(8,MAX(1,C297))))-1)),IFERROR(VALUE(SUBSTITUTE(MID(INDEX(D297:K297,MIN(8,MAX(1,C297))),FIND("月",INDEX(D297:K297,MIN(8,MAX(1,C297))))+1,10),"日","")),1)),DATE(VALUE(TRIM(MID(SUBSTITUTE(AA297,"/",REPT(" ",50)),1,50))),VALUE(TRIM(MID(SUBSTITUTE(AA297,"/",REPT(" ",50)),51,50))),IFERROR(VALUE(TRIM(MID(SUBSTITUTE(AA297,"/",REPT(" ",50)),101,50))),1))),IFERROR(DATEVALUE(INDEX(D297:K297,MIN(8,MAX(1,C297)))),"")))</f>
        <v/>
      </c>
      <c r="T297">
        <f>IF(B297="","",IF(AB297&lt;&gt;"",AB297,IFERROR(MATCH(SUBSTITUTE(SUBSTITUTE(P297," ",""),"　",""),入力!$AH$5:$AH$44,0),"")))</f>
        <v/>
      </c>
      <c r="U297">
        <f>IF(T297="","",INDEX(入力!$D$5:$D$44,T297))</f>
        <v/>
      </c>
      <c r="V297">
        <f>IF(B297="","",IF(T297="","要確認（名簿と照合できません）",IF(R297="","要確認（資格名がありません）",IF(S297="","要確認（取得日が読めません）",IF((IF(INDEX(入力!$N$5:$N$44,T297)=R297,1,0)+IF(INDEX(入力!$P$5:$P$44,T297)=R297,1,0)+IF(INDEX(入力!$R$5:$R$44,T297)=R297,1,0)+IF(INDEX(入力!$T$5:$T$44,T297)=R297,1,0)+IF(INDEX(入力!$V$5:$V$44,T297)=R297,1,0)+IF(INDEX(入力!$X$5:$X$44,T297)=R297,1,0))+(COUNTIFS($T$6:$T$405,T297,$R$6:$R$405,R297,$X$6:$X$405,"&lt;"&amp;X297))&gt;0,"重複","反映")))))</f>
        <v/>
      </c>
      <c r="W297">
        <f>IF(V297="反映",1,0)</f>
        <v/>
      </c>
      <c r="X297" t="n">
        <v>297</v>
      </c>
      <c r="Y297">
        <f>IF(W297=0,"",COUNTIFS($T$6:$T$405,T297,$W$6:$W$405,1,$S$6:$S$405,"&lt;"&amp;S297)+COUNTIFS($T$6:$T$405,T297,$W$6:$W$405,1,$S$6:$S$405,S297,$X$6:$X$405,"&lt;"&amp;X297)+1)</f>
        <v/>
      </c>
      <c r="Z297">
        <f>IF(Y297="","",T297&amp;"_"&amp;Y297)</f>
        <v/>
      </c>
      <c r="AA297">
        <f>SUBSTITUTE(SUBSTITUTE(SUBSTITUTE(SUBSTITUTE(SUBSTITUTE(INDEX(D297:K297,MIN(8,MAX(1,C297))),"年","/"),"月","/"),"日",""),"-","/"),".","/")</f>
        <v/>
      </c>
      <c r="AB297">
        <f>IFERROR(MATCH(O297,入力!$C$5:$C$44,0),"")</f>
        <v/>
      </c>
      <c r="AC297">
        <f>IF(AB297="","",INDEX(入力!$AH$5:$AH$44,AB297))</f>
        <v/>
      </c>
      <c r="AD297">
        <f>IF(INDEX($D297:$K297,IF(M297=1,2,1))=AC297,1,IF(INDEX($D297:$K297,IF(M297=1,2,1))&amp;INDEX($D297:$K297,IF(M297=1,2,1)+1)=AC297,2,IF(INDEX($D297:$K297,IF(M297=1,2,1))&amp;INDEX($D297:$K297,IF(M297=1,2,1)+1)&amp;INDEX($D297:$K297,IF(M297=1,2,1)+2)=AC297,3,IF(AB297&lt;&gt;"",2,IF(ISNUMBER(MATCH(INDEX($D297:$K297,IF(M297=1,2,1)),入力!$AH$5:$AH$44,0)),1,IF(ISNUMBER(MATCH(INDEX($D297:$K297,IF(M297=1,2,1))&amp;INDEX($D297:$K297,IF(M297=1,2,1)+1),入力!$AH$5:$AH$44,0)),2,IF(ISNUMBER(MATCH(INDEX($D297:$K297,IF(M297=1,2,1))&amp;INDEX($D297:$K297,IF(M297=1,2,1)+1)&amp;INDEX($D297:$K297,IF(M297=1,2,1)+2),入力!$AH$5:$AH$44,0)),3,2)))))))</f>
        <v/>
      </c>
      <c r="AE297">
        <f>IF(V297="","",IF(AND(V297="反映",N(Y297)&gt;20),"要確認（この生徒の取込が20件を超えました）",V297))</f>
        <v/>
      </c>
    </row>
    <row r="298">
      <c r="A298" s="138" t="n"/>
      <c r="B298">
        <f>TRIM(SUBSTITUTE(SUBSTITUTE(SUBSTITUTE(A298,CHAR(9)," "),"　"," "),CHAR(160)," "))</f>
        <v/>
      </c>
      <c r="C298">
        <f>IF(B298="",0,LEN(B298)-LEN(SUBSTITUTE(B298," ",""))+1)</f>
        <v/>
      </c>
      <c r="D298">
        <f>IF(C298&gt;=1,TRIM(MID(SUBSTITUTE(B298," ",REPT(" ",200)),1,200)),"")</f>
        <v/>
      </c>
      <c r="E298">
        <f>IF(C298&gt;=2,TRIM(MID(SUBSTITUTE(B298," ",REPT(" ",200)),201,200)),"")</f>
        <v/>
      </c>
      <c r="F298">
        <f>IF(C298&gt;=3,TRIM(MID(SUBSTITUTE(B298," ",REPT(" ",200)),401,200)),"")</f>
        <v/>
      </c>
      <c r="G298">
        <f>IF(C298&gt;=4,TRIM(MID(SUBSTITUTE(B298," ",REPT(" ",200)),601,200)),"")</f>
        <v/>
      </c>
      <c r="H298">
        <f>IF(C298&gt;=5,TRIM(MID(SUBSTITUTE(B298," ",REPT(" ",200)),801,200)),"")</f>
        <v/>
      </c>
      <c r="I298">
        <f>IF(C298&gt;=6,TRIM(MID(SUBSTITUTE(B298," ",REPT(" ",200)),1001,200)),"")</f>
        <v/>
      </c>
      <c r="J298">
        <f>IF(C298&gt;=7,TRIM(MID(SUBSTITUTE(B298," ",REPT(" ",200)),1201,200)),"")</f>
        <v/>
      </c>
      <c r="K298">
        <f>IF(C298&gt;=8,TRIM(MID(SUBSTITUTE(B298," ",REPT(" ",200)),1401,200)),"")</f>
        <v/>
      </c>
      <c r="L298">
        <f>SUBSTITUTE(SUBSTITUTE(SUBSTITUTE(D298,"年","-"),"組","-"),"番","")</f>
        <v/>
      </c>
      <c r="M298">
        <f>IF(D298="",0,IF(ISNUMBER(VALUE(SUBSTITUTE(L298,"-",""))),1,0))</f>
        <v/>
      </c>
      <c r="N298">
        <f>IF(M298=0,"",IFERROR(VALUE(TRIM(MID(SUBSTITUTE(L298,"-",REPT(" ",100)),101,100))),""))</f>
        <v/>
      </c>
      <c r="O298">
        <f>IF(M298=0,"",IFERROR(VALUE(TRIM(RIGHT(SUBSTITUTE(L298,"-",REPT(" ",100)),100))),""))</f>
        <v/>
      </c>
      <c r="P298">
        <f>IF(B298="","",TRIM(INDEX($D298:$K298,IF(M298=1,2,1))&amp;IF(AD298&gt;=2," "&amp;INDEX($D298:$K298,IF(M298=1,2,1)+1),"")&amp;IF(AD298&gt;=3," "&amp;INDEX($D298:$K298,IF(M298=1,2,1)+2),"")))</f>
        <v/>
      </c>
      <c r="Q298">
        <f>IF(C298&lt;2,"",TRIM(IF(AND(2&gt;=(IF(M298=1,2,1)+AD298),2&lt;=C298-IF(S298="",0,1)),E298&amp;" ","")&amp;IF(AND(3&gt;=(IF(M298=1,2,1)+AD298),3&lt;=C298-IF(S298="",0,1)),F298&amp;" ","")&amp;IF(AND(4&gt;=(IF(M298=1,2,1)+AD298),4&lt;=C298-IF(S298="",0,1)),G298&amp;" ","")&amp;IF(AND(5&gt;=(IF(M298=1,2,1)+AD298),5&lt;=C298-IF(S298="",0,1)),H298&amp;" ","")&amp;IF(AND(6&gt;=(IF(M298=1,2,1)+AD298),6&lt;=C298-IF(S298="",0,1)),I298&amp;" ","")&amp;IF(AND(7&gt;=(IF(M298=1,2,1)+AD298),7&lt;=C298-IF(S298="",0,1)),J298&amp;" ","")&amp;IF(AND(8&gt;=(IF(M298=1,2,1)+AD298),8&lt;=C298-IF(S298="",0,1)),K298&amp;" ","")))</f>
        <v/>
      </c>
      <c r="R298">
        <f>IF(Q298="","",IFERROR(INDEX(資格マスタ!$B:$B,MATCH(ASC(SUBSTITUTE(SUBSTITUTE(Q298," ",""),"　","")),資格マスタ!$D:$D,0)),Q298))</f>
        <v/>
      </c>
      <c r="S298" s="139">
        <f>IF(C298&lt;2,"",IFERROR(IF(OR(LEFT(INDEX(D298:K298,MIN(8,MAX(1,C298))),2)="令和",LEFT(INDEX(D298:K298,MIN(8,MAX(1,C298))),2)="平成",LEFT(INDEX(D298:K298,MIN(8,MAX(1,C298))),2)="昭和"),DATE(VALUE(MID(INDEX(D298:K298,MIN(8,MAX(1,C298))),3,FIND("年",INDEX(D298:K298,MIN(8,MAX(1,C298))))-3))+IF(LEFT(INDEX(D298:K298,MIN(8,MAX(1,C298))),2)="令和",2018,IF(LEFT(INDEX(D298:K298,MIN(8,MAX(1,C298))),2)="平成",1988,1925)),VALUE(MID(INDEX(D298:K298,MIN(8,MAX(1,C298))),FIND("年",INDEX(D298:K298,MIN(8,MAX(1,C298))))+1,FIND("月",INDEX(D298:K298,MIN(8,MAX(1,C298))))-FIND("年",INDEX(D298:K298,MIN(8,MAX(1,C298))))-1)),IFERROR(VALUE(SUBSTITUTE(MID(INDEX(D298:K298,MIN(8,MAX(1,C298))),FIND("月",INDEX(D298:K298,MIN(8,MAX(1,C298))))+1,10),"日","")),1)),DATE(VALUE(TRIM(MID(SUBSTITUTE(AA298,"/",REPT(" ",50)),1,50))),VALUE(TRIM(MID(SUBSTITUTE(AA298,"/",REPT(" ",50)),51,50))),IFERROR(VALUE(TRIM(MID(SUBSTITUTE(AA298,"/",REPT(" ",50)),101,50))),1))),IFERROR(DATEVALUE(INDEX(D298:K298,MIN(8,MAX(1,C298)))),"")))</f>
        <v/>
      </c>
      <c r="T298">
        <f>IF(B298="","",IF(AB298&lt;&gt;"",AB298,IFERROR(MATCH(SUBSTITUTE(SUBSTITUTE(P298," ",""),"　",""),入力!$AH$5:$AH$44,0),"")))</f>
        <v/>
      </c>
      <c r="U298">
        <f>IF(T298="","",INDEX(入力!$D$5:$D$44,T298))</f>
        <v/>
      </c>
      <c r="V298">
        <f>IF(B298="","",IF(T298="","要確認（名簿と照合できません）",IF(R298="","要確認（資格名がありません）",IF(S298="","要確認（取得日が読めません）",IF((IF(INDEX(入力!$N$5:$N$44,T298)=R298,1,0)+IF(INDEX(入力!$P$5:$P$44,T298)=R298,1,0)+IF(INDEX(入力!$R$5:$R$44,T298)=R298,1,0)+IF(INDEX(入力!$T$5:$T$44,T298)=R298,1,0)+IF(INDEX(入力!$V$5:$V$44,T298)=R298,1,0)+IF(INDEX(入力!$X$5:$X$44,T298)=R298,1,0))+(COUNTIFS($T$6:$T$405,T298,$R$6:$R$405,R298,$X$6:$X$405,"&lt;"&amp;X298))&gt;0,"重複","反映")))))</f>
        <v/>
      </c>
      <c r="W298">
        <f>IF(V298="反映",1,0)</f>
        <v/>
      </c>
      <c r="X298" t="n">
        <v>298</v>
      </c>
      <c r="Y298">
        <f>IF(W298=0,"",COUNTIFS($T$6:$T$405,T298,$W$6:$W$405,1,$S$6:$S$405,"&lt;"&amp;S298)+COUNTIFS($T$6:$T$405,T298,$W$6:$W$405,1,$S$6:$S$405,S298,$X$6:$X$405,"&lt;"&amp;X298)+1)</f>
        <v/>
      </c>
      <c r="Z298">
        <f>IF(Y298="","",T298&amp;"_"&amp;Y298)</f>
        <v/>
      </c>
      <c r="AA298">
        <f>SUBSTITUTE(SUBSTITUTE(SUBSTITUTE(SUBSTITUTE(SUBSTITUTE(INDEX(D298:K298,MIN(8,MAX(1,C298))),"年","/"),"月","/"),"日",""),"-","/"),".","/")</f>
        <v/>
      </c>
      <c r="AB298">
        <f>IFERROR(MATCH(O298,入力!$C$5:$C$44,0),"")</f>
        <v/>
      </c>
      <c r="AC298">
        <f>IF(AB298="","",INDEX(入力!$AH$5:$AH$44,AB298))</f>
        <v/>
      </c>
      <c r="AD298">
        <f>IF(INDEX($D298:$K298,IF(M298=1,2,1))=AC298,1,IF(INDEX($D298:$K298,IF(M298=1,2,1))&amp;INDEX($D298:$K298,IF(M298=1,2,1)+1)=AC298,2,IF(INDEX($D298:$K298,IF(M298=1,2,1))&amp;INDEX($D298:$K298,IF(M298=1,2,1)+1)&amp;INDEX($D298:$K298,IF(M298=1,2,1)+2)=AC298,3,IF(AB298&lt;&gt;"",2,IF(ISNUMBER(MATCH(INDEX($D298:$K298,IF(M298=1,2,1)),入力!$AH$5:$AH$44,0)),1,IF(ISNUMBER(MATCH(INDEX($D298:$K298,IF(M298=1,2,1))&amp;INDEX($D298:$K298,IF(M298=1,2,1)+1),入力!$AH$5:$AH$44,0)),2,IF(ISNUMBER(MATCH(INDEX($D298:$K298,IF(M298=1,2,1))&amp;INDEX($D298:$K298,IF(M298=1,2,1)+1)&amp;INDEX($D298:$K298,IF(M298=1,2,1)+2),入力!$AH$5:$AH$44,0)),3,2)))))))</f>
        <v/>
      </c>
      <c r="AE298">
        <f>IF(V298="","",IF(AND(V298="反映",N(Y298)&gt;20),"要確認（この生徒の取込が20件を超えました）",V298))</f>
        <v/>
      </c>
    </row>
    <row r="299">
      <c r="A299" s="138" t="n"/>
      <c r="B299">
        <f>TRIM(SUBSTITUTE(SUBSTITUTE(SUBSTITUTE(A299,CHAR(9)," "),"　"," "),CHAR(160)," "))</f>
        <v/>
      </c>
      <c r="C299">
        <f>IF(B299="",0,LEN(B299)-LEN(SUBSTITUTE(B299," ",""))+1)</f>
        <v/>
      </c>
      <c r="D299">
        <f>IF(C299&gt;=1,TRIM(MID(SUBSTITUTE(B299," ",REPT(" ",200)),1,200)),"")</f>
        <v/>
      </c>
      <c r="E299">
        <f>IF(C299&gt;=2,TRIM(MID(SUBSTITUTE(B299," ",REPT(" ",200)),201,200)),"")</f>
        <v/>
      </c>
      <c r="F299">
        <f>IF(C299&gt;=3,TRIM(MID(SUBSTITUTE(B299," ",REPT(" ",200)),401,200)),"")</f>
        <v/>
      </c>
      <c r="G299">
        <f>IF(C299&gt;=4,TRIM(MID(SUBSTITUTE(B299," ",REPT(" ",200)),601,200)),"")</f>
        <v/>
      </c>
      <c r="H299">
        <f>IF(C299&gt;=5,TRIM(MID(SUBSTITUTE(B299," ",REPT(" ",200)),801,200)),"")</f>
        <v/>
      </c>
      <c r="I299">
        <f>IF(C299&gt;=6,TRIM(MID(SUBSTITUTE(B299," ",REPT(" ",200)),1001,200)),"")</f>
        <v/>
      </c>
      <c r="J299">
        <f>IF(C299&gt;=7,TRIM(MID(SUBSTITUTE(B299," ",REPT(" ",200)),1201,200)),"")</f>
        <v/>
      </c>
      <c r="K299">
        <f>IF(C299&gt;=8,TRIM(MID(SUBSTITUTE(B299," ",REPT(" ",200)),1401,200)),"")</f>
        <v/>
      </c>
      <c r="L299">
        <f>SUBSTITUTE(SUBSTITUTE(SUBSTITUTE(D299,"年","-"),"組","-"),"番","")</f>
        <v/>
      </c>
      <c r="M299">
        <f>IF(D299="",0,IF(ISNUMBER(VALUE(SUBSTITUTE(L299,"-",""))),1,0))</f>
        <v/>
      </c>
      <c r="N299">
        <f>IF(M299=0,"",IFERROR(VALUE(TRIM(MID(SUBSTITUTE(L299,"-",REPT(" ",100)),101,100))),""))</f>
        <v/>
      </c>
      <c r="O299">
        <f>IF(M299=0,"",IFERROR(VALUE(TRIM(RIGHT(SUBSTITUTE(L299,"-",REPT(" ",100)),100))),""))</f>
        <v/>
      </c>
      <c r="P299">
        <f>IF(B299="","",TRIM(INDEX($D299:$K299,IF(M299=1,2,1))&amp;IF(AD299&gt;=2," "&amp;INDEX($D299:$K299,IF(M299=1,2,1)+1),"")&amp;IF(AD299&gt;=3," "&amp;INDEX($D299:$K299,IF(M299=1,2,1)+2),"")))</f>
        <v/>
      </c>
      <c r="Q299">
        <f>IF(C299&lt;2,"",TRIM(IF(AND(2&gt;=(IF(M299=1,2,1)+AD299),2&lt;=C299-IF(S299="",0,1)),E299&amp;" ","")&amp;IF(AND(3&gt;=(IF(M299=1,2,1)+AD299),3&lt;=C299-IF(S299="",0,1)),F299&amp;" ","")&amp;IF(AND(4&gt;=(IF(M299=1,2,1)+AD299),4&lt;=C299-IF(S299="",0,1)),G299&amp;" ","")&amp;IF(AND(5&gt;=(IF(M299=1,2,1)+AD299),5&lt;=C299-IF(S299="",0,1)),H299&amp;" ","")&amp;IF(AND(6&gt;=(IF(M299=1,2,1)+AD299),6&lt;=C299-IF(S299="",0,1)),I299&amp;" ","")&amp;IF(AND(7&gt;=(IF(M299=1,2,1)+AD299),7&lt;=C299-IF(S299="",0,1)),J299&amp;" ","")&amp;IF(AND(8&gt;=(IF(M299=1,2,1)+AD299),8&lt;=C299-IF(S299="",0,1)),K299&amp;" ","")))</f>
        <v/>
      </c>
      <c r="R299">
        <f>IF(Q299="","",IFERROR(INDEX(資格マスタ!$B:$B,MATCH(ASC(SUBSTITUTE(SUBSTITUTE(Q299," ",""),"　","")),資格マスタ!$D:$D,0)),Q299))</f>
        <v/>
      </c>
      <c r="S299" s="139">
        <f>IF(C299&lt;2,"",IFERROR(IF(OR(LEFT(INDEX(D299:K299,MIN(8,MAX(1,C299))),2)="令和",LEFT(INDEX(D299:K299,MIN(8,MAX(1,C299))),2)="平成",LEFT(INDEX(D299:K299,MIN(8,MAX(1,C299))),2)="昭和"),DATE(VALUE(MID(INDEX(D299:K299,MIN(8,MAX(1,C299))),3,FIND("年",INDEX(D299:K299,MIN(8,MAX(1,C299))))-3))+IF(LEFT(INDEX(D299:K299,MIN(8,MAX(1,C299))),2)="令和",2018,IF(LEFT(INDEX(D299:K299,MIN(8,MAX(1,C299))),2)="平成",1988,1925)),VALUE(MID(INDEX(D299:K299,MIN(8,MAX(1,C299))),FIND("年",INDEX(D299:K299,MIN(8,MAX(1,C299))))+1,FIND("月",INDEX(D299:K299,MIN(8,MAX(1,C299))))-FIND("年",INDEX(D299:K299,MIN(8,MAX(1,C299))))-1)),IFERROR(VALUE(SUBSTITUTE(MID(INDEX(D299:K299,MIN(8,MAX(1,C299))),FIND("月",INDEX(D299:K299,MIN(8,MAX(1,C299))))+1,10),"日","")),1)),DATE(VALUE(TRIM(MID(SUBSTITUTE(AA299,"/",REPT(" ",50)),1,50))),VALUE(TRIM(MID(SUBSTITUTE(AA299,"/",REPT(" ",50)),51,50))),IFERROR(VALUE(TRIM(MID(SUBSTITUTE(AA299,"/",REPT(" ",50)),101,50))),1))),IFERROR(DATEVALUE(INDEX(D299:K299,MIN(8,MAX(1,C299)))),"")))</f>
        <v/>
      </c>
      <c r="T299">
        <f>IF(B299="","",IF(AB299&lt;&gt;"",AB299,IFERROR(MATCH(SUBSTITUTE(SUBSTITUTE(P299," ",""),"　",""),入力!$AH$5:$AH$44,0),"")))</f>
        <v/>
      </c>
      <c r="U299">
        <f>IF(T299="","",INDEX(入力!$D$5:$D$44,T299))</f>
        <v/>
      </c>
      <c r="V299">
        <f>IF(B299="","",IF(T299="","要確認（名簿と照合できません）",IF(R299="","要確認（資格名がありません）",IF(S299="","要確認（取得日が読めません）",IF((IF(INDEX(入力!$N$5:$N$44,T299)=R299,1,0)+IF(INDEX(入力!$P$5:$P$44,T299)=R299,1,0)+IF(INDEX(入力!$R$5:$R$44,T299)=R299,1,0)+IF(INDEX(入力!$T$5:$T$44,T299)=R299,1,0)+IF(INDEX(入力!$V$5:$V$44,T299)=R299,1,0)+IF(INDEX(入力!$X$5:$X$44,T299)=R299,1,0))+(COUNTIFS($T$6:$T$405,T299,$R$6:$R$405,R299,$X$6:$X$405,"&lt;"&amp;X299))&gt;0,"重複","反映")))))</f>
        <v/>
      </c>
      <c r="W299">
        <f>IF(V299="反映",1,0)</f>
        <v/>
      </c>
      <c r="X299" t="n">
        <v>299</v>
      </c>
      <c r="Y299">
        <f>IF(W299=0,"",COUNTIFS($T$6:$T$405,T299,$W$6:$W$405,1,$S$6:$S$405,"&lt;"&amp;S299)+COUNTIFS($T$6:$T$405,T299,$W$6:$W$405,1,$S$6:$S$405,S299,$X$6:$X$405,"&lt;"&amp;X299)+1)</f>
        <v/>
      </c>
      <c r="Z299">
        <f>IF(Y299="","",T299&amp;"_"&amp;Y299)</f>
        <v/>
      </c>
      <c r="AA299">
        <f>SUBSTITUTE(SUBSTITUTE(SUBSTITUTE(SUBSTITUTE(SUBSTITUTE(INDEX(D299:K299,MIN(8,MAX(1,C299))),"年","/"),"月","/"),"日",""),"-","/"),".","/")</f>
        <v/>
      </c>
      <c r="AB299">
        <f>IFERROR(MATCH(O299,入力!$C$5:$C$44,0),"")</f>
        <v/>
      </c>
      <c r="AC299">
        <f>IF(AB299="","",INDEX(入力!$AH$5:$AH$44,AB299))</f>
        <v/>
      </c>
      <c r="AD299">
        <f>IF(INDEX($D299:$K299,IF(M299=1,2,1))=AC299,1,IF(INDEX($D299:$K299,IF(M299=1,2,1))&amp;INDEX($D299:$K299,IF(M299=1,2,1)+1)=AC299,2,IF(INDEX($D299:$K299,IF(M299=1,2,1))&amp;INDEX($D299:$K299,IF(M299=1,2,1)+1)&amp;INDEX($D299:$K299,IF(M299=1,2,1)+2)=AC299,3,IF(AB299&lt;&gt;"",2,IF(ISNUMBER(MATCH(INDEX($D299:$K299,IF(M299=1,2,1)),入力!$AH$5:$AH$44,0)),1,IF(ISNUMBER(MATCH(INDEX($D299:$K299,IF(M299=1,2,1))&amp;INDEX($D299:$K299,IF(M299=1,2,1)+1),入力!$AH$5:$AH$44,0)),2,IF(ISNUMBER(MATCH(INDEX($D299:$K299,IF(M299=1,2,1))&amp;INDEX($D299:$K299,IF(M299=1,2,1)+1)&amp;INDEX($D299:$K299,IF(M299=1,2,1)+2),入力!$AH$5:$AH$44,0)),3,2)))))))</f>
        <v/>
      </c>
      <c r="AE299">
        <f>IF(V299="","",IF(AND(V299="反映",N(Y299)&gt;20),"要確認（この生徒の取込が20件を超えました）",V299))</f>
        <v/>
      </c>
    </row>
    <row r="300">
      <c r="A300" s="138" t="n"/>
      <c r="B300">
        <f>TRIM(SUBSTITUTE(SUBSTITUTE(SUBSTITUTE(A300,CHAR(9)," "),"　"," "),CHAR(160)," "))</f>
        <v/>
      </c>
      <c r="C300">
        <f>IF(B300="",0,LEN(B300)-LEN(SUBSTITUTE(B300," ",""))+1)</f>
        <v/>
      </c>
      <c r="D300">
        <f>IF(C300&gt;=1,TRIM(MID(SUBSTITUTE(B300," ",REPT(" ",200)),1,200)),"")</f>
        <v/>
      </c>
      <c r="E300">
        <f>IF(C300&gt;=2,TRIM(MID(SUBSTITUTE(B300," ",REPT(" ",200)),201,200)),"")</f>
        <v/>
      </c>
      <c r="F300">
        <f>IF(C300&gt;=3,TRIM(MID(SUBSTITUTE(B300," ",REPT(" ",200)),401,200)),"")</f>
        <v/>
      </c>
      <c r="G300">
        <f>IF(C300&gt;=4,TRIM(MID(SUBSTITUTE(B300," ",REPT(" ",200)),601,200)),"")</f>
        <v/>
      </c>
      <c r="H300">
        <f>IF(C300&gt;=5,TRIM(MID(SUBSTITUTE(B300," ",REPT(" ",200)),801,200)),"")</f>
        <v/>
      </c>
      <c r="I300">
        <f>IF(C300&gt;=6,TRIM(MID(SUBSTITUTE(B300," ",REPT(" ",200)),1001,200)),"")</f>
        <v/>
      </c>
      <c r="J300">
        <f>IF(C300&gt;=7,TRIM(MID(SUBSTITUTE(B300," ",REPT(" ",200)),1201,200)),"")</f>
        <v/>
      </c>
      <c r="K300">
        <f>IF(C300&gt;=8,TRIM(MID(SUBSTITUTE(B300," ",REPT(" ",200)),1401,200)),"")</f>
        <v/>
      </c>
      <c r="L300">
        <f>SUBSTITUTE(SUBSTITUTE(SUBSTITUTE(D300,"年","-"),"組","-"),"番","")</f>
        <v/>
      </c>
      <c r="M300">
        <f>IF(D300="",0,IF(ISNUMBER(VALUE(SUBSTITUTE(L300,"-",""))),1,0))</f>
        <v/>
      </c>
      <c r="N300">
        <f>IF(M300=0,"",IFERROR(VALUE(TRIM(MID(SUBSTITUTE(L300,"-",REPT(" ",100)),101,100))),""))</f>
        <v/>
      </c>
      <c r="O300">
        <f>IF(M300=0,"",IFERROR(VALUE(TRIM(RIGHT(SUBSTITUTE(L300,"-",REPT(" ",100)),100))),""))</f>
        <v/>
      </c>
      <c r="P300">
        <f>IF(B300="","",TRIM(INDEX($D300:$K300,IF(M300=1,2,1))&amp;IF(AD300&gt;=2," "&amp;INDEX($D300:$K300,IF(M300=1,2,1)+1),"")&amp;IF(AD300&gt;=3," "&amp;INDEX($D300:$K300,IF(M300=1,2,1)+2),"")))</f>
        <v/>
      </c>
      <c r="Q300">
        <f>IF(C300&lt;2,"",TRIM(IF(AND(2&gt;=(IF(M300=1,2,1)+AD300),2&lt;=C300-IF(S300="",0,1)),E300&amp;" ","")&amp;IF(AND(3&gt;=(IF(M300=1,2,1)+AD300),3&lt;=C300-IF(S300="",0,1)),F300&amp;" ","")&amp;IF(AND(4&gt;=(IF(M300=1,2,1)+AD300),4&lt;=C300-IF(S300="",0,1)),G300&amp;" ","")&amp;IF(AND(5&gt;=(IF(M300=1,2,1)+AD300),5&lt;=C300-IF(S300="",0,1)),H300&amp;" ","")&amp;IF(AND(6&gt;=(IF(M300=1,2,1)+AD300),6&lt;=C300-IF(S300="",0,1)),I300&amp;" ","")&amp;IF(AND(7&gt;=(IF(M300=1,2,1)+AD300),7&lt;=C300-IF(S300="",0,1)),J300&amp;" ","")&amp;IF(AND(8&gt;=(IF(M300=1,2,1)+AD300),8&lt;=C300-IF(S300="",0,1)),K300&amp;" ","")))</f>
        <v/>
      </c>
      <c r="R300">
        <f>IF(Q300="","",IFERROR(INDEX(資格マスタ!$B:$B,MATCH(ASC(SUBSTITUTE(SUBSTITUTE(Q300," ",""),"　","")),資格マスタ!$D:$D,0)),Q300))</f>
        <v/>
      </c>
      <c r="S300" s="139">
        <f>IF(C300&lt;2,"",IFERROR(IF(OR(LEFT(INDEX(D300:K300,MIN(8,MAX(1,C300))),2)="令和",LEFT(INDEX(D300:K300,MIN(8,MAX(1,C300))),2)="平成",LEFT(INDEX(D300:K300,MIN(8,MAX(1,C300))),2)="昭和"),DATE(VALUE(MID(INDEX(D300:K300,MIN(8,MAX(1,C300))),3,FIND("年",INDEX(D300:K300,MIN(8,MAX(1,C300))))-3))+IF(LEFT(INDEX(D300:K300,MIN(8,MAX(1,C300))),2)="令和",2018,IF(LEFT(INDEX(D300:K300,MIN(8,MAX(1,C300))),2)="平成",1988,1925)),VALUE(MID(INDEX(D300:K300,MIN(8,MAX(1,C300))),FIND("年",INDEX(D300:K300,MIN(8,MAX(1,C300))))+1,FIND("月",INDEX(D300:K300,MIN(8,MAX(1,C300))))-FIND("年",INDEX(D300:K300,MIN(8,MAX(1,C300))))-1)),IFERROR(VALUE(SUBSTITUTE(MID(INDEX(D300:K300,MIN(8,MAX(1,C300))),FIND("月",INDEX(D300:K300,MIN(8,MAX(1,C300))))+1,10),"日","")),1)),DATE(VALUE(TRIM(MID(SUBSTITUTE(AA300,"/",REPT(" ",50)),1,50))),VALUE(TRIM(MID(SUBSTITUTE(AA300,"/",REPT(" ",50)),51,50))),IFERROR(VALUE(TRIM(MID(SUBSTITUTE(AA300,"/",REPT(" ",50)),101,50))),1))),IFERROR(DATEVALUE(INDEX(D300:K300,MIN(8,MAX(1,C300)))),"")))</f>
        <v/>
      </c>
      <c r="T300">
        <f>IF(B300="","",IF(AB300&lt;&gt;"",AB300,IFERROR(MATCH(SUBSTITUTE(SUBSTITUTE(P300," ",""),"　",""),入力!$AH$5:$AH$44,0),"")))</f>
        <v/>
      </c>
      <c r="U300">
        <f>IF(T300="","",INDEX(入力!$D$5:$D$44,T300))</f>
        <v/>
      </c>
      <c r="V300">
        <f>IF(B300="","",IF(T300="","要確認（名簿と照合できません）",IF(R300="","要確認（資格名がありません）",IF(S300="","要確認（取得日が読めません）",IF((IF(INDEX(入力!$N$5:$N$44,T300)=R300,1,0)+IF(INDEX(入力!$P$5:$P$44,T300)=R300,1,0)+IF(INDEX(入力!$R$5:$R$44,T300)=R300,1,0)+IF(INDEX(入力!$T$5:$T$44,T300)=R300,1,0)+IF(INDEX(入力!$V$5:$V$44,T300)=R300,1,0)+IF(INDEX(入力!$X$5:$X$44,T300)=R300,1,0))+(COUNTIFS($T$6:$T$405,T300,$R$6:$R$405,R300,$X$6:$X$405,"&lt;"&amp;X300))&gt;0,"重複","反映")))))</f>
        <v/>
      </c>
      <c r="W300">
        <f>IF(V300="反映",1,0)</f>
        <v/>
      </c>
      <c r="X300" t="n">
        <v>300</v>
      </c>
      <c r="Y300">
        <f>IF(W300=0,"",COUNTIFS($T$6:$T$405,T300,$W$6:$W$405,1,$S$6:$S$405,"&lt;"&amp;S300)+COUNTIFS($T$6:$T$405,T300,$W$6:$W$405,1,$S$6:$S$405,S300,$X$6:$X$405,"&lt;"&amp;X300)+1)</f>
        <v/>
      </c>
      <c r="Z300">
        <f>IF(Y300="","",T300&amp;"_"&amp;Y300)</f>
        <v/>
      </c>
      <c r="AA300">
        <f>SUBSTITUTE(SUBSTITUTE(SUBSTITUTE(SUBSTITUTE(SUBSTITUTE(INDEX(D300:K300,MIN(8,MAX(1,C300))),"年","/"),"月","/"),"日",""),"-","/"),".","/")</f>
        <v/>
      </c>
      <c r="AB300">
        <f>IFERROR(MATCH(O300,入力!$C$5:$C$44,0),"")</f>
        <v/>
      </c>
      <c r="AC300">
        <f>IF(AB300="","",INDEX(入力!$AH$5:$AH$44,AB300))</f>
        <v/>
      </c>
      <c r="AD300">
        <f>IF(INDEX($D300:$K300,IF(M300=1,2,1))=AC300,1,IF(INDEX($D300:$K300,IF(M300=1,2,1))&amp;INDEX($D300:$K300,IF(M300=1,2,1)+1)=AC300,2,IF(INDEX($D300:$K300,IF(M300=1,2,1))&amp;INDEX($D300:$K300,IF(M300=1,2,1)+1)&amp;INDEX($D300:$K300,IF(M300=1,2,1)+2)=AC300,3,IF(AB300&lt;&gt;"",2,IF(ISNUMBER(MATCH(INDEX($D300:$K300,IF(M300=1,2,1)),入力!$AH$5:$AH$44,0)),1,IF(ISNUMBER(MATCH(INDEX($D300:$K300,IF(M300=1,2,1))&amp;INDEX($D300:$K300,IF(M300=1,2,1)+1),入力!$AH$5:$AH$44,0)),2,IF(ISNUMBER(MATCH(INDEX($D300:$K300,IF(M300=1,2,1))&amp;INDEX($D300:$K300,IF(M300=1,2,1)+1)&amp;INDEX($D300:$K300,IF(M300=1,2,1)+2),入力!$AH$5:$AH$44,0)),3,2)))))))</f>
        <v/>
      </c>
      <c r="AE300">
        <f>IF(V300="","",IF(AND(V300="反映",N(Y300)&gt;20),"要確認（この生徒の取込が20件を超えました）",V300))</f>
        <v/>
      </c>
    </row>
    <row r="301">
      <c r="A301" s="138" t="n"/>
      <c r="B301">
        <f>TRIM(SUBSTITUTE(SUBSTITUTE(SUBSTITUTE(A301,CHAR(9)," "),"　"," "),CHAR(160)," "))</f>
        <v/>
      </c>
      <c r="C301">
        <f>IF(B301="",0,LEN(B301)-LEN(SUBSTITUTE(B301," ",""))+1)</f>
        <v/>
      </c>
      <c r="D301">
        <f>IF(C301&gt;=1,TRIM(MID(SUBSTITUTE(B301," ",REPT(" ",200)),1,200)),"")</f>
        <v/>
      </c>
      <c r="E301">
        <f>IF(C301&gt;=2,TRIM(MID(SUBSTITUTE(B301," ",REPT(" ",200)),201,200)),"")</f>
        <v/>
      </c>
      <c r="F301">
        <f>IF(C301&gt;=3,TRIM(MID(SUBSTITUTE(B301," ",REPT(" ",200)),401,200)),"")</f>
        <v/>
      </c>
      <c r="G301">
        <f>IF(C301&gt;=4,TRIM(MID(SUBSTITUTE(B301," ",REPT(" ",200)),601,200)),"")</f>
        <v/>
      </c>
      <c r="H301">
        <f>IF(C301&gt;=5,TRIM(MID(SUBSTITUTE(B301," ",REPT(" ",200)),801,200)),"")</f>
        <v/>
      </c>
      <c r="I301">
        <f>IF(C301&gt;=6,TRIM(MID(SUBSTITUTE(B301," ",REPT(" ",200)),1001,200)),"")</f>
        <v/>
      </c>
      <c r="J301">
        <f>IF(C301&gt;=7,TRIM(MID(SUBSTITUTE(B301," ",REPT(" ",200)),1201,200)),"")</f>
        <v/>
      </c>
      <c r="K301">
        <f>IF(C301&gt;=8,TRIM(MID(SUBSTITUTE(B301," ",REPT(" ",200)),1401,200)),"")</f>
        <v/>
      </c>
      <c r="L301">
        <f>SUBSTITUTE(SUBSTITUTE(SUBSTITUTE(D301,"年","-"),"組","-"),"番","")</f>
        <v/>
      </c>
      <c r="M301">
        <f>IF(D301="",0,IF(ISNUMBER(VALUE(SUBSTITUTE(L301,"-",""))),1,0))</f>
        <v/>
      </c>
      <c r="N301">
        <f>IF(M301=0,"",IFERROR(VALUE(TRIM(MID(SUBSTITUTE(L301,"-",REPT(" ",100)),101,100))),""))</f>
        <v/>
      </c>
      <c r="O301">
        <f>IF(M301=0,"",IFERROR(VALUE(TRIM(RIGHT(SUBSTITUTE(L301,"-",REPT(" ",100)),100))),""))</f>
        <v/>
      </c>
      <c r="P301">
        <f>IF(B301="","",TRIM(INDEX($D301:$K301,IF(M301=1,2,1))&amp;IF(AD301&gt;=2," "&amp;INDEX($D301:$K301,IF(M301=1,2,1)+1),"")&amp;IF(AD301&gt;=3," "&amp;INDEX($D301:$K301,IF(M301=1,2,1)+2),"")))</f>
        <v/>
      </c>
      <c r="Q301">
        <f>IF(C301&lt;2,"",TRIM(IF(AND(2&gt;=(IF(M301=1,2,1)+AD301),2&lt;=C301-IF(S301="",0,1)),E301&amp;" ","")&amp;IF(AND(3&gt;=(IF(M301=1,2,1)+AD301),3&lt;=C301-IF(S301="",0,1)),F301&amp;" ","")&amp;IF(AND(4&gt;=(IF(M301=1,2,1)+AD301),4&lt;=C301-IF(S301="",0,1)),G301&amp;" ","")&amp;IF(AND(5&gt;=(IF(M301=1,2,1)+AD301),5&lt;=C301-IF(S301="",0,1)),H301&amp;" ","")&amp;IF(AND(6&gt;=(IF(M301=1,2,1)+AD301),6&lt;=C301-IF(S301="",0,1)),I301&amp;" ","")&amp;IF(AND(7&gt;=(IF(M301=1,2,1)+AD301),7&lt;=C301-IF(S301="",0,1)),J301&amp;" ","")&amp;IF(AND(8&gt;=(IF(M301=1,2,1)+AD301),8&lt;=C301-IF(S301="",0,1)),K301&amp;" ","")))</f>
        <v/>
      </c>
      <c r="R301">
        <f>IF(Q301="","",IFERROR(INDEX(資格マスタ!$B:$B,MATCH(ASC(SUBSTITUTE(SUBSTITUTE(Q301," ",""),"　","")),資格マスタ!$D:$D,0)),Q301))</f>
        <v/>
      </c>
      <c r="S301" s="139">
        <f>IF(C301&lt;2,"",IFERROR(IF(OR(LEFT(INDEX(D301:K301,MIN(8,MAX(1,C301))),2)="令和",LEFT(INDEX(D301:K301,MIN(8,MAX(1,C301))),2)="平成",LEFT(INDEX(D301:K301,MIN(8,MAX(1,C301))),2)="昭和"),DATE(VALUE(MID(INDEX(D301:K301,MIN(8,MAX(1,C301))),3,FIND("年",INDEX(D301:K301,MIN(8,MAX(1,C301))))-3))+IF(LEFT(INDEX(D301:K301,MIN(8,MAX(1,C301))),2)="令和",2018,IF(LEFT(INDEX(D301:K301,MIN(8,MAX(1,C301))),2)="平成",1988,1925)),VALUE(MID(INDEX(D301:K301,MIN(8,MAX(1,C301))),FIND("年",INDEX(D301:K301,MIN(8,MAX(1,C301))))+1,FIND("月",INDEX(D301:K301,MIN(8,MAX(1,C301))))-FIND("年",INDEX(D301:K301,MIN(8,MAX(1,C301))))-1)),IFERROR(VALUE(SUBSTITUTE(MID(INDEX(D301:K301,MIN(8,MAX(1,C301))),FIND("月",INDEX(D301:K301,MIN(8,MAX(1,C301))))+1,10),"日","")),1)),DATE(VALUE(TRIM(MID(SUBSTITUTE(AA301,"/",REPT(" ",50)),1,50))),VALUE(TRIM(MID(SUBSTITUTE(AA301,"/",REPT(" ",50)),51,50))),IFERROR(VALUE(TRIM(MID(SUBSTITUTE(AA301,"/",REPT(" ",50)),101,50))),1))),IFERROR(DATEVALUE(INDEX(D301:K301,MIN(8,MAX(1,C301)))),"")))</f>
        <v/>
      </c>
      <c r="T301">
        <f>IF(B301="","",IF(AB301&lt;&gt;"",AB301,IFERROR(MATCH(SUBSTITUTE(SUBSTITUTE(P301," ",""),"　",""),入力!$AH$5:$AH$44,0),"")))</f>
        <v/>
      </c>
      <c r="U301">
        <f>IF(T301="","",INDEX(入力!$D$5:$D$44,T301))</f>
        <v/>
      </c>
      <c r="V301">
        <f>IF(B301="","",IF(T301="","要確認（名簿と照合できません）",IF(R301="","要確認（資格名がありません）",IF(S301="","要確認（取得日が読めません）",IF((IF(INDEX(入力!$N$5:$N$44,T301)=R301,1,0)+IF(INDEX(入力!$P$5:$P$44,T301)=R301,1,0)+IF(INDEX(入力!$R$5:$R$44,T301)=R301,1,0)+IF(INDEX(入力!$T$5:$T$44,T301)=R301,1,0)+IF(INDEX(入力!$V$5:$V$44,T301)=R301,1,0)+IF(INDEX(入力!$X$5:$X$44,T301)=R301,1,0))+(COUNTIFS($T$6:$T$405,T301,$R$6:$R$405,R301,$X$6:$X$405,"&lt;"&amp;X301))&gt;0,"重複","反映")))))</f>
        <v/>
      </c>
      <c r="W301">
        <f>IF(V301="反映",1,0)</f>
        <v/>
      </c>
      <c r="X301" t="n">
        <v>301</v>
      </c>
      <c r="Y301">
        <f>IF(W301=0,"",COUNTIFS($T$6:$T$405,T301,$W$6:$W$405,1,$S$6:$S$405,"&lt;"&amp;S301)+COUNTIFS($T$6:$T$405,T301,$W$6:$W$405,1,$S$6:$S$405,S301,$X$6:$X$405,"&lt;"&amp;X301)+1)</f>
        <v/>
      </c>
      <c r="Z301">
        <f>IF(Y301="","",T301&amp;"_"&amp;Y301)</f>
        <v/>
      </c>
      <c r="AA301">
        <f>SUBSTITUTE(SUBSTITUTE(SUBSTITUTE(SUBSTITUTE(SUBSTITUTE(INDEX(D301:K301,MIN(8,MAX(1,C301))),"年","/"),"月","/"),"日",""),"-","/"),".","/")</f>
        <v/>
      </c>
      <c r="AB301">
        <f>IFERROR(MATCH(O301,入力!$C$5:$C$44,0),"")</f>
        <v/>
      </c>
      <c r="AC301">
        <f>IF(AB301="","",INDEX(入力!$AH$5:$AH$44,AB301))</f>
        <v/>
      </c>
      <c r="AD301">
        <f>IF(INDEX($D301:$K301,IF(M301=1,2,1))=AC301,1,IF(INDEX($D301:$K301,IF(M301=1,2,1))&amp;INDEX($D301:$K301,IF(M301=1,2,1)+1)=AC301,2,IF(INDEX($D301:$K301,IF(M301=1,2,1))&amp;INDEX($D301:$K301,IF(M301=1,2,1)+1)&amp;INDEX($D301:$K301,IF(M301=1,2,1)+2)=AC301,3,IF(AB301&lt;&gt;"",2,IF(ISNUMBER(MATCH(INDEX($D301:$K301,IF(M301=1,2,1)),入力!$AH$5:$AH$44,0)),1,IF(ISNUMBER(MATCH(INDEX($D301:$K301,IF(M301=1,2,1))&amp;INDEX($D301:$K301,IF(M301=1,2,1)+1),入力!$AH$5:$AH$44,0)),2,IF(ISNUMBER(MATCH(INDEX($D301:$K301,IF(M301=1,2,1))&amp;INDEX($D301:$K301,IF(M301=1,2,1)+1)&amp;INDEX($D301:$K301,IF(M301=1,2,1)+2),入力!$AH$5:$AH$44,0)),3,2)))))))</f>
        <v/>
      </c>
      <c r="AE301">
        <f>IF(V301="","",IF(AND(V301="反映",N(Y301)&gt;20),"要確認（この生徒の取込が20件を超えました）",V301))</f>
        <v/>
      </c>
    </row>
    <row r="302">
      <c r="A302" s="138" t="n"/>
      <c r="B302">
        <f>TRIM(SUBSTITUTE(SUBSTITUTE(SUBSTITUTE(A302,CHAR(9)," "),"　"," "),CHAR(160)," "))</f>
        <v/>
      </c>
      <c r="C302">
        <f>IF(B302="",0,LEN(B302)-LEN(SUBSTITUTE(B302," ",""))+1)</f>
        <v/>
      </c>
      <c r="D302">
        <f>IF(C302&gt;=1,TRIM(MID(SUBSTITUTE(B302," ",REPT(" ",200)),1,200)),"")</f>
        <v/>
      </c>
      <c r="E302">
        <f>IF(C302&gt;=2,TRIM(MID(SUBSTITUTE(B302," ",REPT(" ",200)),201,200)),"")</f>
        <v/>
      </c>
      <c r="F302">
        <f>IF(C302&gt;=3,TRIM(MID(SUBSTITUTE(B302," ",REPT(" ",200)),401,200)),"")</f>
        <v/>
      </c>
      <c r="G302">
        <f>IF(C302&gt;=4,TRIM(MID(SUBSTITUTE(B302," ",REPT(" ",200)),601,200)),"")</f>
        <v/>
      </c>
      <c r="H302">
        <f>IF(C302&gt;=5,TRIM(MID(SUBSTITUTE(B302," ",REPT(" ",200)),801,200)),"")</f>
        <v/>
      </c>
      <c r="I302">
        <f>IF(C302&gt;=6,TRIM(MID(SUBSTITUTE(B302," ",REPT(" ",200)),1001,200)),"")</f>
        <v/>
      </c>
      <c r="J302">
        <f>IF(C302&gt;=7,TRIM(MID(SUBSTITUTE(B302," ",REPT(" ",200)),1201,200)),"")</f>
        <v/>
      </c>
      <c r="K302">
        <f>IF(C302&gt;=8,TRIM(MID(SUBSTITUTE(B302," ",REPT(" ",200)),1401,200)),"")</f>
        <v/>
      </c>
      <c r="L302">
        <f>SUBSTITUTE(SUBSTITUTE(SUBSTITUTE(D302,"年","-"),"組","-"),"番","")</f>
        <v/>
      </c>
      <c r="M302">
        <f>IF(D302="",0,IF(ISNUMBER(VALUE(SUBSTITUTE(L302,"-",""))),1,0))</f>
        <v/>
      </c>
      <c r="N302">
        <f>IF(M302=0,"",IFERROR(VALUE(TRIM(MID(SUBSTITUTE(L302,"-",REPT(" ",100)),101,100))),""))</f>
        <v/>
      </c>
      <c r="O302">
        <f>IF(M302=0,"",IFERROR(VALUE(TRIM(RIGHT(SUBSTITUTE(L302,"-",REPT(" ",100)),100))),""))</f>
        <v/>
      </c>
      <c r="P302">
        <f>IF(B302="","",TRIM(INDEX($D302:$K302,IF(M302=1,2,1))&amp;IF(AD302&gt;=2," "&amp;INDEX($D302:$K302,IF(M302=1,2,1)+1),"")&amp;IF(AD302&gt;=3," "&amp;INDEX($D302:$K302,IF(M302=1,2,1)+2),"")))</f>
        <v/>
      </c>
      <c r="Q302">
        <f>IF(C302&lt;2,"",TRIM(IF(AND(2&gt;=(IF(M302=1,2,1)+AD302),2&lt;=C302-IF(S302="",0,1)),E302&amp;" ","")&amp;IF(AND(3&gt;=(IF(M302=1,2,1)+AD302),3&lt;=C302-IF(S302="",0,1)),F302&amp;" ","")&amp;IF(AND(4&gt;=(IF(M302=1,2,1)+AD302),4&lt;=C302-IF(S302="",0,1)),G302&amp;" ","")&amp;IF(AND(5&gt;=(IF(M302=1,2,1)+AD302),5&lt;=C302-IF(S302="",0,1)),H302&amp;" ","")&amp;IF(AND(6&gt;=(IF(M302=1,2,1)+AD302),6&lt;=C302-IF(S302="",0,1)),I302&amp;" ","")&amp;IF(AND(7&gt;=(IF(M302=1,2,1)+AD302),7&lt;=C302-IF(S302="",0,1)),J302&amp;" ","")&amp;IF(AND(8&gt;=(IF(M302=1,2,1)+AD302),8&lt;=C302-IF(S302="",0,1)),K302&amp;" ","")))</f>
        <v/>
      </c>
      <c r="R302">
        <f>IF(Q302="","",IFERROR(INDEX(資格マスタ!$B:$B,MATCH(ASC(SUBSTITUTE(SUBSTITUTE(Q302," ",""),"　","")),資格マスタ!$D:$D,0)),Q302))</f>
        <v/>
      </c>
      <c r="S302" s="139">
        <f>IF(C302&lt;2,"",IFERROR(IF(OR(LEFT(INDEX(D302:K302,MIN(8,MAX(1,C302))),2)="令和",LEFT(INDEX(D302:K302,MIN(8,MAX(1,C302))),2)="平成",LEFT(INDEX(D302:K302,MIN(8,MAX(1,C302))),2)="昭和"),DATE(VALUE(MID(INDEX(D302:K302,MIN(8,MAX(1,C302))),3,FIND("年",INDEX(D302:K302,MIN(8,MAX(1,C302))))-3))+IF(LEFT(INDEX(D302:K302,MIN(8,MAX(1,C302))),2)="令和",2018,IF(LEFT(INDEX(D302:K302,MIN(8,MAX(1,C302))),2)="平成",1988,1925)),VALUE(MID(INDEX(D302:K302,MIN(8,MAX(1,C302))),FIND("年",INDEX(D302:K302,MIN(8,MAX(1,C302))))+1,FIND("月",INDEX(D302:K302,MIN(8,MAX(1,C302))))-FIND("年",INDEX(D302:K302,MIN(8,MAX(1,C302))))-1)),IFERROR(VALUE(SUBSTITUTE(MID(INDEX(D302:K302,MIN(8,MAX(1,C302))),FIND("月",INDEX(D302:K302,MIN(8,MAX(1,C302))))+1,10),"日","")),1)),DATE(VALUE(TRIM(MID(SUBSTITUTE(AA302,"/",REPT(" ",50)),1,50))),VALUE(TRIM(MID(SUBSTITUTE(AA302,"/",REPT(" ",50)),51,50))),IFERROR(VALUE(TRIM(MID(SUBSTITUTE(AA302,"/",REPT(" ",50)),101,50))),1))),IFERROR(DATEVALUE(INDEX(D302:K302,MIN(8,MAX(1,C302)))),"")))</f>
        <v/>
      </c>
      <c r="T302">
        <f>IF(B302="","",IF(AB302&lt;&gt;"",AB302,IFERROR(MATCH(SUBSTITUTE(SUBSTITUTE(P302," ",""),"　",""),入力!$AH$5:$AH$44,0),"")))</f>
        <v/>
      </c>
      <c r="U302">
        <f>IF(T302="","",INDEX(入力!$D$5:$D$44,T302))</f>
        <v/>
      </c>
      <c r="V302">
        <f>IF(B302="","",IF(T302="","要確認（名簿と照合できません）",IF(R302="","要確認（資格名がありません）",IF(S302="","要確認（取得日が読めません）",IF((IF(INDEX(入力!$N$5:$N$44,T302)=R302,1,0)+IF(INDEX(入力!$P$5:$P$44,T302)=R302,1,0)+IF(INDEX(入力!$R$5:$R$44,T302)=R302,1,0)+IF(INDEX(入力!$T$5:$T$44,T302)=R302,1,0)+IF(INDEX(入力!$V$5:$V$44,T302)=R302,1,0)+IF(INDEX(入力!$X$5:$X$44,T302)=R302,1,0))+(COUNTIFS($T$6:$T$405,T302,$R$6:$R$405,R302,$X$6:$X$405,"&lt;"&amp;X302))&gt;0,"重複","反映")))))</f>
        <v/>
      </c>
      <c r="W302">
        <f>IF(V302="反映",1,0)</f>
        <v/>
      </c>
      <c r="X302" t="n">
        <v>302</v>
      </c>
      <c r="Y302">
        <f>IF(W302=0,"",COUNTIFS($T$6:$T$405,T302,$W$6:$W$405,1,$S$6:$S$405,"&lt;"&amp;S302)+COUNTIFS($T$6:$T$405,T302,$W$6:$W$405,1,$S$6:$S$405,S302,$X$6:$X$405,"&lt;"&amp;X302)+1)</f>
        <v/>
      </c>
      <c r="Z302">
        <f>IF(Y302="","",T302&amp;"_"&amp;Y302)</f>
        <v/>
      </c>
      <c r="AA302">
        <f>SUBSTITUTE(SUBSTITUTE(SUBSTITUTE(SUBSTITUTE(SUBSTITUTE(INDEX(D302:K302,MIN(8,MAX(1,C302))),"年","/"),"月","/"),"日",""),"-","/"),".","/")</f>
        <v/>
      </c>
      <c r="AB302">
        <f>IFERROR(MATCH(O302,入力!$C$5:$C$44,0),"")</f>
        <v/>
      </c>
      <c r="AC302">
        <f>IF(AB302="","",INDEX(入力!$AH$5:$AH$44,AB302))</f>
        <v/>
      </c>
      <c r="AD302">
        <f>IF(INDEX($D302:$K302,IF(M302=1,2,1))=AC302,1,IF(INDEX($D302:$K302,IF(M302=1,2,1))&amp;INDEX($D302:$K302,IF(M302=1,2,1)+1)=AC302,2,IF(INDEX($D302:$K302,IF(M302=1,2,1))&amp;INDEX($D302:$K302,IF(M302=1,2,1)+1)&amp;INDEX($D302:$K302,IF(M302=1,2,1)+2)=AC302,3,IF(AB302&lt;&gt;"",2,IF(ISNUMBER(MATCH(INDEX($D302:$K302,IF(M302=1,2,1)),入力!$AH$5:$AH$44,0)),1,IF(ISNUMBER(MATCH(INDEX($D302:$K302,IF(M302=1,2,1))&amp;INDEX($D302:$K302,IF(M302=1,2,1)+1),入力!$AH$5:$AH$44,0)),2,IF(ISNUMBER(MATCH(INDEX($D302:$K302,IF(M302=1,2,1))&amp;INDEX($D302:$K302,IF(M302=1,2,1)+1)&amp;INDEX($D302:$K302,IF(M302=1,2,1)+2),入力!$AH$5:$AH$44,0)),3,2)))))))</f>
        <v/>
      </c>
      <c r="AE302">
        <f>IF(V302="","",IF(AND(V302="反映",N(Y302)&gt;20),"要確認（この生徒の取込が20件を超えました）",V302))</f>
        <v/>
      </c>
    </row>
    <row r="303">
      <c r="A303" s="138" t="n"/>
      <c r="B303">
        <f>TRIM(SUBSTITUTE(SUBSTITUTE(SUBSTITUTE(A303,CHAR(9)," "),"　"," "),CHAR(160)," "))</f>
        <v/>
      </c>
      <c r="C303">
        <f>IF(B303="",0,LEN(B303)-LEN(SUBSTITUTE(B303," ",""))+1)</f>
        <v/>
      </c>
      <c r="D303">
        <f>IF(C303&gt;=1,TRIM(MID(SUBSTITUTE(B303," ",REPT(" ",200)),1,200)),"")</f>
        <v/>
      </c>
      <c r="E303">
        <f>IF(C303&gt;=2,TRIM(MID(SUBSTITUTE(B303," ",REPT(" ",200)),201,200)),"")</f>
        <v/>
      </c>
      <c r="F303">
        <f>IF(C303&gt;=3,TRIM(MID(SUBSTITUTE(B303," ",REPT(" ",200)),401,200)),"")</f>
        <v/>
      </c>
      <c r="G303">
        <f>IF(C303&gt;=4,TRIM(MID(SUBSTITUTE(B303," ",REPT(" ",200)),601,200)),"")</f>
        <v/>
      </c>
      <c r="H303">
        <f>IF(C303&gt;=5,TRIM(MID(SUBSTITUTE(B303," ",REPT(" ",200)),801,200)),"")</f>
        <v/>
      </c>
      <c r="I303">
        <f>IF(C303&gt;=6,TRIM(MID(SUBSTITUTE(B303," ",REPT(" ",200)),1001,200)),"")</f>
        <v/>
      </c>
      <c r="J303">
        <f>IF(C303&gt;=7,TRIM(MID(SUBSTITUTE(B303," ",REPT(" ",200)),1201,200)),"")</f>
        <v/>
      </c>
      <c r="K303">
        <f>IF(C303&gt;=8,TRIM(MID(SUBSTITUTE(B303," ",REPT(" ",200)),1401,200)),"")</f>
        <v/>
      </c>
      <c r="L303">
        <f>SUBSTITUTE(SUBSTITUTE(SUBSTITUTE(D303,"年","-"),"組","-"),"番","")</f>
        <v/>
      </c>
      <c r="M303">
        <f>IF(D303="",0,IF(ISNUMBER(VALUE(SUBSTITUTE(L303,"-",""))),1,0))</f>
        <v/>
      </c>
      <c r="N303">
        <f>IF(M303=0,"",IFERROR(VALUE(TRIM(MID(SUBSTITUTE(L303,"-",REPT(" ",100)),101,100))),""))</f>
        <v/>
      </c>
      <c r="O303">
        <f>IF(M303=0,"",IFERROR(VALUE(TRIM(RIGHT(SUBSTITUTE(L303,"-",REPT(" ",100)),100))),""))</f>
        <v/>
      </c>
      <c r="P303">
        <f>IF(B303="","",TRIM(INDEX($D303:$K303,IF(M303=1,2,1))&amp;IF(AD303&gt;=2," "&amp;INDEX($D303:$K303,IF(M303=1,2,1)+1),"")&amp;IF(AD303&gt;=3," "&amp;INDEX($D303:$K303,IF(M303=1,2,1)+2),"")))</f>
        <v/>
      </c>
      <c r="Q303">
        <f>IF(C303&lt;2,"",TRIM(IF(AND(2&gt;=(IF(M303=1,2,1)+AD303),2&lt;=C303-IF(S303="",0,1)),E303&amp;" ","")&amp;IF(AND(3&gt;=(IF(M303=1,2,1)+AD303),3&lt;=C303-IF(S303="",0,1)),F303&amp;" ","")&amp;IF(AND(4&gt;=(IF(M303=1,2,1)+AD303),4&lt;=C303-IF(S303="",0,1)),G303&amp;" ","")&amp;IF(AND(5&gt;=(IF(M303=1,2,1)+AD303),5&lt;=C303-IF(S303="",0,1)),H303&amp;" ","")&amp;IF(AND(6&gt;=(IF(M303=1,2,1)+AD303),6&lt;=C303-IF(S303="",0,1)),I303&amp;" ","")&amp;IF(AND(7&gt;=(IF(M303=1,2,1)+AD303),7&lt;=C303-IF(S303="",0,1)),J303&amp;" ","")&amp;IF(AND(8&gt;=(IF(M303=1,2,1)+AD303),8&lt;=C303-IF(S303="",0,1)),K303&amp;" ","")))</f>
        <v/>
      </c>
      <c r="R303">
        <f>IF(Q303="","",IFERROR(INDEX(資格マスタ!$B:$B,MATCH(ASC(SUBSTITUTE(SUBSTITUTE(Q303," ",""),"　","")),資格マスタ!$D:$D,0)),Q303))</f>
        <v/>
      </c>
      <c r="S303" s="139">
        <f>IF(C303&lt;2,"",IFERROR(IF(OR(LEFT(INDEX(D303:K303,MIN(8,MAX(1,C303))),2)="令和",LEFT(INDEX(D303:K303,MIN(8,MAX(1,C303))),2)="平成",LEFT(INDEX(D303:K303,MIN(8,MAX(1,C303))),2)="昭和"),DATE(VALUE(MID(INDEX(D303:K303,MIN(8,MAX(1,C303))),3,FIND("年",INDEX(D303:K303,MIN(8,MAX(1,C303))))-3))+IF(LEFT(INDEX(D303:K303,MIN(8,MAX(1,C303))),2)="令和",2018,IF(LEFT(INDEX(D303:K303,MIN(8,MAX(1,C303))),2)="平成",1988,1925)),VALUE(MID(INDEX(D303:K303,MIN(8,MAX(1,C303))),FIND("年",INDEX(D303:K303,MIN(8,MAX(1,C303))))+1,FIND("月",INDEX(D303:K303,MIN(8,MAX(1,C303))))-FIND("年",INDEX(D303:K303,MIN(8,MAX(1,C303))))-1)),IFERROR(VALUE(SUBSTITUTE(MID(INDEX(D303:K303,MIN(8,MAX(1,C303))),FIND("月",INDEX(D303:K303,MIN(8,MAX(1,C303))))+1,10),"日","")),1)),DATE(VALUE(TRIM(MID(SUBSTITUTE(AA303,"/",REPT(" ",50)),1,50))),VALUE(TRIM(MID(SUBSTITUTE(AA303,"/",REPT(" ",50)),51,50))),IFERROR(VALUE(TRIM(MID(SUBSTITUTE(AA303,"/",REPT(" ",50)),101,50))),1))),IFERROR(DATEVALUE(INDEX(D303:K303,MIN(8,MAX(1,C303)))),"")))</f>
        <v/>
      </c>
      <c r="T303">
        <f>IF(B303="","",IF(AB303&lt;&gt;"",AB303,IFERROR(MATCH(SUBSTITUTE(SUBSTITUTE(P303," ",""),"　",""),入力!$AH$5:$AH$44,0),"")))</f>
        <v/>
      </c>
      <c r="U303">
        <f>IF(T303="","",INDEX(入力!$D$5:$D$44,T303))</f>
        <v/>
      </c>
      <c r="V303">
        <f>IF(B303="","",IF(T303="","要確認（名簿と照合できません）",IF(R303="","要確認（資格名がありません）",IF(S303="","要確認（取得日が読めません）",IF((IF(INDEX(入力!$N$5:$N$44,T303)=R303,1,0)+IF(INDEX(入力!$P$5:$P$44,T303)=R303,1,0)+IF(INDEX(入力!$R$5:$R$44,T303)=R303,1,0)+IF(INDEX(入力!$T$5:$T$44,T303)=R303,1,0)+IF(INDEX(入力!$V$5:$V$44,T303)=R303,1,0)+IF(INDEX(入力!$X$5:$X$44,T303)=R303,1,0))+(COUNTIFS($T$6:$T$405,T303,$R$6:$R$405,R303,$X$6:$X$405,"&lt;"&amp;X303))&gt;0,"重複","反映")))))</f>
        <v/>
      </c>
      <c r="W303">
        <f>IF(V303="反映",1,0)</f>
        <v/>
      </c>
      <c r="X303" t="n">
        <v>303</v>
      </c>
      <c r="Y303">
        <f>IF(W303=0,"",COUNTIFS($T$6:$T$405,T303,$W$6:$W$405,1,$S$6:$S$405,"&lt;"&amp;S303)+COUNTIFS($T$6:$T$405,T303,$W$6:$W$405,1,$S$6:$S$405,S303,$X$6:$X$405,"&lt;"&amp;X303)+1)</f>
        <v/>
      </c>
      <c r="Z303">
        <f>IF(Y303="","",T303&amp;"_"&amp;Y303)</f>
        <v/>
      </c>
      <c r="AA303">
        <f>SUBSTITUTE(SUBSTITUTE(SUBSTITUTE(SUBSTITUTE(SUBSTITUTE(INDEX(D303:K303,MIN(8,MAX(1,C303))),"年","/"),"月","/"),"日",""),"-","/"),".","/")</f>
        <v/>
      </c>
      <c r="AB303">
        <f>IFERROR(MATCH(O303,入力!$C$5:$C$44,0),"")</f>
        <v/>
      </c>
      <c r="AC303">
        <f>IF(AB303="","",INDEX(入力!$AH$5:$AH$44,AB303))</f>
        <v/>
      </c>
      <c r="AD303">
        <f>IF(INDEX($D303:$K303,IF(M303=1,2,1))=AC303,1,IF(INDEX($D303:$K303,IF(M303=1,2,1))&amp;INDEX($D303:$K303,IF(M303=1,2,1)+1)=AC303,2,IF(INDEX($D303:$K303,IF(M303=1,2,1))&amp;INDEX($D303:$K303,IF(M303=1,2,1)+1)&amp;INDEX($D303:$K303,IF(M303=1,2,1)+2)=AC303,3,IF(AB303&lt;&gt;"",2,IF(ISNUMBER(MATCH(INDEX($D303:$K303,IF(M303=1,2,1)),入力!$AH$5:$AH$44,0)),1,IF(ISNUMBER(MATCH(INDEX($D303:$K303,IF(M303=1,2,1))&amp;INDEX($D303:$K303,IF(M303=1,2,1)+1),入力!$AH$5:$AH$44,0)),2,IF(ISNUMBER(MATCH(INDEX($D303:$K303,IF(M303=1,2,1))&amp;INDEX($D303:$K303,IF(M303=1,2,1)+1)&amp;INDEX($D303:$K303,IF(M303=1,2,1)+2),入力!$AH$5:$AH$44,0)),3,2)))))))</f>
        <v/>
      </c>
      <c r="AE303">
        <f>IF(V303="","",IF(AND(V303="反映",N(Y303)&gt;20),"要確認（この生徒の取込が20件を超えました）",V303))</f>
        <v/>
      </c>
    </row>
    <row r="304">
      <c r="A304" s="138" t="n"/>
      <c r="B304">
        <f>TRIM(SUBSTITUTE(SUBSTITUTE(SUBSTITUTE(A304,CHAR(9)," "),"　"," "),CHAR(160)," "))</f>
        <v/>
      </c>
      <c r="C304">
        <f>IF(B304="",0,LEN(B304)-LEN(SUBSTITUTE(B304," ",""))+1)</f>
        <v/>
      </c>
      <c r="D304">
        <f>IF(C304&gt;=1,TRIM(MID(SUBSTITUTE(B304," ",REPT(" ",200)),1,200)),"")</f>
        <v/>
      </c>
      <c r="E304">
        <f>IF(C304&gt;=2,TRIM(MID(SUBSTITUTE(B304," ",REPT(" ",200)),201,200)),"")</f>
        <v/>
      </c>
      <c r="F304">
        <f>IF(C304&gt;=3,TRIM(MID(SUBSTITUTE(B304," ",REPT(" ",200)),401,200)),"")</f>
        <v/>
      </c>
      <c r="G304">
        <f>IF(C304&gt;=4,TRIM(MID(SUBSTITUTE(B304," ",REPT(" ",200)),601,200)),"")</f>
        <v/>
      </c>
      <c r="H304">
        <f>IF(C304&gt;=5,TRIM(MID(SUBSTITUTE(B304," ",REPT(" ",200)),801,200)),"")</f>
        <v/>
      </c>
      <c r="I304">
        <f>IF(C304&gt;=6,TRIM(MID(SUBSTITUTE(B304," ",REPT(" ",200)),1001,200)),"")</f>
        <v/>
      </c>
      <c r="J304">
        <f>IF(C304&gt;=7,TRIM(MID(SUBSTITUTE(B304," ",REPT(" ",200)),1201,200)),"")</f>
        <v/>
      </c>
      <c r="K304">
        <f>IF(C304&gt;=8,TRIM(MID(SUBSTITUTE(B304," ",REPT(" ",200)),1401,200)),"")</f>
        <v/>
      </c>
      <c r="L304">
        <f>SUBSTITUTE(SUBSTITUTE(SUBSTITUTE(D304,"年","-"),"組","-"),"番","")</f>
        <v/>
      </c>
      <c r="M304">
        <f>IF(D304="",0,IF(ISNUMBER(VALUE(SUBSTITUTE(L304,"-",""))),1,0))</f>
        <v/>
      </c>
      <c r="N304">
        <f>IF(M304=0,"",IFERROR(VALUE(TRIM(MID(SUBSTITUTE(L304,"-",REPT(" ",100)),101,100))),""))</f>
        <v/>
      </c>
      <c r="O304">
        <f>IF(M304=0,"",IFERROR(VALUE(TRIM(RIGHT(SUBSTITUTE(L304,"-",REPT(" ",100)),100))),""))</f>
        <v/>
      </c>
      <c r="P304">
        <f>IF(B304="","",TRIM(INDEX($D304:$K304,IF(M304=1,2,1))&amp;IF(AD304&gt;=2," "&amp;INDEX($D304:$K304,IF(M304=1,2,1)+1),"")&amp;IF(AD304&gt;=3," "&amp;INDEX($D304:$K304,IF(M304=1,2,1)+2),"")))</f>
        <v/>
      </c>
      <c r="Q304">
        <f>IF(C304&lt;2,"",TRIM(IF(AND(2&gt;=(IF(M304=1,2,1)+AD304),2&lt;=C304-IF(S304="",0,1)),E304&amp;" ","")&amp;IF(AND(3&gt;=(IF(M304=1,2,1)+AD304),3&lt;=C304-IF(S304="",0,1)),F304&amp;" ","")&amp;IF(AND(4&gt;=(IF(M304=1,2,1)+AD304),4&lt;=C304-IF(S304="",0,1)),G304&amp;" ","")&amp;IF(AND(5&gt;=(IF(M304=1,2,1)+AD304),5&lt;=C304-IF(S304="",0,1)),H304&amp;" ","")&amp;IF(AND(6&gt;=(IF(M304=1,2,1)+AD304),6&lt;=C304-IF(S304="",0,1)),I304&amp;" ","")&amp;IF(AND(7&gt;=(IF(M304=1,2,1)+AD304),7&lt;=C304-IF(S304="",0,1)),J304&amp;" ","")&amp;IF(AND(8&gt;=(IF(M304=1,2,1)+AD304),8&lt;=C304-IF(S304="",0,1)),K304&amp;" ","")))</f>
        <v/>
      </c>
      <c r="R304">
        <f>IF(Q304="","",IFERROR(INDEX(資格マスタ!$B:$B,MATCH(ASC(SUBSTITUTE(SUBSTITUTE(Q304," ",""),"　","")),資格マスタ!$D:$D,0)),Q304))</f>
        <v/>
      </c>
      <c r="S304" s="139">
        <f>IF(C304&lt;2,"",IFERROR(IF(OR(LEFT(INDEX(D304:K304,MIN(8,MAX(1,C304))),2)="令和",LEFT(INDEX(D304:K304,MIN(8,MAX(1,C304))),2)="平成",LEFT(INDEX(D304:K304,MIN(8,MAX(1,C304))),2)="昭和"),DATE(VALUE(MID(INDEX(D304:K304,MIN(8,MAX(1,C304))),3,FIND("年",INDEX(D304:K304,MIN(8,MAX(1,C304))))-3))+IF(LEFT(INDEX(D304:K304,MIN(8,MAX(1,C304))),2)="令和",2018,IF(LEFT(INDEX(D304:K304,MIN(8,MAX(1,C304))),2)="平成",1988,1925)),VALUE(MID(INDEX(D304:K304,MIN(8,MAX(1,C304))),FIND("年",INDEX(D304:K304,MIN(8,MAX(1,C304))))+1,FIND("月",INDEX(D304:K304,MIN(8,MAX(1,C304))))-FIND("年",INDEX(D304:K304,MIN(8,MAX(1,C304))))-1)),IFERROR(VALUE(SUBSTITUTE(MID(INDEX(D304:K304,MIN(8,MAX(1,C304))),FIND("月",INDEX(D304:K304,MIN(8,MAX(1,C304))))+1,10),"日","")),1)),DATE(VALUE(TRIM(MID(SUBSTITUTE(AA304,"/",REPT(" ",50)),1,50))),VALUE(TRIM(MID(SUBSTITUTE(AA304,"/",REPT(" ",50)),51,50))),IFERROR(VALUE(TRIM(MID(SUBSTITUTE(AA304,"/",REPT(" ",50)),101,50))),1))),IFERROR(DATEVALUE(INDEX(D304:K304,MIN(8,MAX(1,C304)))),"")))</f>
        <v/>
      </c>
      <c r="T304">
        <f>IF(B304="","",IF(AB304&lt;&gt;"",AB304,IFERROR(MATCH(SUBSTITUTE(SUBSTITUTE(P304," ",""),"　",""),入力!$AH$5:$AH$44,0),"")))</f>
        <v/>
      </c>
      <c r="U304">
        <f>IF(T304="","",INDEX(入力!$D$5:$D$44,T304))</f>
        <v/>
      </c>
      <c r="V304">
        <f>IF(B304="","",IF(T304="","要確認（名簿と照合できません）",IF(R304="","要確認（資格名がありません）",IF(S304="","要確認（取得日が読めません）",IF((IF(INDEX(入力!$N$5:$N$44,T304)=R304,1,0)+IF(INDEX(入力!$P$5:$P$44,T304)=R304,1,0)+IF(INDEX(入力!$R$5:$R$44,T304)=R304,1,0)+IF(INDEX(入力!$T$5:$T$44,T304)=R304,1,0)+IF(INDEX(入力!$V$5:$V$44,T304)=R304,1,0)+IF(INDEX(入力!$X$5:$X$44,T304)=R304,1,0))+(COUNTIFS($T$6:$T$405,T304,$R$6:$R$405,R304,$X$6:$X$405,"&lt;"&amp;X304))&gt;0,"重複","反映")))))</f>
        <v/>
      </c>
      <c r="W304">
        <f>IF(V304="反映",1,0)</f>
        <v/>
      </c>
      <c r="X304" t="n">
        <v>304</v>
      </c>
      <c r="Y304">
        <f>IF(W304=0,"",COUNTIFS($T$6:$T$405,T304,$W$6:$W$405,1,$S$6:$S$405,"&lt;"&amp;S304)+COUNTIFS($T$6:$T$405,T304,$W$6:$W$405,1,$S$6:$S$405,S304,$X$6:$X$405,"&lt;"&amp;X304)+1)</f>
        <v/>
      </c>
      <c r="Z304">
        <f>IF(Y304="","",T304&amp;"_"&amp;Y304)</f>
        <v/>
      </c>
      <c r="AA304">
        <f>SUBSTITUTE(SUBSTITUTE(SUBSTITUTE(SUBSTITUTE(SUBSTITUTE(INDEX(D304:K304,MIN(8,MAX(1,C304))),"年","/"),"月","/"),"日",""),"-","/"),".","/")</f>
        <v/>
      </c>
      <c r="AB304">
        <f>IFERROR(MATCH(O304,入力!$C$5:$C$44,0),"")</f>
        <v/>
      </c>
      <c r="AC304">
        <f>IF(AB304="","",INDEX(入力!$AH$5:$AH$44,AB304))</f>
        <v/>
      </c>
      <c r="AD304">
        <f>IF(INDEX($D304:$K304,IF(M304=1,2,1))=AC304,1,IF(INDEX($D304:$K304,IF(M304=1,2,1))&amp;INDEX($D304:$K304,IF(M304=1,2,1)+1)=AC304,2,IF(INDEX($D304:$K304,IF(M304=1,2,1))&amp;INDEX($D304:$K304,IF(M304=1,2,1)+1)&amp;INDEX($D304:$K304,IF(M304=1,2,1)+2)=AC304,3,IF(AB304&lt;&gt;"",2,IF(ISNUMBER(MATCH(INDEX($D304:$K304,IF(M304=1,2,1)),入力!$AH$5:$AH$44,0)),1,IF(ISNUMBER(MATCH(INDEX($D304:$K304,IF(M304=1,2,1))&amp;INDEX($D304:$K304,IF(M304=1,2,1)+1),入力!$AH$5:$AH$44,0)),2,IF(ISNUMBER(MATCH(INDEX($D304:$K304,IF(M304=1,2,1))&amp;INDEX($D304:$K304,IF(M304=1,2,1)+1)&amp;INDEX($D304:$K304,IF(M304=1,2,1)+2),入力!$AH$5:$AH$44,0)),3,2)))))))</f>
        <v/>
      </c>
      <c r="AE304">
        <f>IF(V304="","",IF(AND(V304="反映",N(Y304)&gt;20),"要確認（この生徒の取込が20件を超えました）",V304))</f>
        <v/>
      </c>
    </row>
    <row r="305">
      <c r="A305" s="138" t="n"/>
      <c r="B305">
        <f>TRIM(SUBSTITUTE(SUBSTITUTE(SUBSTITUTE(A305,CHAR(9)," "),"　"," "),CHAR(160)," "))</f>
        <v/>
      </c>
      <c r="C305">
        <f>IF(B305="",0,LEN(B305)-LEN(SUBSTITUTE(B305," ",""))+1)</f>
        <v/>
      </c>
      <c r="D305">
        <f>IF(C305&gt;=1,TRIM(MID(SUBSTITUTE(B305," ",REPT(" ",200)),1,200)),"")</f>
        <v/>
      </c>
      <c r="E305">
        <f>IF(C305&gt;=2,TRIM(MID(SUBSTITUTE(B305," ",REPT(" ",200)),201,200)),"")</f>
        <v/>
      </c>
      <c r="F305">
        <f>IF(C305&gt;=3,TRIM(MID(SUBSTITUTE(B305," ",REPT(" ",200)),401,200)),"")</f>
        <v/>
      </c>
      <c r="G305">
        <f>IF(C305&gt;=4,TRIM(MID(SUBSTITUTE(B305," ",REPT(" ",200)),601,200)),"")</f>
        <v/>
      </c>
      <c r="H305">
        <f>IF(C305&gt;=5,TRIM(MID(SUBSTITUTE(B305," ",REPT(" ",200)),801,200)),"")</f>
        <v/>
      </c>
      <c r="I305">
        <f>IF(C305&gt;=6,TRIM(MID(SUBSTITUTE(B305," ",REPT(" ",200)),1001,200)),"")</f>
        <v/>
      </c>
      <c r="J305">
        <f>IF(C305&gt;=7,TRIM(MID(SUBSTITUTE(B305," ",REPT(" ",200)),1201,200)),"")</f>
        <v/>
      </c>
      <c r="K305">
        <f>IF(C305&gt;=8,TRIM(MID(SUBSTITUTE(B305," ",REPT(" ",200)),1401,200)),"")</f>
        <v/>
      </c>
      <c r="L305">
        <f>SUBSTITUTE(SUBSTITUTE(SUBSTITUTE(D305,"年","-"),"組","-"),"番","")</f>
        <v/>
      </c>
      <c r="M305">
        <f>IF(D305="",0,IF(ISNUMBER(VALUE(SUBSTITUTE(L305,"-",""))),1,0))</f>
        <v/>
      </c>
      <c r="N305">
        <f>IF(M305=0,"",IFERROR(VALUE(TRIM(MID(SUBSTITUTE(L305,"-",REPT(" ",100)),101,100))),""))</f>
        <v/>
      </c>
      <c r="O305">
        <f>IF(M305=0,"",IFERROR(VALUE(TRIM(RIGHT(SUBSTITUTE(L305,"-",REPT(" ",100)),100))),""))</f>
        <v/>
      </c>
      <c r="P305">
        <f>IF(B305="","",TRIM(INDEX($D305:$K305,IF(M305=1,2,1))&amp;IF(AD305&gt;=2," "&amp;INDEX($D305:$K305,IF(M305=1,2,1)+1),"")&amp;IF(AD305&gt;=3," "&amp;INDEX($D305:$K305,IF(M305=1,2,1)+2),"")))</f>
        <v/>
      </c>
      <c r="Q305">
        <f>IF(C305&lt;2,"",TRIM(IF(AND(2&gt;=(IF(M305=1,2,1)+AD305),2&lt;=C305-IF(S305="",0,1)),E305&amp;" ","")&amp;IF(AND(3&gt;=(IF(M305=1,2,1)+AD305),3&lt;=C305-IF(S305="",0,1)),F305&amp;" ","")&amp;IF(AND(4&gt;=(IF(M305=1,2,1)+AD305),4&lt;=C305-IF(S305="",0,1)),G305&amp;" ","")&amp;IF(AND(5&gt;=(IF(M305=1,2,1)+AD305),5&lt;=C305-IF(S305="",0,1)),H305&amp;" ","")&amp;IF(AND(6&gt;=(IF(M305=1,2,1)+AD305),6&lt;=C305-IF(S305="",0,1)),I305&amp;" ","")&amp;IF(AND(7&gt;=(IF(M305=1,2,1)+AD305),7&lt;=C305-IF(S305="",0,1)),J305&amp;" ","")&amp;IF(AND(8&gt;=(IF(M305=1,2,1)+AD305),8&lt;=C305-IF(S305="",0,1)),K305&amp;" ","")))</f>
        <v/>
      </c>
      <c r="R305">
        <f>IF(Q305="","",IFERROR(INDEX(資格マスタ!$B:$B,MATCH(ASC(SUBSTITUTE(SUBSTITUTE(Q305," ",""),"　","")),資格マスタ!$D:$D,0)),Q305))</f>
        <v/>
      </c>
      <c r="S305" s="139">
        <f>IF(C305&lt;2,"",IFERROR(IF(OR(LEFT(INDEX(D305:K305,MIN(8,MAX(1,C305))),2)="令和",LEFT(INDEX(D305:K305,MIN(8,MAX(1,C305))),2)="平成",LEFT(INDEX(D305:K305,MIN(8,MAX(1,C305))),2)="昭和"),DATE(VALUE(MID(INDEX(D305:K305,MIN(8,MAX(1,C305))),3,FIND("年",INDEX(D305:K305,MIN(8,MAX(1,C305))))-3))+IF(LEFT(INDEX(D305:K305,MIN(8,MAX(1,C305))),2)="令和",2018,IF(LEFT(INDEX(D305:K305,MIN(8,MAX(1,C305))),2)="平成",1988,1925)),VALUE(MID(INDEX(D305:K305,MIN(8,MAX(1,C305))),FIND("年",INDEX(D305:K305,MIN(8,MAX(1,C305))))+1,FIND("月",INDEX(D305:K305,MIN(8,MAX(1,C305))))-FIND("年",INDEX(D305:K305,MIN(8,MAX(1,C305))))-1)),IFERROR(VALUE(SUBSTITUTE(MID(INDEX(D305:K305,MIN(8,MAX(1,C305))),FIND("月",INDEX(D305:K305,MIN(8,MAX(1,C305))))+1,10),"日","")),1)),DATE(VALUE(TRIM(MID(SUBSTITUTE(AA305,"/",REPT(" ",50)),1,50))),VALUE(TRIM(MID(SUBSTITUTE(AA305,"/",REPT(" ",50)),51,50))),IFERROR(VALUE(TRIM(MID(SUBSTITUTE(AA305,"/",REPT(" ",50)),101,50))),1))),IFERROR(DATEVALUE(INDEX(D305:K305,MIN(8,MAX(1,C305)))),"")))</f>
        <v/>
      </c>
      <c r="T305">
        <f>IF(B305="","",IF(AB305&lt;&gt;"",AB305,IFERROR(MATCH(SUBSTITUTE(SUBSTITUTE(P305," ",""),"　",""),入力!$AH$5:$AH$44,0),"")))</f>
        <v/>
      </c>
      <c r="U305">
        <f>IF(T305="","",INDEX(入力!$D$5:$D$44,T305))</f>
        <v/>
      </c>
      <c r="V305">
        <f>IF(B305="","",IF(T305="","要確認（名簿と照合できません）",IF(R305="","要確認（資格名がありません）",IF(S305="","要確認（取得日が読めません）",IF((IF(INDEX(入力!$N$5:$N$44,T305)=R305,1,0)+IF(INDEX(入力!$P$5:$P$44,T305)=R305,1,0)+IF(INDEX(入力!$R$5:$R$44,T305)=R305,1,0)+IF(INDEX(入力!$T$5:$T$44,T305)=R305,1,0)+IF(INDEX(入力!$V$5:$V$44,T305)=R305,1,0)+IF(INDEX(入力!$X$5:$X$44,T305)=R305,1,0))+(COUNTIFS($T$6:$T$405,T305,$R$6:$R$405,R305,$X$6:$X$405,"&lt;"&amp;X305))&gt;0,"重複","反映")))))</f>
        <v/>
      </c>
      <c r="W305">
        <f>IF(V305="反映",1,0)</f>
        <v/>
      </c>
      <c r="X305" t="n">
        <v>305</v>
      </c>
      <c r="Y305">
        <f>IF(W305=0,"",COUNTIFS($T$6:$T$405,T305,$W$6:$W$405,1,$S$6:$S$405,"&lt;"&amp;S305)+COUNTIFS($T$6:$T$405,T305,$W$6:$W$405,1,$S$6:$S$405,S305,$X$6:$X$405,"&lt;"&amp;X305)+1)</f>
        <v/>
      </c>
      <c r="Z305">
        <f>IF(Y305="","",T305&amp;"_"&amp;Y305)</f>
        <v/>
      </c>
      <c r="AA305">
        <f>SUBSTITUTE(SUBSTITUTE(SUBSTITUTE(SUBSTITUTE(SUBSTITUTE(INDEX(D305:K305,MIN(8,MAX(1,C305))),"年","/"),"月","/"),"日",""),"-","/"),".","/")</f>
        <v/>
      </c>
      <c r="AB305">
        <f>IFERROR(MATCH(O305,入力!$C$5:$C$44,0),"")</f>
        <v/>
      </c>
      <c r="AC305">
        <f>IF(AB305="","",INDEX(入力!$AH$5:$AH$44,AB305))</f>
        <v/>
      </c>
      <c r="AD305">
        <f>IF(INDEX($D305:$K305,IF(M305=1,2,1))=AC305,1,IF(INDEX($D305:$K305,IF(M305=1,2,1))&amp;INDEX($D305:$K305,IF(M305=1,2,1)+1)=AC305,2,IF(INDEX($D305:$K305,IF(M305=1,2,1))&amp;INDEX($D305:$K305,IF(M305=1,2,1)+1)&amp;INDEX($D305:$K305,IF(M305=1,2,1)+2)=AC305,3,IF(AB305&lt;&gt;"",2,IF(ISNUMBER(MATCH(INDEX($D305:$K305,IF(M305=1,2,1)),入力!$AH$5:$AH$44,0)),1,IF(ISNUMBER(MATCH(INDEX($D305:$K305,IF(M305=1,2,1))&amp;INDEX($D305:$K305,IF(M305=1,2,1)+1),入力!$AH$5:$AH$44,0)),2,IF(ISNUMBER(MATCH(INDEX($D305:$K305,IF(M305=1,2,1))&amp;INDEX($D305:$K305,IF(M305=1,2,1)+1)&amp;INDEX($D305:$K305,IF(M305=1,2,1)+2),入力!$AH$5:$AH$44,0)),3,2)))))))</f>
        <v/>
      </c>
      <c r="AE305">
        <f>IF(V305="","",IF(AND(V305="反映",N(Y305)&gt;20),"要確認（この生徒の取込が20件を超えました）",V305))</f>
        <v/>
      </c>
    </row>
    <row r="306">
      <c r="A306" s="138" t="n"/>
      <c r="B306">
        <f>TRIM(SUBSTITUTE(SUBSTITUTE(SUBSTITUTE(A306,CHAR(9)," "),"　"," "),CHAR(160)," "))</f>
        <v/>
      </c>
      <c r="C306">
        <f>IF(B306="",0,LEN(B306)-LEN(SUBSTITUTE(B306," ",""))+1)</f>
        <v/>
      </c>
      <c r="D306">
        <f>IF(C306&gt;=1,TRIM(MID(SUBSTITUTE(B306," ",REPT(" ",200)),1,200)),"")</f>
        <v/>
      </c>
      <c r="E306">
        <f>IF(C306&gt;=2,TRIM(MID(SUBSTITUTE(B306," ",REPT(" ",200)),201,200)),"")</f>
        <v/>
      </c>
      <c r="F306">
        <f>IF(C306&gt;=3,TRIM(MID(SUBSTITUTE(B306," ",REPT(" ",200)),401,200)),"")</f>
        <v/>
      </c>
      <c r="G306">
        <f>IF(C306&gt;=4,TRIM(MID(SUBSTITUTE(B306," ",REPT(" ",200)),601,200)),"")</f>
        <v/>
      </c>
      <c r="H306">
        <f>IF(C306&gt;=5,TRIM(MID(SUBSTITUTE(B306," ",REPT(" ",200)),801,200)),"")</f>
        <v/>
      </c>
      <c r="I306">
        <f>IF(C306&gt;=6,TRIM(MID(SUBSTITUTE(B306," ",REPT(" ",200)),1001,200)),"")</f>
        <v/>
      </c>
      <c r="J306">
        <f>IF(C306&gt;=7,TRIM(MID(SUBSTITUTE(B306," ",REPT(" ",200)),1201,200)),"")</f>
        <v/>
      </c>
      <c r="K306">
        <f>IF(C306&gt;=8,TRIM(MID(SUBSTITUTE(B306," ",REPT(" ",200)),1401,200)),"")</f>
        <v/>
      </c>
      <c r="L306">
        <f>SUBSTITUTE(SUBSTITUTE(SUBSTITUTE(D306,"年","-"),"組","-"),"番","")</f>
        <v/>
      </c>
      <c r="M306">
        <f>IF(D306="",0,IF(ISNUMBER(VALUE(SUBSTITUTE(L306,"-",""))),1,0))</f>
        <v/>
      </c>
      <c r="N306">
        <f>IF(M306=0,"",IFERROR(VALUE(TRIM(MID(SUBSTITUTE(L306,"-",REPT(" ",100)),101,100))),""))</f>
        <v/>
      </c>
      <c r="O306">
        <f>IF(M306=0,"",IFERROR(VALUE(TRIM(RIGHT(SUBSTITUTE(L306,"-",REPT(" ",100)),100))),""))</f>
        <v/>
      </c>
      <c r="P306">
        <f>IF(B306="","",TRIM(INDEX($D306:$K306,IF(M306=1,2,1))&amp;IF(AD306&gt;=2," "&amp;INDEX($D306:$K306,IF(M306=1,2,1)+1),"")&amp;IF(AD306&gt;=3," "&amp;INDEX($D306:$K306,IF(M306=1,2,1)+2),"")))</f>
        <v/>
      </c>
      <c r="Q306">
        <f>IF(C306&lt;2,"",TRIM(IF(AND(2&gt;=(IF(M306=1,2,1)+AD306),2&lt;=C306-IF(S306="",0,1)),E306&amp;" ","")&amp;IF(AND(3&gt;=(IF(M306=1,2,1)+AD306),3&lt;=C306-IF(S306="",0,1)),F306&amp;" ","")&amp;IF(AND(4&gt;=(IF(M306=1,2,1)+AD306),4&lt;=C306-IF(S306="",0,1)),G306&amp;" ","")&amp;IF(AND(5&gt;=(IF(M306=1,2,1)+AD306),5&lt;=C306-IF(S306="",0,1)),H306&amp;" ","")&amp;IF(AND(6&gt;=(IF(M306=1,2,1)+AD306),6&lt;=C306-IF(S306="",0,1)),I306&amp;" ","")&amp;IF(AND(7&gt;=(IF(M306=1,2,1)+AD306),7&lt;=C306-IF(S306="",0,1)),J306&amp;" ","")&amp;IF(AND(8&gt;=(IF(M306=1,2,1)+AD306),8&lt;=C306-IF(S306="",0,1)),K306&amp;" ","")))</f>
        <v/>
      </c>
      <c r="R306">
        <f>IF(Q306="","",IFERROR(INDEX(資格マスタ!$B:$B,MATCH(ASC(SUBSTITUTE(SUBSTITUTE(Q306," ",""),"　","")),資格マスタ!$D:$D,0)),Q306))</f>
        <v/>
      </c>
      <c r="S306" s="139">
        <f>IF(C306&lt;2,"",IFERROR(IF(OR(LEFT(INDEX(D306:K306,MIN(8,MAX(1,C306))),2)="令和",LEFT(INDEX(D306:K306,MIN(8,MAX(1,C306))),2)="平成",LEFT(INDEX(D306:K306,MIN(8,MAX(1,C306))),2)="昭和"),DATE(VALUE(MID(INDEX(D306:K306,MIN(8,MAX(1,C306))),3,FIND("年",INDEX(D306:K306,MIN(8,MAX(1,C306))))-3))+IF(LEFT(INDEX(D306:K306,MIN(8,MAX(1,C306))),2)="令和",2018,IF(LEFT(INDEX(D306:K306,MIN(8,MAX(1,C306))),2)="平成",1988,1925)),VALUE(MID(INDEX(D306:K306,MIN(8,MAX(1,C306))),FIND("年",INDEX(D306:K306,MIN(8,MAX(1,C306))))+1,FIND("月",INDEX(D306:K306,MIN(8,MAX(1,C306))))-FIND("年",INDEX(D306:K306,MIN(8,MAX(1,C306))))-1)),IFERROR(VALUE(SUBSTITUTE(MID(INDEX(D306:K306,MIN(8,MAX(1,C306))),FIND("月",INDEX(D306:K306,MIN(8,MAX(1,C306))))+1,10),"日","")),1)),DATE(VALUE(TRIM(MID(SUBSTITUTE(AA306,"/",REPT(" ",50)),1,50))),VALUE(TRIM(MID(SUBSTITUTE(AA306,"/",REPT(" ",50)),51,50))),IFERROR(VALUE(TRIM(MID(SUBSTITUTE(AA306,"/",REPT(" ",50)),101,50))),1))),IFERROR(DATEVALUE(INDEX(D306:K306,MIN(8,MAX(1,C306)))),"")))</f>
        <v/>
      </c>
      <c r="T306">
        <f>IF(B306="","",IF(AB306&lt;&gt;"",AB306,IFERROR(MATCH(SUBSTITUTE(SUBSTITUTE(P306," ",""),"　",""),入力!$AH$5:$AH$44,0),"")))</f>
        <v/>
      </c>
      <c r="U306">
        <f>IF(T306="","",INDEX(入力!$D$5:$D$44,T306))</f>
        <v/>
      </c>
      <c r="V306">
        <f>IF(B306="","",IF(T306="","要確認（名簿と照合できません）",IF(R306="","要確認（資格名がありません）",IF(S306="","要確認（取得日が読めません）",IF((IF(INDEX(入力!$N$5:$N$44,T306)=R306,1,0)+IF(INDEX(入力!$P$5:$P$44,T306)=R306,1,0)+IF(INDEX(入力!$R$5:$R$44,T306)=R306,1,0)+IF(INDEX(入力!$T$5:$T$44,T306)=R306,1,0)+IF(INDEX(入力!$V$5:$V$44,T306)=R306,1,0)+IF(INDEX(入力!$X$5:$X$44,T306)=R306,1,0))+(COUNTIFS($T$6:$T$405,T306,$R$6:$R$405,R306,$X$6:$X$405,"&lt;"&amp;X306))&gt;0,"重複","反映")))))</f>
        <v/>
      </c>
      <c r="W306">
        <f>IF(V306="反映",1,0)</f>
        <v/>
      </c>
      <c r="X306" t="n">
        <v>306</v>
      </c>
      <c r="Y306">
        <f>IF(W306=0,"",COUNTIFS($T$6:$T$405,T306,$W$6:$W$405,1,$S$6:$S$405,"&lt;"&amp;S306)+COUNTIFS($T$6:$T$405,T306,$W$6:$W$405,1,$S$6:$S$405,S306,$X$6:$X$405,"&lt;"&amp;X306)+1)</f>
        <v/>
      </c>
      <c r="Z306">
        <f>IF(Y306="","",T306&amp;"_"&amp;Y306)</f>
        <v/>
      </c>
      <c r="AA306">
        <f>SUBSTITUTE(SUBSTITUTE(SUBSTITUTE(SUBSTITUTE(SUBSTITUTE(INDEX(D306:K306,MIN(8,MAX(1,C306))),"年","/"),"月","/"),"日",""),"-","/"),".","/")</f>
        <v/>
      </c>
      <c r="AB306">
        <f>IFERROR(MATCH(O306,入力!$C$5:$C$44,0),"")</f>
        <v/>
      </c>
      <c r="AC306">
        <f>IF(AB306="","",INDEX(入力!$AH$5:$AH$44,AB306))</f>
        <v/>
      </c>
      <c r="AD306">
        <f>IF(INDEX($D306:$K306,IF(M306=1,2,1))=AC306,1,IF(INDEX($D306:$K306,IF(M306=1,2,1))&amp;INDEX($D306:$K306,IF(M306=1,2,1)+1)=AC306,2,IF(INDEX($D306:$K306,IF(M306=1,2,1))&amp;INDEX($D306:$K306,IF(M306=1,2,1)+1)&amp;INDEX($D306:$K306,IF(M306=1,2,1)+2)=AC306,3,IF(AB306&lt;&gt;"",2,IF(ISNUMBER(MATCH(INDEX($D306:$K306,IF(M306=1,2,1)),入力!$AH$5:$AH$44,0)),1,IF(ISNUMBER(MATCH(INDEX($D306:$K306,IF(M306=1,2,1))&amp;INDEX($D306:$K306,IF(M306=1,2,1)+1),入力!$AH$5:$AH$44,0)),2,IF(ISNUMBER(MATCH(INDEX($D306:$K306,IF(M306=1,2,1))&amp;INDEX($D306:$K306,IF(M306=1,2,1)+1)&amp;INDEX($D306:$K306,IF(M306=1,2,1)+2),入力!$AH$5:$AH$44,0)),3,2)))))))</f>
        <v/>
      </c>
      <c r="AE306">
        <f>IF(V306="","",IF(AND(V306="反映",N(Y306)&gt;20),"要確認（この生徒の取込が20件を超えました）",V306))</f>
        <v/>
      </c>
    </row>
    <row r="307">
      <c r="A307" s="138" t="n"/>
      <c r="B307">
        <f>TRIM(SUBSTITUTE(SUBSTITUTE(SUBSTITUTE(A307,CHAR(9)," "),"　"," "),CHAR(160)," "))</f>
        <v/>
      </c>
      <c r="C307">
        <f>IF(B307="",0,LEN(B307)-LEN(SUBSTITUTE(B307," ",""))+1)</f>
        <v/>
      </c>
      <c r="D307">
        <f>IF(C307&gt;=1,TRIM(MID(SUBSTITUTE(B307," ",REPT(" ",200)),1,200)),"")</f>
        <v/>
      </c>
      <c r="E307">
        <f>IF(C307&gt;=2,TRIM(MID(SUBSTITUTE(B307," ",REPT(" ",200)),201,200)),"")</f>
        <v/>
      </c>
      <c r="F307">
        <f>IF(C307&gt;=3,TRIM(MID(SUBSTITUTE(B307," ",REPT(" ",200)),401,200)),"")</f>
        <v/>
      </c>
      <c r="G307">
        <f>IF(C307&gt;=4,TRIM(MID(SUBSTITUTE(B307," ",REPT(" ",200)),601,200)),"")</f>
        <v/>
      </c>
      <c r="H307">
        <f>IF(C307&gt;=5,TRIM(MID(SUBSTITUTE(B307," ",REPT(" ",200)),801,200)),"")</f>
        <v/>
      </c>
      <c r="I307">
        <f>IF(C307&gt;=6,TRIM(MID(SUBSTITUTE(B307," ",REPT(" ",200)),1001,200)),"")</f>
        <v/>
      </c>
      <c r="J307">
        <f>IF(C307&gt;=7,TRIM(MID(SUBSTITUTE(B307," ",REPT(" ",200)),1201,200)),"")</f>
        <v/>
      </c>
      <c r="K307">
        <f>IF(C307&gt;=8,TRIM(MID(SUBSTITUTE(B307," ",REPT(" ",200)),1401,200)),"")</f>
        <v/>
      </c>
      <c r="L307">
        <f>SUBSTITUTE(SUBSTITUTE(SUBSTITUTE(D307,"年","-"),"組","-"),"番","")</f>
        <v/>
      </c>
      <c r="M307">
        <f>IF(D307="",0,IF(ISNUMBER(VALUE(SUBSTITUTE(L307,"-",""))),1,0))</f>
        <v/>
      </c>
      <c r="N307">
        <f>IF(M307=0,"",IFERROR(VALUE(TRIM(MID(SUBSTITUTE(L307,"-",REPT(" ",100)),101,100))),""))</f>
        <v/>
      </c>
      <c r="O307">
        <f>IF(M307=0,"",IFERROR(VALUE(TRIM(RIGHT(SUBSTITUTE(L307,"-",REPT(" ",100)),100))),""))</f>
        <v/>
      </c>
      <c r="P307">
        <f>IF(B307="","",TRIM(INDEX($D307:$K307,IF(M307=1,2,1))&amp;IF(AD307&gt;=2," "&amp;INDEX($D307:$K307,IF(M307=1,2,1)+1),"")&amp;IF(AD307&gt;=3," "&amp;INDEX($D307:$K307,IF(M307=1,2,1)+2),"")))</f>
        <v/>
      </c>
      <c r="Q307">
        <f>IF(C307&lt;2,"",TRIM(IF(AND(2&gt;=(IF(M307=1,2,1)+AD307),2&lt;=C307-IF(S307="",0,1)),E307&amp;" ","")&amp;IF(AND(3&gt;=(IF(M307=1,2,1)+AD307),3&lt;=C307-IF(S307="",0,1)),F307&amp;" ","")&amp;IF(AND(4&gt;=(IF(M307=1,2,1)+AD307),4&lt;=C307-IF(S307="",0,1)),G307&amp;" ","")&amp;IF(AND(5&gt;=(IF(M307=1,2,1)+AD307),5&lt;=C307-IF(S307="",0,1)),H307&amp;" ","")&amp;IF(AND(6&gt;=(IF(M307=1,2,1)+AD307),6&lt;=C307-IF(S307="",0,1)),I307&amp;" ","")&amp;IF(AND(7&gt;=(IF(M307=1,2,1)+AD307),7&lt;=C307-IF(S307="",0,1)),J307&amp;" ","")&amp;IF(AND(8&gt;=(IF(M307=1,2,1)+AD307),8&lt;=C307-IF(S307="",0,1)),K307&amp;" ","")))</f>
        <v/>
      </c>
      <c r="R307">
        <f>IF(Q307="","",IFERROR(INDEX(資格マスタ!$B:$B,MATCH(ASC(SUBSTITUTE(SUBSTITUTE(Q307," ",""),"　","")),資格マスタ!$D:$D,0)),Q307))</f>
        <v/>
      </c>
      <c r="S307" s="139">
        <f>IF(C307&lt;2,"",IFERROR(IF(OR(LEFT(INDEX(D307:K307,MIN(8,MAX(1,C307))),2)="令和",LEFT(INDEX(D307:K307,MIN(8,MAX(1,C307))),2)="平成",LEFT(INDEX(D307:K307,MIN(8,MAX(1,C307))),2)="昭和"),DATE(VALUE(MID(INDEX(D307:K307,MIN(8,MAX(1,C307))),3,FIND("年",INDEX(D307:K307,MIN(8,MAX(1,C307))))-3))+IF(LEFT(INDEX(D307:K307,MIN(8,MAX(1,C307))),2)="令和",2018,IF(LEFT(INDEX(D307:K307,MIN(8,MAX(1,C307))),2)="平成",1988,1925)),VALUE(MID(INDEX(D307:K307,MIN(8,MAX(1,C307))),FIND("年",INDEX(D307:K307,MIN(8,MAX(1,C307))))+1,FIND("月",INDEX(D307:K307,MIN(8,MAX(1,C307))))-FIND("年",INDEX(D307:K307,MIN(8,MAX(1,C307))))-1)),IFERROR(VALUE(SUBSTITUTE(MID(INDEX(D307:K307,MIN(8,MAX(1,C307))),FIND("月",INDEX(D307:K307,MIN(8,MAX(1,C307))))+1,10),"日","")),1)),DATE(VALUE(TRIM(MID(SUBSTITUTE(AA307,"/",REPT(" ",50)),1,50))),VALUE(TRIM(MID(SUBSTITUTE(AA307,"/",REPT(" ",50)),51,50))),IFERROR(VALUE(TRIM(MID(SUBSTITUTE(AA307,"/",REPT(" ",50)),101,50))),1))),IFERROR(DATEVALUE(INDEX(D307:K307,MIN(8,MAX(1,C307)))),"")))</f>
        <v/>
      </c>
      <c r="T307">
        <f>IF(B307="","",IF(AB307&lt;&gt;"",AB307,IFERROR(MATCH(SUBSTITUTE(SUBSTITUTE(P307," ",""),"　",""),入力!$AH$5:$AH$44,0),"")))</f>
        <v/>
      </c>
      <c r="U307">
        <f>IF(T307="","",INDEX(入力!$D$5:$D$44,T307))</f>
        <v/>
      </c>
      <c r="V307">
        <f>IF(B307="","",IF(T307="","要確認（名簿と照合できません）",IF(R307="","要確認（資格名がありません）",IF(S307="","要確認（取得日が読めません）",IF((IF(INDEX(入力!$N$5:$N$44,T307)=R307,1,0)+IF(INDEX(入力!$P$5:$P$44,T307)=R307,1,0)+IF(INDEX(入力!$R$5:$R$44,T307)=R307,1,0)+IF(INDEX(入力!$T$5:$T$44,T307)=R307,1,0)+IF(INDEX(入力!$V$5:$V$44,T307)=R307,1,0)+IF(INDEX(入力!$X$5:$X$44,T307)=R307,1,0))+(COUNTIFS($T$6:$T$405,T307,$R$6:$R$405,R307,$X$6:$X$405,"&lt;"&amp;X307))&gt;0,"重複","反映")))))</f>
        <v/>
      </c>
      <c r="W307">
        <f>IF(V307="反映",1,0)</f>
        <v/>
      </c>
      <c r="X307" t="n">
        <v>307</v>
      </c>
      <c r="Y307">
        <f>IF(W307=0,"",COUNTIFS($T$6:$T$405,T307,$W$6:$W$405,1,$S$6:$S$405,"&lt;"&amp;S307)+COUNTIFS($T$6:$T$405,T307,$W$6:$W$405,1,$S$6:$S$405,S307,$X$6:$X$405,"&lt;"&amp;X307)+1)</f>
        <v/>
      </c>
      <c r="Z307">
        <f>IF(Y307="","",T307&amp;"_"&amp;Y307)</f>
        <v/>
      </c>
      <c r="AA307">
        <f>SUBSTITUTE(SUBSTITUTE(SUBSTITUTE(SUBSTITUTE(SUBSTITUTE(INDEX(D307:K307,MIN(8,MAX(1,C307))),"年","/"),"月","/"),"日",""),"-","/"),".","/")</f>
        <v/>
      </c>
      <c r="AB307">
        <f>IFERROR(MATCH(O307,入力!$C$5:$C$44,0),"")</f>
        <v/>
      </c>
      <c r="AC307">
        <f>IF(AB307="","",INDEX(入力!$AH$5:$AH$44,AB307))</f>
        <v/>
      </c>
      <c r="AD307">
        <f>IF(INDEX($D307:$K307,IF(M307=1,2,1))=AC307,1,IF(INDEX($D307:$K307,IF(M307=1,2,1))&amp;INDEX($D307:$K307,IF(M307=1,2,1)+1)=AC307,2,IF(INDEX($D307:$K307,IF(M307=1,2,1))&amp;INDEX($D307:$K307,IF(M307=1,2,1)+1)&amp;INDEX($D307:$K307,IF(M307=1,2,1)+2)=AC307,3,IF(AB307&lt;&gt;"",2,IF(ISNUMBER(MATCH(INDEX($D307:$K307,IF(M307=1,2,1)),入力!$AH$5:$AH$44,0)),1,IF(ISNUMBER(MATCH(INDEX($D307:$K307,IF(M307=1,2,1))&amp;INDEX($D307:$K307,IF(M307=1,2,1)+1),入力!$AH$5:$AH$44,0)),2,IF(ISNUMBER(MATCH(INDEX($D307:$K307,IF(M307=1,2,1))&amp;INDEX($D307:$K307,IF(M307=1,2,1)+1)&amp;INDEX($D307:$K307,IF(M307=1,2,1)+2),入力!$AH$5:$AH$44,0)),3,2)))))))</f>
        <v/>
      </c>
      <c r="AE307">
        <f>IF(V307="","",IF(AND(V307="反映",N(Y307)&gt;20),"要確認（この生徒の取込が20件を超えました）",V307))</f>
        <v/>
      </c>
    </row>
    <row r="308">
      <c r="A308" s="138" t="n"/>
      <c r="B308">
        <f>TRIM(SUBSTITUTE(SUBSTITUTE(SUBSTITUTE(A308,CHAR(9)," "),"　"," "),CHAR(160)," "))</f>
        <v/>
      </c>
      <c r="C308">
        <f>IF(B308="",0,LEN(B308)-LEN(SUBSTITUTE(B308," ",""))+1)</f>
        <v/>
      </c>
      <c r="D308">
        <f>IF(C308&gt;=1,TRIM(MID(SUBSTITUTE(B308," ",REPT(" ",200)),1,200)),"")</f>
        <v/>
      </c>
      <c r="E308">
        <f>IF(C308&gt;=2,TRIM(MID(SUBSTITUTE(B308," ",REPT(" ",200)),201,200)),"")</f>
        <v/>
      </c>
      <c r="F308">
        <f>IF(C308&gt;=3,TRIM(MID(SUBSTITUTE(B308," ",REPT(" ",200)),401,200)),"")</f>
        <v/>
      </c>
      <c r="G308">
        <f>IF(C308&gt;=4,TRIM(MID(SUBSTITUTE(B308," ",REPT(" ",200)),601,200)),"")</f>
        <v/>
      </c>
      <c r="H308">
        <f>IF(C308&gt;=5,TRIM(MID(SUBSTITUTE(B308," ",REPT(" ",200)),801,200)),"")</f>
        <v/>
      </c>
      <c r="I308">
        <f>IF(C308&gt;=6,TRIM(MID(SUBSTITUTE(B308," ",REPT(" ",200)),1001,200)),"")</f>
        <v/>
      </c>
      <c r="J308">
        <f>IF(C308&gt;=7,TRIM(MID(SUBSTITUTE(B308," ",REPT(" ",200)),1201,200)),"")</f>
        <v/>
      </c>
      <c r="K308">
        <f>IF(C308&gt;=8,TRIM(MID(SUBSTITUTE(B308," ",REPT(" ",200)),1401,200)),"")</f>
        <v/>
      </c>
      <c r="L308">
        <f>SUBSTITUTE(SUBSTITUTE(SUBSTITUTE(D308,"年","-"),"組","-"),"番","")</f>
        <v/>
      </c>
      <c r="M308">
        <f>IF(D308="",0,IF(ISNUMBER(VALUE(SUBSTITUTE(L308,"-",""))),1,0))</f>
        <v/>
      </c>
      <c r="N308">
        <f>IF(M308=0,"",IFERROR(VALUE(TRIM(MID(SUBSTITUTE(L308,"-",REPT(" ",100)),101,100))),""))</f>
        <v/>
      </c>
      <c r="O308">
        <f>IF(M308=0,"",IFERROR(VALUE(TRIM(RIGHT(SUBSTITUTE(L308,"-",REPT(" ",100)),100))),""))</f>
        <v/>
      </c>
      <c r="P308">
        <f>IF(B308="","",TRIM(INDEX($D308:$K308,IF(M308=1,2,1))&amp;IF(AD308&gt;=2," "&amp;INDEX($D308:$K308,IF(M308=1,2,1)+1),"")&amp;IF(AD308&gt;=3," "&amp;INDEX($D308:$K308,IF(M308=1,2,1)+2),"")))</f>
        <v/>
      </c>
      <c r="Q308">
        <f>IF(C308&lt;2,"",TRIM(IF(AND(2&gt;=(IF(M308=1,2,1)+AD308),2&lt;=C308-IF(S308="",0,1)),E308&amp;" ","")&amp;IF(AND(3&gt;=(IF(M308=1,2,1)+AD308),3&lt;=C308-IF(S308="",0,1)),F308&amp;" ","")&amp;IF(AND(4&gt;=(IF(M308=1,2,1)+AD308),4&lt;=C308-IF(S308="",0,1)),G308&amp;" ","")&amp;IF(AND(5&gt;=(IF(M308=1,2,1)+AD308),5&lt;=C308-IF(S308="",0,1)),H308&amp;" ","")&amp;IF(AND(6&gt;=(IF(M308=1,2,1)+AD308),6&lt;=C308-IF(S308="",0,1)),I308&amp;" ","")&amp;IF(AND(7&gt;=(IF(M308=1,2,1)+AD308),7&lt;=C308-IF(S308="",0,1)),J308&amp;" ","")&amp;IF(AND(8&gt;=(IF(M308=1,2,1)+AD308),8&lt;=C308-IF(S308="",0,1)),K308&amp;" ","")))</f>
        <v/>
      </c>
      <c r="R308">
        <f>IF(Q308="","",IFERROR(INDEX(資格マスタ!$B:$B,MATCH(ASC(SUBSTITUTE(SUBSTITUTE(Q308," ",""),"　","")),資格マスタ!$D:$D,0)),Q308))</f>
        <v/>
      </c>
      <c r="S308" s="139">
        <f>IF(C308&lt;2,"",IFERROR(IF(OR(LEFT(INDEX(D308:K308,MIN(8,MAX(1,C308))),2)="令和",LEFT(INDEX(D308:K308,MIN(8,MAX(1,C308))),2)="平成",LEFT(INDEX(D308:K308,MIN(8,MAX(1,C308))),2)="昭和"),DATE(VALUE(MID(INDEX(D308:K308,MIN(8,MAX(1,C308))),3,FIND("年",INDEX(D308:K308,MIN(8,MAX(1,C308))))-3))+IF(LEFT(INDEX(D308:K308,MIN(8,MAX(1,C308))),2)="令和",2018,IF(LEFT(INDEX(D308:K308,MIN(8,MAX(1,C308))),2)="平成",1988,1925)),VALUE(MID(INDEX(D308:K308,MIN(8,MAX(1,C308))),FIND("年",INDEX(D308:K308,MIN(8,MAX(1,C308))))+1,FIND("月",INDEX(D308:K308,MIN(8,MAX(1,C308))))-FIND("年",INDEX(D308:K308,MIN(8,MAX(1,C308))))-1)),IFERROR(VALUE(SUBSTITUTE(MID(INDEX(D308:K308,MIN(8,MAX(1,C308))),FIND("月",INDEX(D308:K308,MIN(8,MAX(1,C308))))+1,10),"日","")),1)),DATE(VALUE(TRIM(MID(SUBSTITUTE(AA308,"/",REPT(" ",50)),1,50))),VALUE(TRIM(MID(SUBSTITUTE(AA308,"/",REPT(" ",50)),51,50))),IFERROR(VALUE(TRIM(MID(SUBSTITUTE(AA308,"/",REPT(" ",50)),101,50))),1))),IFERROR(DATEVALUE(INDEX(D308:K308,MIN(8,MAX(1,C308)))),"")))</f>
        <v/>
      </c>
      <c r="T308">
        <f>IF(B308="","",IF(AB308&lt;&gt;"",AB308,IFERROR(MATCH(SUBSTITUTE(SUBSTITUTE(P308," ",""),"　",""),入力!$AH$5:$AH$44,0),"")))</f>
        <v/>
      </c>
      <c r="U308">
        <f>IF(T308="","",INDEX(入力!$D$5:$D$44,T308))</f>
        <v/>
      </c>
      <c r="V308">
        <f>IF(B308="","",IF(T308="","要確認（名簿と照合できません）",IF(R308="","要確認（資格名がありません）",IF(S308="","要確認（取得日が読めません）",IF((IF(INDEX(入力!$N$5:$N$44,T308)=R308,1,0)+IF(INDEX(入力!$P$5:$P$44,T308)=R308,1,0)+IF(INDEX(入力!$R$5:$R$44,T308)=R308,1,0)+IF(INDEX(入力!$T$5:$T$44,T308)=R308,1,0)+IF(INDEX(入力!$V$5:$V$44,T308)=R308,1,0)+IF(INDEX(入力!$X$5:$X$44,T308)=R308,1,0))+(COUNTIFS($T$6:$T$405,T308,$R$6:$R$405,R308,$X$6:$X$405,"&lt;"&amp;X308))&gt;0,"重複","反映")))))</f>
        <v/>
      </c>
      <c r="W308">
        <f>IF(V308="反映",1,0)</f>
        <v/>
      </c>
      <c r="X308" t="n">
        <v>308</v>
      </c>
      <c r="Y308">
        <f>IF(W308=0,"",COUNTIFS($T$6:$T$405,T308,$W$6:$W$405,1,$S$6:$S$405,"&lt;"&amp;S308)+COUNTIFS($T$6:$T$405,T308,$W$6:$W$405,1,$S$6:$S$405,S308,$X$6:$X$405,"&lt;"&amp;X308)+1)</f>
        <v/>
      </c>
      <c r="Z308">
        <f>IF(Y308="","",T308&amp;"_"&amp;Y308)</f>
        <v/>
      </c>
      <c r="AA308">
        <f>SUBSTITUTE(SUBSTITUTE(SUBSTITUTE(SUBSTITUTE(SUBSTITUTE(INDEX(D308:K308,MIN(8,MAX(1,C308))),"年","/"),"月","/"),"日",""),"-","/"),".","/")</f>
        <v/>
      </c>
      <c r="AB308">
        <f>IFERROR(MATCH(O308,入力!$C$5:$C$44,0),"")</f>
        <v/>
      </c>
      <c r="AC308">
        <f>IF(AB308="","",INDEX(入力!$AH$5:$AH$44,AB308))</f>
        <v/>
      </c>
      <c r="AD308">
        <f>IF(INDEX($D308:$K308,IF(M308=1,2,1))=AC308,1,IF(INDEX($D308:$K308,IF(M308=1,2,1))&amp;INDEX($D308:$K308,IF(M308=1,2,1)+1)=AC308,2,IF(INDEX($D308:$K308,IF(M308=1,2,1))&amp;INDEX($D308:$K308,IF(M308=1,2,1)+1)&amp;INDEX($D308:$K308,IF(M308=1,2,1)+2)=AC308,3,IF(AB308&lt;&gt;"",2,IF(ISNUMBER(MATCH(INDEX($D308:$K308,IF(M308=1,2,1)),入力!$AH$5:$AH$44,0)),1,IF(ISNUMBER(MATCH(INDEX($D308:$K308,IF(M308=1,2,1))&amp;INDEX($D308:$K308,IF(M308=1,2,1)+1),入力!$AH$5:$AH$44,0)),2,IF(ISNUMBER(MATCH(INDEX($D308:$K308,IF(M308=1,2,1))&amp;INDEX($D308:$K308,IF(M308=1,2,1)+1)&amp;INDEX($D308:$K308,IF(M308=1,2,1)+2),入力!$AH$5:$AH$44,0)),3,2)))))))</f>
        <v/>
      </c>
      <c r="AE308">
        <f>IF(V308="","",IF(AND(V308="反映",N(Y308)&gt;20),"要確認（この生徒の取込が20件を超えました）",V308))</f>
        <v/>
      </c>
    </row>
    <row r="309">
      <c r="A309" s="138" t="n"/>
      <c r="B309">
        <f>TRIM(SUBSTITUTE(SUBSTITUTE(SUBSTITUTE(A309,CHAR(9)," "),"　"," "),CHAR(160)," "))</f>
        <v/>
      </c>
      <c r="C309">
        <f>IF(B309="",0,LEN(B309)-LEN(SUBSTITUTE(B309," ",""))+1)</f>
        <v/>
      </c>
      <c r="D309">
        <f>IF(C309&gt;=1,TRIM(MID(SUBSTITUTE(B309," ",REPT(" ",200)),1,200)),"")</f>
        <v/>
      </c>
      <c r="E309">
        <f>IF(C309&gt;=2,TRIM(MID(SUBSTITUTE(B309," ",REPT(" ",200)),201,200)),"")</f>
        <v/>
      </c>
      <c r="F309">
        <f>IF(C309&gt;=3,TRIM(MID(SUBSTITUTE(B309," ",REPT(" ",200)),401,200)),"")</f>
        <v/>
      </c>
      <c r="G309">
        <f>IF(C309&gt;=4,TRIM(MID(SUBSTITUTE(B309," ",REPT(" ",200)),601,200)),"")</f>
        <v/>
      </c>
      <c r="H309">
        <f>IF(C309&gt;=5,TRIM(MID(SUBSTITUTE(B309," ",REPT(" ",200)),801,200)),"")</f>
        <v/>
      </c>
      <c r="I309">
        <f>IF(C309&gt;=6,TRIM(MID(SUBSTITUTE(B309," ",REPT(" ",200)),1001,200)),"")</f>
        <v/>
      </c>
      <c r="J309">
        <f>IF(C309&gt;=7,TRIM(MID(SUBSTITUTE(B309," ",REPT(" ",200)),1201,200)),"")</f>
        <v/>
      </c>
      <c r="K309">
        <f>IF(C309&gt;=8,TRIM(MID(SUBSTITUTE(B309," ",REPT(" ",200)),1401,200)),"")</f>
        <v/>
      </c>
      <c r="L309">
        <f>SUBSTITUTE(SUBSTITUTE(SUBSTITUTE(D309,"年","-"),"組","-"),"番","")</f>
        <v/>
      </c>
      <c r="M309">
        <f>IF(D309="",0,IF(ISNUMBER(VALUE(SUBSTITUTE(L309,"-",""))),1,0))</f>
        <v/>
      </c>
      <c r="N309">
        <f>IF(M309=0,"",IFERROR(VALUE(TRIM(MID(SUBSTITUTE(L309,"-",REPT(" ",100)),101,100))),""))</f>
        <v/>
      </c>
      <c r="O309">
        <f>IF(M309=0,"",IFERROR(VALUE(TRIM(RIGHT(SUBSTITUTE(L309,"-",REPT(" ",100)),100))),""))</f>
        <v/>
      </c>
      <c r="P309">
        <f>IF(B309="","",TRIM(INDEX($D309:$K309,IF(M309=1,2,1))&amp;IF(AD309&gt;=2," "&amp;INDEX($D309:$K309,IF(M309=1,2,1)+1),"")&amp;IF(AD309&gt;=3," "&amp;INDEX($D309:$K309,IF(M309=1,2,1)+2),"")))</f>
        <v/>
      </c>
      <c r="Q309">
        <f>IF(C309&lt;2,"",TRIM(IF(AND(2&gt;=(IF(M309=1,2,1)+AD309),2&lt;=C309-IF(S309="",0,1)),E309&amp;" ","")&amp;IF(AND(3&gt;=(IF(M309=1,2,1)+AD309),3&lt;=C309-IF(S309="",0,1)),F309&amp;" ","")&amp;IF(AND(4&gt;=(IF(M309=1,2,1)+AD309),4&lt;=C309-IF(S309="",0,1)),G309&amp;" ","")&amp;IF(AND(5&gt;=(IF(M309=1,2,1)+AD309),5&lt;=C309-IF(S309="",0,1)),H309&amp;" ","")&amp;IF(AND(6&gt;=(IF(M309=1,2,1)+AD309),6&lt;=C309-IF(S309="",0,1)),I309&amp;" ","")&amp;IF(AND(7&gt;=(IF(M309=1,2,1)+AD309),7&lt;=C309-IF(S309="",0,1)),J309&amp;" ","")&amp;IF(AND(8&gt;=(IF(M309=1,2,1)+AD309),8&lt;=C309-IF(S309="",0,1)),K309&amp;" ","")))</f>
        <v/>
      </c>
      <c r="R309">
        <f>IF(Q309="","",IFERROR(INDEX(資格マスタ!$B:$B,MATCH(ASC(SUBSTITUTE(SUBSTITUTE(Q309," ",""),"　","")),資格マスタ!$D:$D,0)),Q309))</f>
        <v/>
      </c>
      <c r="S309" s="139">
        <f>IF(C309&lt;2,"",IFERROR(IF(OR(LEFT(INDEX(D309:K309,MIN(8,MAX(1,C309))),2)="令和",LEFT(INDEX(D309:K309,MIN(8,MAX(1,C309))),2)="平成",LEFT(INDEX(D309:K309,MIN(8,MAX(1,C309))),2)="昭和"),DATE(VALUE(MID(INDEX(D309:K309,MIN(8,MAX(1,C309))),3,FIND("年",INDEX(D309:K309,MIN(8,MAX(1,C309))))-3))+IF(LEFT(INDEX(D309:K309,MIN(8,MAX(1,C309))),2)="令和",2018,IF(LEFT(INDEX(D309:K309,MIN(8,MAX(1,C309))),2)="平成",1988,1925)),VALUE(MID(INDEX(D309:K309,MIN(8,MAX(1,C309))),FIND("年",INDEX(D309:K309,MIN(8,MAX(1,C309))))+1,FIND("月",INDEX(D309:K309,MIN(8,MAX(1,C309))))-FIND("年",INDEX(D309:K309,MIN(8,MAX(1,C309))))-1)),IFERROR(VALUE(SUBSTITUTE(MID(INDEX(D309:K309,MIN(8,MAX(1,C309))),FIND("月",INDEX(D309:K309,MIN(8,MAX(1,C309))))+1,10),"日","")),1)),DATE(VALUE(TRIM(MID(SUBSTITUTE(AA309,"/",REPT(" ",50)),1,50))),VALUE(TRIM(MID(SUBSTITUTE(AA309,"/",REPT(" ",50)),51,50))),IFERROR(VALUE(TRIM(MID(SUBSTITUTE(AA309,"/",REPT(" ",50)),101,50))),1))),IFERROR(DATEVALUE(INDEX(D309:K309,MIN(8,MAX(1,C309)))),"")))</f>
        <v/>
      </c>
      <c r="T309">
        <f>IF(B309="","",IF(AB309&lt;&gt;"",AB309,IFERROR(MATCH(SUBSTITUTE(SUBSTITUTE(P309," ",""),"　",""),入力!$AH$5:$AH$44,0),"")))</f>
        <v/>
      </c>
      <c r="U309">
        <f>IF(T309="","",INDEX(入力!$D$5:$D$44,T309))</f>
        <v/>
      </c>
      <c r="V309">
        <f>IF(B309="","",IF(T309="","要確認（名簿と照合できません）",IF(R309="","要確認（資格名がありません）",IF(S309="","要確認（取得日が読めません）",IF((IF(INDEX(入力!$N$5:$N$44,T309)=R309,1,0)+IF(INDEX(入力!$P$5:$P$44,T309)=R309,1,0)+IF(INDEX(入力!$R$5:$R$44,T309)=R309,1,0)+IF(INDEX(入力!$T$5:$T$44,T309)=R309,1,0)+IF(INDEX(入力!$V$5:$V$44,T309)=R309,1,0)+IF(INDEX(入力!$X$5:$X$44,T309)=R309,1,0))+(COUNTIFS($T$6:$T$405,T309,$R$6:$R$405,R309,$X$6:$X$405,"&lt;"&amp;X309))&gt;0,"重複","反映")))))</f>
        <v/>
      </c>
      <c r="W309">
        <f>IF(V309="反映",1,0)</f>
        <v/>
      </c>
      <c r="X309" t="n">
        <v>309</v>
      </c>
      <c r="Y309">
        <f>IF(W309=0,"",COUNTIFS($T$6:$T$405,T309,$W$6:$W$405,1,$S$6:$S$405,"&lt;"&amp;S309)+COUNTIFS($T$6:$T$405,T309,$W$6:$W$405,1,$S$6:$S$405,S309,$X$6:$X$405,"&lt;"&amp;X309)+1)</f>
        <v/>
      </c>
      <c r="Z309">
        <f>IF(Y309="","",T309&amp;"_"&amp;Y309)</f>
        <v/>
      </c>
      <c r="AA309">
        <f>SUBSTITUTE(SUBSTITUTE(SUBSTITUTE(SUBSTITUTE(SUBSTITUTE(INDEX(D309:K309,MIN(8,MAX(1,C309))),"年","/"),"月","/"),"日",""),"-","/"),".","/")</f>
        <v/>
      </c>
      <c r="AB309">
        <f>IFERROR(MATCH(O309,入力!$C$5:$C$44,0),"")</f>
        <v/>
      </c>
      <c r="AC309">
        <f>IF(AB309="","",INDEX(入力!$AH$5:$AH$44,AB309))</f>
        <v/>
      </c>
      <c r="AD309">
        <f>IF(INDEX($D309:$K309,IF(M309=1,2,1))=AC309,1,IF(INDEX($D309:$K309,IF(M309=1,2,1))&amp;INDEX($D309:$K309,IF(M309=1,2,1)+1)=AC309,2,IF(INDEX($D309:$K309,IF(M309=1,2,1))&amp;INDEX($D309:$K309,IF(M309=1,2,1)+1)&amp;INDEX($D309:$K309,IF(M309=1,2,1)+2)=AC309,3,IF(AB309&lt;&gt;"",2,IF(ISNUMBER(MATCH(INDEX($D309:$K309,IF(M309=1,2,1)),入力!$AH$5:$AH$44,0)),1,IF(ISNUMBER(MATCH(INDEX($D309:$K309,IF(M309=1,2,1))&amp;INDEX($D309:$K309,IF(M309=1,2,1)+1),入力!$AH$5:$AH$44,0)),2,IF(ISNUMBER(MATCH(INDEX($D309:$K309,IF(M309=1,2,1))&amp;INDEX($D309:$K309,IF(M309=1,2,1)+1)&amp;INDEX($D309:$K309,IF(M309=1,2,1)+2),入力!$AH$5:$AH$44,0)),3,2)))))))</f>
        <v/>
      </c>
      <c r="AE309">
        <f>IF(V309="","",IF(AND(V309="反映",N(Y309)&gt;20),"要確認（この生徒の取込が20件を超えました）",V309))</f>
        <v/>
      </c>
    </row>
    <row r="310">
      <c r="A310" s="138" t="n"/>
      <c r="B310">
        <f>TRIM(SUBSTITUTE(SUBSTITUTE(SUBSTITUTE(A310,CHAR(9)," "),"　"," "),CHAR(160)," "))</f>
        <v/>
      </c>
      <c r="C310">
        <f>IF(B310="",0,LEN(B310)-LEN(SUBSTITUTE(B310," ",""))+1)</f>
        <v/>
      </c>
      <c r="D310">
        <f>IF(C310&gt;=1,TRIM(MID(SUBSTITUTE(B310," ",REPT(" ",200)),1,200)),"")</f>
        <v/>
      </c>
      <c r="E310">
        <f>IF(C310&gt;=2,TRIM(MID(SUBSTITUTE(B310," ",REPT(" ",200)),201,200)),"")</f>
        <v/>
      </c>
      <c r="F310">
        <f>IF(C310&gt;=3,TRIM(MID(SUBSTITUTE(B310," ",REPT(" ",200)),401,200)),"")</f>
        <v/>
      </c>
      <c r="G310">
        <f>IF(C310&gt;=4,TRIM(MID(SUBSTITUTE(B310," ",REPT(" ",200)),601,200)),"")</f>
        <v/>
      </c>
      <c r="H310">
        <f>IF(C310&gt;=5,TRIM(MID(SUBSTITUTE(B310," ",REPT(" ",200)),801,200)),"")</f>
        <v/>
      </c>
      <c r="I310">
        <f>IF(C310&gt;=6,TRIM(MID(SUBSTITUTE(B310," ",REPT(" ",200)),1001,200)),"")</f>
        <v/>
      </c>
      <c r="J310">
        <f>IF(C310&gt;=7,TRIM(MID(SUBSTITUTE(B310," ",REPT(" ",200)),1201,200)),"")</f>
        <v/>
      </c>
      <c r="K310">
        <f>IF(C310&gt;=8,TRIM(MID(SUBSTITUTE(B310," ",REPT(" ",200)),1401,200)),"")</f>
        <v/>
      </c>
      <c r="L310">
        <f>SUBSTITUTE(SUBSTITUTE(SUBSTITUTE(D310,"年","-"),"組","-"),"番","")</f>
        <v/>
      </c>
      <c r="M310">
        <f>IF(D310="",0,IF(ISNUMBER(VALUE(SUBSTITUTE(L310,"-",""))),1,0))</f>
        <v/>
      </c>
      <c r="N310">
        <f>IF(M310=0,"",IFERROR(VALUE(TRIM(MID(SUBSTITUTE(L310,"-",REPT(" ",100)),101,100))),""))</f>
        <v/>
      </c>
      <c r="O310">
        <f>IF(M310=0,"",IFERROR(VALUE(TRIM(RIGHT(SUBSTITUTE(L310,"-",REPT(" ",100)),100))),""))</f>
        <v/>
      </c>
      <c r="P310">
        <f>IF(B310="","",TRIM(INDEX($D310:$K310,IF(M310=1,2,1))&amp;IF(AD310&gt;=2," "&amp;INDEX($D310:$K310,IF(M310=1,2,1)+1),"")&amp;IF(AD310&gt;=3," "&amp;INDEX($D310:$K310,IF(M310=1,2,1)+2),"")))</f>
        <v/>
      </c>
      <c r="Q310">
        <f>IF(C310&lt;2,"",TRIM(IF(AND(2&gt;=(IF(M310=1,2,1)+AD310),2&lt;=C310-IF(S310="",0,1)),E310&amp;" ","")&amp;IF(AND(3&gt;=(IF(M310=1,2,1)+AD310),3&lt;=C310-IF(S310="",0,1)),F310&amp;" ","")&amp;IF(AND(4&gt;=(IF(M310=1,2,1)+AD310),4&lt;=C310-IF(S310="",0,1)),G310&amp;" ","")&amp;IF(AND(5&gt;=(IF(M310=1,2,1)+AD310),5&lt;=C310-IF(S310="",0,1)),H310&amp;" ","")&amp;IF(AND(6&gt;=(IF(M310=1,2,1)+AD310),6&lt;=C310-IF(S310="",0,1)),I310&amp;" ","")&amp;IF(AND(7&gt;=(IF(M310=1,2,1)+AD310),7&lt;=C310-IF(S310="",0,1)),J310&amp;" ","")&amp;IF(AND(8&gt;=(IF(M310=1,2,1)+AD310),8&lt;=C310-IF(S310="",0,1)),K310&amp;" ","")))</f>
        <v/>
      </c>
      <c r="R310">
        <f>IF(Q310="","",IFERROR(INDEX(資格マスタ!$B:$B,MATCH(ASC(SUBSTITUTE(SUBSTITUTE(Q310," ",""),"　","")),資格マスタ!$D:$D,0)),Q310))</f>
        <v/>
      </c>
      <c r="S310" s="139">
        <f>IF(C310&lt;2,"",IFERROR(IF(OR(LEFT(INDEX(D310:K310,MIN(8,MAX(1,C310))),2)="令和",LEFT(INDEX(D310:K310,MIN(8,MAX(1,C310))),2)="平成",LEFT(INDEX(D310:K310,MIN(8,MAX(1,C310))),2)="昭和"),DATE(VALUE(MID(INDEX(D310:K310,MIN(8,MAX(1,C310))),3,FIND("年",INDEX(D310:K310,MIN(8,MAX(1,C310))))-3))+IF(LEFT(INDEX(D310:K310,MIN(8,MAX(1,C310))),2)="令和",2018,IF(LEFT(INDEX(D310:K310,MIN(8,MAX(1,C310))),2)="平成",1988,1925)),VALUE(MID(INDEX(D310:K310,MIN(8,MAX(1,C310))),FIND("年",INDEX(D310:K310,MIN(8,MAX(1,C310))))+1,FIND("月",INDEX(D310:K310,MIN(8,MAX(1,C310))))-FIND("年",INDEX(D310:K310,MIN(8,MAX(1,C310))))-1)),IFERROR(VALUE(SUBSTITUTE(MID(INDEX(D310:K310,MIN(8,MAX(1,C310))),FIND("月",INDEX(D310:K310,MIN(8,MAX(1,C310))))+1,10),"日","")),1)),DATE(VALUE(TRIM(MID(SUBSTITUTE(AA310,"/",REPT(" ",50)),1,50))),VALUE(TRIM(MID(SUBSTITUTE(AA310,"/",REPT(" ",50)),51,50))),IFERROR(VALUE(TRIM(MID(SUBSTITUTE(AA310,"/",REPT(" ",50)),101,50))),1))),IFERROR(DATEVALUE(INDEX(D310:K310,MIN(8,MAX(1,C310)))),"")))</f>
        <v/>
      </c>
      <c r="T310">
        <f>IF(B310="","",IF(AB310&lt;&gt;"",AB310,IFERROR(MATCH(SUBSTITUTE(SUBSTITUTE(P310," ",""),"　",""),入力!$AH$5:$AH$44,0),"")))</f>
        <v/>
      </c>
      <c r="U310">
        <f>IF(T310="","",INDEX(入力!$D$5:$D$44,T310))</f>
        <v/>
      </c>
      <c r="V310">
        <f>IF(B310="","",IF(T310="","要確認（名簿と照合できません）",IF(R310="","要確認（資格名がありません）",IF(S310="","要確認（取得日が読めません）",IF((IF(INDEX(入力!$N$5:$N$44,T310)=R310,1,0)+IF(INDEX(入力!$P$5:$P$44,T310)=R310,1,0)+IF(INDEX(入力!$R$5:$R$44,T310)=R310,1,0)+IF(INDEX(入力!$T$5:$T$44,T310)=R310,1,0)+IF(INDEX(入力!$V$5:$V$44,T310)=R310,1,0)+IF(INDEX(入力!$X$5:$X$44,T310)=R310,1,0))+(COUNTIFS($T$6:$T$405,T310,$R$6:$R$405,R310,$X$6:$X$405,"&lt;"&amp;X310))&gt;0,"重複","反映")))))</f>
        <v/>
      </c>
      <c r="W310">
        <f>IF(V310="反映",1,0)</f>
        <v/>
      </c>
      <c r="X310" t="n">
        <v>310</v>
      </c>
      <c r="Y310">
        <f>IF(W310=0,"",COUNTIFS($T$6:$T$405,T310,$W$6:$W$405,1,$S$6:$S$405,"&lt;"&amp;S310)+COUNTIFS($T$6:$T$405,T310,$W$6:$W$405,1,$S$6:$S$405,S310,$X$6:$X$405,"&lt;"&amp;X310)+1)</f>
        <v/>
      </c>
      <c r="Z310">
        <f>IF(Y310="","",T310&amp;"_"&amp;Y310)</f>
        <v/>
      </c>
      <c r="AA310">
        <f>SUBSTITUTE(SUBSTITUTE(SUBSTITUTE(SUBSTITUTE(SUBSTITUTE(INDEX(D310:K310,MIN(8,MAX(1,C310))),"年","/"),"月","/"),"日",""),"-","/"),".","/")</f>
        <v/>
      </c>
      <c r="AB310">
        <f>IFERROR(MATCH(O310,入力!$C$5:$C$44,0),"")</f>
        <v/>
      </c>
      <c r="AC310">
        <f>IF(AB310="","",INDEX(入力!$AH$5:$AH$44,AB310))</f>
        <v/>
      </c>
      <c r="AD310">
        <f>IF(INDEX($D310:$K310,IF(M310=1,2,1))=AC310,1,IF(INDEX($D310:$K310,IF(M310=1,2,1))&amp;INDEX($D310:$K310,IF(M310=1,2,1)+1)=AC310,2,IF(INDEX($D310:$K310,IF(M310=1,2,1))&amp;INDEX($D310:$K310,IF(M310=1,2,1)+1)&amp;INDEX($D310:$K310,IF(M310=1,2,1)+2)=AC310,3,IF(AB310&lt;&gt;"",2,IF(ISNUMBER(MATCH(INDEX($D310:$K310,IF(M310=1,2,1)),入力!$AH$5:$AH$44,0)),1,IF(ISNUMBER(MATCH(INDEX($D310:$K310,IF(M310=1,2,1))&amp;INDEX($D310:$K310,IF(M310=1,2,1)+1),入力!$AH$5:$AH$44,0)),2,IF(ISNUMBER(MATCH(INDEX($D310:$K310,IF(M310=1,2,1))&amp;INDEX($D310:$K310,IF(M310=1,2,1)+1)&amp;INDEX($D310:$K310,IF(M310=1,2,1)+2),入力!$AH$5:$AH$44,0)),3,2)))))))</f>
        <v/>
      </c>
      <c r="AE310">
        <f>IF(V310="","",IF(AND(V310="反映",N(Y310)&gt;20),"要確認（この生徒の取込が20件を超えました）",V310))</f>
        <v/>
      </c>
    </row>
    <row r="311">
      <c r="A311" s="138" t="n"/>
      <c r="B311">
        <f>TRIM(SUBSTITUTE(SUBSTITUTE(SUBSTITUTE(A311,CHAR(9)," "),"　"," "),CHAR(160)," "))</f>
        <v/>
      </c>
      <c r="C311">
        <f>IF(B311="",0,LEN(B311)-LEN(SUBSTITUTE(B311," ",""))+1)</f>
        <v/>
      </c>
      <c r="D311">
        <f>IF(C311&gt;=1,TRIM(MID(SUBSTITUTE(B311," ",REPT(" ",200)),1,200)),"")</f>
        <v/>
      </c>
      <c r="E311">
        <f>IF(C311&gt;=2,TRIM(MID(SUBSTITUTE(B311," ",REPT(" ",200)),201,200)),"")</f>
        <v/>
      </c>
      <c r="F311">
        <f>IF(C311&gt;=3,TRIM(MID(SUBSTITUTE(B311," ",REPT(" ",200)),401,200)),"")</f>
        <v/>
      </c>
      <c r="G311">
        <f>IF(C311&gt;=4,TRIM(MID(SUBSTITUTE(B311," ",REPT(" ",200)),601,200)),"")</f>
        <v/>
      </c>
      <c r="H311">
        <f>IF(C311&gt;=5,TRIM(MID(SUBSTITUTE(B311," ",REPT(" ",200)),801,200)),"")</f>
        <v/>
      </c>
      <c r="I311">
        <f>IF(C311&gt;=6,TRIM(MID(SUBSTITUTE(B311," ",REPT(" ",200)),1001,200)),"")</f>
        <v/>
      </c>
      <c r="J311">
        <f>IF(C311&gt;=7,TRIM(MID(SUBSTITUTE(B311," ",REPT(" ",200)),1201,200)),"")</f>
        <v/>
      </c>
      <c r="K311">
        <f>IF(C311&gt;=8,TRIM(MID(SUBSTITUTE(B311," ",REPT(" ",200)),1401,200)),"")</f>
        <v/>
      </c>
      <c r="L311">
        <f>SUBSTITUTE(SUBSTITUTE(SUBSTITUTE(D311,"年","-"),"組","-"),"番","")</f>
        <v/>
      </c>
      <c r="M311">
        <f>IF(D311="",0,IF(ISNUMBER(VALUE(SUBSTITUTE(L311,"-",""))),1,0))</f>
        <v/>
      </c>
      <c r="N311">
        <f>IF(M311=0,"",IFERROR(VALUE(TRIM(MID(SUBSTITUTE(L311,"-",REPT(" ",100)),101,100))),""))</f>
        <v/>
      </c>
      <c r="O311">
        <f>IF(M311=0,"",IFERROR(VALUE(TRIM(RIGHT(SUBSTITUTE(L311,"-",REPT(" ",100)),100))),""))</f>
        <v/>
      </c>
      <c r="P311">
        <f>IF(B311="","",TRIM(INDEX($D311:$K311,IF(M311=1,2,1))&amp;IF(AD311&gt;=2," "&amp;INDEX($D311:$K311,IF(M311=1,2,1)+1),"")&amp;IF(AD311&gt;=3," "&amp;INDEX($D311:$K311,IF(M311=1,2,1)+2),"")))</f>
        <v/>
      </c>
      <c r="Q311">
        <f>IF(C311&lt;2,"",TRIM(IF(AND(2&gt;=(IF(M311=1,2,1)+AD311),2&lt;=C311-IF(S311="",0,1)),E311&amp;" ","")&amp;IF(AND(3&gt;=(IF(M311=1,2,1)+AD311),3&lt;=C311-IF(S311="",0,1)),F311&amp;" ","")&amp;IF(AND(4&gt;=(IF(M311=1,2,1)+AD311),4&lt;=C311-IF(S311="",0,1)),G311&amp;" ","")&amp;IF(AND(5&gt;=(IF(M311=1,2,1)+AD311),5&lt;=C311-IF(S311="",0,1)),H311&amp;" ","")&amp;IF(AND(6&gt;=(IF(M311=1,2,1)+AD311),6&lt;=C311-IF(S311="",0,1)),I311&amp;" ","")&amp;IF(AND(7&gt;=(IF(M311=1,2,1)+AD311),7&lt;=C311-IF(S311="",0,1)),J311&amp;" ","")&amp;IF(AND(8&gt;=(IF(M311=1,2,1)+AD311),8&lt;=C311-IF(S311="",0,1)),K311&amp;" ","")))</f>
        <v/>
      </c>
      <c r="R311">
        <f>IF(Q311="","",IFERROR(INDEX(資格マスタ!$B:$B,MATCH(ASC(SUBSTITUTE(SUBSTITUTE(Q311," ",""),"　","")),資格マスタ!$D:$D,0)),Q311))</f>
        <v/>
      </c>
      <c r="S311" s="139">
        <f>IF(C311&lt;2,"",IFERROR(IF(OR(LEFT(INDEX(D311:K311,MIN(8,MAX(1,C311))),2)="令和",LEFT(INDEX(D311:K311,MIN(8,MAX(1,C311))),2)="平成",LEFT(INDEX(D311:K311,MIN(8,MAX(1,C311))),2)="昭和"),DATE(VALUE(MID(INDEX(D311:K311,MIN(8,MAX(1,C311))),3,FIND("年",INDEX(D311:K311,MIN(8,MAX(1,C311))))-3))+IF(LEFT(INDEX(D311:K311,MIN(8,MAX(1,C311))),2)="令和",2018,IF(LEFT(INDEX(D311:K311,MIN(8,MAX(1,C311))),2)="平成",1988,1925)),VALUE(MID(INDEX(D311:K311,MIN(8,MAX(1,C311))),FIND("年",INDEX(D311:K311,MIN(8,MAX(1,C311))))+1,FIND("月",INDEX(D311:K311,MIN(8,MAX(1,C311))))-FIND("年",INDEX(D311:K311,MIN(8,MAX(1,C311))))-1)),IFERROR(VALUE(SUBSTITUTE(MID(INDEX(D311:K311,MIN(8,MAX(1,C311))),FIND("月",INDEX(D311:K311,MIN(8,MAX(1,C311))))+1,10),"日","")),1)),DATE(VALUE(TRIM(MID(SUBSTITUTE(AA311,"/",REPT(" ",50)),1,50))),VALUE(TRIM(MID(SUBSTITUTE(AA311,"/",REPT(" ",50)),51,50))),IFERROR(VALUE(TRIM(MID(SUBSTITUTE(AA311,"/",REPT(" ",50)),101,50))),1))),IFERROR(DATEVALUE(INDEX(D311:K311,MIN(8,MAX(1,C311)))),"")))</f>
        <v/>
      </c>
      <c r="T311">
        <f>IF(B311="","",IF(AB311&lt;&gt;"",AB311,IFERROR(MATCH(SUBSTITUTE(SUBSTITUTE(P311," ",""),"　",""),入力!$AH$5:$AH$44,0),"")))</f>
        <v/>
      </c>
      <c r="U311">
        <f>IF(T311="","",INDEX(入力!$D$5:$D$44,T311))</f>
        <v/>
      </c>
      <c r="V311">
        <f>IF(B311="","",IF(T311="","要確認（名簿と照合できません）",IF(R311="","要確認（資格名がありません）",IF(S311="","要確認（取得日が読めません）",IF((IF(INDEX(入力!$N$5:$N$44,T311)=R311,1,0)+IF(INDEX(入力!$P$5:$P$44,T311)=R311,1,0)+IF(INDEX(入力!$R$5:$R$44,T311)=R311,1,0)+IF(INDEX(入力!$T$5:$T$44,T311)=R311,1,0)+IF(INDEX(入力!$V$5:$V$44,T311)=R311,1,0)+IF(INDEX(入力!$X$5:$X$44,T311)=R311,1,0))+(COUNTIFS($T$6:$T$405,T311,$R$6:$R$405,R311,$X$6:$X$405,"&lt;"&amp;X311))&gt;0,"重複","反映")))))</f>
        <v/>
      </c>
      <c r="W311">
        <f>IF(V311="反映",1,0)</f>
        <v/>
      </c>
      <c r="X311" t="n">
        <v>311</v>
      </c>
      <c r="Y311">
        <f>IF(W311=0,"",COUNTIFS($T$6:$T$405,T311,$W$6:$W$405,1,$S$6:$S$405,"&lt;"&amp;S311)+COUNTIFS($T$6:$T$405,T311,$W$6:$W$405,1,$S$6:$S$405,S311,$X$6:$X$405,"&lt;"&amp;X311)+1)</f>
        <v/>
      </c>
      <c r="Z311">
        <f>IF(Y311="","",T311&amp;"_"&amp;Y311)</f>
        <v/>
      </c>
      <c r="AA311">
        <f>SUBSTITUTE(SUBSTITUTE(SUBSTITUTE(SUBSTITUTE(SUBSTITUTE(INDEX(D311:K311,MIN(8,MAX(1,C311))),"年","/"),"月","/"),"日",""),"-","/"),".","/")</f>
        <v/>
      </c>
      <c r="AB311">
        <f>IFERROR(MATCH(O311,入力!$C$5:$C$44,0),"")</f>
        <v/>
      </c>
      <c r="AC311">
        <f>IF(AB311="","",INDEX(入力!$AH$5:$AH$44,AB311))</f>
        <v/>
      </c>
      <c r="AD311">
        <f>IF(INDEX($D311:$K311,IF(M311=1,2,1))=AC311,1,IF(INDEX($D311:$K311,IF(M311=1,2,1))&amp;INDEX($D311:$K311,IF(M311=1,2,1)+1)=AC311,2,IF(INDEX($D311:$K311,IF(M311=1,2,1))&amp;INDEX($D311:$K311,IF(M311=1,2,1)+1)&amp;INDEX($D311:$K311,IF(M311=1,2,1)+2)=AC311,3,IF(AB311&lt;&gt;"",2,IF(ISNUMBER(MATCH(INDEX($D311:$K311,IF(M311=1,2,1)),入力!$AH$5:$AH$44,0)),1,IF(ISNUMBER(MATCH(INDEX($D311:$K311,IF(M311=1,2,1))&amp;INDEX($D311:$K311,IF(M311=1,2,1)+1),入力!$AH$5:$AH$44,0)),2,IF(ISNUMBER(MATCH(INDEX($D311:$K311,IF(M311=1,2,1))&amp;INDEX($D311:$K311,IF(M311=1,2,1)+1)&amp;INDEX($D311:$K311,IF(M311=1,2,1)+2),入力!$AH$5:$AH$44,0)),3,2)))))))</f>
        <v/>
      </c>
      <c r="AE311">
        <f>IF(V311="","",IF(AND(V311="反映",N(Y311)&gt;20),"要確認（この生徒の取込が20件を超えました）",V311))</f>
        <v/>
      </c>
    </row>
    <row r="312">
      <c r="A312" s="138" t="n"/>
      <c r="B312">
        <f>TRIM(SUBSTITUTE(SUBSTITUTE(SUBSTITUTE(A312,CHAR(9)," "),"　"," "),CHAR(160)," "))</f>
        <v/>
      </c>
      <c r="C312">
        <f>IF(B312="",0,LEN(B312)-LEN(SUBSTITUTE(B312," ",""))+1)</f>
        <v/>
      </c>
      <c r="D312">
        <f>IF(C312&gt;=1,TRIM(MID(SUBSTITUTE(B312," ",REPT(" ",200)),1,200)),"")</f>
        <v/>
      </c>
      <c r="E312">
        <f>IF(C312&gt;=2,TRIM(MID(SUBSTITUTE(B312," ",REPT(" ",200)),201,200)),"")</f>
        <v/>
      </c>
      <c r="F312">
        <f>IF(C312&gt;=3,TRIM(MID(SUBSTITUTE(B312," ",REPT(" ",200)),401,200)),"")</f>
        <v/>
      </c>
      <c r="G312">
        <f>IF(C312&gt;=4,TRIM(MID(SUBSTITUTE(B312," ",REPT(" ",200)),601,200)),"")</f>
        <v/>
      </c>
      <c r="H312">
        <f>IF(C312&gt;=5,TRIM(MID(SUBSTITUTE(B312," ",REPT(" ",200)),801,200)),"")</f>
        <v/>
      </c>
      <c r="I312">
        <f>IF(C312&gt;=6,TRIM(MID(SUBSTITUTE(B312," ",REPT(" ",200)),1001,200)),"")</f>
        <v/>
      </c>
      <c r="J312">
        <f>IF(C312&gt;=7,TRIM(MID(SUBSTITUTE(B312," ",REPT(" ",200)),1201,200)),"")</f>
        <v/>
      </c>
      <c r="K312">
        <f>IF(C312&gt;=8,TRIM(MID(SUBSTITUTE(B312," ",REPT(" ",200)),1401,200)),"")</f>
        <v/>
      </c>
      <c r="L312">
        <f>SUBSTITUTE(SUBSTITUTE(SUBSTITUTE(D312,"年","-"),"組","-"),"番","")</f>
        <v/>
      </c>
      <c r="M312">
        <f>IF(D312="",0,IF(ISNUMBER(VALUE(SUBSTITUTE(L312,"-",""))),1,0))</f>
        <v/>
      </c>
      <c r="N312">
        <f>IF(M312=0,"",IFERROR(VALUE(TRIM(MID(SUBSTITUTE(L312,"-",REPT(" ",100)),101,100))),""))</f>
        <v/>
      </c>
      <c r="O312">
        <f>IF(M312=0,"",IFERROR(VALUE(TRIM(RIGHT(SUBSTITUTE(L312,"-",REPT(" ",100)),100))),""))</f>
        <v/>
      </c>
      <c r="P312">
        <f>IF(B312="","",TRIM(INDEX($D312:$K312,IF(M312=1,2,1))&amp;IF(AD312&gt;=2," "&amp;INDEX($D312:$K312,IF(M312=1,2,1)+1),"")&amp;IF(AD312&gt;=3," "&amp;INDEX($D312:$K312,IF(M312=1,2,1)+2),"")))</f>
        <v/>
      </c>
      <c r="Q312">
        <f>IF(C312&lt;2,"",TRIM(IF(AND(2&gt;=(IF(M312=1,2,1)+AD312),2&lt;=C312-IF(S312="",0,1)),E312&amp;" ","")&amp;IF(AND(3&gt;=(IF(M312=1,2,1)+AD312),3&lt;=C312-IF(S312="",0,1)),F312&amp;" ","")&amp;IF(AND(4&gt;=(IF(M312=1,2,1)+AD312),4&lt;=C312-IF(S312="",0,1)),G312&amp;" ","")&amp;IF(AND(5&gt;=(IF(M312=1,2,1)+AD312),5&lt;=C312-IF(S312="",0,1)),H312&amp;" ","")&amp;IF(AND(6&gt;=(IF(M312=1,2,1)+AD312),6&lt;=C312-IF(S312="",0,1)),I312&amp;" ","")&amp;IF(AND(7&gt;=(IF(M312=1,2,1)+AD312),7&lt;=C312-IF(S312="",0,1)),J312&amp;" ","")&amp;IF(AND(8&gt;=(IF(M312=1,2,1)+AD312),8&lt;=C312-IF(S312="",0,1)),K312&amp;" ","")))</f>
        <v/>
      </c>
      <c r="R312">
        <f>IF(Q312="","",IFERROR(INDEX(資格マスタ!$B:$B,MATCH(ASC(SUBSTITUTE(SUBSTITUTE(Q312," ",""),"　","")),資格マスタ!$D:$D,0)),Q312))</f>
        <v/>
      </c>
      <c r="S312" s="139">
        <f>IF(C312&lt;2,"",IFERROR(IF(OR(LEFT(INDEX(D312:K312,MIN(8,MAX(1,C312))),2)="令和",LEFT(INDEX(D312:K312,MIN(8,MAX(1,C312))),2)="平成",LEFT(INDEX(D312:K312,MIN(8,MAX(1,C312))),2)="昭和"),DATE(VALUE(MID(INDEX(D312:K312,MIN(8,MAX(1,C312))),3,FIND("年",INDEX(D312:K312,MIN(8,MAX(1,C312))))-3))+IF(LEFT(INDEX(D312:K312,MIN(8,MAX(1,C312))),2)="令和",2018,IF(LEFT(INDEX(D312:K312,MIN(8,MAX(1,C312))),2)="平成",1988,1925)),VALUE(MID(INDEX(D312:K312,MIN(8,MAX(1,C312))),FIND("年",INDEX(D312:K312,MIN(8,MAX(1,C312))))+1,FIND("月",INDEX(D312:K312,MIN(8,MAX(1,C312))))-FIND("年",INDEX(D312:K312,MIN(8,MAX(1,C312))))-1)),IFERROR(VALUE(SUBSTITUTE(MID(INDEX(D312:K312,MIN(8,MAX(1,C312))),FIND("月",INDEX(D312:K312,MIN(8,MAX(1,C312))))+1,10),"日","")),1)),DATE(VALUE(TRIM(MID(SUBSTITUTE(AA312,"/",REPT(" ",50)),1,50))),VALUE(TRIM(MID(SUBSTITUTE(AA312,"/",REPT(" ",50)),51,50))),IFERROR(VALUE(TRIM(MID(SUBSTITUTE(AA312,"/",REPT(" ",50)),101,50))),1))),IFERROR(DATEVALUE(INDEX(D312:K312,MIN(8,MAX(1,C312)))),"")))</f>
        <v/>
      </c>
      <c r="T312">
        <f>IF(B312="","",IF(AB312&lt;&gt;"",AB312,IFERROR(MATCH(SUBSTITUTE(SUBSTITUTE(P312," ",""),"　",""),入力!$AH$5:$AH$44,0),"")))</f>
        <v/>
      </c>
      <c r="U312">
        <f>IF(T312="","",INDEX(入力!$D$5:$D$44,T312))</f>
        <v/>
      </c>
      <c r="V312">
        <f>IF(B312="","",IF(T312="","要確認（名簿と照合できません）",IF(R312="","要確認（資格名がありません）",IF(S312="","要確認（取得日が読めません）",IF((IF(INDEX(入力!$N$5:$N$44,T312)=R312,1,0)+IF(INDEX(入力!$P$5:$P$44,T312)=R312,1,0)+IF(INDEX(入力!$R$5:$R$44,T312)=R312,1,0)+IF(INDEX(入力!$T$5:$T$44,T312)=R312,1,0)+IF(INDEX(入力!$V$5:$V$44,T312)=R312,1,0)+IF(INDEX(入力!$X$5:$X$44,T312)=R312,1,0))+(COUNTIFS($T$6:$T$405,T312,$R$6:$R$405,R312,$X$6:$X$405,"&lt;"&amp;X312))&gt;0,"重複","反映")))))</f>
        <v/>
      </c>
      <c r="W312">
        <f>IF(V312="反映",1,0)</f>
        <v/>
      </c>
      <c r="X312" t="n">
        <v>312</v>
      </c>
      <c r="Y312">
        <f>IF(W312=0,"",COUNTIFS($T$6:$T$405,T312,$W$6:$W$405,1,$S$6:$S$405,"&lt;"&amp;S312)+COUNTIFS($T$6:$T$405,T312,$W$6:$W$405,1,$S$6:$S$405,S312,$X$6:$X$405,"&lt;"&amp;X312)+1)</f>
        <v/>
      </c>
      <c r="Z312">
        <f>IF(Y312="","",T312&amp;"_"&amp;Y312)</f>
        <v/>
      </c>
      <c r="AA312">
        <f>SUBSTITUTE(SUBSTITUTE(SUBSTITUTE(SUBSTITUTE(SUBSTITUTE(INDEX(D312:K312,MIN(8,MAX(1,C312))),"年","/"),"月","/"),"日",""),"-","/"),".","/")</f>
        <v/>
      </c>
      <c r="AB312">
        <f>IFERROR(MATCH(O312,入力!$C$5:$C$44,0),"")</f>
        <v/>
      </c>
      <c r="AC312">
        <f>IF(AB312="","",INDEX(入力!$AH$5:$AH$44,AB312))</f>
        <v/>
      </c>
      <c r="AD312">
        <f>IF(INDEX($D312:$K312,IF(M312=1,2,1))=AC312,1,IF(INDEX($D312:$K312,IF(M312=1,2,1))&amp;INDEX($D312:$K312,IF(M312=1,2,1)+1)=AC312,2,IF(INDEX($D312:$K312,IF(M312=1,2,1))&amp;INDEX($D312:$K312,IF(M312=1,2,1)+1)&amp;INDEX($D312:$K312,IF(M312=1,2,1)+2)=AC312,3,IF(AB312&lt;&gt;"",2,IF(ISNUMBER(MATCH(INDEX($D312:$K312,IF(M312=1,2,1)),入力!$AH$5:$AH$44,0)),1,IF(ISNUMBER(MATCH(INDEX($D312:$K312,IF(M312=1,2,1))&amp;INDEX($D312:$K312,IF(M312=1,2,1)+1),入力!$AH$5:$AH$44,0)),2,IF(ISNUMBER(MATCH(INDEX($D312:$K312,IF(M312=1,2,1))&amp;INDEX($D312:$K312,IF(M312=1,2,1)+1)&amp;INDEX($D312:$K312,IF(M312=1,2,1)+2),入力!$AH$5:$AH$44,0)),3,2)))))))</f>
        <v/>
      </c>
      <c r="AE312">
        <f>IF(V312="","",IF(AND(V312="反映",N(Y312)&gt;20),"要確認（この生徒の取込が20件を超えました）",V312))</f>
        <v/>
      </c>
    </row>
    <row r="313">
      <c r="A313" s="138" t="n"/>
      <c r="B313">
        <f>TRIM(SUBSTITUTE(SUBSTITUTE(SUBSTITUTE(A313,CHAR(9)," "),"　"," "),CHAR(160)," "))</f>
        <v/>
      </c>
      <c r="C313">
        <f>IF(B313="",0,LEN(B313)-LEN(SUBSTITUTE(B313," ",""))+1)</f>
        <v/>
      </c>
      <c r="D313">
        <f>IF(C313&gt;=1,TRIM(MID(SUBSTITUTE(B313," ",REPT(" ",200)),1,200)),"")</f>
        <v/>
      </c>
      <c r="E313">
        <f>IF(C313&gt;=2,TRIM(MID(SUBSTITUTE(B313," ",REPT(" ",200)),201,200)),"")</f>
        <v/>
      </c>
      <c r="F313">
        <f>IF(C313&gt;=3,TRIM(MID(SUBSTITUTE(B313," ",REPT(" ",200)),401,200)),"")</f>
        <v/>
      </c>
      <c r="G313">
        <f>IF(C313&gt;=4,TRIM(MID(SUBSTITUTE(B313," ",REPT(" ",200)),601,200)),"")</f>
        <v/>
      </c>
      <c r="H313">
        <f>IF(C313&gt;=5,TRIM(MID(SUBSTITUTE(B313," ",REPT(" ",200)),801,200)),"")</f>
        <v/>
      </c>
      <c r="I313">
        <f>IF(C313&gt;=6,TRIM(MID(SUBSTITUTE(B313," ",REPT(" ",200)),1001,200)),"")</f>
        <v/>
      </c>
      <c r="J313">
        <f>IF(C313&gt;=7,TRIM(MID(SUBSTITUTE(B313," ",REPT(" ",200)),1201,200)),"")</f>
        <v/>
      </c>
      <c r="K313">
        <f>IF(C313&gt;=8,TRIM(MID(SUBSTITUTE(B313," ",REPT(" ",200)),1401,200)),"")</f>
        <v/>
      </c>
      <c r="L313">
        <f>SUBSTITUTE(SUBSTITUTE(SUBSTITUTE(D313,"年","-"),"組","-"),"番","")</f>
        <v/>
      </c>
      <c r="M313">
        <f>IF(D313="",0,IF(ISNUMBER(VALUE(SUBSTITUTE(L313,"-",""))),1,0))</f>
        <v/>
      </c>
      <c r="N313">
        <f>IF(M313=0,"",IFERROR(VALUE(TRIM(MID(SUBSTITUTE(L313,"-",REPT(" ",100)),101,100))),""))</f>
        <v/>
      </c>
      <c r="O313">
        <f>IF(M313=0,"",IFERROR(VALUE(TRIM(RIGHT(SUBSTITUTE(L313,"-",REPT(" ",100)),100))),""))</f>
        <v/>
      </c>
      <c r="P313">
        <f>IF(B313="","",TRIM(INDEX($D313:$K313,IF(M313=1,2,1))&amp;IF(AD313&gt;=2," "&amp;INDEX($D313:$K313,IF(M313=1,2,1)+1),"")&amp;IF(AD313&gt;=3," "&amp;INDEX($D313:$K313,IF(M313=1,2,1)+2),"")))</f>
        <v/>
      </c>
      <c r="Q313">
        <f>IF(C313&lt;2,"",TRIM(IF(AND(2&gt;=(IF(M313=1,2,1)+AD313),2&lt;=C313-IF(S313="",0,1)),E313&amp;" ","")&amp;IF(AND(3&gt;=(IF(M313=1,2,1)+AD313),3&lt;=C313-IF(S313="",0,1)),F313&amp;" ","")&amp;IF(AND(4&gt;=(IF(M313=1,2,1)+AD313),4&lt;=C313-IF(S313="",0,1)),G313&amp;" ","")&amp;IF(AND(5&gt;=(IF(M313=1,2,1)+AD313),5&lt;=C313-IF(S313="",0,1)),H313&amp;" ","")&amp;IF(AND(6&gt;=(IF(M313=1,2,1)+AD313),6&lt;=C313-IF(S313="",0,1)),I313&amp;" ","")&amp;IF(AND(7&gt;=(IF(M313=1,2,1)+AD313),7&lt;=C313-IF(S313="",0,1)),J313&amp;" ","")&amp;IF(AND(8&gt;=(IF(M313=1,2,1)+AD313),8&lt;=C313-IF(S313="",0,1)),K313&amp;" ","")))</f>
        <v/>
      </c>
      <c r="R313">
        <f>IF(Q313="","",IFERROR(INDEX(資格マスタ!$B:$B,MATCH(ASC(SUBSTITUTE(SUBSTITUTE(Q313," ",""),"　","")),資格マスタ!$D:$D,0)),Q313))</f>
        <v/>
      </c>
      <c r="S313" s="139">
        <f>IF(C313&lt;2,"",IFERROR(IF(OR(LEFT(INDEX(D313:K313,MIN(8,MAX(1,C313))),2)="令和",LEFT(INDEX(D313:K313,MIN(8,MAX(1,C313))),2)="平成",LEFT(INDEX(D313:K313,MIN(8,MAX(1,C313))),2)="昭和"),DATE(VALUE(MID(INDEX(D313:K313,MIN(8,MAX(1,C313))),3,FIND("年",INDEX(D313:K313,MIN(8,MAX(1,C313))))-3))+IF(LEFT(INDEX(D313:K313,MIN(8,MAX(1,C313))),2)="令和",2018,IF(LEFT(INDEX(D313:K313,MIN(8,MAX(1,C313))),2)="平成",1988,1925)),VALUE(MID(INDEX(D313:K313,MIN(8,MAX(1,C313))),FIND("年",INDEX(D313:K313,MIN(8,MAX(1,C313))))+1,FIND("月",INDEX(D313:K313,MIN(8,MAX(1,C313))))-FIND("年",INDEX(D313:K313,MIN(8,MAX(1,C313))))-1)),IFERROR(VALUE(SUBSTITUTE(MID(INDEX(D313:K313,MIN(8,MAX(1,C313))),FIND("月",INDEX(D313:K313,MIN(8,MAX(1,C313))))+1,10),"日","")),1)),DATE(VALUE(TRIM(MID(SUBSTITUTE(AA313,"/",REPT(" ",50)),1,50))),VALUE(TRIM(MID(SUBSTITUTE(AA313,"/",REPT(" ",50)),51,50))),IFERROR(VALUE(TRIM(MID(SUBSTITUTE(AA313,"/",REPT(" ",50)),101,50))),1))),IFERROR(DATEVALUE(INDEX(D313:K313,MIN(8,MAX(1,C313)))),"")))</f>
        <v/>
      </c>
      <c r="T313">
        <f>IF(B313="","",IF(AB313&lt;&gt;"",AB313,IFERROR(MATCH(SUBSTITUTE(SUBSTITUTE(P313," ",""),"　",""),入力!$AH$5:$AH$44,0),"")))</f>
        <v/>
      </c>
      <c r="U313">
        <f>IF(T313="","",INDEX(入力!$D$5:$D$44,T313))</f>
        <v/>
      </c>
      <c r="V313">
        <f>IF(B313="","",IF(T313="","要確認（名簿と照合できません）",IF(R313="","要確認（資格名がありません）",IF(S313="","要確認（取得日が読めません）",IF((IF(INDEX(入力!$N$5:$N$44,T313)=R313,1,0)+IF(INDEX(入力!$P$5:$P$44,T313)=R313,1,0)+IF(INDEX(入力!$R$5:$R$44,T313)=R313,1,0)+IF(INDEX(入力!$T$5:$T$44,T313)=R313,1,0)+IF(INDEX(入力!$V$5:$V$44,T313)=R313,1,0)+IF(INDEX(入力!$X$5:$X$44,T313)=R313,1,0))+(COUNTIFS($T$6:$T$405,T313,$R$6:$R$405,R313,$X$6:$X$405,"&lt;"&amp;X313))&gt;0,"重複","反映")))))</f>
        <v/>
      </c>
      <c r="W313">
        <f>IF(V313="反映",1,0)</f>
        <v/>
      </c>
      <c r="X313" t="n">
        <v>313</v>
      </c>
      <c r="Y313">
        <f>IF(W313=0,"",COUNTIFS($T$6:$T$405,T313,$W$6:$W$405,1,$S$6:$S$405,"&lt;"&amp;S313)+COUNTIFS($T$6:$T$405,T313,$W$6:$W$405,1,$S$6:$S$405,S313,$X$6:$X$405,"&lt;"&amp;X313)+1)</f>
        <v/>
      </c>
      <c r="Z313">
        <f>IF(Y313="","",T313&amp;"_"&amp;Y313)</f>
        <v/>
      </c>
      <c r="AA313">
        <f>SUBSTITUTE(SUBSTITUTE(SUBSTITUTE(SUBSTITUTE(SUBSTITUTE(INDEX(D313:K313,MIN(8,MAX(1,C313))),"年","/"),"月","/"),"日",""),"-","/"),".","/")</f>
        <v/>
      </c>
      <c r="AB313">
        <f>IFERROR(MATCH(O313,入力!$C$5:$C$44,0),"")</f>
        <v/>
      </c>
      <c r="AC313">
        <f>IF(AB313="","",INDEX(入力!$AH$5:$AH$44,AB313))</f>
        <v/>
      </c>
      <c r="AD313">
        <f>IF(INDEX($D313:$K313,IF(M313=1,2,1))=AC313,1,IF(INDEX($D313:$K313,IF(M313=1,2,1))&amp;INDEX($D313:$K313,IF(M313=1,2,1)+1)=AC313,2,IF(INDEX($D313:$K313,IF(M313=1,2,1))&amp;INDEX($D313:$K313,IF(M313=1,2,1)+1)&amp;INDEX($D313:$K313,IF(M313=1,2,1)+2)=AC313,3,IF(AB313&lt;&gt;"",2,IF(ISNUMBER(MATCH(INDEX($D313:$K313,IF(M313=1,2,1)),入力!$AH$5:$AH$44,0)),1,IF(ISNUMBER(MATCH(INDEX($D313:$K313,IF(M313=1,2,1))&amp;INDEX($D313:$K313,IF(M313=1,2,1)+1),入力!$AH$5:$AH$44,0)),2,IF(ISNUMBER(MATCH(INDEX($D313:$K313,IF(M313=1,2,1))&amp;INDEX($D313:$K313,IF(M313=1,2,1)+1)&amp;INDEX($D313:$K313,IF(M313=1,2,1)+2),入力!$AH$5:$AH$44,0)),3,2)))))))</f>
        <v/>
      </c>
      <c r="AE313">
        <f>IF(V313="","",IF(AND(V313="反映",N(Y313)&gt;20),"要確認（この生徒の取込が20件を超えました）",V313))</f>
        <v/>
      </c>
    </row>
    <row r="314">
      <c r="A314" s="138" t="n"/>
      <c r="B314">
        <f>TRIM(SUBSTITUTE(SUBSTITUTE(SUBSTITUTE(A314,CHAR(9)," "),"　"," "),CHAR(160)," "))</f>
        <v/>
      </c>
      <c r="C314">
        <f>IF(B314="",0,LEN(B314)-LEN(SUBSTITUTE(B314," ",""))+1)</f>
        <v/>
      </c>
      <c r="D314">
        <f>IF(C314&gt;=1,TRIM(MID(SUBSTITUTE(B314," ",REPT(" ",200)),1,200)),"")</f>
        <v/>
      </c>
      <c r="E314">
        <f>IF(C314&gt;=2,TRIM(MID(SUBSTITUTE(B314," ",REPT(" ",200)),201,200)),"")</f>
        <v/>
      </c>
      <c r="F314">
        <f>IF(C314&gt;=3,TRIM(MID(SUBSTITUTE(B314," ",REPT(" ",200)),401,200)),"")</f>
        <v/>
      </c>
      <c r="G314">
        <f>IF(C314&gt;=4,TRIM(MID(SUBSTITUTE(B314," ",REPT(" ",200)),601,200)),"")</f>
        <v/>
      </c>
      <c r="H314">
        <f>IF(C314&gt;=5,TRIM(MID(SUBSTITUTE(B314," ",REPT(" ",200)),801,200)),"")</f>
        <v/>
      </c>
      <c r="I314">
        <f>IF(C314&gt;=6,TRIM(MID(SUBSTITUTE(B314," ",REPT(" ",200)),1001,200)),"")</f>
        <v/>
      </c>
      <c r="J314">
        <f>IF(C314&gt;=7,TRIM(MID(SUBSTITUTE(B314," ",REPT(" ",200)),1201,200)),"")</f>
        <v/>
      </c>
      <c r="K314">
        <f>IF(C314&gt;=8,TRIM(MID(SUBSTITUTE(B314," ",REPT(" ",200)),1401,200)),"")</f>
        <v/>
      </c>
      <c r="L314">
        <f>SUBSTITUTE(SUBSTITUTE(SUBSTITUTE(D314,"年","-"),"組","-"),"番","")</f>
        <v/>
      </c>
      <c r="M314">
        <f>IF(D314="",0,IF(ISNUMBER(VALUE(SUBSTITUTE(L314,"-",""))),1,0))</f>
        <v/>
      </c>
      <c r="N314">
        <f>IF(M314=0,"",IFERROR(VALUE(TRIM(MID(SUBSTITUTE(L314,"-",REPT(" ",100)),101,100))),""))</f>
        <v/>
      </c>
      <c r="O314">
        <f>IF(M314=0,"",IFERROR(VALUE(TRIM(RIGHT(SUBSTITUTE(L314,"-",REPT(" ",100)),100))),""))</f>
        <v/>
      </c>
      <c r="P314">
        <f>IF(B314="","",TRIM(INDEX($D314:$K314,IF(M314=1,2,1))&amp;IF(AD314&gt;=2," "&amp;INDEX($D314:$K314,IF(M314=1,2,1)+1),"")&amp;IF(AD314&gt;=3," "&amp;INDEX($D314:$K314,IF(M314=1,2,1)+2),"")))</f>
        <v/>
      </c>
      <c r="Q314">
        <f>IF(C314&lt;2,"",TRIM(IF(AND(2&gt;=(IF(M314=1,2,1)+AD314),2&lt;=C314-IF(S314="",0,1)),E314&amp;" ","")&amp;IF(AND(3&gt;=(IF(M314=1,2,1)+AD314),3&lt;=C314-IF(S314="",0,1)),F314&amp;" ","")&amp;IF(AND(4&gt;=(IF(M314=1,2,1)+AD314),4&lt;=C314-IF(S314="",0,1)),G314&amp;" ","")&amp;IF(AND(5&gt;=(IF(M314=1,2,1)+AD314),5&lt;=C314-IF(S314="",0,1)),H314&amp;" ","")&amp;IF(AND(6&gt;=(IF(M314=1,2,1)+AD314),6&lt;=C314-IF(S314="",0,1)),I314&amp;" ","")&amp;IF(AND(7&gt;=(IF(M314=1,2,1)+AD314),7&lt;=C314-IF(S314="",0,1)),J314&amp;" ","")&amp;IF(AND(8&gt;=(IF(M314=1,2,1)+AD314),8&lt;=C314-IF(S314="",0,1)),K314&amp;" ","")))</f>
        <v/>
      </c>
      <c r="R314">
        <f>IF(Q314="","",IFERROR(INDEX(資格マスタ!$B:$B,MATCH(ASC(SUBSTITUTE(SUBSTITUTE(Q314," ",""),"　","")),資格マスタ!$D:$D,0)),Q314))</f>
        <v/>
      </c>
      <c r="S314" s="139">
        <f>IF(C314&lt;2,"",IFERROR(IF(OR(LEFT(INDEX(D314:K314,MIN(8,MAX(1,C314))),2)="令和",LEFT(INDEX(D314:K314,MIN(8,MAX(1,C314))),2)="平成",LEFT(INDEX(D314:K314,MIN(8,MAX(1,C314))),2)="昭和"),DATE(VALUE(MID(INDEX(D314:K314,MIN(8,MAX(1,C314))),3,FIND("年",INDEX(D314:K314,MIN(8,MAX(1,C314))))-3))+IF(LEFT(INDEX(D314:K314,MIN(8,MAX(1,C314))),2)="令和",2018,IF(LEFT(INDEX(D314:K314,MIN(8,MAX(1,C314))),2)="平成",1988,1925)),VALUE(MID(INDEX(D314:K314,MIN(8,MAX(1,C314))),FIND("年",INDEX(D314:K314,MIN(8,MAX(1,C314))))+1,FIND("月",INDEX(D314:K314,MIN(8,MAX(1,C314))))-FIND("年",INDEX(D314:K314,MIN(8,MAX(1,C314))))-1)),IFERROR(VALUE(SUBSTITUTE(MID(INDEX(D314:K314,MIN(8,MAX(1,C314))),FIND("月",INDEX(D314:K314,MIN(8,MAX(1,C314))))+1,10),"日","")),1)),DATE(VALUE(TRIM(MID(SUBSTITUTE(AA314,"/",REPT(" ",50)),1,50))),VALUE(TRIM(MID(SUBSTITUTE(AA314,"/",REPT(" ",50)),51,50))),IFERROR(VALUE(TRIM(MID(SUBSTITUTE(AA314,"/",REPT(" ",50)),101,50))),1))),IFERROR(DATEVALUE(INDEX(D314:K314,MIN(8,MAX(1,C314)))),"")))</f>
        <v/>
      </c>
      <c r="T314">
        <f>IF(B314="","",IF(AB314&lt;&gt;"",AB314,IFERROR(MATCH(SUBSTITUTE(SUBSTITUTE(P314," ",""),"　",""),入力!$AH$5:$AH$44,0),"")))</f>
        <v/>
      </c>
      <c r="U314">
        <f>IF(T314="","",INDEX(入力!$D$5:$D$44,T314))</f>
        <v/>
      </c>
      <c r="V314">
        <f>IF(B314="","",IF(T314="","要確認（名簿と照合できません）",IF(R314="","要確認（資格名がありません）",IF(S314="","要確認（取得日が読めません）",IF((IF(INDEX(入力!$N$5:$N$44,T314)=R314,1,0)+IF(INDEX(入力!$P$5:$P$44,T314)=R314,1,0)+IF(INDEX(入力!$R$5:$R$44,T314)=R314,1,0)+IF(INDEX(入力!$T$5:$T$44,T314)=R314,1,0)+IF(INDEX(入力!$V$5:$V$44,T314)=R314,1,0)+IF(INDEX(入力!$X$5:$X$44,T314)=R314,1,0))+(COUNTIFS($T$6:$T$405,T314,$R$6:$R$405,R314,$X$6:$X$405,"&lt;"&amp;X314))&gt;0,"重複","反映")))))</f>
        <v/>
      </c>
      <c r="W314">
        <f>IF(V314="反映",1,0)</f>
        <v/>
      </c>
      <c r="X314" t="n">
        <v>314</v>
      </c>
      <c r="Y314">
        <f>IF(W314=0,"",COUNTIFS($T$6:$T$405,T314,$W$6:$W$405,1,$S$6:$S$405,"&lt;"&amp;S314)+COUNTIFS($T$6:$T$405,T314,$W$6:$W$405,1,$S$6:$S$405,S314,$X$6:$X$405,"&lt;"&amp;X314)+1)</f>
        <v/>
      </c>
      <c r="Z314">
        <f>IF(Y314="","",T314&amp;"_"&amp;Y314)</f>
        <v/>
      </c>
      <c r="AA314">
        <f>SUBSTITUTE(SUBSTITUTE(SUBSTITUTE(SUBSTITUTE(SUBSTITUTE(INDEX(D314:K314,MIN(8,MAX(1,C314))),"年","/"),"月","/"),"日",""),"-","/"),".","/")</f>
        <v/>
      </c>
      <c r="AB314">
        <f>IFERROR(MATCH(O314,入力!$C$5:$C$44,0),"")</f>
        <v/>
      </c>
      <c r="AC314">
        <f>IF(AB314="","",INDEX(入力!$AH$5:$AH$44,AB314))</f>
        <v/>
      </c>
      <c r="AD314">
        <f>IF(INDEX($D314:$K314,IF(M314=1,2,1))=AC314,1,IF(INDEX($D314:$K314,IF(M314=1,2,1))&amp;INDEX($D314:$K314,IF(M314=1,2,1)+1)=AC314,2,IF(INDEX($D314:$K314,IF(M314=1,2,1))&amp;INDEX($D314:$K314,IF(M314=1,2,1)+1)&amp;INDEX($D314:$K314,IF(M314=1,2,1)+2)=AC314,3,IF(AB314&lt;&gt;"",2,IF(ISNUMBER(MATCH(INDEX($D314:$K314,IF(M314=1,2,1)),入力!$AH$5:$AH$44,0)),1,IF(ISNUMBER(MATCH(INDEX($D314:$K314,IF(M314=1,2,1))&amp;INDEX($D314:$K314,IF(M314=1,2,1)+1),入力!$AH$5:$AH$44,0)),2,IF(ISNUMBER(MATCH(INDEX($D314:$K314,IF(M314=1,2,1))&amp;INDEX($D314:$K314,IF(M314=1,2,1)+1)&amp;INDEX($D314:$K314,IF(M314=1,2,1)+2),入力!$AH$5:$AH$44,0)),3,2)))))))</f>
        <v/>
      </c>
      <c r="AE314">
        <f>IF(V314="","",IF(AND(V314="反映",N(Y314)&gt;20),"要確認（この生徒の取込が20件を超えました）",V314))</f>
        <v/>
      </c>
    </row>
    <row r="315">
      <c r="A315" s="138" t="n"/>
      <c r="B315">
        <f>TRIM(SUBSTITUTE(SUBSTITUTE(SUBSTITUTE(A315,CHAR(9)," "),"　"," "),CHAR(160)," "))</f>
        <v/>
      </c>
      <c r="C315">
        <f>IF(B315="",0,LEN(B315)-LEN(SUBSTITUTE(B315," ",""))+1)</f>
        <v/>
      </c>
      <c r="D315">
        <f>IF(C315&gt;=1,TRIM(MID(SUBSTITUTE(B315," ",REPT(" ",200)),1,200)),"")</f>
        <v/>
      </c>
      <c r="E315">
        <f>IF(C315&gt;=2,TRIM(MID(SUBSTITUTE(B315," ",REPT(" ",200)),201,200)),"")</f>
        <v/>
      </c>
      <c r="F315">
        <f>IF(C315&gt;=3,TRIM(MID(SUBSTITUTE(B315," ",REPT(" ",200)),401,200)),"")</f>
        <v/>
      </c>
      <c r="G315">
        <f>IF(C315&gt;=4,TRIM(MID(SUBSTITUTE(B315," ",REPT(" ",200)),601,200)),"")</f>
        <v/>
      </c>
      <c r="H315">
        <f>IF(C315&gt;=5,TRIM(MID(SUBSTITUTE(B315," ",REPT(" ",200)),801,200)),"")</f>
        <v/>
      </c>
      <c r="I315">
        <f>IF(C315&gt;=6,TRIM(MID(SUBSTITUTE(B315," ",REPT(" ",200)),1001,200)),"")</f>
        <v/>
      </c>
      <c r="J315">
        <f>IF(C315&gt;=7,TRIM(MID(SUBSTITUTE(B315," ",REPT(" ",200)),1201,200)),"")</f>
        <v/>
      </c>
      <c r="K315">
        <f>IF(C315&gt;=8,TRIM(MID(SUBSTITUTE(B315," ",REPT(" ",200)),1401,200)),"")</f>
        <v/>
      </c>
      <c r="L315">
        <f>SUBSTITUTE(SUBSTITUTE(SUBSTITUTE(D315,"年","-"),"組","-"),"番","")</f>
        <v/>
      </c>
      <c r="M315">
        <f>IF(D315="",0,IF(ISNUMBER(VALUE(SUBSTITUTE(L315,"-",""))),1,0))</f>
        <v/>
      </c>
      <c r="N315">
        <f>IF(M315=0,"",IFERROR(VALUE(TRIM(MID(SUBSTITUTE(L315,"-",REPT(" ",100)),101,100))),""))</f>
        <v/>
      </c>
      <c r="O315">
        <f>IF(M315=0,"",IFERROR(VALUE(TRIM(RIGHT(SUBSTITUTE(L315,"-",REPT(" ",100)),100))),""))</f>
        <v/>
      </c>
      <c r="P315">
        <f>IF(B315="","",TRIM(INDEX($D315:$K315,IF(M315=1,2,1))&amp;IF(AD315&gt;=2," "&amp;INDEX($D315:$K315,IF(M315=1,2,1)+1),"")&amp;IF(AD315&gt;=3," "&amp;INDEX($D315:$K315,IF(M315=1,2,1)+2),"")))</f>
        <v/>
      </c>
      <c r="Q315">
        <f>IF(C315&lt;2,"",TRIM(IF(AND(2&gt;=(IF(M315=1,2,1)+AD315),2&lt;=C315-IF(S315="",0,1)),E315&amp;" ","")&amp;IF(AND(3&gt;=(IF(M315=1,2,1)+AD315),3&lt;=C315-IF(S315="",0,1)),F315&amp;" ","")&amp;IF(AND(4&gt;=(IF(M315=1,2,1)+AD315),4&lt;=C315-IF(S315="",0,1)),G315&amp;" ","")&amp;IF(AND(5&gt;=(IF(M315=1,2,1)+AD315),5&lt;=C315-IF(S315="",0,1)),H315&amp;" ","")&amp;IF(AND(6&gt;=(IF(M315=1,2,1)+AD315),6&lt;=C315-IF(S315="",0,1)),I315&amp;" ","")&amp;IF(AND(7&gt;=(IF(M315=1,2,1)+AD315),7&lt;=C315-IF(S315="",0,1)),J315&amp;" ","")&amp;IF(AND(8&gt;=(IF(M315=1,2,1)+AD315),8&lt;=C315-IF(S315="",0,1)),K315&amp;" ","")))</f>
        <v/>
      </c>
      <c r="R315">
        <f>IF(Q315="","",IFERROR(INDEX(資格マスタ!$B:$B,MATCH(ASC(SUBSTITUTE(SUBSTITUTE(Q315," ",""),"　","")),資格マスタ!$D:$D,0)),Q315))</f>
        <v/>
      </c>
      <c r="S315" s="139">
        <f>IF(C315&lt;2,"",IFERROR(IF(OR(LEFT(INDEX(D315:K315,MIN(8,MAX(1,C315))),2)="令和",LEFT(INDEX(D315:K315,MIN(8,MAX(1,C315))),2)="平成",LEFT(INDEX(D315:K315,MIN(8,MAX(1,C315))),2)="昭和"),DATE(VALUE(MID(INDEX(D315:K315,MIN(8,MAX(1,C315))),3,FIND("年",INDEX(D315:K315,MIN(8,MAX(1,C315))))-3))+IF(LEFT(INDEX(D315:K315,MIN(8,MAX(1,C315))),2)="令和",2018,IF(LEFT(INDEX(D315:K315,MIN(8,MAX(1,C315))),2)="平成",1988,1925)),VALUE(MID(INDEX(D315:K315,MIN(8,MAX(1,C315))),FIND("年",INDEX(D315:K315,MIN(8,MAX(1,C315))))+1,FIND("月",INDEX(D315:K315,MIN(8,MAX(1,C315))))-FIND("年",INDEX(D315:K315,MIN(8,MAX(1,C315))))-1)),IFERROR(VALUE(SUBSTITUTE(MID(INDEX(D315:K315,MIN(8,MAX(1,C315))),FIND("月",INDEX(D315:K315,MIN(8,MAX(1,C315))))+1,10),"日","")),1)),DATE(VALUE(TRIM(MID(SUBSTITUTE(AA315,"/",REPT(" ",50)),1,50))),VALUE(TRIM(MID(SUBSTITUTE(AA315,"/",REPT(" ",50)),51,50))),IFERROR(VALUE(TRIM(MID(SUBSTITUTE(AA315,"/",REPT(" ",50)),101,50))),1))),IFERROR(DATEVALUE(INDEX(D315:K315,MIN(8,MAX(1,C315)))),"")))</f>
        <v/>
      </c>
      <c r="T315">
        <f>IF(B315="","",IF(AB315&lt;&gt;"",AB315,IFERROR(MATCH(SUBSTITUTE(SUBSTITUTE(P315," ",""),"　",""),入力!$AH$5:$AH$44,0),"")))</f>
        <v/>
      </c>
      <c r="U315">
        <f>IF(T315="","",INDEX(入力!$D$5:$D$44,T315))</f>
        <v/>
      </c>
      <c r="V315">
        <f>IF(B315="","",IF(T315="","要確認（名簿と照合できません）",IF(R315="","要確認（資格名がありません）",IF(S315="","要確認（取得日が読めません）",IF((IF(INDEX(入力!$N$5:$N$44,T315)=R315,1,0)+IF(INDEX(入力!$P$5:$P$44,T315)=R315,1,0)+IF(INDEX(入力!$R$5:$R$44,T315)=R315,1,0)+IF(INDEX(入力!$T$5:$T$44,T315)=R315,1,0)+IF(INDEX(入力!$V$5:$V$44,T315)=R315,1,0)+IF(INDEX(入力!$X$5:$X$44,T315)=R315,1,0))+(COUNTIFS($T$6:$T$405,T315,$R$6:$R$405,R315,$X$6:$X$405,"&lt;"&amp;X315))&gt;0,"重複","反映")))))</f>
        <v/>
      </c>
      <c r="W315">
        <f>IF(V315="反映",1,0)</f>
        <v/>
      </c>
      <c r="X315" t="n">
        <v>315</v>
      </c>
      <c r="Y315">
        <f>IF(W315=0,"",COUNTIFS($T$6:$T$405,T315,$W$6:$W$405,1,$S$6:$S$405,"&lt;"&amp;S315)+COUNTIFS($T$6:$T$405,T315,$W$6:$W$405,1,$S$6:$S$405,S315,$X$6:$X$405,"&lt;"&amp;X315)+1)</f>
        <v/>
      </c>
      <c r="Z315">
        <f>IF(Y315="","",T315&amp;"_"&amp;Y315)</f>
        <v/>
      </c>
      <c r="AA315">
        <f>SUBSTITUTE(SUBSTITUTE(SUBSTITUTE(SUBSTITUTE(SUBSTITUTE(INDEX(D315:K315,MIN(8,MAX(1,C315))),"年","/"),"月","/"),"日",""),"-","/"),".","/")</f>
        <v/>
      </c>
      <c r="AB315">
        <f>IFERROR(MATCH(O315,入力!$C$5:$C$44,0),"")</f>
        <v/>
      </c>
      <c r="AC315">
        <f>IF(AB315="","",INDEX(入力!$AH$5:$AH$44,AB315))</f>
        <v/>
      </c>
      <c r="AD315">
        <f>IF(INDEX($D315:$K315,IF(M315=1,2,1))=AC315,1,IF(INDEX($D315:$K315,IF(M315=1,2,1))&amp;INDEX($D315:$K315,IF(M315=1,2,1)+1)=AC315,2,IF(INDEX($D315:$K315,IF(M315=1,2,1))&amp;INDEX($D315:$K315,IF(M315=1,2,1)+1)&amp;INDEX($D315:$K315,IF(M315=1,2,1)+2)=AC315,3,IF(AB315&lt;&gt;"",2,IF(ISNUMBER(MATCH(INDEX($D315:$K315,IF(M315=1,2,1)),入力!$AH$5:$AH$44,0)),1,IF(ISNUMBER(MATCH(INDEX($D315:$K315,IF(M315=1,2,1))&amp;INDEX($D315:$K315,IF(M315=1,2,1)+1),入力!$AH$5:$AH$44,0)),2,IF(ISNUMBER(MATCH(INDEX($D315:$K315,IF(M315=1,2,1))&amp;INDEX($D315:$K315,IF(M315=1,2,1)+1)&amp;INDEX($D315:$K315,IF(M315=1,2,1)+2),入力!$AH$5:$AH$44,0)),3,2)))))))</f>
        <v/>
      </c>
      <c r="AE315">
        <f>IF(V315="","",IF(AND(V315="反映",N(Y315)&gt;20),"要確認（この生徒の取込が20件を超えました）",V315))</f>
        <v/>
      </c>
    </row>
    <row r="316">
      <c r="A316" s="138" t="n"/>
      <c r="B316">
        <f>TRIM(SUBSTITUTE(SUBSTITUTE(SUBSTITUTE(A316,CHAR(9)," "),"　"," "),CHAR(160)," "))</f>
        <v/>
      </c>
      <c r="C316">
        <f>IF(B316="",0,LEN(B316)-LEN(SUBSTITUTE(B316," ",""))+1)</f>
        <v/>
      </c>
      <c r="D316">
        <f>IF(C316&gt;=1,TRIM(MID(SUBSTITUTE(B316," ",REPT(" ",200)),1,200)),"")</f>
        <v/>
      </c>
      <c r="E316">
        <f>IF(C316&gt;=2,TRIM(MID(SUBSTITUTE(B316," ",REPT(" ",200)),201,200)),"")</f>
        <v/>
      </c>
      <c r="F316">
        <f>IF(C316&gt;=3,TRIM(MID(SUBSTITUTE(B316," ",REPT(" ",200)),401,200)),"")</f>
        <v/>
      </c>
      <c r="G316">
        <f>IF(C316&gt;=4,TRIM(MID(SUBSTITUTE(B316," ",REPT(" ",200)),601,200)),"")</f>
        <v/>
      </c>
      <c r="H316">
        <f>IF(C316&gt;=5,TRIM(MID(SUBSTITUTE(B316," ",REPT(" ",200)),801,200)),"")</f>
        <v/>
      </c>
      <c r="I316">
        <f>IF(C316&gt;=6,TRIM(MID(SUBSTITUTE(B316," ",REPT(" ",200)),1001,200)),"")</f>
        <v/>
      </c>
      <c r="J316">
        <f>IF(C316&gt;=7,TRIM(MID(SUBSTITUTE(B316," ",REPT(" ",200)),1201,200)),"")</f>
        <v/>
      </c>
      <c r="K316">
        <f>IF(C316&gt;=8,TRIM(MID(SUBSTITUTE(B316," ",REPT(" ",200)),1401,200)),"")</f>
        <v/>
      </c>
      <c r="L316">
        <f>SUBSTITUTE(SUBSTITUTE(SUBSTITUTE(D316,"年","-"),"組","-"),"番","")</f>
        <v/>
      </c>
      <c r="M316">
        <f>IF(D316="",0,IF(ISNUMBER(VALUE(SUBSTITUTE(L316,"-",""))),1,0))</f>
        <v/>
      </c>
      <c r="N316">
        <f>IF(M316=0,"",IFERROR(VALUE(TRIM(MID(SUBSTITUTE(L316,"-",REPT(" ",100)),101,100))),""))</f>
        <v/>
      </c>
      <c r="O316">
        <f>IF(M316=0,"",IFERROR(VALUE(TRIM(RIGHT(SUBSTITUTE(L316,"-",REPT(" ",100)),100))),""))</f>
        <v/>
      </c>
      <c r="P316">
        <f>IF(B316="","",TRIM(INDEX($D316:$K316,IF(M316=1,2,1))&amp;IF(AD316&gt;=2," "&amp;INDEX($D316:$K316,IF(M316=1,2,1)+1),"")&amp;IF(AD316&gt;=3," "&amp;INDEX($D316:$K316,IF(M316=1,2,1)+2),"")))</f>
        <v/>
      </c>
      <c r="Q316">
        <f>IF(C316&lt;2,"",TRIM(IF(AND(2&gt;=(IF(M316=1,2,1)+AD316),2&lt;=C316-IF(S316="",0,1)),E316&amp;" ","")&amp;IF(AND(3&gt;=(IF(M316=1,2,1)+AD316),3&lt;=C316-IF(S316="",0,1)),F316&amp;" ","")&amp;IF(AND(4&gt;=(IF(M316=1,2,1)+AD316),4&lt;=C316-IF(S316="",0,1)),G316&amp;" ","")&amp;IF(AND(5&gt;=(IF(M316=1,2,1)+AD316),5&lt;=C316-IF(S316="",0,1)),H316&amp;" ","")&amp;IF(AND(6&gt;=(IF(M316=1,2,1)+AD316),6&lt;=C316-IF(S316="",0,1)),I316&amp;" ","")&amp;IF(AND(7&gt;=(IF(M316=1,2,1)+AD316),7&lt;=C316-IF(S316="",0,1)),J316&amp;" ","")&amp;IF(AND(8&gt;=(IF(M316=1,2,1)+AD316),8&lt;=C316-IF(S316="",0,1)),K316&amp;" ","")))</f>
        <v/>
      </c>
      <c r="R316">
        <f>IF(Q316="","",IFERROR(INDEX(資格マスタ!$B:$B,MATCH(ASC(SUBSTITUTE(SUBSTITUTE(Q316," ",""),"　","")),資格マスタ!$D:$D,0)),Q316))</f>
        <v/>
      </c>
      <c r="S316" s="139">
        <f>IF(C316&lt;2,"",IFERROR(IF(OR(LEFT(INDEX(D316:K316,MIN(8,MAX(1,C316))),2)="令和",LEFT(INDEX(D316:K316,MIN(8,MAX(1,C316))),2)="平成",LEFT(INDEX(D316:K316,MIN(8,MAX(1,C316))),2)="昭和"),DATE(VALUE(MID(INDEX(D316:K316,MIN(8,MAX(1,C316))),3,FIND("年",INDEX(D316:K316,MIN(8,MAX(1,C316))))-3))+IF(LEFT(INDEX(D316:K316,MIN(8,MAX(1,C316))),2)="令和",2018,IF(LEFT(INDEX(D316:K316,MIN(8,MAX(1,C316))),2)="平成",1988,1925)),VALUE(MID(INDEX(D316:K316,MIN(8,MAX(1,C316))),FIND("年",INDEX(D316:K316,MIN(8,MAX(1,C316))))+1,FIND("月",INDEX(D316:K316,MIN(8,MAX(1,C316))))-FIND("年",INDEX(D316:K316,MIN(8,MAX(1,C316))))-1)),IFERROR(VALUE(SUBSTITUTE(MID(INDEX(D316:K316,MIN(8,MAX(1,C316))),FIND("月",INDEX(D316:K316,MIN(8,MAX(1,C316))))+1,10),"日","")),1)),DATE(VALUE(TRIM(MID(SUBSTITUTE(AA316,"/",REPT(" ",50)),1,50))),VALUE(TRIM(MID(SUBSTITUTE(AA316,"/",REPT(" ",50)),51,50))),IFERROR(VALUE(TRIM(MID(SUBSTITUTE(AA316,"/",REPT(" ",50)),101,50))),1))),IFERROR(DATEVALUE(INDEX(D316:K316,MIN(8,MAX(1,C316)))),"")))</f>
        <v/>
      </c>
      <c r="T316">
        <f>IF(B316="","",IF(AB316&lt;&gt;"",AB316,IFERROR(MATCH(SUBSTITUTE(SUBSTITUTE(P316," ",""),"　",""),入力!$AH$5:$AH$44,0),"")))</f>
        <v/>
      </c>
      <c r="U316">
        <f>IF(T316="","",INDEX(入力!$D$5:$D$44,T316))</f>
        <v/>
      </c>
      <c r="V316">
        <f>IF(B316="","",IF(T316="","要確認（名簿と照合できません）",IF(R316="","要確認（資格名がありません）",IF(S316="","要確認（取得日が読めません）",IF((IF(INDEX(入力!$N$5:$N$44,T316)=R316,1,0)+IF(INDEX(入力!$P$5:$P$44,T316)=R316,1,0)+IF(INDEX(入力!$R$5:$R$44,T316)=R316,1,0)+IF(INDEX(入力!$T$5:$T$44,T316)=R316,1,0)+IF(INDEX(入力!$V$5:$V$44,T316)=R316,1,0)+IF(INDEX(入力!$X$5:$X$44,T316)=R316,1,0))+(COUNTIFS($T$6:$T$405,T316,$R$6:$R$405,R316,$X$6:$X$405,"&lt;"&amp;X316))&gt;0,"重複","反映")))))</f>
        <v/>
      </c>
      <c r="W316">
        <f>IF(V316="反映",1,0)</f>
        <v/>
      </c>
      <c r="X316" t="n">
        <v>316</v>
      </c>
      <c r="Y316">
        <f>IF(W316=0,"",COUNTIFS($T$6:$T$405,T316,$W$6:$W$405,1,$S$6:$S$405,"&lt;"&amp;S316)+COUNTIFS($T$6:$T$405,T316,$W$6:$W$405,1,$S$6:$S$405,S316,$X$6:$X$405,"&lt;"&amp;X316)+1)</f>
        <v/>
      </c>
      <c r="Z316">
        <f>IF(Y316="","",T316&amp;"_"&amp;Y316)</f>
        <v/>
      </c>
      <c r="AA316">
        <f>SUBSTITUTE(SUBSTITUTE(SUBSTITUTE(SUBSTITUTE(SUBSTITUTE(INDEX(D316:K316,MIN(8,MAX(1,C316))),"年","/"),"月","/"),"日",""),"-","/"),".","/")</f>
        <v/>
      </c>
      <c r="AB316">
        <f>IFERROR(MATCH(O316,入力!$C$5:$C$44,0),"")</f>
        <v/>
      </c>
      <c r="AC316">
        <f>IF(AB316="","",INDEX(入力!$AH$5:$AH$44,AB316))</f>
        <v/>
      </c>
      <c r="AD316">
        <f>IF(INDEX($D316:$K316,IF(M316=1,2,1))=AC316,1,IF(INDEX($D316:$K316,IF(M316=1,2,1))&amp;INDEX($D316:$K316,IF(M316=1,2,1)+1)=AC316,2,IF(INDEX($D316:$K316,IF(M316=1,2,1))&amp;INDEX($D316:$K316,IF(M316=1,2,1)+1)&amp;INDEX($D316:$K316,IF(M316=1,2,1)+2)=AC316,3,IF(AB316&lt;&gt;"",2,IF(ISNUMBER(MATCH(INDEX($D316:$K316,IF(M316=1,2,1)),入力!$AH$5:$AH$44,0)),1,IF(ISNUMBER(MATCH(INDEX($D316:$K316,IF(M316=1,2,1))&amp;INDEX($D316:$K316,IF(M316=1,2,1)+1),入力!$AH$5:$AH$44,0)),2,IF(ISNUMBER(MATCH(INDEX($D316:$K316,IF(M316=1,2,1))&amp;INDEX($D316:$K316,IF(M316=1,2,1)+1)&amp;INDEX($D316:$K316,IF(M316=1,2,1)+2),入力!$AH$5:$AH$44,0)),3,2)))))))</f>
        <v/>
      </c>
      <c r="AE316">
        <f>IF(V316="","",IF(AND(V316="反映",N(Y316)&gt;20),"要確認（この生徒の取込が20件を超えました）",V316))</f>
        <v/>
      </c>
    </row>
    <row r="317">
      <c r="A317" s="138" t="n"/>
      <c r="B317">
        <f>TRIM(SUBSTITUTE(SUBSTITUTE(SUBSTITUTE(A317,CHAR(9)," "),"　"," "),CHAR(160)," "))</f>
        <v/>
      </c>
      <c r="C317">
        <f>IF(B317="",0,LEN(B317)-LEN(SUBSTITUTE(B317," ",""))+1)</f>
        <v/>
      </c>
      <c r="D317">
        <f>IF(C317&gt;=1,TRIM(MID(SUBSTITUTE(B317," ",REPT(" ",200)),1,200)),"")</f>
        <v/>
      </c>
      <c r="E317">
        <f>IF(C317&gt;=2,TRIM(MID(SUBSTITUTE(B317," ",REPT(" ",200)),201,200)),"")</f>
        <v/>
      </c>
      <c r="F317">
        <f>IF(C317&gt;=3,TRIM(MID(SUBSTITUTE(B317," ",REPT(" ",200)),401,200)),"")</f>
        <v/>
      </c>
      <c r="G317">
        <f>IF(C317&gt;=4,TRIM(MID(SUBSTITUTE(B317," ",REPT(" ",200)),601,200)),"")</f>
        <v/>
      </c>
      <c r="H317">
        <f>IF(C317&gt;=5,TRIM(MID(SUBSTITUTE(B317," ",REPT(" ",200)),801,200)),"")</f>
        <v/>
      </c>
      <c r="I317">
        <f>IF(C317&gt;=6,TRIM(MID(SUBSTITUTE(B317," ",REPT(" ",200)),1001,200)),"")</f>
        <v/>
      </c>
      <c r="J317">
        <f>IF(C317&gt;=7,TRIM(MID(SUBSTITUTE(B317," ",REPT(" ",200)),1201,200)),"")</f>
        <v/>
      </c>
      <c r="K317">
        <f>IF(C317&gt;=8,TRIM(MID(SUBSTITUTE(B317," ",REPT(" ",200)),1401,200)),"")</f>
        <v/>
      </c>
      <c r="L317">
        <f>SUBSTITUTE(SUBSTITUTE(SUBSTITUTE(D317,"年","-"),"組","-"),"番","")</f>
        <v/>
      </c>
      <c r="M317">
        <f>IF(D317="",0,IF(ISNUMBER(VALUE(SUBSTITUTE(L317,"-",""))),1,0))</f>
        <v/>
      </c>
      <c r="N317">
        <f>IF(M317=0,"",IFERROR(VALUE(TRIM(MID(SUBSTITUTE(L317,"-",REPT(" ",100)),101,100))),""))</f>
        <v/>
      </c>
      <c r="O317">
        <f>IF(M317=0,"",IFERROR(VALUE(TRIM(RIGHT(SUBSTITUTE(L317,"-",REPT(" ",100)),100))),""))</f>
        <v/>
      </c>
      <c r="P317">
        <f>IF(B317="","",TRIM(INDEX($D317:$K317,IF(M317=1,2,1))&amp;IF(AD317&gt;=2," "&amp;INDEX($D317:$K317,IF(M317=1,2,1)+1),"")&amp;IF(AD317&gt;=3," "&amp;INDEX($D317:$K317,IF(M317=1,2,1)+2),"")))</f>
        <v/>
      </c>
      <c r="Q317">
        <f>IF(C317&lt;2,"",TRIM(IF(AND(2&gt;=(IF(M317=1,2,1)+AD317),2&lt;=C317-IF(S317="",0,1)),E317&amp;" ","")&amp;IF(AND(3&gt;=(IF(M317=1,2,1)+AD317),3&lt;=C317-IF(S317="",0,1)),F317&amp;" ","")&amp;IF(AND(4&gt;=(IF(M317=1,2,1)+AD317),4&lt;=C317-IF(S317="",0,1)),G317&amp;" ","")&amp;IF(AND(5&gt;=(IF(M317=1,2,1)+AD317),5&lt;=C317-IF(S317="",0,1)),H317&amp;" ","")&amp;IF(AND(6&gt;=(IF(M317=1,2,1)+AD317),6&lt;=C317-IF(S317="",0,1)),I317&amp;" ","")&amp;IF(AND(7&gt;=(IF(M317=1,2,1)+AD317),7&lt;=C317-IF(S317="",0,1)),J317&amp;" ","")&amp;IF(AND(8&gt;=(IF(M317=1,2,1)+AD317),8&lt;=C317-IF(S317="",0,1)),K317&amp;" ","")))</f>
        <v/>
      </c>
      <c r="R317">
        <f>IF(Q317="","",IFERROR(INDEX(資格マスタ!$B:$B,MATCH(ASC(SUBSTITUTE(SUBSTITUTE(Q317," ",""),"　","")),資格マスタ!$D:$D,0)),Q317))</f>
        <v/>
      </c>
      <c r="S317" s="139">
        <f>IF(C317&lt;2,"",IFERROR(IF(OR(LEFT(INDEX(D317:K317,MIN(8,MAX(1,C317))),2)="令和",LEFT(INDEX(D317:K317,MIN(8,MAX(1,C317))),2)="平成",LEFT(INDEX(D317:K317,MIN(8,MAX(1,C317))),2)="昭和"),DATE(VALUE(MID(INDEX(D317:K317,MIN(8,MAX(1,C317))),3,FIND("年",INDEX(D317:K317,MIN(8,MAX(1,C317))))-3))+IF(LEFT(INDEX(D317:K317,MIN(8,MAX(1,C317))),2)="令和",2018,IF(LEFT(INDEX(D317:K317,MIN(8,MAX(1,C317))),2)="平成",1988,1925)),VALUE(MID(INDEX(D317:K317,MIN(8,MAX(1,C317))),FIND("年",INDEX(D317:K317,MIN(8,MAX(1,C317))))+1,FIND("月",INDEX(D317:K317,MIN(8,MAX(1,C317))))-FIND("年",INDEX(D317:K317,MIN(8,MAX(1,C317))))-1)),IFERROR(VALUE(SUBSTITUTE(MID(INDEX(D317:K317,MIN(8,MAX(1,C317))),FIND("月",INDEX(D317:K317,MIN(8,MAX(1,C317))))+1,10),"日","")),1)),DATE(VALUE(TRIM(MID(SUBSTITUTE(AA317,"/",REPT(" ",50)),1,50))),VALUE(TRIM(MID(SUBSTITUTE(AA317,"/",REPT(" ",50)),51,50))),IFERROR(VALUE(TRIM(MID(SUBSTITUTE(AA317,"/",REPT(" ",50)),101,50))),1))),IFERROR(DATEVALUE(INDEX(D317:K317,MIN(8,MAX(1,C317)))),"")))</f>
        <v/>
      </c>
      <c r="T317">
        <f>IF(B317="","",IF(AB317&lt;&gt;"",AB317,IFERROR(MATCH(SUBSTITUTE(SUBSTITUTE(P317," ",""),"　",""),入力!$AH$5:$AH$44,0),"")))</f>
        <v/>
      </c>
      <c r="U317">
        <f>IF(T317="","",INDEX(入力!$D$5:$D$44,T317))</f>
        <v/>
      </c>
      <c r="V317">
        <f>IF(B317="","",IF(T317="","要確認（名簿と照合できません）",IF(R317="","要確認（資格名がありません）",IF(S317="","要確認（取得日が読めません）",IF((IF(INDEX(入力!$N$5:$N$44,T317)=R317,1,0)+IF(INDEX(入力!$P$5:$P$44,T317)=R317,1,0)+IF(INDEX(入力!$R$5:$R$44,T317)=R317,1,0)+IF(INDEX(入力!$T$5:$T$44,T317)=R317,1,0)+IF(INDEX(入力!$V$5:$V$44,T317)=R317,1,0)+IF(INDEX(入力!$X$5:$X$44,T317)=R317,1,0))+(COUNTIFS($T$6:$T$405,T317,$R$6:$R$405,R317,$X$6:$X$405,"&lt;"&amp;X317))&gt;0,"重複","反映")))))</f>
        <v/>
      </c>
      <c r="W317">
        <f>IF(V317="反映",1,0)</f>
        <v/>
      </c>
      <c r="X317" t="n">
        <v>317</v>
      </c>
      <c r="Y317">
        <f>IF(W317=0,"",COUNTIFS($T$6:$T$405,T317,$W$6:$W$405,1,$S$6:$S$405,"&lt;"&amp;S317)+COUNTIFS($T$6:$T$405,T317,$W$6:$W$405,1,$S$6:$S$405,S317,$X$6:$X$405,"&lt;"&amp;X317)+1)</f>
        <v/>
      </c>
      <c r="Z317">
        <f>IF(Y317="","",T317&amp;"_"&amp;Y317)</f>
        <v/>
      </c>
      <c r="AA317">
        <f>SUBSTITUTE(SUBSTITUTE(SUBSTITUTE(SUBSTITUTE(SUBSTITUTE(INDEX(D317:K317,MIN(8,MAX(1,C317))),"年","/"),"月","/"),"日",""),"-","/"),".","/")</f>
        <v/>
      </c>
      <c r="AB317">
        <f>IFERROR(MATCH(O317,入力!$C$5:$C$44,0),"")</f>
        <v/>
      </c>
      <c r="AC317">
        <f>IF(AB317="","",INDEX(入力!$AH$5:$AH$44,AB317))</f>
        <v/>
      </c>
      <c r="AD317">
        <f>IF(INDEX($D317:$K317,IF(M317=1,2,1))=AC317,1,IF(INDEX($D317:$K317,IF(M317=1,2,1))&amp;INDEX($D317:$K317,IF(M317=1,2,1)+1)=AC317,2,IF(INDEX($D317:$K317,IF(M317=1,2,1))&amp;INDEX($D317:$K317,IF(M317=1,2,1)+1)&amp;INDEX($D317:$K317,IF(M317=1,2,1)+2)=AC317,3,IF(AB317&lt;&gt;"",2,IF(ISNUMBER(MATCH(INDEX($D317:$K317,IF(M317=1,2,1)),入力!$AH$5:$AH$44,0)),1,IF(ISNUMBER(MATCH(INDEX($D317:$K317,IF(M317=1,2,1))&amp;INDEX($D317:$K317,IF(M317=1,2,1)+1),入力!$AH$5:$AH$44,0)),2,IF(ISNUMBER(MATCH(INDEX($D317:$K317,IF(M317=1,2,1))&amp;INDEX($D317:$K317,IF(M317=1,2,1)+1)&amp;INDEX($D317:$K317,IF(M317=1,2,1)+2),入力!$AH$5:$AH$44,0)),3,2)))))))</f>
        <v/>
      </c>
      <c r="AE317">
        <f>IF(V317="","",IF(AND(V317="反映",N(Y317)&gt;20),"要確認（この生徒の取込が20件を超えました）",V317))</f>
        <v/>
      </c>
    </row>
    <row r="318">
      <c r="A318" s="138" t="n"/>
      <c r="B318">
        <f>TRIM(SUBSTITUTE(SUBSTITUTE(SUBSTITUTE(A318,CHAR(9)," "),"　"," "),CHAR(160)," "))</f>
        <v/>
      </c>
      <c r="C318">
        <f>IF(B318="",0,LEN(B318)-LEN(SUBSTITUTE(B318," ",""))+1)</f>
        <v/>
      </c>
      <c r="D318">
        <f>IF(C318&gt;=1,TRIM(MID(SUBSTITUTE(B318," ",REPT(" ",200)),1,200)),"")</f>
        <v/>
      </c>
      <c r="E318">
        <f>IF(C318&gt;=2,TRIM(MID(SUBSTITUTE(B318," ",REPT(" ",200)),201,200)),"")</f>
        <v/>
      </c>
      <c r="F318">
        <f>IF(C318&gt;=3,TRIM(MID(SUBSTITUTE(B318," ",REPT(" ",200)),401,200)),"")</f>
        <v/>
      </c>
      <c r="G318">
        <f>IF(C318&gt;=4,TRIM(MID(SUBSTITUTE(B318," ",REPT(" ",200)),601,200)),"")</f>
        <v/>
      </c>
      <c r="H318">
        <f>IF(C318&gt;=5,TRIM(MID(SUBSTITUTE(B318," ",REPT(" ",200)),801,200)),"")</f>
        <v/>
      </c>
      <c r="I318">
        <f>IF(C318&gt;=6,TRIM(MID(SUBSTITUTE(B318," ",REPT(" ",200)),1001,200)),"")</f>
        <v/>
      </c>
      <c r="J318">
        <f>IF(C318&gt;=7,TRIM(MID(SUBSTITUTE(B318," ",REPT(" ",200)),1201,200)),"")</f>
        <v/>
      </c>
      <c r="K318">
        <f>IF(C318&gt;=8,TRIM(MID(SUBSTITUTE(B318," ",REPT(" ",200)),1401,200)),"")</f>
        <v/>
      </c>
      <c r="L318">
        <f>SUBSTITUTE(SUBSTITUTE(SUBSTITUTE(D318,"年","-"),"組","-"),"番","")</f>
        <v/>
      </c>
      <c r="M318">
        <f>IF(D318="",0,IF(ISNUMBER(VALUE(SUBSTITUTE(L318,"-",""))),1,0))</f>
        <v/>
      </c>
      <c r="N318">
        <f>IF(M318=0,"",IFERROR(VALUE(TRIM(MID(SUBSTITUTE(L318,"-",REPT(" ",100)),101,100))),""))</f>
        <v/>
      </c>
      <c r="O318">
        <f>IF(M318=0,"",IFERROR(VALUE(TRIM(RIGHT(SUBSTITUTE(L318,"-",REPT(" ",100)),100))),""))</f>
        <v/>
      </c>
      <c r="P318">
        <f>IF(B318="","",TRIM(INDEX($D318:$K318,IF(M318=1,2,1))&amp;IF(AD318&gt;=2," "&amp;INDEX($D318:$K318,IF(M318=1,2,1)+1),"")&amp;IF(AD318&gt;=3," "&amp;INDEX($D318:$K318,IF(M318=1,2,1)+2),"")))</f>
        <v/>
      </c>
      <c r="Q318">
        <f>IF(C318&lt;2,"",TRIM(IF(AND(2&gt;=(IF(M318=1,2,1)+AD318),2&lt;=C318-IF(S318="",0,1)),E318&amp;" ","")&amp;IF(AND(3&gt;=(IF(M318=1,2,1)+AD318),3&lt;=C318-IF(S318="",0,1)),F318&amp;" ","")&amp;IF(AND(4&gt;=(IF(M318=1,2,1)+AD318),4&lt;=C318-IF(S318="",0,1)),G318&amp;" ","")&amp;IF(AND(5&gt;=(IF(M318=1,2,1)+AD318),5&lt;=C318-IF(S318="",0,1)),H318&amp;" ","")&amp;IF(AND(6&gt;=(IF(M318=1,2,1)+AD318),6&lt;=C318-IF(S318="",0,1)),I318&amp;" ","")&amp;IF(AND(7&gt;=(IF(M318=1,2,1)+AD318),7&lt;=C318-IF(S318="",0,1)),J318&amp;" ","")&amp;IF(AND(8&gt;=(IF(M318=1,2,1)+AD318),8&lt;=C318-IF(S318="",0,1)),K318&amp;" ","")))</f>
        <v/>
      </c>
      <c r="R318">
        <f>IF(Q318="","",IFERROR(INDEX(資格マスタ!$B:$B,MATCH(ASC(SUBSTITUTE(SUBSTITUTE(Q318," ",""),"　","")),資格マスタ!$D:$D,0)),Q318))</f>
        <v/>
      </c>
      <c r="S318" s="139">
        <f>IF(C318&lt;2,"",IFERROR(IF(OR(LEFT(INDEX(D318:K318,MIN(8,MAX(1,C318))),2)="令和",LEFT(INDEX(D318:K318,MIN(8,MAX(1,C318))),2)="平成",LEFT(INDEX(D318:K318,MIN(8,MAX(1,C318))),2)="昭和"),DATE(VALUE(MID(INDEX(D318:K318,MIN(8,MAX(1,C318))),3,FIND("年",INDEX(D318:K318,MIN(8,MAX(1,C318))))-3))+IF(LEFT(INDEX(D318:K318,MIN(8,MAX(1,C318))),2)="令和",2018,IF(LEFT(INDEX(D318:K318,MIN(8,MAX(1,C318))),2)="平成",1988,1925)),VALUE(MID(INDEX(D318:K318,MIN(8,MAX(1,C318))),FIND("年",INDEX(D318:K318,MIN(8,MAX(1,C318))))+1,FIND("月",INDEX(D318:K318,MIN(8,MAX(1,C318))))-FIND("年",INDEX(D318:K318,MIN(8,MAX(1,C318))))-1)),IFERROR(VALUE(SUBSTITUTE(MID(INDEX(D318:K318,MIN(8,MAX(1,C318))),FIND("月",INDEX(D318:K318,MIN(8,MAX(1,C318))))+1,10),"日","")),1)),DATE(VALUE(TRIM(MID(SUBSTITUTE(AA318,"/",REPT(" ",50)),1,50))),VALUE(TRIM(MID(SUBSTITUTE(AA318,"/",REPT(" ",50)),51,50))),IFERROR(VALUE(TRIM(MID(SUBSTITUTE(AA318,"/",REPT(" ",50)),101,50))),1))),IFERROR(DATEVALUE(INDEX(D318:K318,MIN(8,MAX(1,C318)))),"")))</f>
        <v/>
      </c>
      <c r="T318">
        <f>IF(B318="","",IF(AB318&lt;&gt;"",AB318,IFERROR(MATCH(SUBSTITUTE(SUBSTITUTE(P318," ",""),"　",""),入力!$AH$5:$AH$44,0),"")))</f>
        <v/>
      </c>
      <c r="U318">
        <f>IF(T318="","",INDEX(入力!$D$5:$D$44,T318))</f>
        <v/>
      </c>
      <c r="V318">
        <f>IF(B318="","",IF(T318="","要確認（名簿と照合できません）",IF(R318="","要確認（資格名がありません）",IF(S318="","要確認（取得日が読めません）",IF((IF(INDEX(入力!$N$5:$N$44,T318)=R318,1,0)+IF(INDEX(入力!$P$5:$P$44,T318)=R318,1,0)+IF(INDEX(入力!$R$5:$R$44,T318)=R318,1,0)+IF(INDEX(入力!$T$5:$T$44,T318)=R318,1,0)+IF(INDEX(入力!$V$5:$V$44,T318)=R318,1,0)+IF(INDEX(入力!$X$5:$X$44,T318)=R318,1,0))+(COUNTIFS($T$6:$T$405,T318,$R$6:$R$405,R318,$X$6:$X$405,"&lt;"&amp;X318))&gt;0,"重複","反映")))))</f>
        <v/>
      </c>
      <c r="W318">
        <f>IF(V318="反映",1,0)</f>
        <v/>
      </c>
      <c r="X318" t="n">
        <v>318</v>
      </c>
      <c r="Y318">
        <f>IF(W318=0,"",COUNTIFS($T$6:$T$405,T318,$W$6:$W$405,1,$S$6:$S$405,"&lt;"&amp;S318)+COUNTIFS($T$6:$T$405,T318,$W$6:$W$405,1,$S$6:$S$405,S318,$X$6:$X$405,"&lt;"&amp;X318)+1)</f>
        <v/>
      </c>
      <c r="Z318">
        <f>IF(Y318="","",T318&amp;"_"&amp;Y318)</f>
        <v/>
      </c>
      <c r="AA318">
        <f>SUBSTITUTE(SUBSTITUTE(SUBSTITUTE(SUBSTITUTE(SUBSTITUTE(INDEX(D318:K318,MIN(8,MAX(1,C318))),"年","/"),"月","/"),"日",""),"-","/"),".","/")</f>
        <v/>
      </c>
      <c r="AB318">
        <f>IFERROR(MATCH(O318,入力!$C$5:$C$44,0),"")</f>
        <v/>
      </c>
      <c r="AC318">
        <f>IF(AB318="","",INDEX(入力!$AH$5:$AH$44,AB318))</f>
        <v/>
      </c>
      <c r="AD318">
        <f>IF(INDEX($D318:$K318,IF(M318=1,2,1))=AC318,1,IF(INDEX($D318:$K318,IF(M318=1,2,1))&amp;INDEX($D318:$K318,IF(M318=1,2,1)+1)=AC318,2,IF(INDEX($D318:$K318,IF(M318=1,2,1))&amp;INDEX($D318:$K318,IF(M318=1,2,1)+1)&amp;INDEX($D318:$K318,IF(M318=1,2,1)+2)=AC318,3,IF(AB318&lt;&gt;"",2,IF(ISNUMBER(MATCH(INDEX($D318:$K318,IF(M318=1,2,1)),入力!$AH$5:$AH$44,0)),1,IF(ISNUMBER(MATCH(INDEX($D318:$K318,IF(M318=1,2,1))&amp;INDEX($D318:$K318,IF(M318=1,2,1)+1),入力!$AH$5:$AH$44,0)),2,IF(ISNUMBER(MATCH(INDEX($D318:$K318,IF(M318=1,2,1))&amp;INDEX($D318:$K318,IF(M318=1,2,1)+1)&amp;INDEX($D318:$K318,IF(M318=1,2,1)+2),入力!$AH$5:$AH$44,0)),3,2)))))))</f>
        <v/>
      </c>
      <c r="AE318">
        <f>IF(V318="","",IF(AND(V318="反映",N(Y318)&gt;20),"要確認（この生徒の取込が20件を超えました）",V318))</f>
        <v/>
      </c>
    </row>
    <row r="319">
      <c r="A319" s="138" t="n"/>
      <c r="B319">
        <f>TRIM(SUBSTITUTE(SUBSTITUTE(SUBSTITUTE(A319,CHAR(9)," "),"　"," "),CHAR(160)," "))</f>
        <v/>
      </c>
      <c r="C319">
        <f>IF(B319="",0,LEN(B319)-LEN(SUBSTITUTE(B319," ",""))+1)</f>
        <v/>
      </c>
      <c r="D319">
        <f>IF(C319&gt;=1,TRIM(MID(SUBSTITUTE(B319," ",REPT(" ",200)),1,200)),"")</f>
        <v/>
      </c>
      <c r="E319">
        <f>IF(C319&gt;=2,TRIM(MID(SUBSTITUTE(B319," ",REPT(" ",200)),201,200)),"")</f>
        <v/>
      </c>
      <c r="F319">
        <f>IF(C319&gt;=3,TRIM(MID(SUBSTITUTE(B319," ",REPT(" ",200)),401,200)),"")</f>
        <v/>
      </c>
      <c r="G319">
        <f>IF(C319&gt;=4,TRIM(MID(SUBSTITUTE(B319," ",REPT(" ",200)),601,200)),"")</f>
        <v/>
      </c>
      <c r="H319">
        <f>IF(C319&gt;=5,TRIM(MID(SUBSTITUTE(B319," ",REPT(" ",200)),801,200)),"")</f>
        <v/>
      </c>
      <c r="I319">
        <f>IF(C319&gt;=6,TRIM(MID(SUBSTITUTE(B319," ",REPT(" ",200)),1001,200)),"")</f>
        <v/>
      </c>
      <c r="J319">
        <f>IF(C319&gt;=7,TRIM(MID(SUBSTITUTE(B319," ",REPT(" ",200)),1201,200)),"")</f>
        <v/>
      </c>
      <c r="K319">
        <f>IF(C319&gt;=8,TRIM(MID(SUBSTITUTE(B319," ",REPT(" ",200)),1401,200)),"")</f>
        <v/>
      </c>
      <c r="L319">
        <f>SUBSTITUTE(SUBSTITUTE(SUBSTITUTE(D319,"年","-"),"組","-"),"番","")</f>
        <v/>
      </c>
      <c r="M319">
        <f>IF(D319="",0,IF(ISNUMBER(VALUE(SUBSTITUTE(L319,"-",""))),1,0))</f>
        <v/>
      </c>
      <c r="N319">
        <f>IF(M319=0,"",IFERROR(VALUE(TRIM(MID(SUBSTITUTE(L319,"-",REPT(" ",100)),101,100))),""))</f>
        <v/>
      </c>
      <c r="O319">
        <f>IF(M319=0,"",IFERROR(VALUE(TRIM(RIGHT(SUBSTITUTE(L319,"-",REPT(" ",100)),100))),""))</f>
        <v/>
      </c>
      <c r="P319">
        <f>IF(B319="","",TRIM(INDEX($D319:$K319,IF(M319=1,2,1))&amp;IF(AD319&gt;=2," "&amp;INDEX($D319:$K319,IF(M319=1,2,1)+1),"")&amp;IF(AD319&gt;=3," "&amp;INDEX($D319:$K319,IF(M319=1,2,1)+2),"")))</f>
        <v/>
      </c>
      <c r="Q319">
        <f>IF(C319&lt;2,"",TRIM(IF(AND(2&gt;=(IF(M319=1,2,1)+AD319),2&lt;=C319-IF(S319="",0,1)),E319&amp;" ","")&amp;IF(AND(3&gt;=(IF(M319=1,2,1)+AD319),3&lt;=C319-IF(S319="",0,1)),F319&amp;" ","")&amp;IF(AND(4&gt;=(IF(M319=1,2,1)+AD319),4&lt;=C319-IF(S319="",0,1)),G319&amp;" ","")&amp;IF(AND(5&gt;=(IF(M319=1,2,1)+AD319),5&lt;=C319-IF(S319="",0,1)),H319&amp;" ","")&amp;IF(AND(6&gt;=(IF(M319=1,2,1)+AD319),6&lt;=C319-IF(S319="",0,1)),I319&amp;" ","")&amp;IF(AND(7&gt;=(IF(M319=1,2,1)+AD319),7&lt;=C319-IF(S319="",0,1)),J319&amp;" ","")&amp;IF(AND(8&gt;=(IF(M319=1,2,1)+AD319),8&lt;=C319-IF(S319="",0,1)),K319&amp;" ","")))</f>
        <v/>
      </c>
      <c r="R319">
        <f>IF(Q319="","",IFERROR(INDEX(資格マスタ!$B:$B,MATCH(ASC(SUBSTITUTE(SUBSTITUTE(Q319," ",""),"　","")),資格マスタ!$D:$D,0)),Q319))</f>
        <v/>
      </c>
      <c r="S319" s="139">
        <f>IF(C319&lt;2,"",IFERROR(IF(OR(LEFT(INDEX(D319:K319,MIN(8,MAX(1,C319))),2)="令和",LEFT(INDEX(D319:K319,MIN(8,MAX(1,C319))),2)="平成",LEFT(INDEX(D319:K319,MIN(8,MAX(1,C319))),2)="昭和"),DATE(VALUE(MID(INDEX(D319:K319,MIN(8,MAX(1,C319))),3,FIND("年",INDEX(D319:K319,MIN(8,MAX(1,C319))))-3))+IF(LEFT(INDEX(D319:K319,MIN(8,MAX(1,C319))),2)="令和",2018,IF(LEFT(INDEX(D319:K319,MIN(8,MAX(1,C319))),2)="平成",1988,1925)),VALUE(MID(INDEX(D319:K319,MIN(8,MAX(1,C319))),FIND("年",INDEX(D319:K319,MIN(8,MAX(1,C319))))+1,FIND("月",INDEX(D319:K319,MIN(8,MAX(1,C319))))-FIND("年",INDEX(D319:K319,MIN(8,MAX(1,C319))))-1)),IFERROR(VALUE(SUBSTITUTE(MID(INDEX(D319:K319,MIN(8,MAX(1,C319))),FIND("月",INDEX(D319:K319,MIN(8,MAX(1,C319))))+1,10),"日","")),1)),DATE(VALUE(TRIM(MID(SUBSTITUTE(AA319,"/",REPT(" ",50)),1,50))),VALUE(TRIM(MID(SUBSTITUTE(AA319,"/",REPT(" ",50)),51,50))),IFERROR(VALUE(TRIM(MID(SUBSTITUTE(AA319,"/",REPT(" ",50)),101,50))),1))),IFERROR(DATEVALUE(INDEX(D319:K319,MIN(8,MAX(1,C319)))),"")))</f>
        <v/>
      </c>
      <c r="T319">
        <f>IF(B319="","",IF(AB319&lt;&gt;"",AB319,IFERROR(MATCH(SUBSTITUTE(SUBSTITUTE(P319," ",""),"　",""),入力!$AH$5:$AH$44,0),"")))</f>
        <v/>
      </c>
      <c r="U319">
        <f>IF(T319="","",INDEX(入力!$D$5:$D$44,T319))</f>
        <v/>
      </c>
      <c r="V319">
        <f>IF(B319="","",IF(T319="","要確認（名簿と照合できません）",IF(R319="","要確認（資格名がありません）",IF(S319="","要確認（取得日が読めません）",IF((IF(INDEX(入力!$N$5:$N$44,T319)=R319,1,0)+IF(INDEX(入力!$P$5:$P$44,T319)=R319,1,0)+IF(INDEX(入力!$R$5:$R$44,T319)=R319,1,0)+IF(INDEX(入力!$T$5:$T$44,T319)=R319,1,0)+IF(INDEX(入力!$V$5:$V$44,T319)=R319,1,0)+IF(INDEX(入力!$X$5:$X$44,T319)=R319,1,0))+(COUNTIFS($T$6:$T$405,T319,$R$6:$R$405,R319,$X$6:$X$405,"&lt;"&amp;X319))&gt;0,"重複","反映")))))</f>
        <v/>
      </c>
      <c r="W319">
        <f>IF(V319="反映",1,0)</f>
        <v/>
      </c>
      <c r="X319" t="n">
        <v>319</v>
      </c>
      <c r="Y319">
        <f>IF(W319=0,"",COUNTIFS($T$6:$T$405,T319,$W$6:$W$405,1,$S$6:$S$405,"&lt;"&amp;S319)+COUNTIFS($T$6:$T$405,T319,$W$6:$W$405,1,$S$6:$S$405,S319,$X$6:$X$405,"&lt;"&amp;X319)+1)</f>
        <v/>
      </c>
      <c r="Z319">
        <f>IF(Y319="","",T319&amp;"_"&amp;Y319)</f>
        <v/>
      </c>
      <c r="AA319">
        <f>SUBSTITUTE(SUBSTITUTE(SUBSTITUTE(SUBSTITUTE(SUBSTITUTE(INDEX(D319:K319,MIN(8,MAX(1,C319))),"年","/"),"月","/"),"日",""),"-","/"),".","/")</f>
        <v/>
      </c>
      <c r="AB319">
        <f>IFERROR(MATCH(O319,入力!$C$5:$C$44,0),"")</f>
        <v/>
      </c>
      <c r="AC319">
        <f>IF(AB319="","",INDEX(入力!$AH$5:$AH$44,AB319))</f>
        <v/>
      </c>
      <c r="AD319">
        <f>IF(INDEX($D319:$K319,IF(M319=1,2,1))=AC319,1,IF(INDEX($D319:$K319,IF(M319=1,2,1))&amp;INDEX($D319:$K319,IF(M319=1,2,1)+1)=AC319,2,IF(INDEX($D319:$K319,IF(M319=1,2,1))&amp;INDEX($D319:$K319,IF(M319=1,2,1)+1)&amp;INDEX($D319:$K319,IF(M319=1,2,1)+2)=AC319,3,IF(AB319&lt;&gt;"",2,IF(ISNUMBER(MATCH(INDEX($D319:$K319,IF(M319=1,2,1)),入力!$AH$5:$AH$44,0)),1,IF(ISNUMBER(MATCH(INDEX($D319:$K319,IF(M319=1,2,1))&amp;INDEX($D319:$K319,IF(M319=1,2,1)+1),入力!$AH$5:$AH$44,0)),2,IF(ISNUMBER(MATCH(INDEX($D319:$K319,IF(M319=1,2,1))&amp;INDEX($D319:$K319,IF(M319=1,2,1)+1)&amp;INDEX($D319:$K319,IF(M319=1,2,1)+2),入力!$AH$5:$AH$44,0)),3,2)))))))</f>
        <v/>
      </c>
      <c r="AE319">
        <f>IF(V319="","",IF(AND(V319="反映",N(Y319)&gt;20),"要確認（この生徒の取込が20件を超えました）",V319))</f>
        <v/>
      </c>
    </row>
    <row r="320">
      <c r="A320" s="138" t="n"/>
      <c r="B320">
        <f>TRIM(SUBSTITUTE(SUBSTITUTE(SUBSTITUTE(A320,CHAR(9)," "),"　"," "),CHAR(160)," "))</f>
        <v/>
      </c>
      <c r="C320">
        <f>IF(B320="",0,LEN(B320)-LEN(SUBSTITUTE(B320," ",""))+1)</f>
        <v/>
      </c>
      <c r="D320">
        <f>IF(C320&gt;=1,TRIM(MID(SUBSTITUTE(B320," ",REPT(" ",200)),1,200)),"")</f>
        <v/>
      </c>
      <c r="E320">
        <f>IF(C320&gt;=2,TRIM(MID(SUBSTITUTE(B320," ",REPT(" ",200)),201,200)),"")</f>
        <v/>
      </c>
      <c r="F320">
        <f>IF(C320&gt;=3,TRIM(MID(SUBSTITUTE(B320," ",REPT(" ",200)),401,200)),"")</f>
        <v/>
      </c>
      <c r="G320">
        <f>IF(C320&gt;=4,TRIM(MID(SUBSTITUTE(B320," ",REPT(" ",200)),601,200)),"")</f>
        <v/>
      </c>
      <c r="H320">
        <f>IF(C320&gt;=5,TRIM(MID(SUBSTITUTE(B320," ",REPT(" ",200)),801,200)),"")</f>
        <v/>
      </c>
      <c r="I320">
        <f>IF(C320&gt;=6,TRIM(MID(SUBSTITUTE(B320," ",REPT(" ",200)),1001,200)),"")</f>
        <v/>
      </c>
      <c r="J320">
        <f>IF(C320&gt;=7,TRIM(MID(SUBSTITUTE(B320," ",REPT(" ",200)),1201,200)),"")</f>
        <v/>
      </c>
      <c r="K320">
        <f>IF(C320&gt;=8,TRIM(MID(SUBSTITUTE(B320," ",REPT(" ",200)),1401,200)),"")</f>
        <v/>
      </c>
      <c r="L320">
        <f>SUBSTITUTE(SUBSTITUTE(SUBSTITUTE(D320,"年","-"),"組","-"),"番","")</f>
        <v/>
      </c>
      <c r="M320">
        <f>IF(D320="",0,IF(ISNUMBER(VALUE(SUBSTITUTE(L320,"-",""))),1,0))</f>
        <v/>
      </c>
      <c r="N320">
        <f>IF(M320=0,"",IFERROR(VALUE(TRIM(MID(SUBSTITUTE(L320,"-",REPT(" ",100)),101,100))),""))</f>
        <v/>
      </c>
      <c r="O320">
        <f>IF(M320=0,"",IFERROR(VALUE(TRIM(RIGHT(SUBSTITUTE(L320,"-",REPT(" ",100)),100))),""))</f>
        <v/>
      </c>
      <c r="P320">
        <f>IF(B320="","",TRIM(INDEX($D320:$K320,IF(M320=1,2,1))&amp;IF(AD320&gt;=2," "&amp;INDEX($D320:$K320,IF(M320=1,2,1)+1),"")&amp;IF(AD320&gt;=3," "&amp;INDEX($D320:$K320,IF(M320=1,2,1)+2),"")))</f>
        <v/>
      </c>
      <c r="Q320">
        <f>IF(C320&lt;2,"",TRIM(IF(AND(2&gt;=(IF(M320=1,2,1)+AD320),2&lt;=C320-IF(S320="",0,1)),E320&amp;" ","")&amp;IF(AND(3&gt;=(IF(M320=1,2,1)+AD320),3&lt;=C320-IF(S320="",0,1)),F320&amp;" ","")&amp;IF(AND(4&gt;=(IF(M320=1,2,1)+AD320),4&lt;=C320-IF(S320="",0,1)),G320&amp;" ","")&amp;IF(AND(5&gt;=(IF(M320=1,2,1)+AD320),5&lt;=C320-IF(S320="",0,1)),H320&amp;" ","")&amp;IF(AND(6&gt;=(IF(M320=1,2,1)+AD320),6&lt;=C320-IF(S320="",0,1)),I320&amp;" ","")&amp;IF(AND(7&gt;=(IF(M320=1,2,1)+AD320),7&lt;=C320-IF(S320="",0,1)),J320&amp;" ","")&amp;IF(AND(8&gt;=(IF(M320=1,2,1)+AD320),8&lt;=C320-IF(S320="",0,1)),K320&amp;" ","")))</f>
        <v/>
      </c>
      <c r="R320">
        <f>IF(Q320="","",IFERROR(INDEX(資格マスタ!$B:$B,MATCH(ASC(SUBSTITUTE(SUBSTITUTE(Q320," ",""),"　","")),資格マスタ!$D:$D,0)),Q320))</f>
        <v/>
      </c>
      <c r="S320" s="139">
        <f>IF(C320&lt;2,"",IFERROR(IF(OR(LEFT(INDEX(D320:K320,MIN(8,MAX(1,C320))),2)="令和",LEFT(INDEX(D320:K320,MIN(8,MAX(1,C320))),2)="平成",LEFT(INDEX(D320:K320,MIN(8,MAX(1,C320))),2)="昭和"),DATE(VALUE(MID(INDEX(D320:K320,MIN(8,MAX(1,C320))),3,FIND("年",INDEX(D320:K320,MIN(8,MAX(1,C320))))-3))+IF(LEFT(INDEX(D320:K320,MIN(8,MAX(1,C320))),2)="令和",2018,IF(LEFT(INDEX(D320:K320,MIN(8,MAX(1,C320))),2)="平成",1988,1925)),VALUE(MID(INDEX(D320:K320,MIN(8,MAX(1,C320))),FIND("年",INDEX(D320:K320,MIN(8,MAX(1,C320))))+1,FIND("月",INDEX(D320:K320,MIN(8,MAX(1,C320))))-FIND("年",INDEX(D320:K320,MIN(8,MAX(1,C320))))-1)),IFERROR(VALUE(SUBSTITUTE(MID(INDEX(D320:K320,MIN(8,MAX(1,C320))),FIND("月",INDEX(D320:K320,MIN(8,MAX(1,C320))))+1,10),"日","")),1)),DATE(VALUE(TRIM(MID(SUBSTITUTE(AA320,"/",REPT(" ",50)),1,50))),VALUE(TRIM(MID(SUBSTITUTE(AA320,"/",REPT(" ",50)),51,50))),IFERROR(VALUE(TRIM(MID(SUBSTITUTE(AA320,"/",REPT(" ",50)),101,50))),1))),IFERROR(DATEVALUE(INDEX(D320:K320,MIN(8,MAX(1,C320)))),"")))</f>
        <v/>
      </c>
      <c r="T320">
        <f>IF(B320="","",IF(AB320&lt;&gt;"",AB320,IFERROR(MATCH(SUBSTITUTE(SUBSTITUTE(P320," ",""),"　",""),入力!$AH$5:$AH$44,0),"")))</f>
        <v/>
      </c>
      <c r="U320">
        <f>IF(T320="","",INDEX(入力!$D$5:$D$44,T320))</f>
        <v/>
      </c>
      <c r="V320">
        <f>IF(B320="","",IF(T320="","要確認（名簿と照合できません）",IF(R320="","要確認（資格名がありません）",IF(S320="","要確認（取得日が読めません）",IF((IF(INDEX(入力!$N$5:$N$44,T320)=R320,1,0)+IF(INDEX(入力!$P$5:$P$44,T320)=R320,1,0)+IF(INDEX(入力!$R$5:$R$44,T320)=R320,1,0)+IF(INDEX(入力!$T$5:$T$44,T320)=R320,1,0)+IF(INDEX(入力!$V$5:$V$44,T320)=R320,1,0)+IF(INDEX(入力!$X$5:$X$44,T320)=R320,1,0))+(COUNTIFS($T$6:$T$405,T320,$R$6:$R$405,R320,$X$6:$X$405,"&lt;"&amp;X320))&gt;0,"重複","反映")))))</f>
        <v/>
      </c>
      <c r="W320">
        <f>IF(V320="反映",1,0)</f>
        <v/>
      </c>
      <c r="X320" t="n">
        <v>320</v>
      </c>
      <c r="Y320">
        <f>IF(W320=0,"",COUNTIFS($T$6:$T$405,T320,$W$6:$W$405,1,$S$6:$S$405,"&lt;"&amp;S320)+COUNTIFS($T$6:$T$405,T320,$W$6:$W$405,1,$S$6:$S$405,S320,$X$6:$X$405,"&lt;"&amp;X320)+1)</f>
        <v/>
      </c>
      <c r="Z320">
        <f>IF(Y320="","",T320&amp;"_"&amp;Y320)</f>
        <v/>
      </c>
      <c r="AA320">
        <f>SUBSTITUTE(SUBSTITUTE(SUBSTITUTE(SUBSTITUTE(SUBSTITUTE(INDEX(D320:K320,MIN(8,MAX(1,C320))),"年","/"),"月","/"),"日",""),"-","/"),".","/")</f>
        <v/>
      </c>
      <c r="AB320">
        <f>IFERROR(MATCH(O320,入力!$C$5:$C$44,0),"")</f>
        <v/>
      </c>
      <c r="AC320">
        <f>IF(AB320="","",INDEX(入力!$AH$5:$AH$44,AB320))</f>
        <v/>
      </c>
      <c r="AD320">
        <f>IF(INDEX($D320:$K320,IF(M320=1,2,1))=AC320,1,IF(INDEX($D320:$K320,IF(M320=1,2,1))&amp;INDEX($D320:$K320,IF(M320=1,2,1)+1)=AC320,2,IF(INDEX($D320:$K320,IF(M320=1,2,1))&amp;INDEX($D320:$K320,IF(M320=1,2,1)+1)&amp;INDEX($D320:$K320,IF(M320=1,2,1)+2)=AC320,3,IF(AB320&lt;&gt;"",2,IF(ISNUMBER(MATCH(INDEX($D320:$K320,IF(M320=1,2,1)),入力!$AH$5:$AH$44,0)),1,IF(ISNUMBER(MATCH(INDEX($D320:$K320,IF(M320=1,2,1))&amp;INDEX($D320:$K320,IF(M320=1,2,1)+1),入力!$AH$5:$AH$44,0)),2,IF(ISNUMBER(MATCH(INDEX($D320:$K320,IF(M320=1,2,1))&amp;INDEX($D320:$K320,IF(M320=1,2,1)+1)&amp;INDEX($D320:$K320,IF(M320=1,2,1)+2),入力!$AH$5:$AH$44,0)),3,2)))))))</f>
        <v/>
      </c>
      <c r="AE320">
        <f>IF(V320="","",IF(AND(V320="反映",N(Y320)&gt;20),"要確認（この生徒の取込が20件を超えました）",V320))</f>
        <v/>
      </c>
    </row>
    <row r="321">
      <c r="A321" s="138" t="n"/>
      <c r="B321">
        <f>TRIM(SUBSTITUTE(SUBSTITUTE(SUBSTITUTE(A321,CHAR(9)," "),"　"," "),CHAR(160)," "))</f>
        <v/>
      </c>
      <c r="C321">
        <f>IF(B321="",0,LEN(B321)-LEN(SUBSTITUTE(B321," ",""))+1)</f>
        <v/>
      </c>
      <c r="D321">
        <f>IF(C321&gt;=1,TRIM(MID(SUBSTITUTE(B321," ",REPT(" ",200)),1,200)),"")</f>
        <v/>
      </c>
      <c r="E321">
        <f>IF(C321&gt;=2,TRIM(MID(SUBSTITUTE(B321," ",REPT(" ",200)),201,200)),"")</f>
        <v/>
      </c>
      <c r="F321">
        <f>IF(C321&gt;=3,TRIM(MID(SUBSTITUTE(B321," ",REPT(" ",200)),401,200)),"")</f>
        <v/>
      </c>
      <c r="G321">
        <f>IF(C321&gt;=4,TRIM(MID(SUBSTITUTE(B321," ",REPT(" ",200)),601,200)),"")</f>
        <v/>
      </c>
      <c r="H321">
        <f>IF(C321&gt;=5,TRIM(MID(SUBSTITUTE(B321," ",REPT(" ",200)),801,200)),"")</f>
        <v/>
      </c>
      <c r="I321">
        <f>IF(C321&gt;=6,TRIM(MID(SUBSTITUTE(B321," ",REPT(" ",200)),1001,200)),"")</f>
        <v/>
      </c>
      <c r="J321">
        <f>IF(C321&gt;=7,TRIM(MID(SUBSTITUTE(B321," ",REPT(" ",200)),1201,200)),"")</f>
        <v/>
      </c>
      <c r="K321">
        <f>IF(C321&gt;=8,TRIM(MID(SUBSTITUTE(B321," ",REPT(" ",200)),1401,200)),"")</f>
        <v/>
      </c>
      <c r="L321">
        <f>SUBSTITUTE(SUBSTITUTE(SUBSTITUTE(D321,"年","-"),"組","-"),"番","")</f>
        <v/>
      </c>
      <c r="M321">
        <f>IF(D321="",0,IF(ISNUMBER(VALUE(SUBSTITUTE(L321,"-",""))),1,0))</f>
        <v/>
      </c>
      <c r="N321">
        <f>IF(M321=0,"",IFERROR(VALUE(TRIM(MID(SUBSTITUTE(L321,"-",REPT(" ",100)),101,100))),""))</f>
        <v/>
      </c>
      <c r="O321">
        <f>IF(M321=0,"",IFERROR(VALUE(TRIM(RIGHT(SUBSTITUTE(L321,"-",REPT(" ",100)),100))),""))</f>
        <v/>
      </c>
      <c r="P321">
        <f>IF(B321="","",TRIM(INDEX($D321:$K321,IF(M321=1,2,1))&amp;IF(AD321&gt;=2," "&amp;INDEX($D321:$K321,IF(M321=1,2,1)+1),"")&amp;IF(AD321&gt;=3," "&amp;INDEX($D321:$K321,IF(M321=1,2,1)+2),"")))</f>
        <v/>
      </c>
      <c r="Q321">
        <f>IF(C321&lt;2,"",TRIM(IF(AND(2&gt;=(IF(M321=1,2,1)+AD321),2&lt;=C321-IF(S321="",0,1)),E321&amp;" ","")&amp;IF(AND(3&gt;=(IF(M321=1,2,1)+AD321),3&lt;=C321-IF(S321="",0,1)),F321&amp;" ","")&amp;IF(AND(4&gt;=(IF(M321=1,2,1)+AD321),4&lt;=C321-IF(S321="",0,1)),G321&amp;" ","")&amp;IF(AND(5&gt;=(IF(M321=1,2,1)+AD321),5&lt;=C321-IF(S321="",0,1)),H321&amp;" ","")&amp;IF(AND(6&gt;=(IF(M321=1,2,1)+AD321),6&lt;=C321-IF(S321="",0,1)),I321&amp;" ","")&amp;IF(AND(7&gt;=(IF(M321=1,2,1)+AD321),7&lt;=C321-IF(S321="",0,1)),J321&amp;" ","")&amp;IF(AND(8&gt;=(IF(M321=1,2,1)+AD321),8&lt;=C321-IF(S321="",0,1)),K321&amp;" ","")))</f>
        <v/>
      </c>
      <c r="R321">
        <f>IF(Q321="","",IFERROR(INDEX(資格マスタ!$B:$B,MATCH(ASC(SUBSTITUTE(SUBSTITUTE(Q321," ",""),"　","")),資格マスタ!$D:$D,0)),Q321))</f>
        <v/>
      </c>
      <c r="S321" s="139">
        <f>IF(C321&lt;2,"",IFERROR(IF(OR(LEFT(INDEX(D321:K321,MIN(8,MAX(1,C321))),2)="令和",LEFT(INDEX(D321:K321,MIN(8,MAX(1,C321))),2)="平成",LEFT(INDEX(D321:K321,MIN(8,MAX(1,C321))),2)="昭和"),DATE(VALUE(MID(INDEX(D321:K321,MIN(8,MAX(1,C321))),3,FIND("年",INDEX(D321:K321,MIN(8,MAX(1,C321))))-3))+IF(LEFT(INDEX(D321:K321,MIN(8,MAX(1,C321))),2)="令和",2018,IF(LEFT(INDEX(D321:K321,MIN(8,MAX(1,C321))),2)="平成",1988,1925)),VALUE(MID(INDEX(D321:K321,MIN(8,MAX(1,C321))),FIND("年",INDEX(D321:K321,MIN(8,MAX(1,C321))))+1,FIND("月",INDEX(D321:K321,MIN(8,MAX(1,C321))))-FIND("年",INDEX(D321:K321,MIN(8,MAX(1,C321))))-1)),IFERROR(VALUE(SUBSTITUTE(MID(INDEX(D321:K321,MIN(8,MAX(1,C321))),FIND("月",INDEX(D321:K321,MIN(8,MAX(1,C321))))+1,10),"日","")),1)),DATE(VALUE(TRIM(MID(SUBSTITUTE(AA321,"/",REPT(" ",50)),1,50))),VALUE(TRIM(MID(SUBSTITUTE(AA321,"/",REPT(" ",50)),51,50))),IFERROR(VALUE(TRIM(MID(SUBSTITUTE(AA321,"/",REPT(" ",50)),101,50))),1))),IFERROR(DATEVALUE(INDEX(D321:K321,MIN(8,MAX(1,C321)))),"")))</f>
        <v/>
      </c>
      <c r="T321">
        <f>IF(B321="","",IF(AB321&lt;&gt;"",AB321,IFERROR(MATCH(SUBSTITUTE(SUBSTITUTE(P321," ",""),"　",""),入力!$AH$5:$AH$44,0),"")))</f>
        <v/>
      </c>
      <c r="U321">
        <f>IF(T321="","",INDEX(入力!$D$5:$D$44,T321))</f>
        <v/>
      </c>
      <c r="V321">
        <f>IF(B321="","",IF(T321="","要確認（名簿と照合できません）",IF(R321="","要確認（資格名がありません）",IF(S321="","要確認（取得日が読めません）",IF((IF(INDEX(入力!$N$5:$N$44,T321)=R321,1,0)+IF(INDEX(入力!$P$5:$P$44,T321)=R321,1,0)+IF(INDEX(入力!$R$5:$R$44,T321)=R321,1,0)+IF(INDEX(入力!$T$5:$T$44,T321)=R321,1,0)+IF(INDEX(入力!$V$5:$V$44,T321)=R321,1,0)+IF(INDEX(入力!$X$5:$X$44,T321)=R321,1,0))+(COUNTIFS($T$6:$T$405,T321,$R$6:$R$405,R321,$X$6:$X$405,"&lt;"&amp;X321))&gt;0,"重複","反映")))))</f>
        <v/>
      </c>
      <c r="W321">
        <f>IF(V321="反映",1,0)</f>
        <v/>
      </c>
      <c r="X321" t="n">
        <v>321</v>
      </c>
      <c r="Y321">
        <f>IF(W321=0,"",COUNTIFS($T$6:$T$405,T321,$W$6:$W$405,1,$S$6:$S$405,"&lt;"&amp;S321)+COUNTIFS($T$6:$T$405,T321,$W$6:$W$405,1,$S$6:$S$405,S321,$X$6:$X$405,"&lt;"&amp;X321)+1)</f>
        <v/>
      </c>
      <c r="Z321">
        <f>IF(Y321="","",T321&amp;"_"&amp;Y321)</f>
        <v/>
      </c>
      <c r="AA321">
        <f>SUBSTITUTE(SUBSTITUTE(SUBSTITUTE(SUBSTITUTE(SUBSTITUTE(INDEX(D321:K321,MIN(8,MAX(1,C321))),"年","/"),"月","/"),"日",""),"-","/"),".","/")</f>
        <v/>
      </c>
      <c r="AB321">
        <f>IFERROR(MATCH(O321,入力!$C$5:$C$44,0),"")</f>
        <v/>
      </c>
      <c r="AC321">
        <f>IF(AB321="","",INDEX(入力!$AH$5:$AH$44,AB321))</f>
        <v/>
      </c>
      <c r="AD321">
        <f>IF(INDEX($D321:$K321,IF(M321=1,2,1))=AC321,1,IF(INDEX($D321:$K321,IF(M321=1,2,1))&amp;INDEX($D321:$K321,IF(M321=1,2,1)+1)=AC321,2,IF(INDEX($D321:$K321,IF(M321=1,2,1))&amp;INDEX($D321:$K321,IF(M321=1,2,1)+1)&amp;INDEX($D321:$K321,IF(M321=1,2,1)+2)=AC321,3,IF(AB321&lt;&gt;"",2,IF(ISNUMBER(MATCH(INDEX($D321:$K321,IF(M321=1,2,1)),入力!$AH$5:$AH$44,0)),1,IF(ISNUMBER(MATCH(INDEX($D321:$K321,IF(M321=1,2,1))&amp;INDEX($D321:$K321,IF(M321=1,2,1)+1),入力!$AH$5:$AH$44,0)),2,IF(ISNUMBER(MATCH(INDEX($D321:$K321,IF(M321=1,2,1))&amp;INDEX($D321:$K321,IF(M321=1,2,1)+1)&amp;INDEX($D321:$K321,IF(M321=1,2,1)+2),入力!$AH$5:$AH$44,0)),3,2)))))))</f>
        <v/>
      </c>
      <c r="AE321">
        <f>IF(V321="","",IF(AND(V321="反映",N(Y321)&gt;20),"要確認（この生徒の取込が20件を超えました）",V321))</f>
        <v/>
      </c>
    </row>
    <row r="322">
      <c r="A322" s="138" t="n"/>
      <c r="B322">
        <f>TRIM(SUBSTITUTE(SUBSTITUTE(SUBSTITUTE(A322,CHAR(9)," "),"　"," "),CHAR(160)," "))</f>
        <v/>
      </c>
      <c r="C322">
        <f>IF(B322="",0,LEN(B322)-LEN(SUBSTITUTE(B322," ",""))+1)</f>
        <v/>
      </c>
      <c r="D322">
        <f>IF(C322&gt;=1,TRIM(MID(SUBSTITUTE(B322," ",REPT(" ",200)),1,200)),"")</f>
        <v/>
      </c>
      <c r="E322">
        <f>IF(C322&gt;=2,TRIM(MID(SUBSTITUTE(B322," ",REPT(" ",200)),201,200)),"")</f>
        <v/>
      </c>
      <c r="F322">
        <f>IF(C322&gt;=3,TRIM(MID(SUBSTITUTE(B322," ",REPT(" ",200)),401,200)),"")</f>
        <v/>
      </c>
      <c r="G322">
        <f>IF(C322&gt;=4,TRIM(MID(SUBSTITUTE(B322," ",REPT(" ",200)),601,200)),"")</f>
        <v/>
      </c>
      <c r="H322">
        <f>IF(C322&gt;=5,TRIM(MID(SUBSTITUTE(B322," ",REPT(" ",200)),801,200)),"")</f>
        <v/>
      </c>
      <c r="I322">
        <f>IF(C322&gt;=6,TRIM(MID(SUBSTITUTE(B322," ",REPT(" ",200)),1001,200)),"")</f>
        <v/>
      </c>
      <c r="J322">
        <f>IF(C322&gt;=7,TRIM(MID(SUBSTITUTE(B322," ",REPT(" ",200)),1201,200)),"")</f>
        <v/>
      </c>
      <c r="K322">
        <f>IF(C322&gt;=8,TRIM(MID(SUBSTITUTE(B322," ",REPT(" ",200)),1401,200)),"")</f>
        <v/>
      </c>
      <c r="L322">
        <f>SUBSTITUTE(SUBSTITUTE(SUBSTITUTE(D322,"年","-"),"組","-"),"番","")</f>
        <v/>
      </c>
      <c r="M322">
        <f>IF(D322="",0,IF(ISNUMBER(VALUE(SUBSTITUTE(L322,"-",""))),1,0))</f>
        <v/>
      </c>
      <c r="N322">
        <f>IF(M322=0,"",IFERROR(VALUE(TRIM(MID(SUBSTITUTE(L322,"-",REPT(" ",100)),101,100))),""))</f>
        <v/>
      </c>
      <c r="O322">
        <f>IF(M322=0,"",IFERROR(VALUE(TRIM(RIGHT(SUBSTITUTE(L322,"-",REPT(" ",100)),100))),""))</f>
        <v/>
      </c>
      <c r="P322">
        <f>IF(B322="","",TRIM(INDEX($D322:$K322,IF(M322=1,2,1))&amp;IF(AD322&gt;=2," "&amp;INDEX($D322:$K322,IF(M322=1,2,1)+1),"")&amp;IF(AD322&gt;=3," "&amp;INDEX($D322:$K322,IF(M322=1,2,1)+2),"")))</f>
        <v/>
      </c>
      <c r="Q322">
        <f>IF(C322&lt;2,"",TRIM(IF(AND(2&gt;=(IF(M322=1,2,1)+AD322),2&lt;=C322-IF(S322="",0,1)),E322&amp;" ","")&amp;IF(AND(3&gt;=(IF(M322=1,2,1)+AD322),3&lt;=C322-IF(S322="",0,1)),F322&amp;" ","")&amp;IF(AND(4&gt;=(IF(M322=1,2,1)+AD322),4&lt;=C322-IF(S322="",0,1)),G322&amp;" ","")&amp;IF(AND(5&gt;=(IF(M322=1,2,1)+AD322),5&lt;=C322-IF(S322="",0,1)),H322&amp;" ","")&amp;IF(AND(6&gt;=(IF(M322=1,2,1)+AD322),6&lt;=C322-IF(S322="",0,1)),I322&amp;" ","")&amp;IF(AND(7&gt;=(IF(M322=1,2,1)+AD322),7&lt;=C322-IF(S322="",0,1)),J322&amp;" ","")&amp;IF(AND(8&gt;=(IF(M322=1,2,1)+AD322),8&lt;=C322-IF(S322="",0,1)),K322&amp;" ","")))</f>
        <v/>
      </c>
      <c r="R322">
        <f>IF(Q322="","",IFERROR(INDEX(資格マスタ!$B:$B,MATCH(ASC(SUBSTITUTE(SUBSTITUTE(Q322," ",""),"　","")),資格マスタ!$D:$D,0)),Q322))</f>
        <v/>
      </c>
      <c r="S322" s="139">
        <f>IF(C322&lt;2,"",IFERROR(IF(OR(LEFT(INDEX(D322:K322,MIN(8,MAX(1,C322))),2)="令和",LEFT(INDEX(D322:K322,MIN(8,MAX(1,C322))),2)="平成",LEFT(INDEX(D322:K322,MIN(8,MAX(1,C322))),2)="昭和"),DATE(VALUE(MID(INDEX(D322:K322,MIN(8,MAX(1,C322))),3,FIND("年",INDEX(D322:K322,MIN(8,MAX(1,C322))))-3))+IF(LEFT(INDEX(D322:K322,MIN(8,MAX(1,C322))),2)="令和",2018,IF(LEFT(INDEX(D322:K322,MIN(8,MAX(1,C322))),2)="平成",1988,1925)),VALUE(MID(INDEX(D322:K322,MIN(8,MAX(1,C322))),FIND("年",INDEX(D322:K322,MIN(8,MAX(1,C322))))+1,FIND("月",INDEX(D322:K322,MIN(8,MAX(1,C322))))-FIND("年",INDEX(D322:K322,MIN(8,MAX(1,C322))))-1)),IFERROR(VALUE(SUBSTITUTE(MID(INDEX(D322:K322,MIN(8,MAX(1,C322))),FIND("月",INDEX(D322:K322,MIN(8,MAX(1,C322))))+1,10),"日","")),1)),DATE(VALUE(TRIM(MID(SUBSTITUTE(AA322,"/",REPT(" ",50)),1,50))),VALUE(TRIM(MID(SUBSTITUTE(AA322,"/",REPT(" ",50)),51,50))),IFERROR(VALUE(TRIM(MID(SUBSTITUTE(AA322,"/",REPT(" ",50)),101,50))),1))),IFERROR(DATEVALUE(INDEX(D322:K322,MIN(8,MAX(1,C322)))),"")))</f>
        <v/>
      </c>
      <c r="T322">
        <f>IF(B322="","",IF(AB322&lt;&gt;"",AB322,IFERROR(MATCH(SUBSTITUTE(SUBSTITUTE(P322," ",""),"　",""),入力!$AH$5:$AH$44,0),"")))</f>
        <v/>
      </c>
      <c r="U322">
        <f>IF(T322="","",INDEX(入力!$D$5:$D$44,T322))</f>
        <v/>
      </c>
      <c r="V322">
        <f>IF(B322="","",IF(T322="","要確認（名簿と照合できません）",IF(R322="","要確認（資格名がありません）",IF(S322="","要確認（取得日が読めません）",IF((IF(INDEX(入力!$N$5:$N$44,T322)=R322,1,0)+IF(INDEX(入力!$P$5:$P$44,T322)=R322,1,0)+IF(INDEX(入力!$R$5:$R$44,T322)=R322,1,0)+IF(INDEX(入力!$T$5:$T$44,T322)=R322,1,0)+IF(INDEX(入力!$V$5:$V$44,T322)=R322,1,0)+IF(INDEX(入力!$X$5:$X$44,T322)=R322,1,0))+(COUNTIFS($T$6:$T$405,T322,$R$6:$R$405,R322,$X$6:$X$405,"&lt;"&amp;X322))&gt;0,"重複","反映")))))</f>
        <v/>
      </c>
      <c r="W322">
        <f>IF(V322="反映",1,0)</f>
        <v/>
      </c>
      <c r="X322" t="n">
        <v>322</v>
      </c>
      <c r="Y322">
        <f>IF(W322=0,"",COUNTIFS($T$6:$T$405,T322,$W$6:$W$405,1,$S$6:$S$405,"&lt;"&amp;S322)+COUNTIFS($T$6:$T$405,T322,$W$6:$W$405,1,$S$6:$S$405,S322,$X$6:$X$405,"&lt;"&amp;X322)+1)</f>
        <v/>
      </c>
      <c r="Z322">
        <f>IF(Y322="","",T322&amp;"_"&amp;Y322)</f>
        <v/>
      </c>
      <c r="AA322">
        <f>SUBSTITUTE(SUBSTITUTE(SUBSTITUTE(SUBSTITUTE(SUBSTITUTE(INDEX(D322:K322,MIN(8,MAX(1,C322))),"年","/"),"月","/"),"日",""),"-","/"),".","/")</f>
        <v/>
      </c>
      <c r="AB322">
        <f>IFERROR(MATCH(O322,入力!$C$5:$C$44,0),"")</f>
        <v/>
      </c>
      <c r="AC322">
        <f>IF(AB322="","",INDEX(入力!$AH$5:$AH$44,AB322))</f>
        <v/>
      </c>
      <c r="AD322">
        <f>IF(INDEX($D322:$K322,IF(M322=1,2,1))=AC322,1,IF(INDEX($D322:$K322,IF(M322=1,2,1))&amp;INDEX($D322:$K322,IF(M322=1,2,1)+1)=AC322,2,IF(INDEX($D322:$K322,IF(M322=1,2,1))&amp;INDEX($D322:$K322,IF(M322=1,2,1)+1)&amp;INDEX($D322:$K322,IF(M322=1,2,1)+2)=AC322,3,IF(AB322&lt;&gt;"",2,IF(ISNUMBER(MATCH(INDEX($D322:$K322,IF(M322=1,2,1)),入力!$AH$5:$AH$44,0)),1,IF(ISNUMBER(MATCH(INDEX($D322:$K322,IF(M322=1,2,1))&amp;INDEX($D322:$K322,IF(M322=1,2,1)+1),入力!$AH$5:$AH$44,0)),2,IF(ISNUMBER(MATCH(INDEX($D322:$K322,IF(M322=1,2,1))&amp;INDEX($D322:$K322,IF(M322=1,2,1)+1)&amp;INDEX($D322:$K322,IF(M322=1,2,1)+2),入力!$AH$5:$AH$44,0)),3,2)))))))</f>
        <v/>
      </c>
      <c r="AE322">
        <f>IF(V322="","",IF(AND(V322="反映",N(Y322)&gt;20),"要確認（この生徒の取込が20件を超えました）",V322))</f>
        <v/>
      </c>
    </row>
    <row r="323">
      <c r="A323" s="138" t="n"/>
      <c r="B323">
        <f>TRIM(SUBSTITUTE(SUBSTITUTE(SUBSTITUTE(A323,CHAR(9)," "),"　"," "),CHAR(160)," "))</f>
        <v/>
      </c>
      <c r="C323">
        <f>IF(B323="",0,LEN(B323)-LEN(SUBSTITUTE(B323," ",""))+1)</f>
        <v/>
      </c>
      <c r="D323">
        <f>IF(C323&gt;=1,TRIM(MID(SUBSTITUTE(B323," ",REPT(" ",200)),1,200)),"")</f>
        <v/>
      </c>
      <c r="E323">
        <f>IF(C323&gt;=2,TRIM(MID(SUBSTITUTE(B323," ",REPT(" ",200)),201,200)),"")</f>
        <v/>
      </c>
      <c r="F323">
        <f>IF(C323&gt;=3,TRIM(MID(SUBSTITUTE(B323," ",REPT(" ",200)),401,200)),"")</f>
        <v/>
      </c>
      <c r="G323">
        <f>IF(C323&gt;=4,TRIM(MID(SUBSTITUTE(B323," ",REPT(" ",200)),601,200)),"")</f>
        <v/>
      </c>
      <c r="H323">
        <f>IF(C323&gt;=5,TRIM(MID(SUBSTITUTE(B323," ",REPT(" ",200)),801,200)),"")</f>
        <v/>
      </c>
      <c r="I323">
        <f>IF(C323&gt;=6,TRIM(MID(SUBSTITUTE(B323," ",REPT(" ",200)),1001,200)),"")</f>
        <v/>
      </c>
      <c r="J323">
        <f>IF(C323&gt;=7,TRIM(MID(SUBSTITUTE(B323," ",REPT(" ",200)),1201,200)),"")</f>
        <v/>
      </c>
      <c r="K323">
        <f>IF(C323&gt;=8,TRIM(MID(SUBSTITUTE(B323," ",REPT(" ",200)),1401,200)),"")</f>
        <v/>
      </c>
      <c r="L323">
        <f>SUBSTITUTE(SUBSTITUTE(SUBSTITUTE(D323,"年","-"),"組","-"),"番","")</f>
        <v/>
      </c>
      <c r="M323">
        <f>IF(D323="",0,IF(ISNUMBER(VALUE(SUBSTITUTE(L323,"-",""))),1,0))</f>
        <v/>
      </c>
      <c r="N323">
        <f>IF(M323=0,"",IFERROR(VALUE(TRIM(MID(SUBSTITUTE(L323,"-",REPT(" ",100)),101,100))),""))</f>
        <v/>
      </c>
      <c r="O323">
        <f>IF(M323=0,"",IFERROR(VALUE(TRIM(RIGHT(SUBSTITUTE(L323,"-",REPT(" ",100)),100))),""))</f>
        <v/>
      </c>
      <c r="P323">
        <f>IF(B323="","",TRIM(INDEX($D323:$K323,IF(M323=1,2,1))&amp;IF(AD323&gt;=2," "&amp;INDEX($D323:$K323,IF(M323=1,2,1)+1),"")&amp;IF(AD323&gt;=3," "&amp;INDEX($D323:$K323,IF(M323=1,2,1)+2),"")))</f>
        <v/>
      </c>
      <c r="Q323">
        <f>IF(C323&lt;2,"",TRIM(IF(AND(2&gt;=(IF(M323=1,2,1)+AD323),2&lt;=C323-IF(S323="",0,1)),E323&amp;" ","")&amp;IF(AND(3&gt;=(IF(M323=1,2,1)+AD323),3&lt;=C323-IF(S323="",0,1)),F323&amp;" ","")&amp;IF(AND(4&gt;=(IF(M323=1,2,1)+AD323),4&lt;=C323-IF(S323="",0,1)),G323&amp;" ","")&amp;IF(AND(5&gt;=(IF(M323=1,2,1)+AD323),5&lt;=C323-IF(S323="",0,1)),H323&amp;" ","")&amp;IF(AND(6&gt;=(IF(M323=1,2,1)+AD323),6&lt;=C323-IF(S323="",0,1)),I323&amp;" ","")&amp;IF(AND(7&gt;=(IF(M323=1,2,1)+AD323),7&lt;=C323-IF(S323="",0,1)),J323&amp;" ","")&amp;IF(AND(8&gt;=(IF(M323=1,2,1)+AD323),8&lt;=C323-IF(S323="",0,1)),K323&amp;" ","")))</f>
        <v/>
      </c>
      <c r="R323">
        <f>IF(Q323="","",IFERROR(INDEX(資格マスタ!$B:$B,MATCH(ASC(SUBSTITUTE(SUBSTITUTE(Q323," ",""),"　","")),資格マスタ!$D:$D,0)),Q323))</f>
        <v/>
      </c>
      <c r="S323" s="139">
        <f>IF(C323&lt;2,"",IFERROR(IF(OR(LEFT(INDEX(D323:K323,MIN(8,MAX(1,C323))),2)="令和",LEFT(INDEX(D323:K323,MIN(8,MAX(1,C323))),2)="平成",LEFT(INDEX(D323:K323,MIN(8,MAX(1,C323))),2)="昭和"),DATE(VALUE(MID(INDEX(D323:K323,MIN(8,MAX(1,C323))),3,FIND("年",INDEX(D323:K323,MIN(8,MAX(1,C323))))-3))+IF(LEFT(INDEX(D323:K323,MIN(8,MAX(1,C323))),2)="令和",2018,IF(LEFT(INDEX(D323:K323,MIN(8,MAX(1,C323))),2)="平成",1988,1925)),VALUE(MID(INDEX(D323:K323,MIN(8,MAX(1,C323))),FIND("年",INDEX(D323:K323,MIN(8,MAX(1,C323))))+1,FIND("月",INDEX(D323:K323,MIN(8,MAX(1,C323))))-FIND("年",INDEX(D323:K323,MIN(8,MAX(1,C323))))-1)),IFERROR(VALUE(SUBSTITUTE(MID(INDEX(D323:K323,MIN(8,MAX(1,C323))),FIND("月",INDEX(D323:K323,MIN(8,MAX(1,C323))))+1,10),"日","")),1)),DATE(VALUE(TRIM(MID(SUBSTITUTE(AA323,"/",REPT(" ",50)),1,50))),VALUE(TRIM(MID(SUBSTITUTE(AA323,"/",REPT(" ",50)),51,50))),IFERROR(VALUE(TRIM(MID(SUBSTITUTE(AA323,"/",REPT(" ",50)),101,50))),1))),IFERROR(DATEVALUE(INDEX(D323:K323,MIN(8,MAX(1,C323)))),"")))</f>
        <v/>
      </c>
      <c r="T323">
        <f>IF(B323="","",IF(AB323&lt;&gt;"",AB323,IFERROR(MATCH(SUBSTITUTE(SUBSTITUTE(P323," ",""),"　",""),入力!$AH$5:$AH$44,0),"")))</f>
        <v/>
      </c>
      <c r="U323">
        <f>IF(T323="","",INDEX(入力!$D$5:$D$44,T323))</f>
        <v/>
      </c>
      <c r="V323">
        <f>IF(B323="","",IF(T323="","要確認（名簿と照合できません）",IF(R323="","要確認（資格名がありません）",IF(S323="","要確認（取得日が読めません）",IF((IF(INDEX(入力!$N$5:$N$44,T323)=R323,1,0)+IF(INDEX(入力!$P$5:$P$44,T323)=R323,1,0)+IF(INDEX(入力!$R$5:$R$44,T323)=R323,1,0)+IF(INDEX(入力!$T$5:$T$44,T323)=R323,1,0)+IF(INDEX(入力!$V$5:$V$44,T323)=R323,1,0)+IF(INDEX(入力!$X$5:$X$44,T323)=R323,1,0))+(COUNTIFS($T$6:$T$405,T323,$R$6:$R$405,R323,$X$6:$X$405,"&lt;"&amp;X323))&gt;0,"重複","反映")))))</f>
        <v/>
      </c>
      <c r="W323">
        <f>IF(V323="反映",1,0)</f>
        <v/>
      </c>
      <c r="X323" t="n">
        <v>323</v>
      </c>
      <c r="Y323">
        <f>IF(W323=0,"",COUNTIFS($T$6:$T$405,T323,$W$6:$W$405,1,$S$6:$S$405,"&lt;"&amp;S323)+COUNTIFS($T$6:$T$405,T323,$W$6:$W$405,1,$S$6:$S$405,S323,$X$6:$X$405,"&lt;"&amp;X323)+1)</f>
        <v/>
      </c>
      <c r="Z323">
        <f>IF(Y323="","",T323&amp;"_"&amp;Y323)</f>
        <v/>
      </c>
      <c r="AA323">
        <f>SUBSTITUTE(SUBSTITUTE(SUBSTITUTE(SUBSTITUTE(SUBSTITUTE(INDEX(D323:K323,MIN(8,MAX(1,C323))),"年","/"),"月","/"),"日",""),"-","/"),".","/")</f>
        <v/>
      </c>
      <c r="AB323">
        <f>IFERROR(MATCH(O323,入力!$C$5:$C$44,0),"")</f>
        <v/>
      </c>
      <c r="AC323">
        <f>IF(AB323="","",INDEX(入力!$AH$5:$AH$44,AB323))</f>
        <v/>
      </c>
      <c r="AD323">
        <f>IF(INDEX($D323:$K323,IF(M323=1,2,1))=AC323,1,IF(INDEX($D323:$K323,IF(M323=1,2,1))&amp;INDEX($D323:$K323,IF(M323=1,2,1)+1)=AC323,2,IF(INDEX($D323:$K323,IF(M323=1,2,1))&amp;INDEX($D323:$K323,IF(M323=1,2,1)+1)&amp;INDEX($D323:$K323,IF(M323=1,2,1)+2)=AC323,3,IF(AB323&lt;&gt;"",2,IF(ISNUMBER(MATCH(INDEX($D323:$K323,IF(M323=1,2,1)),入力!$AH$5:$AH$44,0)),1,IF(ISNUMBER(MATCH(INDEX($D323:$K323,IF(M323=1,2,1))&amp;INDEX($D323:$K323,IF(M323=1,2,1)+1),入力!$AH$5:$AH$44,0)),2,IF(ISNUMBER(MATCH(INDEX($D323:$K323,IF(M323=1,2,1))&amp;INDEX($D323:$K323,IF(M323=1,2,1)+1)&amp;INDEX($D323:$K323,IF(M323=1,2,1)+2),入力!$AH$5:$AH$44,0)),3,2)))))))</f>
        <v/>
      </c>
      <c r="AE323">
        <f>IF(V323="","",IF(AND(V323="反映",N(Y323)&gt;20),"要確認（この生徒の取込が20件を超えました）",V323))</f>
        <v/>
      </c>
    </row>
    <row r="324">
      <c r="A324" s="138" t="n"/>
      <c r="B324">
        <f>TRIM(SUBSTITUTE(SUBSTITUTE(SUBSTITUTE(A324,CHAR(9)," "),"　"," "),CHAR(160)," "))</f>
        <v/>
      </c>
      <c r="C324">
        <f>IF(B324="",0,LEN(B324)-LEN(SUBSTITUTE(B324," ",""))+1)</f>
        <v/>
      </c>
      <c r="D324">
        <f>IF(C324&gt;=1,TRIM(MID(SUBSTITUTE(B324," ",REPT(" ",200)),1,200)),"")</f>
        <v/>
      </c>
      <c r="E324">
        <f>IF(C324&gt;=2,TRIM(MID(SUBSTITUTE(B324," ",REPT(" ",200)),201,200)),"")</f>
        <v/>
      </c>
      <c r="F324">
        <f>IF(C324&gt;=3,TRIM(MID(SUBSTITUTE(B324," ",REPT(" ",200)),401,200)),"")</f>
        <v/>
      </c>
      <c r="G324">
        <f>IF(C324&gt;=4,TRIM(MID(SUBSTITUTE(B324," ",REPT(" ",200)),601,200)),"")</f>
        <v/>
      </c>
      <c r="H324">
        <f>IF(C324&gt;=5,TRIM(MID(SUBSTITUTE(B324," ",REPT(" ",200)),801,200)),"")</f>
        <v/>
      </c>
      <c r="I324">
        <f>IF(C324&gt;=6,TRIM(MID(SUBSTITUTE(B324," ",REPT(" ",200)),1001,200)),"")</f>
        <v/>
      </c>
      <c r="J324">
        <f>IF(C324&gt;=7,TRIM(MID(SUBSTITUTE(B324," ",REPT(" ",200)),1201,200)),"")</f>
        <v/>
      </c>
      <c r="K324">
        <f>IF(C324&gt;=8,TRIM(MID(SUBSTITUTE(B324," ",REPT(" ",200)),1401,200)),"")</f>
        <v/>
      </c>
      <c r="L324">
        <f>SUBSTITUTE(SUBSTITUTE(SUBSTITUTE(D324,"年","-"),"組","-"),"番","")</f>
        <v/>
      </c>
      <c r="M324">
        <f>IF(D324="",0,IF(ISNUMBER(VALUE(SUBSTITUTE(L324,"-",""))),1,0))</f>
        <v/>
      </c>
      <c r="N324">
        <f>IF(M324=0,"",IFERROR(VALUE(TRIM(MID(SUBSTITUTE(L324,"-",REPT(" ",100)),101,100))),""))</f>
        <v/>
      </c>
      <c r="O324">
        <f>IF(M324=0,"",IFERROR(VALUE(TRIM(RIGHT(SUBSTITUTE(L324,"-",REPT(" ",100)),100))),""))</f>
        <v/>
      </c>
      <c r="P324">
        <f>IF(B324="","",TRIM(INDEX($D324:$K324,IF(M324=1,2,1))&amp;IF(AD324&gt;=2," "&amp;INDEX($D324:$K324,IF(M324=1,2,1)+1),"")&amp;IF(AD324&gt;=3," "&amp;INDEX($D324:$K324,IF(M324=1,2,1)+2),"")))</f>
        <v/>
      </c>
      <c r="Q324">
        <f>IF(C324&lt;2,"",TRIM(IF(AND(2&gt;=(IF(M324=1,2,1)+AD324),2&lt;=C324-IF(S324="",0,1)),E324&amp;" ","")&amp;IF(AND(3&gt;=(IF(M324=1,2,1)+AD324),3&lt;=C324-IF(S324="",0,1)),F324&amp;" ","")&amp;IF(AND(4&gt;=(IF(M324=1,2,1)+AD324),4&lt;=C324-IF(S324="",0,1)),G324&amp;" ","")&amp;IF(AND(5&gt;=(IF(M324=1,2,1)+AD324),5&lt;=C324-IF(S324="",0,1)),H324&amp;" ","")&amp;IF(AND(6&gt;=(IF(M324=1,2,1)+AD324),6&lt;=C324-IF(S324="",0,1)),I324&amp;" ","")&amp;IF(AND(7&gt;=(IF(M324=1,2,1)+AD324),7&lt;=C324-IF(S324="",0,1)),J324&amp;" ","")&amp;IF(AND(8&gt;=(IF(M324=1,2,1)+AD324),8&lt;=C324-IF(S324="",0,1)),K324&amp;" ","")))</f>
        <v/>
      </c>
      <c r="R324">
        <f>IF(Q324="","",IFERROR(INDEX(資格マスタ!$B:$B,MATCH(ASC(SUBSTITUTE(SUBSTITUTE(Q324," ",""),"　","")),資格マスタ!$D:$D,0)),Q324))</f>
        <v/>
      </c>
      <c r="S324" s="139">
        <f>IF(C324&lt;2,"",IFERROR(IF(OR(LEFT(INDEX(D324:K324,MIN(8,MAX(1,C324))),2)="令和",LEFT(INDEX(D324:K324,MIN(8,MAX(1,C324))),2)="平成",LEFT(INDEX(D324:K324,MIN(8,MAX(1,C324))),2)="昭和"),DATE(VALUE(MID(INDEX(D324:K324,MIN(8,MAX(1,C324))),3,FIND("年",INDEX(D324:K324,MIN(8,MAX(1,C324))))-3))+IF(LEFT(INDEX(D324:K324,MIN(8,MAX(1,C324))),2)="令和",2018,IF(LEFT(INDEX(D324:K324,MIN(8,MAX(1,C324))),2)="平成",1988,1925)),VALUE(MID(INDEX(D324:K324,MIN(8,MAX(1,C324))),FIND("年",INDEX(D324:K324,MIN(8,MAX(1,C324))))+1,FIND("月",INDEX(D324:K324,MIN(8,MAX(1,C324))))-FIND("年",INDEX(D324:K324,MIN(8,MAX(1,C324))))-1)),IFERROR(VALUE(SUBSTITUTE(MID(INDEX(D324:K324,MIN(8,MAX(1,C324))),FIND("月",INDEX(D324:K324,MIN(8,MAX(1,C324))))+1,10),"日","")),1)),DATE(VALUE(TRIM(MID(SUBSTITUTE(AA324,"/",REPT(" ",50)),1,50))),VALUE(TRIM(MID(SUBSTITUTE(AA324,"/",REPT(" ",50)),51,50))),IFERROR(VALUE(TRIM(MID(SUBSTITUTE(AA324,"/",REPT(" ",50)),101,50))),1))),IFERROR(DATEVALUE(INDEX(D324:K324,MIN(8,MAX(1,C324)))),"")))</f>
        <v/>
      </c>
      <c r="T324">
        <f>IF(B324="","",IF(AB324&lt;&gt;"",AB324,IFERROR(MATCH(SUBSTITUTE(SUBSTITUTE(P324," ",""),"　",""),入力!$AH$5:$AH$44,0),"")))</f>
        <v/>
      </c>
      <c r="U324">
        <f>IF(T324="","",INDEX(入力!$D$5:$D$44,T324))</f>
        <v/>
      </c>
      <c r="V324">
        <f>IF(B324="","",IF(T324="","要確認（名簿と照合できません）",IF(R324="","要確認（資格名がありません）",IF(S324="","要確認（取得日が読めません）",IF((IF(INDEX(入力!$N$5:$N$44,T324)=R324,1,0)+IF(INDEX(入力!$P$5:$P$44,T324)=R324,1,0)+IF(INDEX(入力!$R$5:$R$44,T324)=R324,1,0)+IF(INDEX(入力!$T$5:$T$44,T324)=R324,1,0)+IF(INDEX(入力!$V$5:$V$44,T324)=R324,1,0)+IF(INDEX(入力!$X$5:$X$44,T324)=R324,1,0))+(COUNTIFS($T$6:$T$405,T324,$R$6:$R$405,R324,$X$6:$X$405,"&lt;"&amp;X324))&gt;0,"重複","反映")))))</f>
        <v/>
      </c>
      <c r="W324">
        <f>IF(V324="反映",1,0)</f>
        <v/>
      </c>
      <c r="X324" t="n">
        <v>324</v>
      </c>
      <c r="Y324">
        <f>IF(W324=0,"",COUNTIFS($T$6:$T$405,T324,$W$6:$W$405,1,$S$6:$S$405,"&lt;"&amp;S324)+COUNTIFS($T$6:$T$405,T324,$W$6:$W$405,1,$S$6:$S$405,S324,$X$6:$X$405,"&lt;"&amp;X324)+1)</f>
        <v/>
      </c>
      <c r="Z324">
        <f>IF(Y324="","",T324&amp;"_"&amp;Y324)</f>
        <v/>
      </c>
      <c r="AA324">
        <f>SUBSTITUTE(SUBSTITUTE(SUBSTITUTE(SUBSTITUTE(SUBSTITUTE(INDEX(D324:K324,MIN(8,MAX(1,C324))),"年","/"),"月","/"),"日",""),"-","/"),".","/")</f>
        <v/>
      </c>
      <c r="AB324">
        <f>IFERROR(MATCH(O324,入力!$C$5:$C$44,0),"")</f>
        <v/>
      </c>
      <c r="AC324">
        <f>IF(AB324="","",INDEX(入力!$AH$5:$AH$44,AB324))</f>
        <v/>
      </c>
      <c r="AD324">
        <f>IF(INDEX($D324:$K324,IF(M324=1,2,1))=AC324,1,IF(INDEX($D324:$K324,IF(M324=1,2,1))&amp;INDEX($D324:$K324,IF(M324=1,2,1)+1)=AC324,2,IF(INDEX($D324:$K324,IF(M324=1,2,1))&amp;INDEX($D324:$K324,IF(M324=1,2,1)+1)&amp;INDEX($D324:$K324,IF(M324=1,2,1)+2)=AC324,3,IF(AB324&lt;&gt;"",2,IF(ISNUMBER(MATCH(INDEX($D324:$K324,IF(M324=1,2,1)),入力!$AH$5:$AH$44,0)),1,IF(ISNUMBER(MATCH(INDEX($D324:$K324,IF(M324=1,2,1))&amp;INDEX($D324:$K324,IF(M324=1,2,1)+1),入力!$AH$5:$AH$44,0)),2,IF(ISNUMBER(MATCH(INDEX($D324:$K324,IF(M324=1,2,1))&amp;INDEX($D324:$K324,IF(M324=1,2,1)+1)&amp;INDEX($D324:$K324,IF(M324=1,2,1)+2),入力!$AH$5:$AH$44,0)),3,2)))))))</f>
        <v/>
      </c>
      <c r="AE324">
        <f>IF(V324="","",IF(AND(V324="反映",N(Y324)&gt;20),"要確認（この生徒の取込が20件を超えました）",V324))</f>
        <v/>
      </c>
    </row>
    <row r="325">
      <c r="A325" s="138" t="n"/>
      <c r="B325">
        <f>TRIM(SUBSTITUTE(SUBSTITUTE(SUBSTITUTE(A325,CHAR(9)," "),"　"," "),CHAR(160)," "))</f>
        <v/>
      </c>
      <c r="C325">
        <f>IF(B325="",0,LEN(B325)-LEN(SUBSTITUTE(B325," ",""))+1)</f>
        <v/>
      </c>
      <c r="D325">
        <f>IF(C325&gt;=1,TRIM(MID(SUBSTITUTE(B325," ",REPT(" ",200)),1,200)),"")</f>
        <v/>
      </c>
      <c r="E325">
        <f>IF(C325&gt;=2,TRIM(MID(SUBSTITUTE(B325," ",REPT(" ",200)),201,200)),"")</f>
        <v/>
      </c>
      <c r="F325">
        <f>IF(C325&gt;=3,TRIM(MID(SUBSTITUTE(B325," ",REPT(" ",200)),401,200)),"")</f>
        <v/>
      </c>
      <c r="G325">
        <f>IF(C325&gt;=4,TRIM(MID(SUBSTITUTE(B325," ",REPT(" ",200)),601,200)),"")</f>
        <v/>
      </c>
      <c r="H325">
        <f>IF(C325&gt;=5,TRIM(MID(SUBSTITUTE(B325," ",REPT(" ",200)),801,200)),"")</f>
        <v/>
      </c>
      <c r="I325">
        <f>IF(C325&gt;=6,TRIM(MID(SUBSTITUTE(B325," ",REPT(" ",200)),1001,200)),"")</f>
        <v/>
      </c>
      <c r="J325">
        <f>IF(C325&gt;=7,TRIM(MID(SUBSTITUTE(B325," ",REPT(" ",200)),1201,200)),"")</f>
        <v/>
      </c>
      <c r="K325">
        <f>IF(C325&gt;=8,TRIM(MID(SUBSTITUTE(B325," ",REPT(" ",200)),1401,200)),"")</f>
        <v/>
      </c>
      <c r="L325">
        <f>SUBSTITUTE(SUBSTITUTE(SUBSTITUTE(D325,"年","-"),"組","-"),"番","")</f>
        <v/>
      </c>
      <c r="M325">
        <f>IF(D325="",0,IF(ISNUMBER(VALUE(SUBSTITUTE(L325,"-",""))),1,0))</f>
        <v/>
      </c>
      <c r="N325">
        <f>IF(M325=0,"",IFERROR(VALUE(TRIM(MID(SUBSTITUTE(L325,"-",REPT(" ",100)),101,100))),""))</f>
        <v/>
      </c>
      <c r="O325">
        <f>IF(M325=0,"",IFERROR(VALUE(TRIM(RIGHT(SUBSTITUTE(L325,"-",REPT(" ",100)),100))),""))</f>
        <v/>
      </c>
      <c r="P325">
        <f>IF(B325="","",TRIM(INDEX($D325:$K325,IF(M325=1,2,1))&amp;IF(AD325&gt;=2," "&amp;INDEX($D325:$K325,IF(M325=1,2,1)+1),"")&amp;IF(AD325&gt;=3," "&amp;INDEX($D325:$K325,IF(M325=1,2,1)+2),"")))</f>
        <v/>
      </c>
      <c r="Q325">
        <f>IF(C325&lt;2,"",TRIM(IF(AND(2&gt;=(IF(M325=1,2,1)+AD325),2&lt;=C325-IF(S325="",0,1)),E325&amp;" ","")&amp;IF(AND(3&gt;=(IF(M325=1,2,1)+AD325),3&lt;=C325-IF(S325="",0,1)),F325&amp;" ","")&amp;IF(AND(4&gt;=(IF(M325=1,2,1)+AD325),4&lt;=C325-IF(S325="",0,1)),G325&amp;" ","")&amp;IF(AND(5&gt;=(IF(M325=1,2,1)+AD325),5&lt;=C325-IF(S325="",0,1)),H325&amp;" ","")&amp;IF(AND(6&gt;=(IF(M325=1,2,1)+AD325),6&lt;=C325-IF(S325="",0,1)),I325&amp;" ","")&amp;IF(AND(7&gt;=(IF(M325=1,2,1)+AD325),7&lt;=C325-IF(S325="",0,1)),J325&amp;" ","")&amp;IF(AND(8&gt;=(IF(M325=1,2,1)+AD325),8&lt;=C325-IF(S325="",0,1)),K325&amp;" ","")))</f>
        <v/>
      </c>
      <c r="R325">
        <f>IF(Q325="","",IFERROR(INDEX(資格マスタ!$B:$B,MATCH(ASC(SUBSTITUTE(SUBSTITUTE(Q325," ",""),"　","")),資格マスタ!$D:$D,0)),Q325))</f>
        <v/>
      </c>
      <c r="S325" s="139">
        <f>IF(C325&lt;2,"",IFERROR(IF(OR(LEFT(INDEX(D325:K325,MIN(8,MAX(1,C325))),2)="令和",LEFT(INDEX(D325:K325,MIN(8,MAX(1,C325))),2)="平成",LEFT(INDEX(D325:K325,MIN(8,MAX(1,C325))),2)="昭和"),DATE(VALUE(MID(INDEX(D325:K325,MIN(8,MAX(1,C325))),3,FIND("年",INDEX(D325:K325,MIN(8,MAX(1,C325))))-3))+IF(LEFT(INDEX(D325:K325,MIN(8,MAX(1,C325))),2)="令和",2018,IF(LEFT(INDEX(D325:K325,MIN(8,MAX(1,C325))),2)="平成",1988,1925)),VALUE(MID(INDEX(D325:K325,MIN(8,MAX(1,C325))),FIND("年",INDEX(D325:K325,MIN(8,MAX(1,C325))))+1,FIND("月",INDEX(D325:K325,MIN(8,MAX(1,C325))))-FIND("年",INDEX(D325:K325,MIN(8,MAX(1,C325))))-1)),IFERROR(VALUE(SUBSTITUTE(MID(INDEX(D325:K325,MIN(8,MAX(1,C325))),FIND("月",INDEX(D325:K325,MIN(8,MAX(1,C325))))+1,10),"日","")),1)),DATE(VALUE(TRIM(MID(SUBSTITUTE(AA325,"/",REPT(" ",50)),1,50))),VALUE(TRIM(MID(SUBSTITUTE(AA325,"/",REPT(" ",50)),51,50))),IFERROR(VALUE(TRIM(MID(SUBSTITUTE(AA325,"/",REPT(" ",50)),101,50))),1))),IFERROR(DATEVALUE(INDEX(D325:K325,MIN(8,MAX(1,C325)))),"")))</f>
        <v/>
      </c>
      <c r="T325">
        <f>IF(B325="","",IF(AB325&lt;&gt;"",AB325,IFERROR(MATCH(SUBSTITUTE(SUBSTITUTE(P325," ",""),"　",""),入力!$AH$5:$AH$44,0),"")))</f>
        <v/>
      </c>
      <c r="U325">
        <f>IF(T325="","",INDEX(入力!$D$5:$D$44,T325))</f>
        <v/>
      </c>
      <c r="V325">
        <f>IF(B325="","",IF(T325="","要確認（名簿と照合できません）",IF(R325="","要確認（資格名がありません）",IF(S325="","要確認（取得日が読めません）",IF((IF(INDEX(入力!$N$5:$N$44,T325)=R325,1,0)+IF(INDEX(入力!$P$5:$P$44,T325)=R325,1,0)+IF(INDEX(入力!$R$5:$R$44,T325)=R325,1,0)+IF(INDEX(入力!$T$5:$T$44,T325)=R325,1,0)+IF(INDEX(入力!$V$5:$V$44,T325)=R325,1,0)+IF(INDEX(入力!$X$5:$X$44,T325)=R325,1,0))+(COUNTIFS($T$6:$T$405,T325,$R$6:$R$405,R325,$X$6:$X$405,"&lt;"&amp;X325))&gt;0,"重複","反映")))))</f>
        <v/>
      </c>
      <c r="W325">
        <f>IF(V325="反映",1,0)</f>
        <v/>
      </c>
      <c r="X325" t="n">
        <v>325</v>
      </c>
      <c r="Y325">
        <f>IF(W325=0,"",COUNTIFS($T$6:$T$405,T325,$W$6:$W$405,1,$S$6:$S$405,"&lt;"&amp;S325)+COUNTIFS($T$6:$T$405,T325,$W$6:$W$405,1,$S$6:$S$405,S325,$X$6:$X$405,"&lt;"&amp;X325)+1)</f>
        <v/>
      </c>
      <c r="Z325">
        <f>IF(Y325="","",T325&amp;"_"&amp;Y325)</f>
        <v/>
      </c>
      <c r="AA325">
        <f>SUBSTITUTE(SUBSTITUTE(SUBSTITUTE(SUBSTITUTE(SUBSTITUTE(INDEX(D325:K325,MIN(8,MAX(1,C325))),"年","/"),"月","/"),"日",""),"-","/"),".","/")</f>
        <v/>
      </c>
      <c r="AB325">
        <f>IFERROR(MATCH(O325,入力!$C$5:$C$44,0),"")</f>
        <v/>
      </c>
      <c r="AC325">
        <f>IF(AB325="","",INDEX(入力!$AH$5:$AH$44,AB325))</f>
        <v/>
      </c>
      <c r="AD325">
        <f>IF(INDEX($D325:$K325,IF(M325=1,2,1))=AC325,1,IF(INDEX($D325:$K325,IF(M325=1,2,1))&amp;INDEX($D325:$K325,IF(M325=1,2,1)+1)=AC325,2,IF(INDEX($D325:$K325,IF(M325=1,2,1))&amp;INDEX($D325:$K325,IF(M325=1,2,1)+1)&amp;INDEX($D325:$K325,IF(M325=1,2,1)+2)=AC325,3,IF(AB325&lt;&gt;"",2,IF(ISNUMBER(MATCH(INDEX($D325:$K325,IF(M325=1,2,1)),入力!$AH$5:$AH$44,0)),1,IF(ISNUMBER(MATCH(INDEX($D325:$K325,IF(M325=1,2,1))&amp;INDEX($D325:$K325,IF(M325=1,2,1)+1),入力!$AH$5:$AH$44,0)),2,IF(ISNUMBER(MATCH(INDEX($D325:$K325,IF(M325=1,2,1))&amp;INDEX($D325:$K325,IF(M325=1,2,1)+1)&amp;INDEX($D325:$K325,IF(M325=1,2,1)+2),入力!$AH$5:$AH$44,0)),3,2)))))))</f>
        <v/>
      </c>
      <c r="AE325">
        <f>IF(V325="","",IF(AND(V325="反映",N(Y325)&gt;20),"要確認（この生徒の取込が20件を超えました）",V325))</f>
        <v/>
      </c>
    </row>
    <row r="326">
      <c r="A326" s="138" t="n"/>
      <c r="B326">
        <f>TRIM(SUBSTITUTE(SUBSTITUTE(SUBSTITUTE(A326,CHAR(9)," "),"　"," "),CHAR(160)," "))</f>
        <v/>
      </c>
      <c r="C326">
        <f>IF(B326="",0,LEN(B326)-LEN(SUBSTITUTE(B326," ",""))+1)</f>
        <v/>
      </c>
      <c r="D326">
        <f>IF(C326&gt;=1,TRIM(MID(SUBSTITUTE(B326," ",REPT(" ",200)),1,200)),"")</f>
        <v/>
      </c>
      <c r="E326">
        <f>IF(C326&gt;=2,TRIM(MID(SUBSTITUTE(B326," ",REPT(" ",200)),201,200)),"")</f>
        <v/>
      </c>
      <c r="F326">
        <f>IF(C326&gt;=3,TRIM(MID(SUBSTITUTE(B326," ",REPT(" ",200)),401,200)),"")</f>
        <v/>
      </c>
      <c r="G326">
        <f>IF(C326&gt;=4,TRIM(MID(SUBSTITUTE(B326," ",REPT(" ",200)),601,200)),"")</f>
        <v/>
      </c>
      <c r="H326">
        <f>IF(C326&gt;=5,TRIM(MID(SUBSTITUTE(B326," ",REPT(" ",200)),801,200)),"")</f>
        <v/>
      </c>
      <c r="I326">
        <f>IF(C326&gt;=6,TRIM(MID(SUBSTITUTE(B326," ",REPT(" ",200)),1001,200)),"")</f>
        <v/>
      </c>
      <c r="J326">
        <f>IF(C326&gt;=7,TRIM(MID(SUBSTITUTE(B326," ",REPT(" ",200)),1201,200)),"")</f>
        <v/>
      </c>
      <c r="K326">
        <f>IF(C326&gt;=8,TRIM(MID(SUBSTITUTE(B326," ",REPT(" ",200)),1401,200)),"")</f>
        <v/>
      </c>
      <c r="L326">
        <f>SUBSTITUTE(SUBSTITUTE(SUBSTITUTE(D326,"年","-"),"組","-"),"番","")</f>
        <v/>
      </c>
      <c r="M326">
        <f>IF(D326="",0,IF(ISNUMBER(VALUE(SUBSTITUTE(L326,"-",""))),1,0))</f>
        <v/>
      </c>
      <c r="N326">
        <f>IF(M326=0,"",IFERROR(VALUE(TRIM(MID(SUBSTITUTE(L326,"-",REPT(" ",100)),101,100))),""))</f>
        <v/>
      </c>
      <c r="O326">
        <f>IF(M326=0,"",IFERROR(VALUE(TRIM(RIGHT(SUBSTITUTE(L326,"-",REPT(" ",100)),100))),""))</f>
        <v/>
      </c>
      <c r="P326">
        <f>IF(B326="","",TRIM(INDEX($D326:$K326,IF(M326=1,2,1))&amp;IF(AD326&gt;=2," "&amp;INDEX($D326:$K326,IF(M326=1,2,1)+1),"")&amp;IF(AD326&gt;=3," "&amp;INDEX($D326:$K326,IF(M326=1,2,1)+2),"")))</f>
        <v/>
      </c>
      <c r="Q326">
        <f>IF(C326&lt;2,"",TRIM(IF(AND(2&gt;=(IF(M326=1,2,1)+AD326),2&lt;=C326-IF(S326="",0,1)),E326&amp;" ","")&amp;IF(AND(3&gt;=(IF(M326=1,2,1)+AD326),3&lt;=C326-IF(S326="",0,1)),F326&amp;" ","")&amp;IF(AND(4&gt;=(IF(M326=1,2,1)+AD326),4&lt;=C326-IF(S326="",0,1)),G326&amp;" ","")&amp;IF(AND(5&gt;=(IF(M326=1,2,1)+AD326),5&lt;=C326-IF(S326="",0,1)),H326&amp;" ","")&amp;IF(AND(6&gt;=(IF(M326=1,2,1)+AD326),6&lt;=C326-IF(S326="",0,1)),I326&amp;" ","")&amp;IF(AND(7&gt;=(IF(M326=1,2,1)+AD326),7&lt;=C326-IF(S326="",0,1)),J326&amp;" ","")&amp;IF(AND(8&gt;=(IF(M326=1,2,1)+AD326),8&lt;=C326-IF(S326="",0,1)),K326&amp;" ","")))</f>
        <v/>
      </c>
      <c r="R326">
        <f>IF(Q326="","",IFERROR(INDEX(資格マスタ!$B:$B,MATCH(ASC(SUBSTITUTE(SUBSTITUTE(Q326," ",""),"　","")),資格マスタ!$D:$D,0)),Q326))</f>
        <v/>
      </c>
      <c r="S326" s="139">
        <f>IF(C326&lt;2,"",IFERROR(IF(OR(LEFT(INDEX(D326:K326,MIN(8,MAX(1,C326))),2)="令和",LEFT(INDEX(D326:K326,MIN(8,MAX(1,C326))),2)="平成",LEFT(INDEX(D326:K326,MIN(8,MAX(1,C326))),2)="昭和"),DATE(VALUE(MID(INDEX(D326:K326,MIN(8,MAX(1,C326))),3,FIND("年",INDEX(D326:K326,MIN(8,MAX(1,C326))))-3))+IF(LEFT(INDEX(D326:K326,MIN(8,MAX(1,C326))),2)="令和",2018,IF(LEFT(INDEX(D326:K326,MIN(8,MAX(1,C326))),2)="平成",1988,1925)),VALUE(MID(INDEX(D326:K326,MIN(8,MAX(1,C326))),FIND("年",INDEX(D326:K326,MIN(8,MAX(1,C326))))+1,FIND("月",INDEX(D326:K326,MIN(8,MAX(1,C326))))-FIND("年",INDEX(D326:K326,MIN(8,MAX(1,C326))))-1)),IFERROR(VALUE(SUBSTITUTE(MID(INDEX(D326:K326,MIN(8,MAX(1,C326))),FIND("月",INDEX(D326:K326,MIN(8,MAX(1,C326))))+1,10),"日","")),1)),DATE(VALUE(TRIM(MID(SUBSTITUTE(AA326,"/",REPT(" ",50)),1,50))),VALUE(TRIM(MID(SUBSTITUTE(AA326,"/",REPT(" ",50)),51,50))),IFERROR(VALUE(TRIM(MID(SUBSTITUTE(AA326,"/",REPT(" ",50)),101,50))),1))),IFERROR(DATEVALUE(INDEX(D326:K326,MIN(8,MAX(1,C326)))),"")))</f>
        <v/>
      </c>
      <c r="T326">
        <f>IF(B326="","",IF(AB326&lt;&gt;"",AB326,IFERROR(MATCH(SUBSTITUTE(SUBSTITUTE(P326," ",""),"　",""),入力!$AH$5:$AH$44,0),"")))</f>
        <v/>
      </c>
      <c r="U326">
        <f>IF(T326="","",INDEX(入力!$D$5:$D$44,T326))</f>
        <v/>
      </c>
      <c r="V326">
        <f>IF(B326="","",IF(T326="","要確認（名簿と照合できません）",IF(R326="","要確認（資格名がありません）",IF(S326="","要確認（取得日が読めません）",IF((IF(INDEX(入力!$N$5:$N$44,T326)=R326,1,0)+IF(INDEX(入力!$P$5:$P$44,T326)=R326,1,0)+IF(INDEX(入力!$R$5:$R$44,T326)=R326,1,0)+IF(INDEX(入力!$T$5:$T$44,T326)=R326,1,0)+IF(INDEX(入力!$V$5:$V$44,T326)=R326,1,0)+IF(INDEX(入力!$X$5:$X$44,T326)=R326,1,0))+(COUNTIFS($T$6:$T$405,T326,$R$6:$R$405,R326,$X$6:$X$405,"&lt;"&amp;X326))&gt;0,"重複","反映")))))</f>
        <v/>
      </c>
      <c r="W326">
        <f>IF(V326="反映",1,0)</f>
        <v/>
      </c>
      <c r="X326" t="n">
        <v>326</v>
      </c>
      <c r="Y326">
        <f>IF(W326=0,"",COUNTIFS($T$6:$T$405,T326,$W$6:$W$405,1,$S$6:$S$405,"&lt;"&amp;S326)+COUNTIFS($T$6:$T$405,T326,$W$6:$W$405,1,$S$6:$S$405,S326,$X$6:$X$405,"&lt;"&amp;X326)+1)</f>
        <v/>
      </c>
      <c r="Z326">
        <f>IF(Y326="","",T326&amp;"_"&amp;Y326)</f>
        <v/>
      </c>
      <c r="AA326">
        <f>SUBSTITUTE(SUBSTITUTE(SUBSTITUTE(SUBSTITUTE(SUBSTITUTE(INDEX(D326:K326,MIN(8,MAX(1,C326))),"年","/"),"月","/"),"日",""),"-","/"),".","/")</f>
        <v/>
      </c>
      <c r="AB326">
        <f>IFERROR(MATCH(O326,入力!$C$5:$C$44,0),"")</f>
        <v/>
      </c>
      <c r="AC326">
        <f>IF(AB326="","",INDEX(入力!$AH$5:$AH$44,AB326))</f>
        <v/>
      </c>
      <c r="AD326">
        <f>IF(INDEX($D326:$K326,IF(M326=1,2,1))=AC326,1,IF(INDEX($D326:$K326,IF(M326=1,2,1))&amp;INDEX($D326:$K326,IF(M326=1,2,1)+1)=AC326,2,IF(INDEX($D326:$K326,IF(M326=1,2,1))&amp;INDEX($D326:$K326,IF(M326=1,2,1)+1)&amp;INDEX($D326:$K326,IF(M326=1,2,1)+2)=AC326,3,IF(AB326&lt;&gt;"",2,IF(ISNUMBER(MATCH(INDEX($D326:$K326,IF(M326=1,2,1)),入力!$AH$5:$AH$44,0)),1,IF(ISNUMBER(MATCH(INDEX($D326:$K326,IF(M326=1,2,1))&amp;INDEX($D326:$K326,IF(M326=1,2,1)+1),入力!$AH$5:$AH$44,0)),2,IF(ISNUMBER(MATCH(INDEX($D326:$K326,IF(M326=1,2,1))&amp;INDEX($D326:$K326,IF(M326=1,2,1)+1)&amp;INDEX($D326:$K326,IF(M326=1,2,1)+2),入力!$AH$5:$AH$44,0)),3,2)))))))</f>
        <v/>
      </c>
      <c r="AE326">
        <f>IF(V326="","",IF(AND(V326="反映",N(Y326)&gt;20),"要確認（この生徒の取込が20件を超えました）",V326))</f>
        <v/>
      </c>
    </row>
    <row r="327">
      <c r="A327" s="138" t="n"/>
      <c r="B327">
        <f>TRIM(SUBSTITUTE(SUBSTITUTE(SUBSTITUTE(A327,CHAR(9)," "),"　"," "),CHAR(160)," "))</f>
        <v/>
      </c>
      <c r="C327">
        <f>IF(B327="",0,LEN(B327)-LEN(SUBSTITUTE(B327," ",""))+1)</f>
        <v/>
      </c>
      <c r="D327">
        <f>IF(C327&gt;=1,TRIM(MID(SUBSTITUTE(B327," ",REPT(" ",200)),1,200)),"")</f>
        <v/>
      </c>
      <c r="E327">
        <f>IF(C327&gt;=2,TRIM(MID(SUBSTITUTE(B327," ",REPT(" ",200)),201,200)),"")</f>
        <v/>
      </c>
      <c r="F327">
        <f>IF(C327&gt;=3,TRIM(MID(SUBSTITUTE(B327," ",REPT(" ",200)),401,200)),"")</f>
        <v/>
      </c>
      <c r="G327">
        <f>IF(C327&gt;=4,TRIM(MID(SUBSTITUTE(B327," ",REPT(" ",200)),601,200)),"")</f>
        <v/>
      </c>
      <c r="H327">
        <f>IF(C327&gt;=5,TRIM(MID(SUBSTITUTE(B327," ",REPT(" ",200)),801,200)),"")</f>
        <v/>
      </c>
      <c r="I327">
        <f>IF(C327&gt;=6,TRIM(MID(SUBSTITUTE(B327," ",REPT(" ",200)),1001,200)),"")</f>
        <v/>
      </c>
      <c r="J327">
        <f>IF(C327&gt;=7,TRIM(MID(SUBSTITUTE(B327," ",REPT(" ",200)),1201,200)),"")</f>
        <v/>
      </c>
      <c r="K327">
        <f>IF(C327&gt;=8,TRIM(MID(SUBSTITUTE(B327," ",REPT(" ",200)),1401,200)),"")</f>
        <v/>
      </c>
      <c r="L327">
        <f>SUBSTITUTE(SUBSTITUTE(SUBSTITUTE(D327,"年","-"),"組","-"),"番","")</f>
        <v/>
      </c>
      <c r="M327">
        <f>IF(D327="",0,IF(ISNUMBER(VALUE(SUBSTITUTE(L327,"-",""))),1,0))</f>
        <v/>
      </c>
      <c r="N327">
        <f>IF(M327=0,"",IFERROR(VALUE(TRIM(MID(SUBSTITUTE(L327,"-",REPT(" ",100)),101,100))),""))</f>
        <v/>
      </c>
      <c r="O327">
        <f>IF(M327=0,"",IFERROR(VALUE(TRIM(RIGHT(SUBSTITUTE(L327,"-",REPT(" ",100)),100))),""))</f>
        <v/>
      </c>
      <c r="P327">
        <f>IF(B327="","",TRIM(INDEX($D327:$K327,IF(M327=1,2,1))&amp;IF(AD327&gt;=2," "&amp;INDEX($D327:$K327,IF(M327=1,2,1)+1),"")&amp;IF(AD327&gt;=3," "&amp;INDEX($D327:$K327,IF(M327=1,2,1)+2),"")))</f>
        <v/>
      </c>
      <c r="Q327">
        <f>IF(C327&lt;2,"",TRIM(IF(AND(2&gt;=(IF(M327=1,2,1)+AD327),2&lt;=C327-IF(S327="",0,1)),E327&amp;" ","")&amp;IF(AND(3&gt;=(IF(M327=1,2,1)+AD327),3&lt;=C327-IF(S327="",0,1)),F327&amp;" ","")&amp;IF(AND(4&gt;=(IF(M327=1,2,1)+AD327),4&lt;=C327-IF(S327="",0,1)),G327&amp;" ","")&amp;IF(AND(5&gt;=(IF(M327=1,2,1)+AD327),5&lt;=C327-IF(S327="",0,1)),H327&amp;" ","")&amp;IF(AND(6&gt;=(IF(M327=1,2,1)+AD327),6&lt;=C327-IF(S327="",0,1)),I327&amp;" ","")&amp;IF(AND(7&gt;=(IF(M327=1,2,1)+AD327),7&lt;=C327-IF(S327="",0,1)),J327&amp;" ","")&amp;IF(AND(8&gt;=(IF(M327=1,2,1)+AD327),8&lt;=C327-IF(S327="",0,1)),K327&amp;" ","")))</f>
        <v/>
      </c>
      <c r="R327">
        <f>IF(Q327="","",IFERROR(INDEX(資格マスタ!$B:$B,MATCH(ASC(SUBSTITUTE(SUBSTITUTE(Q327," ",""),"　","")),資格マスタ!$D:$D,0)),Q327))</f>
        <v/>
      </c>
      <c r="S327" s="139">
        <f>IF(C327&lt;2,"",IFERROR(IF(OR(LEFT(INDEX(D327:K327,MIN(8,MAX(1,C327))),2)="令和",LEFT(INDEX(D327:K327,MIN(8,MAX(1,C327))),2)="平成",LEFT(INDEX(D327:K327,MIN(8,MAX(1,C327))),2)="昭和"),DATE(VALUE(MID(INDEX(D327:K327,MIN(8,MAX(1,C327))),3,FIND("年",INDEX(D327:K327,MIN(8,MAX(1,C327))))-3))+IF(LEFT(INDEX(D327:K327,MIN(8,MAX(1,C327))),2)="令和",2018,IF(LEFT(INDEX(D327:K327,MIN(8,MAX(1,C327))),2)="平成",1988,1925)),VALUE(MID(INDEX(D327:K327,MIN(8,MAX(1,C327))),FIND("年",INDEX(D327:K327,MIN(8,MAX(1,C327))))+1,FIND("月",INDEX(D327:K327,MIN(8,MAX(1,C327))))-FIND("年",INDEX(D327:K327,MIN(8,MAX(1,C327))))-1)),IFERROR(VALUE(SUBSTITUTE(MID(INDEX(D327:K327,MIN(8,MAX(1,C327))),FIND("月",INDEX(D327:K327,MIN(8,MAX(1,C327))))+1,10),"日","")),1)),DATE(VALUE(TRIM(MID(SUBSTITUTE(AA327,"/",REPT(" ",50)),1,50))),VALUE(TRIM(MID(SUBSTITUTE(AA327,"/",REPT(" ",50)),51,50))),IFERROR(VALUE(TRIM(MID(SUBSTITUTE(AA327,"/",REPT(" ",50)),101,50))),1))),IFERROR(DATEVALUE(INDEX(D327:K327,MIN(8,MAX(1,C327)))),"")))</f>
        <v/>
      </c>
      <c r="T327">
        <f>IF(B327="","",IF(AB327&lt;&gt;"",AB327,IFERROR(MATCH(SUBSTITUTE(SUBSTITUTE(P327," ",""),"　",""),入力!$AH$5:$AH$44,0),"")))</f>
        <v/>
      </c>
      <c r="U327">
        <f>IF(T327="","",INDEX(入力!$D$5:$D$44,T327))</f>
        <v/>
      </c>
      <c r="V327">
        <f>IF(B327="","",IF(T327="","要確認（名簿と照合できません）",IF(R327="","要確認（資格名がありません）",IF(S327="","要確認（取得日が読めません）",IF((IF(INDEX(入力!$N$5:$N$44,T327)=R327,1,0)+IF(INDEX(入力!$P$5:$P$44,T327)=R327,1,0)+IF(INDEX(入力!$R$5:$R$44,T327)=R327,1,0)+IF(INDEX(入力!$T$5:$T$44,T327)=R327,1,0)+IF(INDEX(入力!$V$5:$V$44,T327)=R327,1,0)+IF(INDEX(入力!$X$5:$X$44,T327)=R327,1,0))+(COUNTIFS($T$6:$T$405,T327,$R$6:$R$405,R327,$X$6:$X$405,"&lt;"&amp;X327))&gt;0,"重複","反映")))))</f>
        <v/>
      </c>
      <c r="W327">
        <f>IF(V327="反映",1,0)</f>
        <v/>
      </c>
      <c r="X327" t="n">
        <v>327</v>
      </c>
      <c r="Y327">
        <f>IF(W327=0,"",COUNTIFS($T$6:$T$405,T327,$W$6:$W$405,1,$S$6:$S$405,"&lt;"&amp;S327)+COUNTIFS($T$6:$T$405,T327,$W$6:$W$405,1,$S$6:$S$405,S327,$X$6:$X$405,"&lt;"&amp;X327)+1)</f>
        <v/>
      </c>
      <c r="Z327">
        <f>IF(Y327="","",T327&amp;"_"&amp;Y327)</f>
        <v/>
      </c>
      <c r="AA327">
        <f>SUBSTITUTE(SUBSTITUTE(SUBSTITUTE(SUBSTITUTE(SUBSTITUTE(INDEX(D327:K327,MIN(8,MAX(1,C327))),"年","/"),"月","/"),"日",""),"-","/"),".","/")</f>
        <v/>
      </c>
      <c r="AB327">
        <f>IFERROR(MATCH(O327,入力!$C$5:$C$44,0),"")</f>
        <v/>
      </c>
      <c r="AC327">
        <f>IF(AB327="","",INDEX(入力!$AH$5:$AH$44,AB327))</f>
        <v/>
      </c>
      <c r="AD327">
        <f>IF(INDEX($D327:$K327,IF(M327=1,2,1))=AC327,1,IF(INDEX($D327:$K327,IF(M327=1,2,1))&amp;INDEX($D327:$K327,IF(M327=1,2,1)+1)=AC327,2,IF(INDEX($D327:$K327,IF(M327=1,2,1))&amp;INDEX($D327:$K327,IF(M327=1,2,1)+1)&amp;INDEX($D327:$K327,IF(M327=1,2,1)+2)=AC327,3,IF(AB327&lt;&gt;"",2,IF(ISNUMBER(MATCH(INDEX($D327:$K327,IF(M327=1,2,1)),入力!$AH$5:$AH$44,0)),1,IF(ISNUMBER(MATCH(INDEX($D327:$K327,IF(M327=1,2,1))&amp;INDEX($D327:$K327,IF(M327=1,2,1)+1),入力!$AH$5:$AH$44,0)),2,IF(ISNUMBER(MATCH(INDEX($D327:$K327,IF(M327=1,2,1))&amp;INDEX($D327:$K327,IF(M327=1,2,1)+1)&amp;INDEX($D327:$K327,IF(M327=1,2,1)+2),入力!$AH$5:$AH$44,0)),3,2)))))))</f>
        <v/>
      </c>
      <c r="AE327">
        <f>IF(V327="","",IF(AND(V327="反映",N(Y327)&gt;20),"要確認（この生徒の取込が20件を超えました）",V327))</f>
        <v/>
      </c>
    </row>
    <row r="328">
      <c r="A328" s="138" t="n"/>
      <c r="B328">
        <f>TRIM(SUBSTITUTE(SUBSTITUTE(SUBSTITUTE(A328,CHAR(9)," "),"　"," "),CHAR(160)," "))</f>
        <v/>
      </c>
      <c r="C328">
        <f>IF(B328="",0,LEN(B328)-LEN(SUBSTITUTE(B328," ",""))+1)</f>
        <v/>
      </c>
      <c r="D328">
        <f>IF(C328&gt;=1,TRIM(MID(SUBSTITUTE(B328," ",REPT(" ",200)),1,200)),"")</f>
        <v/>
      </c>
      <c r="E328">
        <f>IF(C328&gt;=2,TRIM(MID(SUBSTITUTE(B328," ",REPT(" ",200)),201,200)),"")</f>
        <v/>
      </c>
      <c r="F328">
        <f>IF(C328&gt;=3,TRIM(MID(SUBSTITUTE(B328," ",REPT(" ",200)),401,200)),"")</f>
        <v/>
      </c>
      <c r="G328">
        <f>IF(C328&gt;=4,TRIM(MID(SUBSTITUTE(B328," ",REPT(" ",200)),601,200)),"")</f>
        <v/>
      </c>
      <c r="H328">
        <f>IF(C328&gt;=5,TRIM(MID(SUBSTITUTE(B328," ",REPT(" ",200)),801,200)),"")</f>
        <v/>
      </c>
      <c r="I328">
        <f>IF(C328&gt;=6,TRIM(MID(SUBSTITUTE(B328," ",REPT(" ",200)),1001,200)),"")</f>
        <v/>
      </c>
      <c r="J328">
        <f>IF(C328&gt;=7,TRIM(MID(SUBSTITUTE(B328," ",REPT(" ",200)),1201,200)),"")</f>
        <v/>
      </c>
      <c r="K328">
        <f>IF(C328&gt;=8,TRIM(MID(SUBSTITUTE(B328," ",REPT(" ",200)),1401,200)),"")</f>
        <v/>
      </c>
      <c r="L328">
        <f>SUBSTITUTE(SUBSTITUTE(SUBSTITUTE(D328,"年","-"),"組","-"),"番","")</f>
        <v/>
      </c>
      <c r="M328">
        <f>IF(D328="",0,IF(ISNUMBER(VALUE(SUBSTITUTE(L328,"-",""))),1,0))</f>
        <v/>
      </c>
      <c r="N328">
        <f>IF(M328=0,"",IFERROR(VALUE(TRIM(MID(SUBSTITUTE(L328,"-",REPT(" ",100)),101,100))),""))</f>
        <v/>
      </c>
      <c r="O328">
        <f>IF(M328=0,"",IFERROR(VALUE(TRIM(RIGHT(SUBSTITUTE(L328,"-",REPT(" ",100)),100))),""))</f>
        <v/>
      </c>
      <c r="P328">
        <f>IF(B328="","",TRIM(INDEX($D328:$K328,IF(M328=1,2,1))&amp;IF(AD328&gt;=2," "&amp;INDEX($D328:$K328,IF(M328=1,2,1)+1),"")&amp;IF(AD328&gt;=3," "&amp;INDEX($D328:$K328,IF(M328=1,2,1)+2),"")))</f>
        <v/>
      </c>
      <c r="Q328">
        <f>IF(C328&lt;2,"",TRIM(IF(AND(2&gt;=(IF(M328=1,2,1)+AD328),2&lt;=C328-IF(S328="",0,1)),E328&amp;" ","")&amp;IF(AND(3&gt;=(IF(M328=1,2,1)+AD328),3&lt;=C328-IF(S328="",0,1)),F328&amp;" ","")&amp;IF(AND(4&gt;=(IF(M328=1,2,1)+AD328),4&lt;=C328-IF(S328="",0,1)),G328&amp;" ","")&amp;IF(AND(5&gt;=(IF(M328=1,2,1)+AD328),5&lt;=C328-IF(S328="",0,1)),H328&amp;" ","")&amp;IF(AND(6&gt;=(IF(M328=1,2,1)+AD328),6&lt;=C328-IF(S328="",0,1)),I328&amp;" ","")&amp;IF(AND(7&gt;=(IF(M328=1,2,1)+AD328),7&lt;=C328-IF(S328="",0,1)),J328&amp;" ","")&amp;IF(AND(8&gt;=(IF(M328=1,2,1)+AD328),8&lt;=C328-IF(S328="",0,1)),K328&amp;" ","")))</f>
        <v/>
      </c>
      <c r="R328">
        <f>IF(Q328="","",IFERROR(INDEX(資格マスタ!$B:$B,MATCH(ASC(SUBSTITUTE(SUBSTITUTE(Q328," ",""),"　","")),資格マスタ!$D:$D,0)),Q328))</f>
        <v/>
      </c>
      <c r="S328" s="139">
        <f>IF(C328&lt;2,"",IFERROR(IF(OR(LEFT(INDEX(D328:K328,MIN(8,MAX(1,C328))),2)="令和",LEFT(INDEX(D328:K328,MIN(8,MAX(1,C328))),2)="平成",LEFT(INDEX(D328:K328,MIN(8,MAX(1,C328))),2)="昭和"),DATE(VALUE(MID(INDEX(D328:K328,MIN(8,MAX(1,C328))),3,FIND("年",INDEX(D328:K328,MIN(8,MAX(1,C328))))-3))+IF(LEFT(INDEX(D328:K328,MIN(8,MAX(1,C328))),2)="令和",2018,IF(LEFT(INDEX(D328:K328,MIN(8,MAX(1,C328))),2)="平成",1988,1925)),VALUE(MID(INDEX(D328:K328,MIN(8,MAX(1,C328))),FIND("年",INDEX(D328:K328,MIN(8,MAX(1,C328))))+1,FIND("月",INDEX(D328:K328,MIN(8,MAX(1,C328))))-FIND("年",INDEX(D328:K328,MIN(8,MAX(1,C328))))-1)),IFERROR(VALUE(SUBSTITUTE(MID(INDEX(D328:K328,MIN(8,MAX(1,C328))),FIND("月",INDEX(D328:K328,MIN(8,MAX(1,C328))))+1,10),"日","")),1)),DATE(VALUE(TRIM(MID(SUBSTITUTE(AA328,"/",REPT(" ",50)),1,50))),VALUE(TRIM(MID(SUBSTITUTE(AA328,"/",REPT(" ",50)),51,50))),IFERROR(VALUE(TRIM(MID(SUBSTITUTE(AA328,"/",REPT(" ",50)),101,50))),1))),IFERROR(DATEVALUE(INDEX(D328:K328,MIN(8,MAX(1,C328)))),"")))</f>
        <v/>
      </c>
      <c r="T328">
        <f>IF(B328="","",IF(AB328&lt;&gt;"",AB328,IFERROR(MATCH(SUBSTITUTE(SUBSTITUTE(P328," ",""),"　",""),入力!$AH$5:$AH$44,0),"")))</f>
        <v/>
      </c>
      <c r="U328">
        <f>IF(T328="","",INDEX(入力!$D$5:$D$44,T328))</f>
        <v/>
      </c>
      <c r="V328">
        <f>IF(B328="","",IF(T328="","要確認（名簿と照合できません）",IF(R328="","要確認（資格名がありません）",IF(S328="","要確認（取得日が読めません）",IF((IF(INDEX(入力!$N$5:$N$44,T328)=R328,1,0)+IF(INDEX(入力!$P$5:$P$44,T328)=R328,1,0)+IF(INDEX(入力!$R$5:$R$44,T328)=R328,1,0)+IF(INDEX(入力!$T$5:$T$44,T328)=R328,1,0)+IF(INDEX(入力!$V$5:$V$44,T328)=R328,1,0)+IF(INDEX(入力!$X$5:$X$44,T328)=R328,1,0))+(COUNTIFS($T$6:$T$405,T328,$R$6:$R$405,R328,$X$6:$X$405,"&lt;"&amp;X328))&gt;0,"重複","反映")))))</f>
        <v/>
      </c>
      <c r="W328">
        <f>IF(V328="反映",1,0)</f>
        <v/>
      </c>
      <c r="X328" t="n">
        <v>328</v>
      </c>
      <c r="Y328">
        <f>IF(W328=0,"",COUNTIFS($T$6:$T$405,T328,$W$6:$W$405,1,$S$6:$S$405,"&lt;"&amp;S328)+COUNTIFS($T$6:$T$405,T328,$W$6:$W$405,1,$S$6:$S$405,S328,$X$6:$X$405,"&lt;"&amp;X328)+1)</f>
        <v/>
      </c>
      <c r="Z328">
        <f>IF(Y328="","",T328&amp;"_"&amp;Y328)</f>
        <v/>
      </c>
      <c r="AA328">
        <f>SUBSTITUTE(SUBSTITUTE(SUBSTITUTE(SUBSTITUTE(SUBSTITUTE(INDEX(D328:K328,MIN(8,MAX(1,C328))),"年","/"),"月","/"),"日",""),"-","/"),".","/")</f>
        <v/>
      </c>
      <c r="AB328">
        <f>IFERROR(MATCH(O328,入力!$C$5:$C$44,0),"")</f>
        <v/>
      </c>
      <c r="AC328">
        <f>IF(AB328="","",INDEX(入力!$AH$5:$AH$44,AB328))</f>
        <v/>
      </c>
      <c r="AD328">
        <f>IF(INDEX($D328:$K328,IF(M328=1,2,1))=AC328,1,IF(INDEX($D328:$K328,IF(M328=1,2,1))&amp;INDEX($D328:$K328,IF(M328=1,2,1)+1)=AC328,2,IF(INDEX($D328:$K328,IF(M328=1,2,1))&amp;INDEX($D328:$K328,IF(M328=1,2,1)+1)&amp;INDEX($D328:$K328,IF(M328=1,2,1)+2)=AC328,3,IF(AB328&lt;&gt;"",2,IF(ISNUMBER(MATCH(INDEX($D328:$K328,IF(M328=1,2,1)),入力!$AH$5:$AH$44,0)),1,IF(ISNUMBER(MATCH(INDEX($D328:$K328,IF(M328=1,2,1))&amp;INDEX($D328:$K328,IF(M328=1,2,1)+1),入力!$AH$5:$AH$44,0)),2,IF(ISNUMBER(MATCH(INDEX($D328:$K328,IF(M328=1,2,1))&amp;INDEX($D328:$K328,IF(M328=1,2,1)+1)&amp;INDEX($D328:$K328,IF(M328=1,2,1)+2),入力!$AH$5:$AH$44,0)),3,2)))))))</f>
        <v/>
      </c>
      <c r="AE328">
        <f>IF(V328="","",IF(AND(V328="反映",N(Y328)&gt;20),"要確認（この生徒の取込が20件を超えました）",V328))</f>
        <v/>
      </c>
    </row>
    <row r="329">
      <c r="A329" s="138" t="n"/>
      <c r="B329">
        <f>TRIM(SUBSTITUTE(SUBSTITUTE(SUBSTITUTE(A329,CHAR(9)," "),"　"," "),CHAR(160)," "))</f>
        <v/>
      </c>
      <c r="C329">
        <f>IF(B329="",0,LEN(B329)-LEN(SUBSTITUTE(B329," ",""))+1)</f>
        <v/>
      </c>
      <c r="D329">
        <f>IF(C329&gt;=1,TRIM(MID(SUBSTITUTE(B329," ",REPT(" ",200)),1,200)),"")</f>
        <v/>
      </c>
      <c r="E329">
        <f>IF(C329&gt;=2,TRIM(MID(SUBSTITUTE(B329," ",REPT(" ",200)),201,200)),"")</f>
        <v/>
      </c>
      <c r="F329">
        <f>IF(C329&gt;=3,TRIM(MID(SUBSTITUTE(B329," ",REPT(" ",200)),401,200)),"")</f>
        <v/>
      </c>
      <c r="G329">
        <f>IF(C329&gt;=4,TRIM(MID(SUBSTITUTE(B329," ",REPT(" ",200)),601,200)),"")</f>
        <v/>
      </c>
      <c r="H329">
        <f>IF(C329&gt;=5,TRIM(MID(SUBSTITUTE(B329," ",REPT(" ",200)),801,200)),"")</f>
        <v/>
      </c>
      <c r="I329">
        <f>IF(C329&gt;=6,TRIM(MID(SUBSTITUTE(B329," ",REPT(" ",200)),1001,200)),"")</f>
        <v/>
      </c>
      <c r="J329">
        <f>IF(C329&gt;=7,TRIM(MID(SUBSTITUTE(B329," ",REPT(" ",200)),1201,200)),"")</f>
        <v/>
      </c>
      <c r="K329">
        <f>IF(C329&gt;=8,TRIM(MID(SUBSTITUTE(B329," ",REPT(" ",200)),1401,200)),"")</f>
        <v/>
      </c>
      <c r="L329">
        <f>SUBSTITUTE(SUBSTITUTE(SUBSTITUTE(D329,"年","-"),"組","-"),"番","")</f>
        <v/>
      </c>
      <c r="M329">
        <f>IF(D329="",0,IF(ISNUMBER(VALUE(SUBSTITUTE(L329,"-",""))),1,0))</f>
        <v/>
      </c>
      <c r="N329">
        <f>IF(M329=0,"",IFERROR(VALUE(TRIM(MID(SUBSTITUTE(L329,"-",REPT(" ",100)),101,100))),""))</f>
        <v/>
      </c>
      <c r="O329">
        <f>IF(M329=0,"",IFERROR(VALUE(TRIM(RIGHT(SUBSTITUTE(L329,"-",REPT(" ",100)),100))),""))</f>
        <v/>
      </c>
      <c r="P329">
        <f>IF(B329="","",TRIM(INDEX($D329:$K329,IF(M329=1,2,1))&amp;IF(AD329&gt;=2," "&amp;INDEX($D329:$K329,IF(M329=1,2,1)+1),"")&amp;IF(AD329&gt;=3," "&amp;INDEX($D329:$K329,IF(M329=1,2,1)+2),"")))</f>
        <v/>
      </c>
      <c r="Q329">
        <f>IF(C329&lt;2,"",TRIM(IF(AND(2&gt;=(IF(M329=1,2,1)+AD329),2&lt;=C329-IF(S329="",0,1)),E329&amp;" ","")&amp;IF(AND(3&gt;=(IF(M329=1,2,1)+AD329),3&lt;=C329-IF(S329="",0,1)),F329&amp;" ","")&amp;IF(AND(4&gt;=(IF(M329=1,2,1)+AD329),4&lt;=C329-IF(S329="",0,1)),G329&amp;" ","")&amp;IF(AND(5&gt;=(IF(M329=1,2,1)+AD329),5&lt;=C329-IF(S329="",0,1)),H329&amp;" ","")&amp;IF(AND(6&gt;=(IF(M329=1,2,1)+AD329),6&lt;=C329-IF(S329="",0,1)),I329&amp;" ","")&amp;IF(AND(7&gt;=(IF(M329=1,2,1)+AD329),7&lt;=C329-IF(S329="",0,1)),J329&amp;" ","")&amp;IF(AND(8&gt;=(IF(M329=1,2,1)+AD329),8&lt;=C329-IF(S329="",0,1)),K329&amp;" ","")))</f>
        <v/>
      </c>
      <c r="R329">
        <f>IF(Q329="","",IFERROR(INDEX(資格マスタ!$B:$B,MATCH(ASC(SUBSTITUTE(SUBSTITUTE(Q329," ",""),"　","")),資格マスタ!$D:$D,0)),Q329))</f>
        <v/>
      </c>
      <c r="S329" s="139">
        <f>IF(C329&lt;2,"",IFERROR(IF(OR(LEFT(INDEX(D329:K329,MIN(8,MAX(1,C329))),2)="令和",LEFT(INDEX(D329:K329,MIN(8,MAX(1,C329))),2)="平成",LEFT(INDEX(D329:K329,MIN(8,MAX(1,C329))),2)="昭和"),DATE(VALUE(MID(INDEX(D329:K329,MIN(8,MAX(1,C329))),3,FIND("年",INDEX(D329:K329,MIN(8,MAX(1,C329))))-3))+IF(LEFT(INDEX(D329:K329,MIN(8,MAX(1,C329))),2)="令和",2018,IF(LEFT(INDEX(D329:K329,MIN(8,MAX(1,C329))),2)="平成",1988,1925)),VALUE(MID(INDEX(D329:K329,MIN(8,MAX(1,C329))),FIND("年",INDEX(D329:K329,MIN(8,MAX(1,C329))))+1,FIND("月",INDEX(D329:K329,MIN(8,MAX(1,C329))))-FIND("年",INDEX(D329:K329,MIN(8,MAX(1,C329))))-1)),IFERROR(VALUE(SUBSTITUTE(MID(INDEX(D329:K329,MIN(8,MAX(1,C329))),FIND("月",INDEX(D329:K329,MIN(8,MAX(1,C329))))+1,10),"日","")),1)),DATE(VALUE(TRIM(MID(SUBSTITUTE(AA329,"/",REPT(" ",50)),1,50))),VALUE(TRIM(MID(SUBSTITUTE(AA329,"/",REPT(" ",50)),51,50))),IFERROR(VALUE(TRIM(MID(SUBSTITUTE(AA329,"/",REPT(" ",50)),101,50))),1))),IFERROR(DATEVALUE(INDEX(D329:K329,MIN(8,MAX(1,C329)))),"")))</f>
        <v/>
      </c>
      <c r="T329">
        <f>IF(B329="","",IF(AB329&lt;&gt;"",AB329,IFERROR(MATCH(SUBSTITUTE(SUBSTITUTE(P329," ",""),"　",""),入力!$AH$5:$AH$44,0),"")))</f>
        <v/>
      </c>
      <c r="U329">
        <f>IF(T329="","",INDEX(入力!$D$5:$D$44,T329))</f>
        <v/>
      </c>
      <c r="V329">
        <f>IF(B329="","",IF(T329="","要確認（名簿と照合できません）",IF(R329="","要確認（資格名がありません）",IF(S329="","要確認（取得日が読めません）",IF((IF(INDEX(入力!$N$5:$N$44,T329)=R329,1,0)+IF(INDEX(入力!$P$5:$P$44,T329)=R329,1,0)+IF(INDEX(入力!$R$5:$R$44,T329)=R329,1,0)+IF(INDEX(入力!$T$5:$T$44,T329)=R329,1,0)+IF(INDEX(入力!$V$5:$V$44,T329)=R329,1,0)+IF(INDEX(入力!$X$5:$X$44,T329)=R329,1,0))+(COUNTIFS($T$6:$T$405,T329,$R$6:$R$405,R329,$X$6:$X$405,"&lt;"&amp;X329))&gt;0,"重複","反映")))))</f>
        <v/>
      </c>
      <c r="W329">
        <f>IF(V329="反映",1,0)</f>
        <v/>
      </c>
      <c r="X329" t="n">
        <v>329</v>
      </c>
      <c r="Y329">
        <f>IF(W329=0,"",COUNTIFS($T$6:$T$405,T329,$W$6:$W$405,1,$S$6:$S$405,"&lt;"&amp;S329)+COUNTIFS($T$6:$T$405,T329,$W$6:$W$405,1,$S$6:$S$405,S329,$X$6:$X$405,"&lt;"&amp;X329)+1)</f>
        <v/>
      </c>
      <c r="Z329">
        <f>IF(Y329="","",T329&amp;"_"&amp;Y329)</f>
        <v/>
      </c>
      <c r="AA329">
        <f>SUBSTITUTE(SUBSTITUTE(SUBSTITUTE(SUBSTITUTE(SUBSTITUTE(INDEX(D329:K329,MIN(8,MAX(1,C329))),"年","/"),"月","/"),"日",""),"-","/"),".","/")</f>
        <v/>
      </c>
      <c r="AB329">
        <f>IFERROR(MATCH(O329,入力!$C$5:$C$44,0),"")</f>
        <v/>
      </c>
      <c r="AC329">
        <f>IF(AB329="","",INDEX(入力!$AH$5:$AH$44,AB329))</f>
        <v/>
      </c>
      <c r="AD329">
        <f>IF(INDEX($D329:$K329,IF(M329=1,2,1))=AC329,1,IF(INDEX($D329:$K329,IF(M329=1,2,1))&amp;INDEX($D329:$K329,IF(M329=1,2,1)+1)=AC329,2,IF(INDEX($D329:$K329,IF(M329=1,2,1))&amp;INDEX($D329:$K329,IF(M329=1,2,1)+1)&amp;INDEX($D329:$K329,IF(M329=1,2,1)+2)=AC329,3,IF(AB329&lt;&gt;"",2,IF(ISNUMBER(MATCH(INDEX($D329:$K329,IF(M329=1,2,1)),入力!$AH$5:$AH$44,0)),1,IF(ISNUMBER(MATCH(INDEX($D329:$K329,IF(M329=1,2,1))&amp;INDEX($D329:$K329,IF(M329=1,2,1)+1),入力!$AH$5:$AH$44,0)),2,IF(ISNUMBER(MATCH(INDEX($D329:$K329,IF(M329=1,2,1))&amp;INDEX($D329:$K329,IF(M329=1,2,1)+1)&amp;INDEX($D329:$K329,IF(M329=1,2,1)+2),入力!$AH$5:$AH$44,0)),3,2)))))))</f>
        <v/>
      </c>
      <c r="AE329">
        <f>IF(V329="","",IF(AND(V329="反映",N(Y329)&gt;20),"要確認（この生徒の取込が20件を超えました）",V329))</f>
        <v/>
      </c>
    </row>
    <row r="330">
      <c r="A330" s="138" t="n"/>
      <c r="B330">
        <f>TRIM(SUBSTITUTE(SUBSTITUTE(SUBSTITUTE(A330,CHAR(9)," "),"　"," "),CHAR(160)," "))</f>
        <v/>
      </c>
      <c r="C330">
        <f>IF(B330="",0,LEN(B330)-LEN(SUBSTITUTE(B330," ",""))+1)</f>
        <v/>
      </c>
      <c r="D330">
        <f>IF(C330&gt;=1,TRIM(MID(SUBSTITUTE(B330," ",REPT(" ",200)),1,200)),"")</f>
        <v/>
      </c>
      <c r="E330">
        <f>IF(C330&gt;=2,TRIM(MID(SUBSTITUTE(B330," ",REPT(" ",200)),201,200)),"")</f>
        <v/>
      </c>
      <c r="F330">
        <f>IF(C330&gt;=3,TRIM(MID(SUBSTITUTE(B330," ",REPT(" ",200)),401,200)),"")</f>
        <v/>
      </c>
      <c r="G330">
        <f>IF(C330&gt;=4,TRIM(MID(SUBSTITUTE(B330," ",REPT(" ",200)),601,200)),"")</f>
        <v/>
      </c>
      <c r="H330">
        <f>IF(C330&gt;=5,TRIM(MID(SUBSTITUTE(B330," ",REPT(" ",200)),801,200)),"")</f>
        <v/>
      </c>
      <c r="I330">
        <f>IF(C330&gt;=6,TRIM(MID(SUBSTITUTE(B330," ",REPT(" ",200)),1001,200)),"")</f>
        <v/>
      </c>
      <c r="J330">
        <f>IF(C330&gt;=7,TRIM(MID(SUBSTITUTE(B330," ",REPT(" ",200)),1201,200)),"")</f>
        <v/>
      </c>
      <c r="K330">
        <f>IF(C330&gt;=8,TRIM(MID(SUBSTITUTE(B330," ",REPT(" ",200)),1401,200)),"")</f>
        <v/>
      </c>
      <c r="L330">
        <f>SUBSTITUTE(SUBSTITUTE(SUBSTITUTE(D330,"年","-"),"組","-"),"番","")</f>
        <v/>
      </c>
      <c r="M330">
        <f>IF(D330="",0,IF(ISNUMBER(VALUE(SUBSTITUTE(L330,"-",""))),1,0))</f>
        <v/>
      </c>
      <c r="N330">
        <f>IF(M330=0,"",IFERROR(VALUE(TRIM(MID(SUBSTITUTE(L330,"-",REPT(" ",100)),101,100))),""))</f>
        <v/>
      </c>
      <c r="O330">
        <f>IF(M330=0,"",IFERROR(VALUE(TRIM(RIGHT(SUBSTITUTE(L330,"-",REPT(" ",100)),100))),""))</f>
        <v/>
      </c>
      <c r="P330">
        <f>IF(B330="","",TRIM(INDEX($D330:$K330,IF(M330=1,2,1))&amp;IF(AD330&gt;=2," "&amp;INDEX($D330:$K330,IF(M330=1,2,1)+1),"")&amp;IF(AD330&gt;=3," "&amp;INDEX($D330:$K330,IF(M330=1,2,1)+2),"")))</f>
        <v/>
      </c>
      <c r="Q330">
        <f>IF(C330&lt;2,"",TRIM(IF(AND(2&gt;=(IF(M330=1,2,1)+AD330),2&lt;=C330-IF(S330="",0,1)),E330&amp;" ","")&amp;IF(AND(3&gt;=(IF(M330=1,2,1)+AD330),3&lt;=C330-IF(S330="",0,1)),F330&amp;" ","")&amp;IF(AND(4&gt;=(IF(M330=1,2,1)+AD330),4&lt;=C330-IF(S330="",0,1)),G330&amp;" ","")&amp;IF(AND(5&gt;=(IF(M330=1,2,1)+AD330),5&lt;=C330-IF(S330="",0,1)),H330&amp;" ","")&amp;IF(AND(6&gt;=(IF(M330=1,2,1)+AD330),6&lt;=C330-IF(S330="",0,1)),I330&amp;" ","")&amp;IF(AND(7&gt;=(IF(M330=1,2,1)+AD330),7&lt;=C330-IF(S330="",0,1)),J330&amp;" ","")&amp;IF(AND(8&gt;=(IF(M330=1,2,1)+AD330),8&lt;=C330-IF(S330="",0,1)),K330&amp;" ","")))</f>
        <v/>
      </c>
      <c r="R330">
        <f>IF(Q330="","",IFERROR(INDEX(資格マスタ!$B:$B,MATCH(ASC(SUBSTITUTE(SUBSTITUTE(Q330," ",""),"　","")),資格マスタ!$D:$D,0)),Q330))</f>
        <v/>
      </c>
      <c r="S330" s="139">
        <f>IF(C330&lt;2,"",IFERROR(IF(OR(LEFT(INDEX(D330:K330,MIN(8,MAX(1,C330))),2)="令和",LEFT(INDEX(D330:K330,MIN(8,MAX(1,C330))),2)="平成",LEFT(INDEX(D330:K330,MIN(8,MAX(1,C330))),2)="昭和"),DATE(VALUE(MID(INDEX(D330:K330,MIN(8,MAX(1,C330))),3,FIND("年",INDEX(D330:K330,MIN(8,MAX(1,C330))))-3))+IF(LEFT(INDEX(D330:K330,MIN(8,MAX(1,C330))),2)="令和",2018,IF(LEFT(INDEX(D330:K330,MIN(8,MAX(1,C330))),2)="平成",1988,1925)),VALUE(MID(INDEX(D330:K330,MIN(8,MAX(1,C330))),FIND("年",INDEX(D330:K330,MIN(8,MAX(1,C330))))+1,FIND("月",INDEX(D330:K330,MIN(8,MAX(1,C330))))-FIND("年",INDEX(D330:K330,MIN(8,MAX(1,C330))))-1)),IFERROR(VALUE(SUBSTITUTE(MID(INDEX(D330:K330,MIN(8,MAX(1,C330))),FIND("月",INDEX(D330:K330,MIN(8,MAX(1,C330))))+1,10),"日","")),1)),DATE(VALUE(TRIM(MID(SUBSTITUTE(AA330,"/",REPT(" ",50)),1,50))),VALUE(TRIM(MID(SUBSTITUTE(AA330,"/",REPT(" ",50)),51,50))),IFERROR(VALUE(TRIM(MID(SUBSTITUTE(AA330,"/",REPT(" ",50)),101,50))),1))),IFERROR(DATEVALUE(INDEX(D330:K330,MIN(8,MAX(1,C330)))),"")))</f>
        <v/>
      </c>
      <c r="T330">
        <f>IF(B330="","",IF(AB330&lt;&gt;"",AB330,IFERROR(MATCH(SUBSTITUTE(SUBSTITUTE(P330," ",""),"　",""),入力!$AH$5:$AH$44,0),"")))</f>
        <v/>
      </c>
      <c r="U330">
        <f>IF(T330="","",INDEX(入力!$D$5:$D$44,T330))</f>
        <v/>
      </c>
      <c r="V330">
        <f>IF(B330="","",IF(T330="","要確認（名簿と照合できません）",IF(R330="","要確認（資格名がありません）",IF(S330="","要確認（取得日が読めません）",IF((IF(INDEX(入力!$N$5:$N$44,T330)=R330,1,0)+IF(INDEX(入力!$P$5:$P$44,T330)=R330,1,0)+IF(INDEX(入力!$R$5:$R$44,T330)=R330,1,0)+IF(INDEX(入力!$T$5:$T$44,T330)=R330,1,0)+IF(INDEX(入力!$V$5:$V$44,T330)=R330,1,0)+IF(INDEX(入力!$X$5:$X$44,T330)=R330,1,0))+(COUNTIFS($T$6:$T$405,T330,$R$6:$R$405,R330,$X$6:$X$405,"&lt;"&amp;X330))&gt;0,"重複","反映")))))</f>
        <v/>
      </c>
      <c r="W330">
        <f>IF(V330="反映",1,0)</f>
        <v/>
      </c>
      <c r="X330" t="n">
        <v>330</v>
      </c>
      <c r="Y330">
        <f>IF(W330=0,"",COUNTIFS($T$6:$T$405,T330,$W$6:$W$405,1,$S$6:$S$405,"&lt;"&amp;S330)+COUNTIFS($T$6:$T$405,T330,$W$6:$W$405,1,$S$6:$S$405,S330,$X$6:$X$405,"&lt;"&amp;X330)+1)</f>
        <v/>
      </c>
      <c r="Z330">
        <f>IF(Y330="","",T330&amp;"_"&amp;Y330)</f>
        <v/>
      </c>
      <c r="AA330">
        <f>SUBSTITUTE(SUBSTITUTE(SUBSTITUTE(SUBSTITUTE(SUBSTITUTE(INDEX(D330:K330,MIN(8,MAX(1,C330))),"年","/"),"月","/"),"日",""),"-","/"),".","/")</f>
        <v/>
      </c>
      <c r="AB330">
        <f>IFERROR(MATCH(O330,入力!$C$5:$C$44,0),"")</f>
        <v/>
      </c>
      <c r="AC330">
        <f>IF(AB330="","",INDEX(入力!$AH$5:$AH$44,AB330))</f>
        <v/>
      </c>
      <c r="AD330">
        <f>IF(INDEX($D330:$K330,IF(M330=1,2,1))=AC330,1,IF(INDEX($D330:$K330,IF(M330=1,2,1))&amp;INDEX($D330:$K330,IF(M330=1,2,1)+1)=AC330,2,IF(INDEX($D330:$K330,IF(M330=1,2,1))&amp;INDEX($D330:$K330,IF(M330=1,2,1)+1)&amp;INDEX($D330:$K330,IF(M330=1,2,1)+2)=AC330,3,IF(AB330&lt;&gt;"",2,IF(ISNUMBER(MATCH(INDEX($D330:$K330,IF(M330=1,2,1)),入力!$AH$5:$AH$44,0)),1,IF(ISNUMBER(MATCH(INDEX($D330:$K330,IF(M330=1,2,1))&amp;INDEX($D330:$K330,IF(M330=1,2,1)+1),入力!$AH$5:$AH$44,0)),2,IF(ISNUMBER(MATCH(INDEX($D330:$K330,IF(M330=1,2,1))&amp;INDEX($D330:$K330,IF(M330=1,2,1)+1)&amp;INDEX($D330:$K330,IF(M330=1,2,1)+2),入力!$AH$5:$AH$44,0)),3,2)))))))</f>
        <v/>
      </c>
      <c r="AE330">
        <f>IF(V330="","",IF(AND(V330="反映",N(Y330)&gt;20),"要確認（この生徒の取込が20件を超えました）",V330))</f>
        <v/>
      </c>
    </row>
    <row r="331">
      <c r="A331" s="138" t="n"/>
      <c r="B331">
        <f>TRIM(SUBSTITUTE(SUBSTITUTE(SUBSTITUTE(A331,CHAR(9)," "),"　"," "),CHAR(160)," "))</f>
        <v/>
      </c>
      <c r="C331">
        <f>IF(B331="",0,LEN(B331)-LEN(SUBSTITUTE(B331," ",""))+1)</f>
        <v/>
      </c>
      <c r="D331">
        <f>IF(C331&gt;=1,TRIM(MID(SUBSTITUTE(B331," ",REPT(" ",200)),1,200)),"")</f>
        <v/>
      </c>
      <c r="E331">
        <f>IF(C331&gt;=2,TRIM(MID(SUBSTITUTE(B331," ",REPT(" ",200)),201,200)),"")</f>
        <v/>
      </c>
      <c r="F331">
        <f>IF(C331&gt;=3,TRIM(MID(SUBSTITUTE(B331," ",REPT(" ",200)),401,200)),"")</f>
        <v/>
      </c>
      <c r="G331">
        <f>IF(C331&gt;=4,TRIM(MID(SUBSTITUTE(B331," ",REPT(" ",200)),601,200)),"")</f>
        <v/>
      </c>
      <c r="H331">
        <f>IF(C331&gt;=5,TRIM(MID(SUBSTITUTE(B331," ",REPT(" ",200)),801,200)),"")</f>
        <v/>
      </c>
      <c r="I331">
        <f>IF(C331&gt;=6,TRIM(MID(SUBSTITUTE(B331," ",REPT(" ",200)),1001,200)),"")</f>
        <v/>
      </c>
      <c r="J331">
        <f>IF(C331&gt;=7,TRIM(MID(SUBSTITUTE(B331," ",REPT(" ",200)),1201,200)),"")</f>
        <v/>
      </c>
      <c r="K331">
        <f>IF(C331&gt;=8,TRIM(MID(SUBSTITUTE(B331," ",REPT(" ",200)),1401,200)),"")</f>
        <v/>
      </c>
      <c r="L331">
        <f>SUBSTITUTE(SUBSTITUTE(SUBSTITUTE(D331,"年","-"),"組","-"),"番","")</f>
        <v/>
      </c>
      <c r="M331">
        <f>IF(D331="",0,IF(ISNUMBER(VALUE(SUBSTITUTE(L331,"-",""))),1,0))</f>
        <v/>
      </c>
      <c r="N331">
        <f>IF(M331=0,"",IFERROR(VALUE(TRIM(MID(SUBSTITUTE(L331,"-",REPT(" ",100)),101,100))),""))</f>
        <v/>
      </c>
      <c r="O331">
        <f>IF(M331=0,"",IFERROR(VALUE(TRIM(RIGHT(SUBSTITUTE(L331,"-",REPT(" ",100)),100))),""))</f>
        <v/>
      </c>
      <c r="P331">
        <f>IF(B331="","",TRIM(INDEX($D331:$K331,IF(M331=1,2,1))&amp;IF(AD331&gt;=2," "&amp;INDEX($D331:$K331,IF(M331=1,2,1)+1),"")&amp;IF(AD331&gt;=3," "&amp;INDEX($D331:$K331,IF(M331=1,2,1)+2),"")))</f>
        <v/>
      </c>
      <c r="Q331">
        <f>IF(C331&lt;2,"",TRIM(IF(AND(2&gt;=(IF(M331=1,2,1)+AD331),2&lt;=C331-IF(S331="",0,1)),E331&amp;" ","")&amp;IF(AND(3&gt;=(IF(M331=1,2,1)+AD331),3&lt;=C331-IF(S331="",0,1)),F331&amp;" ","")&amp;IF(AND(4&gt;=(IF(M331=1,2,1)+AD331),4&lt;=C331-IF(S331="",0,1)),G331&amp;" ","")&amp;IF(AND(5&gt;=(IF(M331=1,2,1)+AD331),5&lt;=C331-IF(S331="",0,1)),H331&amp;" ","")&amp;IF(AND(6&gt;=(IF(M331=1,2,1)+AD331),6&lt;=C331-IF(S331="",0,1)),I331&amp;" ","")&amp;IF(AND(7&gt;=(IF(M331=1,2,1)+AD331),7&lt;=C331-IF(S331="",0,1)),J331&amp;" ","")&amp;IF(AND(8&gt;=(IF(M331=1,2,1)+AD331),8&lt;=C331-IF(S331="",0,1)),K331&amp;" ","")))</f>
        <v/>
      </c>
      <c r="R331">
        <f>IF(Q331="","",IFERROR(INDEX(資格マスタ!$B:$B,MATCH(ASC(SUBSTITUTE(SUBSTITUTE(Q331," ",""),"　","")),資格マスタ!$D:$D,0)),Q331))</f>
        <v/>
      </c>
      <c r="S331" s="139">
        <f>IF(C331&lt;2,"",IFERROR(IF(OR(LEFT(INDEX(D331:K331,MIN(8,MAX(1,C331))),2)="令和",LEFT(INDEX(D331:K331,MIN(8,MAX(1,C331))),2)="平成",LEFT(INDEX(D331:K331,MIN(8,MAX(1,C331))),2)="昭和"),DATE(VALUE(MID(INDEX(D331:K331,MIN(8,MAX(1,C331))),3,FIND("年",INDEX(D331:K331,MIN(8,MAX(1,C331))))-3))+IF(LEFT(INDEX(D331:K331,MIN(8,MAX(1,C331))),2)="令和",2018,IF(LEFT(INDEX(D331:K331,MIN(8,MAX(1,C331))),2)="平成",1988,1925)),VALUE(MID(INDEX(D331:K331,MIN(8,MAX(1,C331))),FIND("年",INDEX(D331:K331,MIN(8,MAX(1,C331))))+1,FIND("月",INDEX(D331:K331,MIN(8,MAX(1,C331))))-FIND("年",INDEX(D331:K331,MIN(8,MAX(1,C331))))-1)),IFERROR(VALUE(SUBSTITUTE(MID(INDEX(D331:K331,MIN(8,MAX(1,C331))),FIND("月",INDEX(D331:K331,MIN(8,MAX(1,C331))))+1,10),"日","")),1)),DATE(VALUE(TRIM(MID(SUBSTITUTE(AA331,"/",REPT(" ",50)),1,50))),VALUE(TRIM(MID(SUBSTITUTE(AA331,"/",REPT(" ",50)),51,50))),IFERROR(VALUE(TRIM(MID(SUBSTITUTE(AA331,"/",REPT(" ",50)),101,50))),1))),IFERROR(DATEVALUE(INDEX(D331:K331,MIN(8,MAX(1,C331)))),"")))</f>
        <v/>
      </c>
      <c r="T331">
        <f>IF(B331="","",IF(AB331&lt;&gt;"",AB331,IFERROR(MATCH(SUBSTITUTE(SUBSTITUTE(P331," ",""),"　",""),入力!$AH$5:$AH$44,0),"")))</f>
        <v/>
      </c>
      <c r="U331">
        <f>IF(T331="","",INDEX(入力!$D$5:$D$44,T331))</f>
        <v/>
      </c>
      <c r="V331">
        <f>IF(B331="","",IF(T331="","要確認（名簿と照合できません）",IF(R331="","要確認（資格名がありません）",IF(S331="","要確認（取得日が読めません）",IF((IF(INDEX(入力!$N$5:$N$44,T331)=R331,1,0)+IF(INDEX(入力!$P$5:$P$44,T331)=R331,1,0)+IF(INDEX(入力!$R$5:$R$44,T331)=R331,1,0)+IF(INDEX(入力!$T$5:$T$44,T331)=R331,1,0)+IF(INDEX(入力!$V$5:$V$44,T331)=R331,1,0)+IF(INDEX(入力!$X$5:$X$44,T331)=R331,1,0))+(COUNTIFS($T$6:$T$405,T331,$R$6:$R$405,R331,$X$6:$X$405,"&lt;"&amp;X331))&gt;0,"重複","反映")))))</f>
        <v/>
      </c>
      <c r="W331">
        <f>IF(V331="反映",1,0)</f>
        <v/>
      </c>
      <c r="X331" t="n">
        <v>331</v>
      </c>
      <c r="Y331">
        <f>IF(W331=0,"",COUNTIFS($T$6:$T$405,T331,$W$6:$W$405,1,$S$6:$S$405,"&lt;"&amp;S331)+COUNTIFS($T$6:$T$405,T331,$W$6:$W$405,1,$S$6:$S$405,S331,$X$6:$X$405,"&lt;"&amp;X331)+1)</f>
        <v/>
      </c>
      <c r="Z331">
        <f>IF(Y331="","",T331&amp;"_"&amp;Y331)</f>
        <v/>
      </c>
      <c r="AA331">
        <f>SUBSTITUTE(SUBSTITUTE(SUBSTITUTE(SUBSTITUTE(SUBSTITUTE(INDEX(D331:K331,MIN(8,MAX(1,C331))),"年","/"),"月","/"),"日",""),"-","/"),".","/")</f>
        <v/>
      </c>
      <c r="AB331">
        <f>IFERROR(MATCH(O331,入力!$C$5:$C$44,0),"")</f>
        <v/>
      </c>
      <c r="AC331">
        <f>IF(AB331="","",INDEX(入力!$AH$5:$AH$44,AB331))</f>
        <v/>
      </c>
      <c r="AD331">
        <f>IF(INDEX($D331:$K331,IF(M331=1,2,1))=AC331,1,IF(INDEX($D331:$K331,IF(M331=1,2,1))&amp;INDEX($D331:$K331,IF(M331=1,2,1)+1)=AC331,2,IF(INDEX($D331:$K331,IF(M331=1,2,1))&amp;INDEX($D331:$K331,IF(M331=1,2,1)+1)&amp;INDEX($D331:$K331,IF(M331=1,2,1)+2)=AC331,3,IF(AB331&lt;&gt;"",2,IF(ISNUMBER(MATCH(INDEX($D331:$K331,IF(M331=1,2,1)),入力!$AH$5:$AH$44,0)),1,IF(ISNUMBER(MATCH(INDEX($D331:$K331,IF(M331=1,2,1))&amp;INDEX($D331:$K331,IF(M331=1,2,1)+1),入力!$AH$5:$AH$44,0)),2,IF(ISNUMBER(MATCH(INDEX($D331:$K331,IF(M331=1,2,1))&amp;INDEX($D331:$K331,IF(M331=1,2,1)+1)&amp;INDEX($D331:$K331,IF(M331=1,2,1)+2),入力!$AH$5:$AH$44,0)),3,2)))))))</f>
        <v/>
      </c>
      <c r="AE331">
        <f>IF(V331="","",IF(AND(V331="反映",N(Y331)&gt;20),"要確認（この生徒の取込が20件を超えました）",V331))</f>
        <v/>
      </c>
    </row>
    <row r="332">
      <c r="A332" s="138" t="n"/>
      <c r="B332">
        <f>TRIM(SUBSTITUTE(SUBSTITUTE(SUBSTITUTE(A332,CHAR(9)," "),"　"," "),CHAR(160)," "))</f>
        <v/>
      </c>
      <c r="C332">
        <f>IF(B332="",0,LEN(B332)-LEN(SUBSTITUTE(B332," ",""))+1)</f>
        <v/>
      </c>
      <c r="D332">
        <f>IF(C332&gt;=1,TRIM(MID(SUBSTITUTE(B332," ",REPT(" ",200)),1,200)),"")</f>
        <v/>
      </c>
      <c r="E332">
        <f>IF(C332&gt;=2,TRIM(MID(SUBSTITUTE(B332," ",REPT(" ",200)),201,200)),"")</f>
        <v/>
      </c>
      <c r="F332">
        <f>IF(C332&gt;=3,TRIM(MID(SUBSTITUTE(B332," ",REPT(" ",200)),401,200)),"")</f>
        <v/>
      </c>
      <c r="G332">
        <f>IF(C332&gt;=4,TRIM(MID(SUBSTITUTE(B332," ",REPT(" ",200)),601,200)),"")</f>
        <v/>
      </c>
      <c r="H332">
        <f>IF(C332&gt;=5,TRIM(MID(SUBSTITUTE(B332," ",REPT(" ",200)),801,200)),"")</f>
        <v/>
      </c>
      <c r="I332">
        <f>IF(C332&gt;=6,TRIM(MID(SUBSTITUTE(B332," ",REPT(" ",200)),1001,200)),"")</f>
        <v/>
      </c>
      <c r="J332">
        <f>IF(C332&gt;=7,TRIM(MID(SUBSTITUTE(B332," ",REPT(" ",200)),1201,200)),"")</f>
        <v/>
      </c>
      <c r="K332">
        <f>IF(C332&gt;=8,TRIM(MID(SUBSTITUTE(B332," ",REPT(" ",200)),1401,200)),"")</f>
        <v/>
      </c>
      <c r="L332">
        <f>SUBSTITUTE(SUBSTITUTE(SUBSTITUTE(D332,"年","-"),"組","-"),"番","")</f>
        <v/>
      </c>
      <c r="M332">
        <f>IF(D332="",0,IF(ISNUMBER(VALUE(SUBSTITUTE(L332,"-",""))),1,0))</f>
        <v/>
      </c>
      <c r="N332">
        <f>IF(M332=0,"",IFERROR(VALUE(TRIM(MID(SUBSTITUTE(L332,"-",REPT(" ",100)),101,100))),""))</f>
        <v/>
      </c>
      <c r="O332">
        <f>IF(M332=0,"",IFERROR(VALUE(TRIM(RIGHT(SUBSTITUTE(L332,"-",REPT(" ",100)),100))),""))</f>
        <v/>
      </c>
      <c r="P332">
        <f>IF(B332="","",TRIM(INDEX($D332:$K332,IF(M332=1,2,1))&amp;IF(AD332&gt;=2," "&amp;INDEX($D332:$K332,IF(M332=1,2,1)+1),"")&amp;IF(AD332&gt;=3," "&amp;INDEX($D332:$K332,IF(M332=1,2,1)+2),"")))</f>
        <v/>
      </c>
      <c r="Q332">
        <f>IF(C332&lt;2,"",TRIM(IF(AND(2&gt;=(IF(M332=1,2,1)+AD332),2&lt;=C332-IF(S332="",0,1)),E332&amp;" ","")&amp;IF(AND(3&gt;=(IF(M332=1,2,1)+AD332),3&lt;=C332-IF(S332="",0,1)),F332&amp;" ","")&amp;IF(AND(4&gt;=(IF(M332=1,2,1)+AD332),4&lt;=C332-IF(S332="",0,1)),G332&amp;" ","")&amp;IF(AND(5&gt;=(IF(M332=1,2,1)+AD332),5&lt;=C332-IF(S332="",0,1)),H332&amp;" ","")&amp;IF(AND(6&gt;=(IF(M332=1,2,1)+AD332),6&lt;=C332-IF(S332="",0,1)),I332&amp;" ","")&amp;IF(AND(7&gt;=(IF(M332=1,2,1)+AD332),7&lt;=C332-IF(S332="",0,1)),J332&amp;" ","")&amp;IF(AND(8&gt;=(IF(M332=1,2,1)+AD332),8&lt;=C332-IF(S332="",0,1)),K332&amp;" ","")))</f>
        <v/>
      </c>
      <c r="R332">
        <f>IF(Q332="","",IFERROR(INDEX(資格マスタ!$B:$B,MATCH(ASC(SUBSTITUTE(SUBSTITUTE(Q332," ",""),"　","")),資格マスタ!$D:$D,0)),Q332))</f>
        <v/>
      </c>
      <c r="S332" s="139">
        <f>IF(C332&lt;2,"",IFERROR(IF(OR(LEFT(INDEX(D332:K332,MIN(8,MAX(1,C332))),2)="令和",LEFT(INDEX(D332:K332,MIN(8,MAX(1,C332))),2)="平成",LEFT(INDEX(D332:K332,MIN(8,MAX(1,C332))),2)="昭和"),DATE(VALUE(MID(INDEX(D332:K332,MIN(8,MAX(1,C332))),3,FIND("年",INDEX(D332:K332,MIN(8,MAX(1,C332))))-3))+IF(LEFT(INDEX(D332:K332,MIN(8,MAX(1,C332))),2)="令和",2018,IF(LEFT(INDEX(D332:K332,MIN(8,MAX(1,C332))),2)="平成",1988,1925)),VALUE(MID(INDEX(D332:K332,MIN(8,MAX(1,C332))),FIND("年",INDEX(D332:K332,MIN(8,MAX(1,C332))))+1,FIND("月",INDEX(D332:K332,MIN(8,MAX(1,C332))))-FIND("年",INDEX(D332:K332,MIN(8,MAX(1,C332))))-1)),IFERROR(VALUE(SUBSTITUTE(MID(INDEX(D332:K332,MIN(8,MAX(1,C332))),FIND("月",INDEX(D332:K332,MIN(8,MAX(1,C332))))+1,10),"日","")),1)),DATE(VALUE(TRIM(MID(SUBSTITUTE(AA332,"/",REPT(" ",50)),1,50))),VALUE(TRIM(MID(SUBSTITUTE(AA332,"/",REPT(" ",50)),51,50))),IFERROR(VALUE(TRIM(MID(SUBSTITUTE(AA332,"/",REPT(" ",50)),101,50))),1))),IFERROR(DATEVALUE(INDEX(D332:K332,MIN(8,MAX(1,C332)))),"")))</f>
        <v/>
      </c>
      <c r="T332">
        <f>IF(B332="","",IF(AB332&lt;&gt;"",AB332,IFERROR(MATCH(SUBSTITUTE(SUBSTITUTE(P332," ",""),"　",""),入力!$AH$5:$AH$44,0),"")))</f>
        <v/>
      </c>
      <c r="U332">
        <f>IF(T332="","",INDEX(入力!$D$5:$D$44,T332))</f>
        <v/>
      </c>
      <c r="V332">
        <f>IF(B332="","",IF(T332="","要確認（名簿と照合できません）",IF(R332="","要確認（資格名がありません）",IF(S332="","要確認（取得日が読めません）",IF((IF(INDEX(入力!$N$5:$N$44,T332)=R332,1,0)+IF(INDEX(入力!$P$5:$P$44,T332)=R332,1,0)+IF(INDEX(入力!$R$5:$R$44,T332)=R332,1,0)+IF(INDEX(入力!$T$5:$T$44,T332)=R332,1,0)+IF(INDEX(入力!$V$5:$V$44,T332)=R332,1,0)+IF(INDEX(入力!$X$5:$X$44,T332)=R332,1,0))+(COUNTIFS($T$6:$T$405,T332,$R$6:$R$405,R332,$X$6:$X$405,"&lt;"&amp;X332))&gt;0,"重複","反映")))))</f>
        <v/>
      </c>
      <c r="W332">
        <f>IF(V332="反映",1,0)</f>
        <v/>
      </c>
      <c r="X332" t="n">
        <v>332</v>
      </c>
      <c r="Y332">
        <f>IF(W332=0,"",COUNTIFS($T$6:$T$405,T332,$W$6:$W$405,1,$S$6:$S$405,"&lt;"&amp;S332)+COUNTIFS($T$6:$T$405,T332,$W$6:$W$405,1,$S$6:$S$405,S332,$X$6:$X$405,"&lt;"&amp;X332)+1)</f>
        <v/>
      </c>
      <c r="Z332">
        <f>IF(Y332="","",T332&amp;"_"&amp;Y332)</f>
        <v/>
      </c>
      <c r="AA332">
        <f>SUBSTITUTE(SUBSTITUTE(SUBSTITUTE(SUBSTITUTE(SUBSTITUTE(INDEX(D332:K332,MIN(8,MAX(1,C332))),"年","/"),"月","/"),"日",""),"-","/"),".","/")</f>
        <v/>
      </c>
      <c r="AB332">
        <f>IFERROR(MATCH(O332,入力!$C$5:$C$44,0),"")</f>
        <v/>
      </c>
      <c r="AC332">
        <f>IF(AB332="","",INDEX(入力!$AH$5:$AH$44,AB332))</f>
        <v/>
      </c>
      <c r="AD332">
        <f>IF(INDEX($D332:$K332,IF(M332=1,2,1))=AC332,1,IF(INDEX($D332:$K332,IF(M332=1,2,1))&amp;INDEX($D332:$K332,IF(M332=1,2,1)+1)=AC332,2,IF(INDEX($D332:$K332,IF(M332=1,2,1))&amp;INDEX($D332:$K332,IF(M332=1,2,1)+1)&amp;INDEX($D332:$K332,IF(M332=1,2,1)+2)=AC332,3,IF(AB332&lt;&gt;"",2,IF(ISNUMBER(MATCH(INDEX($D332:$K332,IF(M332=1,2,1)),入力!$AH$5:$AH$44,0)),1,IF(ISNUMBER(MATCH(INDEX($D332:$K332,IF(M332=1,2,1))&amp;INDEX($D332:$K332,IF(M332=1,2,1)+1),入力!$AH$5:$AH$44,0)),2,IF(ISNUMBER(MATCH(INDEX($D332:$K332,IF(M332=1,2,1))&amp;INDEX($D332:$K332,IF(M332=1,2,1)+1)&amp;INDEX($D332:$K332,IF(M332=1,2,1)+2),入力!$AH$5:$AH$44,0)),3,2)))))))</f>
        <v/>
      </c>
      <c r="AE332">
        <f>IF(V332="","",IF(AND(V332="反映",N(Y332)&gt;20),"要確認（この生徒の取込が20件を超えました）",V332))</f>
        <v/>
      </c>
    </row>
    <row r="333">
      <c r="A333" s="138" t="n"/>
      <c r="B333">
        <f>TRIM(SUBSTITUTE(SUBSTITUTE(SUBSTITUTE(A333,CHAR(9)," "),"　"," "),CHAR(160)," "))</f>
        <v/>
      </c>
      <c r="C333">
        <f>IF(B333="",0,LEN(B333)-LEN(SUBSTITUTE(B333," ",""))+1)</f>
        <v/>
      </c>
      <c r="D333">
        <f>IF(C333&gt;=1,TRIM(MID(SUBSTITUTE(B333," ",REPT(" ",200)),1,200)),"")</f>
        <v/>
      </c>
      <c r="E333">
        <f>IF(C333&gt;=2,TRIM(MID(SUBSTITUTE(B333," ",REPT(" ",200)),201,200)),"")</f>
        <v/>
      </c>
      <c r="F333">
        <f>IF(C333&gt;=3,TRIM(MID(SUBSTITUTE(B333," ",REPT(" ",200)),401,200)),"")</f>
        <v/>
      </c>
      <c r="G333">
        <f>IF(C333&gt;=4,TRIM(MID(SUBSTITUTE(B333," ",REPT(" ",200)),601,200)),"")</f>
        <v/>
      </c>
      <c r="H333">
        <f>IF(C333&gt;=5,TRIM(MID(SUBSTITUTE(B333," ",REPT(" ",200)),801,200)),"")</f>
        <v/>
      </c>
      <c r="I333">
        <f>IF(C333&gt;=6,TRIM(MID(SUBSTITUTE(B333," ",REPT(" ",200)),1001,200)),"")</f>
        <v/>
      </c>
      <c r="J333">
        <f>IF(C333&gt;=7,TRIM(MID(SUBSTITUTE(B333," ",REPT(" ",200)),1201,200)),"")</f>
        <v/>
      </c>
      <c r="K333">
        <f>IF(C333&gt;=8,TRIM(MID(SUBSTITUTE(B333," ",REPT(" ",200)),1401,200)),"")</f>
        <v/>
      </c>
      <c r="L333">
        <f>SUBSTITUTE(SUBSTITUTE(SUBSTITUTE(D333,"年","-"),"組","-"),"番","")</f>
        <v/>
      </c>
      <c r="M333">
        <f>IF(D333="",0,IF(ISNUMBER(VALUE(SUBSTITUTE(L333,"-",""))),1,0))</f>
        <v/>
      </c>
      <c r="N333">
        <f>IF(M333=0,"",IFERROR(VALUE(TRIM(MID(SUBSTITUTE(L333,"-",REPT(" ",100)),101,100))),""))</f>
        <v/>
      </c>
      <c r="O333">
        <f>IF(M333=0,"",IFERROR(VALUE(TRIM(RIGHT(SUBSTITUTE(L333,"-",REPT(" ",100)),100))),""))</f>
        <v/>
      </c>
      <c r="P333">
        <f>IF(B333="","",TRIM(INDEX($D333:$K333,IF(M333=1,2,1))&amp;IF(AD333&gt;=2," "&amp;INDEX($D333:$K333,IF(M333=1,2,1)+1),"")&amp;IF(AD333&gt;=3," "&amp;INDEX($D333:$K333,IF(M333=1,2,1)+2),"")))</f>
        <v/>
      </c>
      <c r="Q333">
        <f>IF(C333&lt;2,"",TRIM(IF(AND(2&gt;=(IF(M333=1,2,1)+AD333),2&lt;=C333-IF(S333="",0,1)),E333&amp;" ","")&amp;IF(AND(3&gt;=(IF(M333=1,2,1)+AD333),3&lt;=C333-IF(S333="",0,1)),F333&amp;" ","")&amp;IF(AND(4&gt;=(IF(M333=1,2,1)+AD333),4&lt;=C333-IF(S333="",0,1)),G333&amp;" ","")&amp;IF(AND(5&gt;=(IF(M333=1,2,1)+AD333),5&lt;=C333-IF(S333="",0,1)),H333&amp;" ","")&amp;IF(AND(6&gt;=(IF(M333=1,2,1)+AD333),6&lt;=C333-IF(S333="",0,1)),I333&amp;" ","")&amp;IF(AND(7&gt;=(IF(M333=1,2,1)+AD333),7&lt;=C333-IF(S333="",0,1)),J333&amp;" ","")&amp;IF(AND(8&gt;=(IF(M333=1,2,1)+AD333),8&lt;=C333-IF(S333="",0,1)),K333&amp;" ","")))</f>
        <v/>
      </c>
      <c r="R333">
        <f>IF(Q333="","",IFERROR(INDEX(資格マスタ!$B:$B,MATCH(ASC(SUBSTITUTE(SUBSTITUTE(Q333," ",""),"　","")),資格マスタ!$D:$D,0)),Q333))</f>
        <v/>
      </c>
      <c r="S333" s="139">
        <f>IF(C333&lt;2,"",IFERROR(IF(OR(LEFT(INDEX(D333:K333,MIN(8,MAX(1,C333))),2)="令和",LEFT(INDEX(D333:K333,MIN(8,MAX(1,C333))),2)="平成",LEFT(INDEX(D333:K333,MIN(8,MAX(1,C333))),2)="昭和"),DATE(VALUE(MID(INDEX(D333:K333,MIN(8,MAX(1,C333))),3,FIND("年",INDEX(D333:K333,MIN(8,MAX(1,C333))))-3))+IF(LEFT(INDEX(D333:K333,MIN(8,MAX(1,C333))),2)="令和",2018,IF(LEFT(INDEX(D333:K333,MIN(8,MAX(1,C333))),2)="平成",1988,1925)),VALUE(MID(INDEX(D333:K333,MIN(8,MAX(1,C333))),FIND("年",INDEX(D333:K333,MIN(8,MAX(1,C333))))+1,FIND("月",INDEX(D333:K333,MIN(8,MAX(1,C333))))-FIND("年",INDEX(D333:K333,MIN(8,MAX(1,C333))))-1)),IFERROR(VALUE(SUBSTITUTE(MID(INDEX(D333:K333,MIN(8,MAX(1,C333))),FIND("月",INDEX(D333:K333,MIN(8,MAX(1,C333))))+1,10),"日","")),1)),DATE(VALUE(TRIM(MID(SUBSTITUTE(AA333,"/",REPT(" ",50)),1,50))),VALUE(TRIM(MID(SUBSTITUTE(AA333,"/",REPT(" ",50)),51,50))),IFERROR(VALUE(TRIM(MID(SUBSTITUTE(AA333,"/",REPT(" ",50)),101,50))),1))),IFERROR(DATEVALUE(INDEX(D333:K333,MIN(8,MAX(1,C333)))),"")))</f>
        <v/>
      </c>
      <c r="T333">
        <f>IF(B333="","",IF(AB333&lt;&gt;"",AB333,IFERROR(MATCH(SUBSTITUTE(SUBSTITUTE(P333," ",""),"　",""),入力!$AH$5:$AH$44,0),"")))</f>
        <v/>
      </c>
      <c r="U333">
        <f>IF(T333="","",INDEX(入力!$D$5:$D$44,T333))</f>
        <v/>
      </c>
      <c r="V333">
        <f>IF(B333="","",IF(T333="","要確認（名簿と照合できません）",IF(R333="","要確認（資格名がありません）",IF(S333="","要確認（取得日が読めません）",IF((IF(INDEX(入力!$N$5:$N$44,T333)=R333,1,0)+IF(INDEX(入力!$P$5:$P$44,T333)=R333,1,0)+IF(INDEX(入力!$R$5:$R$44,T333)=R333,1,0)+IF(INDEX(入力!$T$5:$T$44,T333)=R333,1,0)+IF(INDEX(入力!$V$5:$V$44,T333)=R333,1,0)+IF(INDEX(入力!$X$5:$X$44,T333)=R333,1,0))+(COUNTIFS($T$6:$T$405,T333,$R$6:$R$405,R333,$X$6:$X$405,"&lt;"&amp;X333))&gt;0,"重複","反映")))))</f>
        <v/>
      </c>
      <c r="W333">
        <f>IF(V333="反映",1,0)</f>
        <v/>
      </c>
      <c r="X333" t="n">
        <v>333</v>
      </c>
      <c r="Y333">
        <f>IF(W333=0,"",COUNTIFS($T$6:$T$405,T333,$W$6:$W$405,1,$S$6:$S$405,"&lt;"&amp;S333)+COUNTIFS($T$6:$T$405,T333,$W$6:$W$405,1,$S$6:$S$405,S333,$X$6:$X$405,"&lt;"&amp;X333)+1)</f>
        <v/>
      </c>
      <c r="Z333">
        <f>IF(Y333="","",T333&amp;"_"&amp;Y333)</f>
        <v/>
      </c>
      <c r="AA333">
        <f>SUBSTITUTE(SUBSTITUTE(SUBSTITUTE(SUBSTITUTE(SUBSTITUTE(INDEX(D333:K333,MIN(8,MAX(1,C333))),"年","/"),"月","/"),"日",""),"-","/"),".","/")</f>
        <v/>
      </c>
      <c r="AB333">
        <f>IFERROR(MATCH(O333,入力!$C$5:$C$44,0),"")</f>
        <v/>
      </c>
      <c r="AC333">
        <f>IF(AB333="","",INDEX(入力!$AH$5:$AH$44,AB333))</f>
        <v/>
      </c>
      <c r="AD333">
        <f>IF(INDEX($D333:$K333,IF(M333=1,2,1))=AC333,1,IF(INDEX($D333:$K333,IF(M333=1,2,1))&amp;INDEX($D333:$K333,IF(M333=1,2,1)+1)=AC333,2,IF(INDEX($D333:$K333,IF(M333=1,2,1))&amp;INDEX($D333:$K333,IF(M333=1,2,1)+1)&amp;INDEX($D333:$K333,IF(M333=1,2,1)+2)=AC333,3,IF(AB333&lt;&gt;"",2,IF(ISNUMBER(MATCH(INDEX($D333:$K333,IF(M333=1,2,1)),入力!$AH$5:$AH$44,0)),1,IF(ISNUMBER(MATCH(INDEX($D333:$K333,IF(M333=1,2,1))&amp;INDEX($D333:$K333,IF(M333=1,2,1)+1),入力!$AH$5:$AH$44,0)),2,IF(ISNUMBER(MATCH(INDEX($D333:$K333,IF(M333=1,2,1))&amp;INDEX($D333:$K333,IF(M333=1,2,1)+1)&amp;INDEX($D333:$K333,IF(M333=1,2,1)+2),入力!$AH$5:$AH$44,0)),3,2)))))))</f>
        <v/>
      </c>
      <c r="AE333">
        <f>IF(V333="","",IF(AND(V333="反映",N(Y333)&gt;20),"要確認（この生徒の取込が20件を超えました）",V333))</f>
        <v/>
      </c>
    </row>
    <row r="334">
      <c r="A334" s="138" t="n"/>
      <c r="B334">
        <f>TRIM(SUBSTITUTE(SUBSTITUTE(SUBSTITUTE(A334,CHAR(9)," "),"　"," "),CHAR(160)," "))</f>
        <v/>
      </c>
      <c r="C334">
        <f>IF(B334="",0,LEN(B334)-LEN(SUBSTITUTE(B334," ",""))+1)</f>
        <v/>
      </c>
      <c r="D334">
        <f>IF(C334&gt;=1,TRIM(MID(SUBSTITUTE(B334," ",REPT(" ",200)),1,200)),"")</f>
        <v/>
      </c>
      <c r="E334">
        <f>IF(C334&gt;=2,TRIM(MID(SUBSTITUTE(B334," ",REPT(" ",200)),201,200)),"")</f>
        <v/>
      </c>
      <c r="F334">
        <f>IF(C334&gt;=3,TRIM(MID(SUBSTITUTE(B334," ",REPT(" ",200)),401,200)),"")</f>
        <v/>
      </c>
      <c r="G334">
        <f>IF(C334&gt;=4,TRIM(MID(SUBSTITUTE(B334," ",REPT(" ",200)),601,200)),"")</f>
        <v/>
      </c>
      <c r="H334">
        <f>IF(C334&gt;=5,TRIM(MID(SUBSTITUTE(B334," ",REPT(" ",200)),801,200)),"")</f>
        <v/>
      </c>
      <c r="I334">
        <f>IF(C334&gt;=6,TRIM(MID(SUBSTITUTE(B334," ",REPT(" ",200)),1001,200)),"")</f>
        <v/>
      </c>
      <c r="J334">
        <f>IF(C334&gt;=7,TRIM(MID(SUBSTITUTE(B334," ",REPT(" ",200)),1201,200)),"")</f>
        <v/>
      </c>
      <c r="K334">
        <f>IF(C334&gt;=8,TRIM(MID(SUBSTITUTE(B334," ",REPT(" ",200)),1401,200)),"")</f>
        <v/>
      </c>
      <c r="L334">
        <f>SUBSTITUTE(SUBSTITUTE(SUBSTITUTE(D334,"年","-"),"組","-"),"番","")</f>
        <v/>
      </c>
      <c r="M334">
        <f>IF(D334="",0,IF(ISNUMBER(VALUE(SUBSTITUTE(L334,"-",""))),1,0))</f>
        <v/>
      </c>
      <c r="N334">
        <f>IF(M334=0,"",IFERROR(VALUE(TRIM(MID(SUBSTITUTE(L334,"-",REPT(" ",100)),101,100))),""))</f>
        <v/>
      </c>
      <c r="O334">
        <f>IF(M334=0,"",IFERROR(VALUE(TRIM(RIGHT(SUBSTITUTE(L334,"-",REPT(" ",100)),100))),""))</f>
        <v/>
      </c>
      <c r="P334">
        <f>IF(B334="","",TRIM(INDEX($D334:$K334,IF(M334=1,2,1))&amp;IF(AD334&gt;=2," "&amp;INDEX($D334:$K334,IF(M334=1,2,1)+1),"")&amp;IF(AD334&gt;=3," "&amp;INDEX($D334:$K334,IF(M334=1,2,1)+2),"")))</f>
        <v/>
      </c>
      <c r="Q334">
        <f>IF(C334&lt;2,"",TRIM(IF(AND(2&gt;=(IF(M334=1,2,1)+AD334),2&lt;=C334-IF(S334="",0,1)),E334&amp;" ","")&amp;IF(AND(3&gt;=(IF(M334=1,2,1)+AD334),3&lt;=C334-IF(S334="",0,1)),F334&amp;" ","")&amp;IF(AND(4&gt;=(IF(M334=1,2,1)+AD334),4&lt;=C334-IF(S334="",0,1)),G334&amp;" ","")&amp;IF(AND(5&gt;=(IF(M334=1,2,1)+AD334),5&lt;=C334-IF(S334="",0,1)),H334&amp;" ","")&amp;IF(AND(6&gt;=(IF(M334=1,2,1)+AD334),6&lt;=C334-IF(S334="",0,1)),I334&amp;" ","")&amp;IF(AND(7&gt;=(IF(M334=1,2,1)+AD334),7&lt;=C334-IF(S334="",0,1)),J334&amp;" ","")&amp;IF(AND(8&gt;=(IF(M334=1,2,1)+AD334),8&lt;=C334-IF(S334="",0,1)),K334&amp;" ","")))</f>
        <v/>
      </c>
      <c r="R334">
        <f>IF(Q334="","",IFERROR(INDEX(資格マスタ!$B:$B,MATCH(ASC(SUBSTITUTE(SUBSTITUTE(Q334," ",""),"　","")),資格マスタ!$D:$D,0)),Q334))</f>
        <v/>
      </c>
      <c r="S334" s="139">
        <f>IF(C334&lt;2,"",IFERROR(IF(OR(LEFT(INDEX(D334:K334,MIN(8,MAX(1,C334))),2)="令和",LEFT(INDEX(D334:K334,MIN(8,MAX(1,C334))),2)="平成",LEFT(INDEX(D334:K334,MIN(8,MAX(1,C334))),2)="昭和"),DATE(VALUE(MID(INDEX(D334:K334,MIN(8,MAX(1,C334))),3,FIND("年",INDEX(D334:K334,MIN(8,MAX(1,C334))))-3))+IF(LEFT(INDEX(D334:K334,MIN(8,MAX(1,C334))),2)="令和",2018,IF(LEFT(INDEX(D334:K334,MIN(8,MAX(1,C334))),2)="平成",1988,1925)),VALUE(MID(INDEX(D334:K334,MIN(8,MAX(1,C334))),FIND("年",INDEX(D334:K334,MIN(8,MAX(1,C334))))+1,FIND("月",INDEX(D334:K334,MIN(8,MAX(1,C334))))-FIND("年",INDEX(D334:K334,MIN(8,MAX(1,C334))))-1)),IFERROR(VALUE(SUBSTITUTE(MID(INDEX(D334:K334,MIN(8,MAX(1,C334))),FIND("月",INDEX(D334:K334,MIN(8,MAX(1,C334))))+1,10),"日","")),1)),DATE(VALUE(TRIM(MID(SUBSTITUTE(AA334,"/",REPT(" ",50)),1,50))),VALUE(TRIM(MID(SUBSTITUTE(AA334,"/",REPT(" ",50)),51,50))),IFERROR(VALUE(TRIM(MID(SUBSTITUTE(AA334,"/",REPT(" ",50)),101,50))),1))),IFERROR(DATEVALUE(INDEX(D334:K334,MIN(8,MAX(1,C334)))),"")))</f>
        <v/>
      </c>
      <c r="T334">
        <f>IF(B334="","",IF(AB334&lt;&gt;"",AB334,IFERROR(MATCH(SUBSTITUTE(SUBSTITUTE(P334," ",""),"　",""),入力!$AH$5:$AH$44,0),"")))</f>
        <v/>
      </c>
      <c r="U334">
        <f>IF(T334="","",INDEX(入力!$D$5:$D$44,T334))</f>
        <v/>
      </c>
      <c r="V334">
        <f>IF(B334="","",IF(T334="","要確認（名簿と照合できません）",IF(R334="","要確認（資格名がありません）",IF(S334="","要確認（取得日が読めません）",IF((IF(INDEX(入力!$N$5:$N$44,T334)=R334,1,0)+IF(INDEX(入力!$P$5:$P$44,T334)=R334,1,0)+IF(INDEX(入力!$R$5:$R$44,T334)=R334,1,0)+IF(INDEX(入力!$T$5:$T$44,T334)=R334,1,0)+IF(INDEX(入力!$V$5:$V$44,T334)=R334,1,0)+IF(INDEX(入力!$X$5:$X$44,T334)=R334,1,0))+(COUNTIFS($T$6:$T$405,T334,$R$6:$R$405,R334,$X$6:$X$405,"&lt;"&amp;X334))&gt;0,"重複","反映")))))</f>
        <v/>
      </c>
      <c r="W334">
        <f>IF(V334="反映",1,0)</f>
        <v/>
      </c>
      <c r="X334" t="n">
        <v>334</v>
      </c>
      <c r="Y334">
        <f>IF(W334=0,"",COUNTIFS($T$6:$T$405,T334,$W$6:$W$405,1,$S$6:$S$405,"&lt;"&amp;S334)+COUNTIFS($T$6:$T$405,T334,$W$6:$W$405,1,$S$6:$S$405,S334,$X$6:$X$405,"&lt;"&amp;X334)+1)</f>
        <v/>
      </c>
      <c r="Z334">
        <f>IF(Y334="","",T334&amp;"_"&amp;Y334)</f>
        <v/>
      </c>
      <c r="AA334">
        <f>SUBSTITUTE(SUBSTITUTE(SUBSTITUTE(SUBSTITUTE(SUBSTITUTE(INDEX(D334:K334,MIN(8,MAX(1,C334))),"年","/"),"月","/"),"日",""),"-","/"),".","/")</f>
        <v/>
      </c>
      <c r="AB334">
        <f>IFERROR(MATCH(O334,入力!$C$5:$C$44,0),"")</f>
        <v/>
      </c>
      <c r="AC334">
        <f>IF(AB334="","",INDEX(入力!$AH$5:$AH$44,AB334))</f>
        <v/>
      </c>
      <c r="AD334">
        <f>IF(INDEX($D334:$K334,IF(M334=1,2,1))=AC334,1,IF(INDEX($D334:$K334,IF(M334=1,2,1))&amp;INDEX($D334:$K334,IF(M334=1,2,1)+1)=AC334,2,IF(INDEX($D334:$K334,IF(M334=1,2,1))&amp;INDEX($D334:$K334,IF(M334=1,2,1)+1)&amp;INDEX($D334:$K334,IF(M334=1,2,1)+2)=AC334,3,IF(AB334&lt;&gt;"",2,IF(ISNUMBER(MATCH(INDEX($D334:$K334,IF(M334=1,2,1)),入力!$AH$5:$AH$44,0)),1,IF(ISNUMBER(MATCH(INDEX($D334:$K334,IF(M334=1,2,1))&amp;INDEX($D334:$K334,IF(M334=1,2,1)+1),入力!$AH$5:$AH$44,0)),2,IF(ISNUMBER(MATCH(INDEX($D334:$K334,IF(M334=1,2,1))&amp;INDEX($D334:$K334,IF(M334=1,2,1)+1)&amp;INDEX($D334:$K334,IF(M334=1,2,1)+2),入力!$AH$5:$AH$44,0)),3,2)))))))</f>
        <v/>
      </c>
      <c r="AE334">
        <f>IF(V334="","",IF(AND(V334="反映",N(Y334)&gt;20),"要確認（この生徒の取込が20件を超えました）",V334))</f>
        <v/>
      </c>
    </row>
    <row r="335">
      <c r="A335" s="138" t="n"/>
      <c r="B335">
        <f>TRIM(SUBSTITUTE(SUBSTITUTE(SUBSTITUTE(A335,CHAR(9)," "),"　"," "),CHAR(160)," "))</f>
        <v/>
      </c>
      <c r="C335">
        <f>IF(B335="",0,LEN(B335)-LEN(SUBSTITUTE(B335," ",""))+1)</f>
        <v/>
      </c>
      <c r="D335">
        <f>IF(C335&gt;=1,TRIM(MID(SUBSTITUTE(B335," ",REPT(" ",200)),1,200)),"")</f>
        <v/>
      </c>
      <c r="E335">
        <f>IF(C335&gt;=2,TRIM(MID(SUBSTITUTE(B335," ",REPT(" ",200)),201,200)),"")</f>
        <v/>
      </c>
      <c r="F335">
        <f>IF(C335&gt;=3,TRIM(MID(SUBSTITUTE(B335," ",REPT(" ",200)),401,200)),"")</f>
        <v/>
      </c>
      <c r="G335">
        <f>IF(C335&gt;=4,TRIM(MID(SUBSTITUTE(B335," ",REPT(" ",200)),601,200)),"")</f>
        <v/>
      </c>
      <c r="H335">
        <f>IF(C335&gt;=5,TRIM(MID(SUBSTITUTE(B335," ",REPT(" ",200)),801,200)),"")</f>
        <v/>
      </c>
      <c r="I335">
        <f>IF(C335&gt;=6,TRIM(MID(SUBSTITUTE(B335," ",REPT(" ",200)),1001,200)),"")</f>
        <v/>
      </c>
      <c r="J335">
        <f>IF(C335&gt;=7,TRIM(MID(SUBSTITUTE(B335," ",REPT(" ",200)),1201,200)),"")</f>
        <v/>
      </c>
      <c r="K335">
        <f>IF(C335&gt;=8,TRIM(MID(SUBSTITUTE(B335," ",REPT(" ",200)),1401,200)),"")</f>
        <v/>
      </c>
      <c r="L335">
        <f>SUBSTITUTE(SUBSTITUTE(SUBSTITUTE(D335,"年","-"),"組","-"),"番","")</f>
        <v/>
      </c>
      <c r="M335">
        <f>IF(D335="",0,IF(ISNUMBER(VALUE(SUBSTITUTE(L335,"-",""))),1,0))</f>
        <v/>
      </c>
      <c r="N335">
        <f>IF(M335=0,"",IFERROR(VALUE(TRIM(MID(SUBSTITUTE(L335,"-",REPT(" ",100)),101,100))),""))</f>
        <v/>
      </c>
      <c r="O335">
        <f>IF(M335=0,"",IFERROR(VALUE(TRIM(RIGHT(SUBSTITUTE(L335,"-",REPT(" ",100)),100))),""))</f>
        <v/>
      </c>
      <c r="P335">
        <f>IF(B335="","",TRIM(INDEX($D335:$K335,IF(M335=1,2,1))&amp;IF(AD335&gt;=2," "&amp;INDEX($D335:$K335,IF(M335=1,2,1)+1),"")&amp;IF(AD335&gt;=3," "&amp;INDEX($D335:$K335,IF(M335=1,2,1)+2),"")))</f>
        <v/>
      </c>
      <c r="Q335">
        <f>IF(C335&lt;2,"",TRIM(IF(AND(2&gt;=(IF(M335=1,2,1)+AD335),2&lt;=C335-IF(S335="",0,1)),E335&amp;" ","")&amp;IF(AND(3&gt;=(IF(M335=1,2,1)+AD335),3&lt;=C335-IF(S335="",0,1)),F335&amp;" ","")&amp;IF(AND(4&gt;=(IF(M335=1,2,1)+AD335),4&lt;=C335-IF(S335="",0,1)),G335&amp;" ","")&amp;IF(AND(5&gt;=(IF(M335=1,2,1)+AD335),5&lt;=C335-IF(S335="",0,1)),H335&amp;" ","")&amp;IF(AND(6&gt;=(IF(M335=1,2,1)+AD335),6&lt;=C335-IF(S335="",0,1)),I335&amp;" ","")&amp;IF(AND(7&gt;=(IF(M335=1,2,1)+AD335),7&lt;=C335-IF(S335="",0,1)),J335&amp;" ","")&amp;IF(AND(8&gt;=(IF(M335=1,2,1)+AD335),8&lt;=C335-IF(S335="",0,1)),K335&amp;" ","")))</f>
        <v/>
      </c>
      <c r="R335">
        <f>IF(Q335="","",IFERROR(INDEX(資格マスタ!$B:$B,MATCH(ASC(SUBSTITUTE(SUBSTITUTE(Q335," ",""),"　","")),資格マスタ!$D:$D,0)),Q335))</f>
        <v/>
      </c>
      <c r="S335" s="139">
        <f>IF(C335&lt;2,"",IFERROR(IF(OR(LEFT(INDEX(D335:K335,MIN(8,MAX(1,C335))),2)="令和",LEFT(INDEX(D335:K335,MIN(8,MAX(1,C335))),2)="平成",LEFT(INDEX(D335:K335,MIN(8,MAX(1,C335))),2)="昭和"),DATE(VALUE(MID(INDEX(D335:K335,MIN(8,MAX(1,C335))),3,FIND("年",INDEX(D335:K335,MIN(8,MAX(1,C335))))-3))+IF(LEFT(INDEX(D335:K335,MIN(8,MAX(1,C335))),2)="令和",2018,IF(LEFT(INDEX(D335:K335,MIN(8,MAX(1,C335))),2)="平成",1988,1925)),VALUE(MID(INDEX(D335:K335,MIN(8,MAX(1,C335))),FIND("年",INDEX(D335:K335,MIN(8,MAX(1,C335))))+1,FIND("月",INDEX(D335:K335,MIN(8,MAX(1,C335))))-FIND("年",INDEX(D335:K335,MIN(8,MAX(1,C335))))-1)),IFERROR(VALUE(SUBSTITUTE(MID(INDEX(D335:K335,MIN(8,MAX(1,C335))),FIND("月",INDEX(D335:K335,MIN(8,MAX(1,C335))))+1,10),"日","")),1)),DATE(VALUE(TRIM(MID(SUBSTITUTE(AA335,"/",REPT(" ",50)),1,50))),VALUE(TRIM(MID(SUBSTITUTE(AA335,"/",REPT(" ",50)),51,50))),IFERROR(VALUE(TRIM(MID(SUBSTITUTE(AA335,"/",REPT(" ",50)),101,50))),1))),IFERROR(DATEVALUE(INDEX(D335:K335,MIN(8,MAX(1,C335)))),"")))</f>
        <v/>
      </c>
      <c r="T335">
        <f>IF(B335="","",IF(AB335&lt;&gt;"",AB335,IFERROR(MATCH(SUBSTITUTE(SUBSTITUTE(P335," ",""),"　",""),入力!$AH$5:$AH$44,0),"")))</f>
        <v/>
      </c>
      <c r="U335">
        <f>IF(T335="","",INDEX(入力!$D$5:$D$44,T335))</f>
        <v/>
      </c>
      <c r="V335">
        <f>IF(B335="","",IF(T335="","要確認（名簿と照合できません）",IF(R335="","要確認（資格名がありません）",IF(S335="","要確認（取得日が読めません）",IF((IF(INDEX(入力!$N$5:$N$44,T335)=R335,1,0)+IF(INDEX(入力!$P$5:$P$44,T335)=R335,1,0)+IF(INDEX(入力!$R$5:$R$44,T335)=R335,1,0)+IF(INDEX(入力!$T$5:$T$44,T335)=R335,1,0)+IF(INDEX(入力!$V$5:$V$44,T335)=R335,1,0)+IF(INDEX(入力!$X$5:$X$44,T335)=R335,1,0))+(COUNTIFS($T$6:$T$405,T335,$R$6:$R$405,R335,$X$6:$X$405,"&lt;"&amp;X335))&gt;0,"重複","反映")))))</f>
        <v/>
      </c>
      <c r="W335">
        <f>IF(V335="反映",1,0)</f>
        <v/>
      </c>
      <c r="X335" t="n">
        <v>335</v>
      </c>
      <c r="Y335">
        <f>IF(W335=0,"",COUNTIFS($T$6:$T$405,T335,$W$6:$W$405,1,$S$6:$S$405,"&lt;"&amp;S335)+COUNTIFS($T$6:$T$405,T335,$W$6:$W$405,1,$S$6:$S$405,S335,$X$6:$X$405,"&lt;"&amp;X335)+1)</f>
        <v/>
      </c>
      <c r="Z335">
        <f>IF(Y335="","",T335&amp;"_"&amp;Y335)</f>
        <v/>
      </c>
      <c r="AA335">
        <f>SUBSTITUTE(SUBSTITUTE(SUBSTITUTE(SUBSTITUTE(SUBSTITUTE(INDEX(D335:K335,MIN(8,MAX(1,C335))),"年","/"),"月","/"),"日",""),"-","/"),".","/")</f>
        <v/>
      </c>
      <c r="AB335">
        <f>IFERROR(MATCH(O335,入力!$C$5:$C$44,0),"")</f>
        <v/>
      </c>
      <c r="AC335">
        <f>IF(AB335="","",INDEX(入力!$AH$5:$AH$44,AB335))</f>
        <v/>
      </c>
      <c r="AD335">
        <f>IF(INDEX($D335:$K335,IF(M335=1,2,1))=AC335,1,IF(INDEX($D335:$K335,IF(M335=1,2,1))&amp;INDEX($D335:$K335,IF(M335=1,2,1)+1)=AC335,2,IF(INDEX($D335:$K335,IF(M335=1,2,1))&amp;INDEX($D335:$K335,IF(M335=1,2,1)+1)&amp;INDEX($D335:$K335,IF(M335=1,2,1)+2)=AC335,3,IF(AB335&lt;&gt;"",2,IF(ISNUMBER(MATCH(INDEX($D335:$K335,IF(M335=1,2,1)),入力!$AH$5:$AH$44,0)),1,IF(ISNUMBER(MATCH(INDEX($D335:$K335,IF(M335=1,2,1))&amp;INDEX($D335:$K335,IF(M335=1,2,1)+1),入力!$AH$5:$AH$44,0)),2,IF(ISNUMBER(MATCH(INDEX($D335:$K335,IF(M335=1,2,1))&amp;INDEX($D335:$K335,IF(M335=1,2,1)+1)&amp;INDEX($D335:$K335,IF(M335=1,2,1)+2),入力!$AH$5:$AH$44,0)),3,2)))))))</f>
        <v/>
      </c>
      <c r="AE335">
        <f>IF(V335="","",IF(AND(V335="反映",N(Y335)&gt;20),"要確認（この生徒の取込が20件を超えました）",V335))</f>
        <v/>
      </c>
    </row>
    <row r="336">
      <c r="A336" s="138" t="n"/>
      <c r="B336">
        <f>TRIM(SUBSTITUTE(SUBSTITUTE(SUBSTITUTE(A336,CHAR(9)," "),"　"," "),CHAR(160)," "))</f>
        <v/>
      </c>
      <c r="C336">
        <f>IF(B336="",0,LEN(B336)-LEN(SUBSTITUTE(B336," ",""))+1)</f>
        <v/>
      </c>
      <c r="D336">
        <f>IF(C336&gt;=1,TRIM(MID(SUBSTITUTE(B336," ",REPT(" ",200)),1,200)),"")</f>
        <v/>
      </c>
      <c r="E336">
        <f>IF(C336&gt;=2,TRIM(MID(SUBSTITUTE(B336," ",REPT(" ",200)),201,200)),"")</f>
        <v/>
      </c>
      <c r="F336">
        <f>IF(C336&gt;=3,TRIM(MID(SUBSTITUTE(B336," ",REPT(" ",200)),401,200)),"")</f>
        <v/>
      </c>
      <c r="G336">
        <f>IF(C336&gt;=4,TRIM(MID(SUBSTITUTE(B336," ",REPT(" ",200)),601,200)),"")</f>
        <v/>
      </c>
      <c r="H336">
        <f>IF(C336&gt;=5,TRIM(MID(SUBSTITUTE(B336," ",REPT(" ",200)),801,200)),"")</f>
        <v/>
      </c>
      <c r="I336">
        <f>IF(C336&gt;=6,TRIM(MID(SUBSTITUTE(B336," ",REPT(" ",200)),1001,200)),"")</f>
        <v/>
      </c>
      <c r="J336">
        <f>IF(C336&gt;=7,TRIM(MID(SUBSTITUTE(B336," ",REPT(" ",200)),1201,200)),"")</f>
        <v/>
      </c>
      <c r="K336">
        <f>IF(C336&gt;=8,TRIM(MID(SUBSTITUTE(B336," ",REPT(" ",200)),1401,200)),"")</f>
        <v/>
      </c>
      <c r="L336">
        <f>SUBSTITUTE(SUBSTITUTE(SUBSTITUTE(D336,"年","-"),"組","-"),"番","")</f>
        <v/>
      </c>
      <c r="M336">
        <f>IF(D336="",0,IF(ISNUMBER(VALUE(SUBSTITUTE(L336,"-",""))),1,0))</f>
        <v/>
      </c>
      <c r="N336">
        <f>IF(M336=0,"",IFERROR(VALUE(TRIM(MID(SUBSTITUTE(L336,"-",REPT(" ",100)),101,100))),""))</f>
        <v/>
      </c>
      <c r="O336">
        <f>IF(M336=0,"",IFERROR(VALUE(TRIM(RIGHT(SUBSTITUTE(L336,"-",REPT(" ",100)),100))),""))</f>
        <v/>
      </c>
      <c r="P336">
        <f>IF(B336="","",TRIM(INDEX($D336:$K336,IF(M336=1,2,1))&amp;IF(AD336&gt;=2," "&amp;INDEX($D336:$K336,IF(M336=1,2,1)+1),"")&amp;IF(AD336&gt;=3," "&amp;INDEX($D336:$K336,IF(M336=1,2,1)+2),"")))</f>
        <v/>
      </c>
      <c r="Q336">
        <f>IF(C336&lt;2,"",TRIM(IF(AND(2&gt;=(IF(M336=1,2,1)+AD336),2&lt;=C336-IF(S336="",0,1)),E336&amp;" ","")&amp;IF(AND(3&gt;=(IF(M336=1,2,1)+AD336),3&lt;=C336-IF(S336="",0,1)),F336&amp;" ","")&amp;IF(AND(4&gt;=(IF(M336=1,2,1)+AD336),4&lt;=C336-IF(S336="",0,1)),G336&amp;" ","")&amp;IF(AND(5&gt;=(IF(M336=1,2,1)+AD336),5&lt;=C336-IF(S336="",0,1)),H336&amp;" ","")&amp;IF(AND(6&gt;=(IF(M336=1,2,1)+AD336),6&lt;=C336-IF(S336="",0,1)),I336&amp;" ","")&amp;IF(AND(7&gt;=(IF(M336=1,2,1)+AD336),7&lt;=C336-IF(S336="",0,1)),J336&amp;" ","")&amp;IF(AND(8&gt;=(IF(M336=1,2,1)+AD336),8&lt;=C336-IF(S336="",0,1)),K336&amp;" ","")))</f>
        <v/>
      </c>
      <c r="R336">
        <f>IF(Q336="","",IFERROR(INDEX(資格マスタ!$B:$B,MATCH(ASC(SUBSTITUTE(SUBSTITUTE(Q336," ",""),"　","")),資格マスタ!$D:$D,0)),Q336))</f>
        <v/>
      </c>
      <c r="S336" s="139">
        <f>IF(C336&lt;2,"",IFERROR(IF(OR(LEFT(INDEX(D336:K336,MIN(8,MAX(1,C336))),2)="令和",LEFT(INDEX(D336:K336,MIN(8,MAX(1,C336))),2)="平成",LEFT(INDEX(D336:K336,MIN(8,MAX(1,C336))),2)="昭和"),DATE(VALUE(MID(INDEX(D336:K336,MIN(8,MAX(1,C336))),3,FIND("年",INDEX(D336:K336,MIN(8,MAX(1,C336))))-3))+IF(LEFT(INDEX(D336:K336,MIN(8,MAX(1,C336))),2)="令和",2018,IF(LEFT(INDEX(D336:K336,MIN(8,MAX(1,C336))),2)="平成",1988,1925)),VALUE(MID(INDEX(D336:K336,MIN(8,MAX(1,C336))),FIND("年",INDEX(D336:K336,MIN(8,MAX(1,C336))))+1,FIND("月",INDEX(D336:K336,MIN(8,MAX(1,C336))))-FIND("年",INDEX(D336:K336,MIN(8,MAX(1,C336))))-1)),IFERROR(VALUE(SUBSTITUTE(MID(INDEX(D336:K336,MIN(8,MAX(1,C336))),FIND("月",INDEX(D336:K336,MIN(8,MAX(1,C336))))+1,10),"日","")),1)),DATE(VALUE(TRIM(MID(SUBSTITUTE(AA336,"/",REPT(" ",50)),1,50))),VALUE(TRIM(MID(SUBSTITUTE(AA336,"/",REPT(" ",50)),51,50))),IFERROR(VALUE(TRIM(MID(SUBSTITUTE(AA336,"/",REPT(" ",50)),101,50))),1))),IFERROR(DATEVALUE(INDEX(D336:K336,MIN(8,MAX(1,C336)))),"")))</f>
        <v/>
      </c>
      <c r="T336">
        <f>IF(B336="","",IF(AB336&lt;&gt;"",AB336,IFERROR(MATCH(SUBSTITUTE(SUBSTITUTE(P336," ",""),"　",""),入力!$AH$5:$AH$44,0),"")))</f>
        <v/>
      </c>
      <c r="U336">
        <f>IF(T336="","",INDEX(入力!$D$5:$D$44,T336))</f>
        <v/>
      </c>
      <c r="V336">
        <f>IF(B336="","",IF(T336="","要確認（名簿と照合できません）",IF(R336="","要確認（資格名がありません）",IF(S336="","要確認（取得日が読めません）",IF((IF(INDEX(入力!$N$5:$N$44,T336)=R336,1,0)+IF(INDEX(入力!$P$5:$P$44,T336)=R336,1,0)+IF(INDEX(入力!$R$5:$R$44,T336)=R336,1,0)+IF(INDEX(入力!$T$5:$T$44,T336)=R336,1,0)+IF(INDEX(入力!$V$5:$V$44,T336)=R336,1,0)+IF(INDEX(入力!$X$5:$X$44,T336)=R336,1,0))+(COUNTIFS($T$6:$T$405,T336,$R$6:$R$405,R336,$X$6:$X$405,"&lt;"&amp;X336))&gt;0,"重複","反映")))))</f>
        <v/>
      </c>
      <c r="W336">
        <f>IF(V336="反映",1,0)</f>
        <v/>
      </c>
      <c r="X336" t="n">
        <v>336</v>
      </c>
      <c r="Y336">
        <f>IF(W336=0,"",COUNTIFS($T$6:$T$405,T336,$W$6:$W$405,1,$S$6:$S$405,"&lt;"&amp;S336)+COUNTIFS($T$6:$T$405,T336,$W$6:$W$405,1,$S$6:$S$405,S336,$X$6:$X$405,"&lt;"&amp;X336)+1)</f>
        <v/>
      </c>
      <c r="Z336">
        <f>IF(Y336="","",T336&amp;"_"&amp;Y336)</f>
        <v/>
      </c>
      <c r="AA336">
        <f>SUBSTITUTE(SUBSTITUTE(SUBSTITUTE(SUBSTITUTE(SUBSTITUTE(INDEX(D336:K336,MIN(8,MAX(1,C336))),"年","/"),"月","/"),"日",""),"-","/"),".","/")</f>
        <v/>
      </c>
      <c r="AB336">
        <f>IFERROR(MATCH(O336,入力!$C$5:$C$44,0),"")</f>
        <v/>
      </c>
      <c r="AC336">
        <f>IF(AB336="","",INDEX(入力!$AH$5:$AH$44,AB336))</f>
        <v/>
      </c>
      <c r="AD336">
        <f>IF(INDEX($D336:$K336,IF(M336=1,2,1))=AC336,1,IF(INDEX($D336:$K336,IF(M336=1,2,1))&amp;INDEX($D336:$K336,IF(M336=1,2,1)+1)=AC336,2,IF(INDEX($D336:$K336,IF(M336=1,2,1))&amp;INDEX($D336:$K336,IF(M336=1,2,1)+1)&amp;INDEX($D336:$K336,IF(M336=1,2,1)+2)=AC336,3,IF(AB336&lt;&gt;"",2,IF(ISNUMBER(MATCH(INDEX($D336:$K336,IF(M336=1,2,1)),入力!$AH$5:$AH$44,0)),1,IF(ISNUMBER(MATCH(INDEX($D336:$K336,IF(M336=1,2,1))&amp;INDEX($D336:$K336,IF(M336=1,2,1)+1),入力!$AH$5:$AH$44,0)),2,IF(ISNUMBER(MATCH(INDEX($D336:$K336,IF(M336=1,2,1))&amp;INDEX($D336:$K336,IF(M336=1,2,1)+1)&amp;INDEX($D336:$K336,IF(M336=1,2,1)+2),入力!$AH$5:$AH$44,0)),3,2)))))))</f>
        <v/>
      </c>
      <c r="AE336">
        <f>IF(V336="","",IF(AND(V336="反映",N(Y336)&gt;20),"要確認（この生徒の取込が20件を超えました）",V336))</f>
        <v/>
      </c>
    </row>
    <row r="337">
      <c r="A337" s="138" t="n"/>
      <c r="B337">
        <f>TRIM(SUBSTITUTE(SUBSTITUTE(SUBSTITUTE(A337,CHAR(9)," "),"　"," "),CHAR(160)," "))</f>
        <v/>
      </c>
      <c r="C337">
        <f>IF(B337="",0,LEN(B337)-LEN(SUBSTITUTE(B337," ",""))+1)</f>
        <v/>
      </c>
      <c r="D337">
        <f>IF(C337&gt;=1,TRIM(MID(SUBSTITUTE(B337," ",REPT(" ",200)),1,200)),"")</f>
        <v/>
      </c>
      <c r="E337">
        <f>IF(C337&gt;=2,TRIM(MID(SUBSTITUTE(B337," ",REPT(" ",200)),201,200)),"")</f>
        <v/>
      </c>
      <c r="F337">
        <f>IF(C337&gt;=3,TRIM(MID(SUBSTITUTE(B337," ",REPT(" ",200)),401,200)),"")</f>
        <v/>
      </c>
      <c r="G337">
        <f>IF(C337&gt;=4,TRIM(MID(SUBSTITUTE(B337," ",REPT(" ",200)),601,200)),"")</f>
        <v/>
      </c>
      <c r="H337">
        <f>IF(C337&gt;=5,TRIM(MID(SUBSTITUTE(B337," ",REPT(" ",200)),801,200)),"")</f>
        <v/>
      </c>
      <c r="I337">
        <f>IF(C337&gt;=6,TRIM(MID(SUBSTITUTE(B337," ",REPT(" ",200)),1001,200)),"")</f>
        <v/>
      </c>
      <c r="J337">
        <f>IF(C337&gt;=7,TRIM(MID(SUBSTITUTE(B337," ",REPT(" ",200)),1201,200)),"")</f>
        <v/>
      </c>
      <c r="K337">
        <f>IF(C337&gt;=8,TRIM(MID(SUBSTITUTE(B337," ",REPT(" ",200)),1401,200)),"")</f>
        <v/>
      </c>
      <c r="L337">
        <f>SUBSTITUTE(SUBSTITUTE(SUBSTITUTE(D337,"年","-"),"組","-"),"番","")</f>
        <v/>
      </c>
      <c r="M337">
        <f>IF(D337="",0,IF(ISNUMBER(VALUE(SUBSTITUTE(L337,"-",""))),1,0))</f>
        <v/>
      </c>
      <c r="N337">
        <f>IF(M337=0,"",IFERROR(VALUE(TRIM(MID(SUBSTITUTE(L337,"-",REPT(" ",100)),101,100))),""))</f>
        <v/>
      </c>
      <c r="O337">
        <f>IF(M337=0,"",IFERROR(VALUE(TRIM(RIGHT(SUBSTITUTE(L337,"-",REPT(" ",100)),100))),""))</f>
        <v/>
      </c>
      <c r="P337">
        <f>IF(B337="","",TRIM(INDEX($D337:$K337,IF(M337=1,2,1))&amp;IF(AD337&gt;=2," "&amp;INDEX($D337:$K337,IF(M337=1,2,1)+1),"")&amp;IF(AD337&gt;=3," "&amp;INDEX($D337:$K337,IF(M337=1,2,1)+2),"")))</f>
        <v/>
      </c>
      <c r="Q337">
        <f>IF(C337&lt;2,"",TRIM(IF(AND(2&gt;=(IF(M337=1,2,1)+AD337),2&lt;=C337-IF(S337="",0,1)),E337&amp;" ","")&amp;IF(AND(3&gt;=(IF(M337=1,2,1)+AD337),3&lt;=C337-IF(S337="",0,1)),F337&amp;" ","")&amp;IF(AND(4&gt;=(IF(M337=1,2,1)+AD337),4&lt;=C337-IF(S337="",0,1)),G337&amp;" ","")&amp;IF(AND(5&gt;=(IF(M337=1,2,1)+AD337),5&lt;=C337-IF(S337="",0,1)),H337&amp;" ","")&amp;IF(AND(6&gt;=(IF(M337=1,2,1)+AD337),6&lt;=C337-IF(S337="",0,1)),I337&amp;" ","")&amp;IF(AND(7&gt;=(IF(M337=1,2,1)+AD337),7&lt;=C337-IF(S337="",0,1)),J337&amp;" ","")&amp;IF(AND(8&gt;=(IF(M337=1,2,1)+AD337),8&lt;=C337-IF(S337="",0,1)),K337&amp;" ","")))</f>
        <v/>
      </c>
      <c r="R337">
        <f>IF(Q337="","",IFERROR(INDEX(資格マスタ!$B:$B,MATCH(ASC(SUBSTITUTE(SUBSTITUTE(Q337," ",""),"　","")),資格マスタ!$D:$D,0)),Q337))</f>
        <v/>
      </c>
      <c r="S337" s="139">
        <f>IF(C337&lt;2,"",IFERROR(IF(OR(LEFT(INDEX(D337:K337,MIN(8,MAX(1,C337))),2)="令和",LEFT(INDEX(D337:K337,MIN(8,MAX(1,C337))),2)="平成",LEFT(INDEX(D337:K337,MIN(8,MAX(1,C337))),2)="昭和"),DATE(VALUE(MID(INDEX(D337:K337,MIN(8,MAX(1,C337))),3,FIND("年",INDEX(D337:K337,MIN(8,MAX(1,C337))))-3))+IF(LEFT(INDEX(D337:K337,MIN(8,MAX(1,C337))),2)="令和",2018,IF(LEFT(INDEX(D337:K337,MIN(8,MAX(1,C337))),2)="平成",1988,1925)),VALUE(MID(INDEX(D337:K337,MIN(8,MAX(1,C337))),FIND("年",INDEX(D337:K337,MIN(8,MAX(1,C337))))+1,FIND("月",INDEX(D337:K337,MIN(8,MAX(1,C337))))-FIND("年",INDEX(D337:K337,MIN(8,MAX(1,C337))))-1)),IFERROR(VALUE(SUBSTITUTE(MID(INDEX(D337:K337,MIN(8,MAX(1,C337))),FIND("月",INDEX(D337:K337,MIN(8,MAX(1,C337))))+1,10),"日","")),1)),DATE(VALUE(TRIM(MID(SUBSTITUTE(AA337,"/",REPT(" ",50)),1,50))),VALUE(TRIM(MID(SUBSTITUTE(AA337,"/",REPT(" ",50)),51,50))),IFERROR(VALUE(TRIM(MID(SUBSTITUTE(AA337,"/",REPT(" ",50)),101,50))),1))),IFERROR(DATEVALUE(INDEX(D337:K337,MIN(8,MAX(1,C337)))),"")))</f>
        <v/>
      </c>
      <c r="T337">
        <f>IF(B337="","",IF(AB337&lt;&gt;"",AB337,IFERROR(MATCH(SUBSTITUTE(SUBSTITUTE(P337," ",""),"　",""),入力!$AH$5:$AH$44,0),"")))</f>
        <v/>
      </c>
      <c r="U337">
        <f>IF(T337="","",INDEX(入力!$D$5:$D$44,T337))</f>
        <v/>
      </c>
      <c r="V337">
        <f>IF(B337="","",IF(T337="","要確認（名簿と照合できません）",IF(R337="","要確認（資格名がありません）",IF(S337="","要確認（取得日が読めません）",IF((IF(INDEX(入力!$N$5:$N$44,T337)=R337,1,0)+IF(INDEX(入力!$P$5:$P$44,T337)=R337,1,0)+IF(INDEX(入力!$R$5:$R$44,T337)=R337,1,0)+IF(INDEX(入力!$T$5:$T$44,T337)=R337,1,0)+IF(INDEX(入力!$V$5:$V$44,T337)=R337,1,0)+IF(INDEX(入力!$X$5:$X$44,T337)=R337,1,0))+(COUNTIFS($T$6:$T$405,T337,$R$6:$R$405,R337,$X$6:$X$405,"&lt;"&amp;X337))&gt;0,"重複","反映")))))</f>
        <v/>
      </c>
      <c r="W337">
        <f>IF(V337="反映",1,0)</f>
        <v/>
      </c>
      <c r="X337" t="n">
        <v>337</v>
      </c>
      <c r="Y337">
        <f>IF(W337=0,"",COUNTIFS($T$6:$T$405,T337,$W$6:$W$405,1,$S$6:$S$405,"&lt;"&amp;S337)+COUNTIFS($T$6:$T$405,T337,$W$6:$W$405,1,$S$6:$S$405,S337,$X$6:$X$405,"&lt;"&amp;X337)+1)</f>
        <v/>
      </c>
      <c r="Z337">
        <f>IF(Y337="","",T337&amp;"_"&amp;Y337)</f>
        <v/>
      </c>
      <c r="AA337">
        <f>SUBSTITUTE(SUBSTITUTE(SUBSTITUTE(SUBSTITUTE(SUBSTITUTE(INDEX(D337:K337,MIN(8,MAX(1,C337))),"年","/"),"月","/"),"日",""),"-","/"),".","/")</f>
        <v/>
      </c>
      <c r="AB337">
        <f>IFERROR(MATCH(O337,入力!$C$5:$C$44,0),"")</f>
        <v/>
      </c>
      <c r="AC337">
        <f>IF(AB337="","",INDEX(入力!$AH$5:$AH$44,AB337))</f>
        <v/>
      </c>
      <c r="AD337">
        <f>IF(INDEX($D337:$K337,IF(M337=1,2,1))=AC337,1,IF(INDEX($D337:$K337,IF(M337=1,2,1))&amp;INDEX($D337:$K337,IF(M337=1,2,1)+1)=AC337,2,IF(INDEX($D337:$K337,IF(M337=1,2,1))&amp;INDEX($D337:$K337,IF(M337=1,2,1)+1)&amp;INDEX($D337:$K337,IF(M337=1,2,1)+2)=AC337,3,IF(AB337&lt;&gt;"",2,IF(ISNUMBER(MATCH(INDEX($D337:$K337,IF(M337=1,2,1)),入力!$AH$5:$AH$44,0)),1,IF(ISNUMBER(MATCH(INDEX($D337:$K337,IF(M337=1,2,1))&amp;INDEX($D337:$K337,IF(M337=1,2,1)+1),入力!$AH$5:$AH$44,0)),2,IF(ISNUMBER(MATCH(INDEX($D337:$K337,IF(M337=1,2,1))&amp;INDEX($D337:$K337,IF(M337=1,2,1)+1)&amp;INDEX($D337:$K337,IF(M337=1,2,1)+2),入力!$AH$5:$AH$44,0)),3,2)))))))</f>
        <v/>
      </c>
      <c r="AE337">
        <f>IF(V337="","",IF(AND(V337="反映",N(Y337)&gt;20),"要確認（この生徒の取込が20件を超えました）",V337))</f>
        <v/>
      </c>
    </row>
    <row r="338">
      <c r="A338" s="138" t="n"/>
      <c r="B338">
        <f>TRIM(SUBSTITUTE(SUBSTITUTE(SUBSTITUTE(A338,CHAR(9)," "),"　"," "),CHAR(160)," "))</f>
        <v/>
      </c>
      <c r="C338">
        <f>IF(B338="",0,LEN(B338)-LEN(SUBSTITUTE(B338," ",""))+1)</f>
        <v/>
      </c>
      <c r="D338">
        <f>IF(C338&gt;=1,TRIM(MID(SUBSTITUTE(B338," ",REPT(" ",200)),1,200)),"")</f>
        <v/>
      </c>
      <c r="E338">
        <f>IF(C338&gt;=2,TRIM(MID(SUBSTITUTE(B338," ",REPT(" ",200)),201,200)),"")</f>
        <v/>
      </c>
      <c r="F338">
        <f>IF(C338&gt;=3,TRIM(MID(SUBSTITUTE(B338," ",REPT(" ",200)),401,200)),"")</f>
        <v/>
      </c>
      <c r="G338">
        <f>IF(C338&gt;=4,TRIM(MID(SUBSTITUTE(B338," ",REPT(" ",200)),601,200)),"")</f>
        <v/>
      </c>
      <c r="H338">
        <f>IF(C338&gt;=5,TRIM(MID(SUBSTITUTE(B338," ",REPT(" ",200)),801,200)),"")</f>
        <v/>
      </c>
      <c r="I338">
        <f>IF(C338&gt;=6,TRIM(MID(SUBSTITUTE(B338," ",REPT(" ",200)),1001,200)),"")</f>
        <v/>
      </c>
      <c r="J338">
        <f>IF(C338&gt;=7,TRIM(MID(SUBSTITUTE(B338," ",REPT(" ",200)),1201,200)),"")</f>
        <v/>
      </c>
      <c r="K338">
        <f>IF(C338&gt;=8,TRIM(MID(SUBSTITUTE(B338," ",REPT(" ",200)),1401,200)),"")</f>
        <v/>
      </c>
      <c r="L338">
        <f>SUBSTITUTE(SUBSTITUTE(SUBSTITUTE(D338,"年","-"),"組","-"),"番","")</f>
        <v/>
      </c>
      <c r="M338">
        <f>IF(D338="",0,IF(ISNUMBER(VALUE(SUBSTITUTE(L338,"-",""))),1,0))</f>
        <v/>
      </c>
      <c r="N338">
        <f>IF(M338=0,"",IFERROR(VALUE(TRIM(MID(SUBSTITUTE(L338,"-",REPT(" ",100)),101,100))),""))</f>
        <v/>
      </c>
      <c r="O338">
        <f>IF(M338=0,"",IFERROR(VALUE(TRIM(RIGHT(SUBSTITUTE(L338,"-",REPT(" ",100)),100))),""))</f>
        <v/>
      </c>
      <c r="P338">
        <f>IF(B338="","",TRIM(INDEX($D338:$K338,IF(M338=1,2,1))&amp;IF(AD338&gt;=2," "&amp;INDEX($D338:$K338,IF(M338=1,2,1)+1),"")&amp;IF(AD338&gt;=3," "&amp;INDEX($D338:$K338,IF(M338=1,2,1)+2),"")))</f>
        <v/>
      </c>
      <c r="Q338">
        <f>IF(C338&lt;2,"",TRIM(IF(AND(2&gt;=(IF(M338=1,2,1)+AD338),2&lt;=C338-IF(S338="",0,1)),E338&amp;" ","")&amp;IF(AND(3&gt;=(IF(M338=1,2,1)+AD338),3&lt;=C338-IF(S338="",0,1)),F338&amp;" ","")&amp;IF(AND(4&gt;=(IF(M338=1,2,1)+AD338),4&lt;=C338-IF(S338="",0,1)),G338&amp;" ","")&amp;IF(AND(5&gt;=(IF(M338=1,2,1)+AD338),5&lt;=C338-IF(S338="",0,1)),H338&amp;" ","")&amp;IF(AND(6&gt;=(IF(M338=1,2,1)+AD338),6&lt;=C338-IF(S338="",0,1)),I338&amp;" ","")&amp;IF(AND(7&gt;=(IF(M338=1,2,1)+AD338),7&lt;=C338-IF(S338="",0,1)),J338&amp;" ","")&amp;IF(AND(8&gt;=(IF(M338=1,2,1)+AD338),8&lt;=C338-IF(S338="",0,1)),K338&amp;" ","")))</f>
        <v/>
      </c>
      <c r="R338">
        <f>IF(Q338="","",IFERROR(INDEX(資格マスタ!$B:$B,MATCH(ASC(SUBSTITUTE(SUBSTITUTE(Q338," ",""),"　","")),資格マスタ!$D:$D,0)),Q338))</f>
        <v/>
      </c>
      <c r="S338" s="139">
        <f>IF(C338&lt;2,"",IFERROR(IF(OR(LEFT(INDEX(D338:K338,MIN(8,MAX(1,C338))),2)="令和",LEFT(INDEX(D338:K338,MIN(8,MAX(1,C338))),2)="平成",LEFT(INDEX(D338:K338,MIN(8,MAX(1,C338))),2)="昭和"),DATE(VALUE(MID(INDEX(D338:K338,MIN(8,MAX(1,C338))),3,FIND("年",INDEX(D338:K338,MIN(8,MAX(1,C338))))-3))+IF(LEFT(INDEX(D338:K338,MIN(8,MAX(1,C338))),2)="令和",2018,IF(LEFT(INDEX(D338:K338,MIN(8,MAX(1,C338))),2)="平成",1988,1925)),VALUE(MID(INDEX(D338:K338,MIN(8,MAX(1,C338))),FIND("年",INDEX(D338:K338,MIN(8,MAX(1,C338))))+1,FIND("月",INDEX(D338:K338,MIN(8,MAX(1,C338))))-FIND("年",INDEX(D338:K338,MIN(8,MAX(1,C338))))-1)),IFERROR(VALUE(SUBSTITUTE(MID(INDEX(D338:K338,MIN(8,MAX(1,C338))),FIND("月",INDEX(D338:K338,MIN(8,MAX(1,C338))))+1,10),"日","")),1)),DATE(VALUE(TRIM(MID(SUBSTITUTE(AA338,"/",REPT(" ",50)),1,50))),VALUE(TRIM(MID(SUBSTITUTE(AA338,"/",REPT(" ",50)),51,50))),IFERROR(VALUE(TRIM(MID(SUBSTITUTE(AA338,"/",REPT(" ",50)),101,50))),1))),IFERROR(DATEVALUE(INDEX(D338:K338,MIN(8,MAX(1,C338)))),"")))</f>
        <v/>
      </c>
      <c r="T338">
        <f>IF(B338="","",IF(AB338&lt;&gt;"",AB338,IFERROR(MATCH(SUBSTITUTE(SUBSTITUTE(P338," ",""),"　",""),入力!$AH$5:$AH$44,0),"")))</f>
        <v/>
      </c>
      <c r="U338">
        <f>IF(T338="","",INDEX(入力!$D$5:$D$44,T338))</f>
        <v/>
      </c>
      <c r="V338">
        <f>IF(B338="","",IF(T338="","要確認（名簿と照合できません）",IF(R338="","要確認（資格名がありません）",IF(S338="","要確認（取得日が読めません）",IF((IF(INDEX(入力!$N$5:$N$44,T338)=R338,1,0)+IF(INDEX(入力!$P$5:$P$44,T338)=R338,1,0)+IF(INDEX(入力!$R$5:$R$44,T338)=R338,1,0)+IF(INDEX(入力!$T$5:$T$44,T338)=R338,1,0)+IF(INDEX(入力!$V$5:$V$44,T338)=R338,1,0)+IF(INDEX(入力!$X$5:$X$44,T338)=R338,1,0))+(COUNTIFS($T$6:$T$405,T338,$R$6:$R$405,R338,$X$6:$X$405,"&lt;"&amp;X338))&gt;0,"重複","反映")))))</f>
        <v/>
      </c>
      <c r="W338">
        <f>IF(V338="反映",1,0)</f>
        <v/>
      </c>
      <c r="X338" t="n">
        <v>338</v>
      </c>
      <c r="Y338">
        <f>IF(W338=0,"",COUNTIFS($T$6:$T$405,T338,$W$6:$W$405,1,$S$6:$S$405,"&lt;"&amp;S338)+COUNTIFS($T$6:$T$405,T338,$W$6:$W$405,1,$S$6:$S$405,S338,$X$6:$X$405,"&lt;"&amp;X338)+1)</f>
        <v/>
      </c>
      <c r="Z338">
        <f>IF(Y338="","",T338&amp;"_"&amp;Y338)</f>
        <v/>
      </c>
      <c r="AA338">
        <f>SUBSTITUTE(SUBSTITUTE(SUBSTITUTE(SUBSTITUTE(SUBSTITUTE(INDEX(D338:K338,MIN(8,MAX(1,C338))),"年","/"),"月","/"),"日",""),"-","/"),".","/")</f>
        <v/>
      </c>
      <c r="AB338">
        <f>IFERROR(MATCH(O338,入力!$C$5:$C$44,0),"")</f>
        <v/>
      </c>
      <c r="AC338">
        <f>IF(AB338="","",INDEX(入力!$AH$5:$AH$44,AB338))</f>
        <v/>
      </c>
      <c r="AD338">
        <f>IF(INDEX($D338:$K338,IF(M338=1,2,1))=AC338,1,IF(INDEX($D338:$K338,IF(M338=1,2,1))&amp;INDEX($D338:$K338,IF(M338=1,2,1)+1)=AC338,2,IF(INDEX($D338:$K338,IF(M338=1,2,1))&amp;INDEX($D338:$K338,IF(M338=1,2,1)+1)&amp;INDEX($D338:$K338,IF(M338=1,2,1)+2)=AC338,3,IF(AB338&lt;&gt;"",2,IF(ISNUMBER(MATCH(INDEX($D338:$K338,IF(M338=1,2,1)),入力!$AH$5:$AH$44,0)),1,IF(ISNUMBER(MATCH(INDEX($D338:$K338,IF(M338=1,2,1))&amp;INDEX($D338:$K338,IF(M338=1,2,1)+1),入力!$AH$5:$AH$44,0)),2,IF(ISNUMBER(MATCH(INDEX($D338:$K338,IF(M338=1,2,1))&amp;INDEX($D338:$K338,IF(M338=1,2,1)+1)&amp;INDEX($D338:$K338,IF(M338=1,2,1)+2),入力!$AH$5:$AH$44,0)),3,2)))))))</f>
        <v/>
      </c>
      <c r="AE338">
        <f>IF(V338="","",IF(AND(V338="反映",N(Y338)&gt;20),"要確認（この生徒の取込が20件を超えました）",V338))</f>
        <v/>
      </c>
    </row>
    <row r="339">
      <c r="A339" s="138" t="n"/>
      <c r="B339">
        <f>TRIM(SUBSTITUTE(SUBSTITUTE(SUBSTITUTE(A339,CHAR(9)," "),"　"," "),CHAR(160)," "))</f>
        <v/>
      </c>
      <c r="C339">
        <f>IF(B339="",0,LEN(B339)-LEN(SUBSTITUTE(B339," ",""))+1)</f>
        <v/>
      </c>
      <c r="D339">
        <f>IF(C339&gt;=1,TRIM(MID(SUBSTITUTE(B339," ",REPT(" ",200)),1,200)),"")</f>
        <v/>
      </c>
      <c r="E339">
        <f>IF(C339&gt;=2,TRIM(MID(SUBSTITUTE(B339," ",REPT(" ",200)),201,200)),"")</f>
        <v/>
      </c>
      <c r="F339">
        <f>IF(C339&gt;=3,TRIM(MID(SUBSTITUTE(B339," ",REPT(" ",200)),401,200)),"")</f>
        <v/>
      </c>
      <c r="G339">
        <f>IF(C339&gt;=4,TRIM(MID(SUBSTITUTE(B339," ",REPT(" ",200)),601,200)),"")</f>
        <v/>
      </c>
      <c r="H339">
        <f>IF(C339&gt;=5,TRIM(MID(SUBSTITUTE(B339," ",REPT(" ",200)),801,200)),"")</f>
        <v/>
      </c>
      <c r="I339">
        <f>IF(C339&gt;=6,TRIM(MID(SUBSTITUTE(B339," ",REPT(" ",200)),1001,200)),"")</f>
        <v/>
      </c>
      <c r="J339">
        <f>IF(C339&gt;=7,TRIM(MID(SUBSTITUTE(B339," ",REPT(" ",200)),1201,200)),"")</f>
        <v/>
      </c>
      <c r="K339">
        <f>IF(C339&gt;=8,TRIM(MID(SUBSTITUTE(B339," ",REPT(" ",200)),1401,200)),"")</f>
        <v/>
      </c>
      <c r="L339">
        <f>SUBSTITUTE(SUBSTITUTE(SUBSTITUTE(D339,"年","-"),"組","-"),"番","")</f>
        <v/>
      </c>
      <c r="M339">
        <f>IF(D339="",0,IF(ISNUMBER(VALUE(SUBSTITUTE(L339,"-",""))),1,0))</f>
        <v/>
      </c>
      <c r="N339">
        <f>IF(M339=0,"",IFERROR(VALUE(TRIM(MID(SUBSTITUTE(L339,"-",REPT(" ",100)),101,100))),""))</f>
        <v/>
      </c>
      <c r="O339">
        <f>IF(M339=0,"",IFERROR(VALUE(TRIM(RIGHT(SUBSTITUTE(L339,"-",REPT(" ",100)),100))),""))</f>
        <v/>
      </c>
      <c r="P339">
        <f>IF(B339="","",TRIM(INDEX($D339:$K339,IF(M339=1,2,1))&amp;IF(AD339&gt;=2," "&amp;INDEX($D339:$K339,IF(M339=1,2,1)+1),"")&amp;IF(AD339&gt;=3," "&amp;INDEX($D339:$K339,IF(M339=1,2,1)+2),"")))</f>
        <v/>
      </c>
      <c r="Q339">
        <f>IF(C339&lt;2,"",TRIM(IF(AND(2&gt;=(IF(M339=1,2,1)+AD339),2&lt;=C339-IF(S339="",0,1)),E339&amp;" ","")&amp;IF(AND(3&gt;=(IF(M339=1,2,1)+AD339),3&lt;=C339-IF(S339="",0,1)),F339&amp;" ","")&amp;IF(AND(4&gt;=(IF(M339=1,2,1)+AD339),4&lt;=C339-IF(S339="",0,1)),G339&amp;" ","")&amp;IF(AND(5&gt;=(IF(M339=1,2,1)+AD339),5&lt;=C339-IF(S339="",0,1)),H339&amp;" ","")&amp;IF(AND(6&gt;=(IF(M339=1,2,1)+AD339),6&lt;=C339-IF(S339="",0,1)),I339&amp;" ","")&amp;IF(AND(7&gt;=(IF(M339=1,2,1)+AD339),7&lt;=C339-IF(S339="",0,1)),J339&amp;" ","")&amp;IF(AND(8&gt;=(IF(M339=1,2,1)+AD339),8&lt;=C339-IF(S339="",0,1)),K339&amp;" ","")))</f>
        <v/>
      </c>
      <c r="R339">
        <f>IF(Q339="","",IFERROR(INDEX(資格マスタ!$B:$B,MATCH(ASC(SUBSTITUTE(SUBSTITUTE(Q339," ",""),"　","")),資格マスタ!$D:$D,0)),Q339))</f>
        <v/>
      </c>
      <c r="S339" s="139">
        <f>IF(C339&lt;2,"",IFERROR(IF(OR(LEFT(INDEX(D339:K339,MIN(8,MAX(1,C339))),2)="令和",LEFT(INDEX(D339:K339,MIN(8,MAX(1,C339))),2)="平成",LEFT(INDEX(D339:K339,MIN(8,MAX(1,C339))),2)="昭和"),DATE(VALUE(MID(INDEX(D339:K339,MIN(8,MAX(1,C339))),3,FIND("年",INDEX(D339:K339,MIN(8,MAX(1,C339))))-3))+IF(LEFT(INDEX(D339:K339,MIN(8,MAX(1,C339))),2)="令和",2018,IF(LEFT(INDEX(D339:K339,MIN(8,MAX(1,C339))),2)="平成",1988,1925)),VALUE(MID(INDEX(D339:K339,MIN(8,MAX(1,C339))),FIND("年",INDEX(D339:K339,MIN(8,MAX(1,C339))))+1,FIND("月",INDEX(D339:K339,MIN(8,MAX(1,C339))))-FIND("年",INDEX(D339:K339,MIN(8,MAX(1,C339))))-1)),IFERROR(VALUE(SUBSTITUTE(MID(INDEX(D339:K339,MIN(8,MAX(1,C339))),FIND("月",INDEX(D339:K339,MIN(8,MAX(1,C339))))+1,10),"日","")),1)),DATE(VALUE(TRIM(MID(SUBSTITUTE(AA339,"/",REPT(" ",50)),1,50))),VALUE(TRIM(MID(SUBSTITUTE(AA339,"/",REPT(" ",50)),51,50))),IFERROR(VALUE(TRIM(MID(SUBSTITUTE(AA339,"/",REPT(" ",50)),101,50))),1))),IFERROR(DATEVALUE(INDEX(D339:K339,MIN(8,MAX(1,C339)))),"")))</f>
        <v/>
      </c>
      <c r="T339">
        <f>IF(B339="","",IF(AB339&lt;&gt;"",AB339,IFERROR(MATCH(SUBSTITUTE(SUBSTITUTE(P339," ",""),"　",""),入力!$AH$5:$AH$44,0),"")))</f>
        <v/>
      </c>
      <c r="U339">
        <f>IF(T339="","",INDEX(入力!$D$5:$D$44,T339))</f>
        <v/>
      </c>
      <c r="V339">
        <f>IF(B339="","",IF(T339="","要確認（名簿と照合できません）",IF(R339="","要確認（資格名がありません）",IF(S339="","要確認（取得日が読めません）",IF((IF(INDEX(入力!$N$5:$N$44,T339)=R339,1,0)+IF(INDEX(入力!$P$5:$P$44,T339)=R339,1,0)+IF(INDEX(入力!$R$5:$R$44,T339)=R339,1,0)+IF(INDEX(入力!$T$5:$T$44,T339)=R339,1,0)+IF(INDEX(入力!$V$5:$V$44,T339)=R339,1,0)+IF(INDEX(入力!$X$5:$X$44,T339)=R339,1,0))+(COUNTIFS($T$6:$T$405,T339,$R$6:$R$405,R339,$X$6:$X$405,"&lt;"&amp;X339))&gt;0,"重複","反映")))))</f>
        <v/>
      </c>
      <c r="W339">
        <f>IF(V339="反映",1,0)</f>
        <v/>
      </c>
      <c r="X339" t="n">
        <v>339</v>
      </c>
      <c r="Y339">
        <f>IF(W339=0,"",COUNTIFS($T$6:$T$405,T339,$W$6:$W$405,1,$S$6:$S$405,"&lt;"&amp;S339)+COUNTIFS($T$6:$T$405,T339,$W$6:$W$405,1,$S$6:$S$405,S339,$X$6:$X$405,"&lt;"&amp;X339)+1)</f>
        <v/>
      </c>
      <c r="Z339">
        <f>IF(Y339="","",T339&amp;"_"&amp;Y339)</f>
        <v/>
      </c>
      <c r="AA339">
        <f>SUBSTITUTE(SUBSTITUTE(SUBSTITUTE(SUBSTITUTE(SUBSTITUTE(INDEX(D339:K339,MIN(8,MAX(1,C339))),"年","/"),"月","/"),"日",""),"-","/"),".","/")</f>
        <v/>
      </c>
      <c r="AB339">
        <f>IFERROR(MATCH(O339,入力!$C$5:$C$44,0),"")</f>
        <v/>
      </c>
      <c r="AC339">
        <f>IF(AB339="","",INDEX(入力!$AH$5:$AH$44,AB339))</f>
        <v/>
      </c>
      <c r="AD339">
        <f>IF(INDEX($D339:$K339,IF(M339=1,2,1))=AC339,1,IF(INDEX($D339:$K339,IF(M339=1,2,1))&amp;INDEX($D339:$K339,IF(M339=1,2,1)+1)=AC339,2,IF(INDEX($D339:$K339,IF(M339=1,2,1))&amp;INDEX($D339:$K339,IF(M339=1,2,1)+1)&amp;INDEX($D339:$K339,IF(M339=1,2,1)+2)=AC339,3,IF(AB339&lt;&gt;"",2,IF(ISNUMBER(MATCH(INDEX($D339:$K339,IF(M339=1,2,1)),入力!$AH$5:$AH$44,0)),1,IF(ISNUMBER(MATCH(INDEX($D339:$K339,IF(M339=1,2,1))&amp;INDEX($D339:$K339,IF(M339=1,2,1)+1),入力!$AH$5:$AH$44,0)),2,IF(ISNUMBER(MATCH(INDEX($D339:$K339,IF(M339=1,2,1))&amp;INDEX($D339:$K339,IF(M339=1,2,1)+1)&amp;INDEX($D339:$K339,IF(M339=1,2,1)+2),入力!$AH$5:$AH$44,0)),3,2)))))))</f>
        <v/>
      </c>
      <c r="AE339">
        <f>IF(V339="","",IF(AND(V339="反映",N(Y339)&gt;20),"要確認（この生徒の取込が20件を超えました）",V339))</f>
        <v/>
      </c>
    </row>
    <row r="340">
      <c r="A340" s="138" t="n"/>
      <c r="B340">
        <f>TRIM(SUBSTITUTE(SUBSTITUTE(SUBSTITUTE(A340,CHAR(9)," "),"　"," "),CHAR(160)," "))</f>
        <v/>
      </c>
      <c r="C340">
        <f>IF(B340="",0,LEN(B340)-LEN(SUBSTITUTE(B340," ",""))+1)</f>
        <v/>
      </c>
      <c r="D340">
        <f>IF(C340&gt;=1,TRIM(MID(SUBSTITUTE(B340," ",REPT(" ",200)),1,200)),"")</f>
        <v/>
      </c>
      <c r="E340">
        <f>IF(C340&gt;=2,TRIM(MID(SUBSTITUTE(B340," ",REPT(" ",200)),201,200)),"")</f>
        <v/>
      </c>
      <c r="F340">
        <f>IF(C340&gt;=3,TRIM(MID(SUBSTITUTE(B340," ",REPT(" ",200)),401,200)),"")</f>
        <v/>
      </c>
      <c r="G340">
        <f>IF(C340&gt;=4,TRIM(MID(SUBSTITUTE(B340," ",REPT(" ",200)),601,200)),"")</f>
        <v/>
      </c>
      <c r="H340">
        <f>IF(C340&gt;=5,TRIM(MID(SUBSTITUTE(B340," ",REPT(" ",200)),801,200)),"")</f>
        <v/>
      </c>
      <c r="I340">
        <f>IF(C340&gt;=6,TRIM(MID(SUBSTITUTE(B340," ",REPT(" ",200)),1001,200)),"")</f>
        <v/>
      </c>
      <c r="J340">
        <f>IF(C340&gt;=7,TRIM(MID(SUBSTITUTE(B340," ",REPT(" ",200)),1201,200)),"")</f>
        <v/>
      </c>
      <c r="K340">
        <f>IF(C340&gt;=8,TRIM(MID(SUBSTITUTE(B340," ",REPT(" ",200)),1401,200)),"")</f>
        <v/>
      </c>
      <c r="L340">
        <f>SUBSTITUTE(SUBSTITUTE(SUBSTITUTE(D340,"年","-"),"組","-"),"番","")</f>
        <v/>
      </c>
      <c r="M340">
        <f>IF(D340="",0,IF(ISNUMBER(VALUE(SUBSTITUTE(L340,"-",""))),1,0))</f>
        <v/>
      </c>
      <c r="N340">
        <f>IF(M340=0,"",IFERROR(VALUE(TRIM(MID(SUBSTITUTE(L340,"-",REPT(" ",100)),101,100))),""))</f>
        <v/>
      </c>
      <c r="O340">
        <f>IF(M340=0,"",IFERROR(VALUE(TRIM(RIGHT(SUBSTITUTE(L340,"-",REPT(" ",100)),100))),""))</f>
        <v/>
      </c>
      <c r="P340">
        <f>IF(B340="","",TRIM(INDEX($D340:$K340,IF(M340=1,2,1))&amp;IF(AD340&gt;=2," "&amp;INDEX($D340:$K340,IF(M340=1,2,1)+1),"")&amp;IF(AD340&gt;=3," "&amp;INDEX($D340:$K340,IF(M340=1,2,1)+2),"")))</f>
        <v/>
      </c>
      <c r="Q340">
        <f>IF(C340&lt;2,"",TRIM(IF(AND(2&gt;=(IF(M340=1,2,1)+AD340),2&lt;=C340-IF(S340="",0,1)),E340&amp;" ","")&amp;IF(AND(3&gt;=(IF(M340=1,2,1)+AD340),3&lt;=C340-IF(S340="",0,1)),F340&amp;" ","")&amp;IF(AND(4&gt;=(IF(M340=1,2,1)+AD340),4&lt;=C340-IF(S340="",0,1)),G340&amp;" ","")&amp;IF(AND(5&gt;=(IF(M340=1,2,1)+AD340),5&lt;=C340-IF(S340="",0,1)),H340&amp;" ","")&amp;IF(AND(6&gt;=(IF(M340=1,2,1)+AD340),6&lt;=C340-IF(S340="",0,1)),I340&amp;" ","")&amp;IF(AND(7&gt;=(IF(M340=1,2,1)+AD340),7&lt;=C340-IF(S340="",0,1)),J340&amp;" ","")&amp;IF(AND(8&gt;=(IF(M340=1,2,1)+AD340),8&lt;=C340-IF(S340="",0,1)),K340&amp;" ","")))</f>
        <v/>
      </c>
      <c r="R340">
        <f>IF(Q340="","",IFERROR(INDEX(資格マスタ!$B:$B,MATCH(ASC(SUBSTITUTE(SUBSTITUTE(Q340," ",""),"　","")),資格マスタ!$D:$D,0)),Q340))</f>
        <v/>
      </c>
      <c r="S340" s="139">
        <f>IF(C340&lt;2,"",IFERROR(IF(OR(LEFT(INDEX(D340:K340,MIN(8,MAX(1,C340))),2)="令和",LEFT(INDEX(D340:K340,MIN(8,MAX(1,C340))),2)="平成",LEFT(INDEX(D340:K340,MIN(8,MAX(1,C340))),2)="昭和"),DATE(VALUE(MID(INDEX(D340:K340,MIN(8,MAX(1,C340))),3,FIND("年",INDEX(D340:K340,MIN(8,MAX(1,C340))))-3))+IF(LEFT(INDEX(D340:K340,MIN(8,MAX(1,C340))),2)="令和",2018,IF(LEFT(INDEX(D340:K340,MIN(8,MAX(1,C340))),2)="平成",1988,1925)),VALUE(MID(INDEX(D340:K340,MIN(8,MAX(1,C340))),FIND("年",INDEX(D340:K340,MIN(8,MAX(1,C340))))+1,FIND("月",INDEX(D340:K340,MIN(8,MAX(1,C340))))-FIND("年",INDEX(D340:K340,MIN(8,MAX(1,C340))))-1)),IFERROR(VALUE(SUBSTITUTE(MID(INDEX(D340:K340,MIN(8,MAX(1,C340))),FIND("月",INDEX(D340:K340,MIN(8,MAX(1,C340))))+1,10),"日","")),1)),DATE(VALUE(TRIM(MID(SUBSTITUTE(AA340,"/",REPT(" ",50)),1,50))),VALUE(TRIM(MID(SUBSTITUTE(AA340,"/",REPT(" ",50)),51,50))),IFERROR(VALUE(TRIM(MID(SUBSTITUTE(AA340,"/",REPT(" ",50)),101,50))),1))),IFERROR(DATEVALUE(INDEX(D340:K340,MIN(8,MAX(1,C340)))),"")))</f>
        <v/>
      </c>
      <c r="T340">
        <f>IF(B340="","",IF(AB340&lt;&gt;"",AB340,IFERROR(MATCH(SUBSTITUTE(SUBSTITUTE(P340," ",""),"　",""),入力!$AH$5:$AH$44,0),"")))</f>
        <v/>
      </c>
      <c r="U340">
        <f>IF(T340="","",INDEX(入力!$D$5:$D$44,T340))</f>
        <v/>
      </c>
      <c r="V340">
        <f>IF(B340="","",IF(T340="","要確認（名簿と照合できません）",IF(R340="","要確認（資格名がありません）",IF(S340="","要確認（取得日が読めません）",IF((IF(INDEX(入力!$N$5:$N$44,T340)=R340,1,0)+IF(INDEX(入力!$P$5:$P$44,T340)=R340,1,0)+IF(INDEX(入力!$R$5:$R$44,T340)=R340,1,0)+IF(INDEX(入力!$T$5:$T$44,T340)=R340,1,0)+IF(INDEX(入力!$V$5:$V$44,T340)=R340,1,0)+IF(INDEX(入力!$X$5:$X$44,T340)=R340,1,0))+(COUNTIFS($T$6:$T$405,T340,$R$6:$R$405,R340,$X$6:$X$405,"&lt;"&amp;X340))&gt;0,"重複","反映")))))</f>
        <v/>
      </c>
      <c r="W340">
        <f>IF(V340="反映",1,0)</f>
        <v/>
      </c>
      <c r="X340" t="n">
        <v>340</v>
      </c>
      <c r="Y340">
        <f>IF(W340=0,"",COUNTIFS($T$6:$T$405,T340,$W$6:$W$405,1,$S$6:$S$405,"&lt;"&amp;S340)+COUNTIFS($T$6:$T$405,T340,$W$6:$W$405,1,$S$6:$S$405,S340,$X$6:$X$405,"&lt;"&amp;X340)+1)</f>
        <v/>
      </c>
      <c r="Z340">
        <f>IF(Y340="","",T340&amp;"_"&amp;Y340)</f>
        <v/>
      </c>
      <c r="AA340">
        <f>SUBSTITUTE(SUBSTITUTE(SUBSTITUTE(SUBSTITUTE(SUBSTITUTE(INDEX(D340:K340,MIN(8,MAX(1,C340))),"年","/"),"月","/"),"日",""),"-","/"),".","/")</f>
        <v/>
      </c>
      <c r="AB340">
        <f>IFERROR(MATCH(O340,入力!$C$5:$C$44,0),"")</f>
        <v/>
      </c>
      <c r="AC340">
        <f>IF(AB340="","",INDEX(入力!$AH$5:$AH$44,AB340))</f>
        <v/>
      </c>
      <c r="AD340">
        <f>IF(INDEX($D340:$K340,IF(M340=1,2,1))=AC340,1,IF(INDEX($D340:$K340,IF(M340=1,2,1))&amp;INDEX($D340:$K340,IF(M340=1,2,1)+1)=AC340,2,IF(INDEX($D340:$K340,IF(M340=1,2,1))&amp;INDEX($D340:$K340,IF(M340=1,2,1)+1)&amp;INDEX($D340:$K340,IF(M340=1,2,1)+2)=AC340,3,IF(AB340&lt;&gt;"",2,IF(ISNUMBER(MATCH(INDEX($D340:$K340,IF(M340=1,2,1)),入力!$AH$5:$AH$44,0)),1,IF(ISNUMBER(MATCH(INDEX($D340:$K340,IF(M340=1,2,1))&amp;INDEX($D340:$K340,IF(M340=1,2,1)+1),入力!$AH$5:$AH$44,0)),2,IF(ISNUMBER(MATCH(INDEX($D340:$K340,IF(M340=1,2,1))&amp;INDEX($D340:$K340,IF(M340=1,2,1)+1)&amp;INDEX($D340:$K340,IF(M340=1,2,1)+2),入力!$AH$5:$AH$44,0)),3,2)))))))</f>
        <v/>
      </c>
      <c r="AE340">
        <f>IF(V340="","",IF(AND(V340="反映",N(Y340)&gt;20),"要確認（この生徒の取込が20件を超えました）",V340))</f>
        <v/>
      </c>
    </row>
    <row r="341">
      <c r="A341" s="138" t="n"/>
      <c r="B341">
        <f>TRIM(SUBSTITUTE(SUBSTITUTE(SUBSTITUTE(A341,CHAR(9)," "),"　"," "),CHAR(160)," "))</f>
        <v/>
      </c>
      <c r="C341">
        <f>IF(B341="",0,LEN(B341)-LEN(SUBSTITUTE(B341," ",""))+1)</f>
        <v/>
      </c>
      <c r="D341">
        <f>IF(C341&gt;=1,TRIM(MID(SUBSTITUTE(B341," ",REPT(" ",200)),1,200)),"")</f>
        <v/>
      </c>
      <c r="E341">
        <f>IF(C341&gt;=2,TRIM(MID(SUBSTITUTE(B341," ",REPT(" ",200)),201,200)),"")</f>
        <v/>
      </c>
      <c r="F341">
        <f>IF(C341&gt;=3,TRIM(MID(SUBSTITUTE(B341," ",REPT(" ",200)),401,200)),"")</f>
        <v/>
      </c>
      <c r="G341">
        <f>IF(C341&gt;=4,TRIM(MID(SUBSTITUTE(B341," ",REPT(" ",200)),601,200)),"")</f>
        <v/>
      </c>
      <c r="H341">
        <f>IF(C341&gt;=5,TRIM(MID(SUBSTITUTE(B341," ",REPT(" ",200)),801,200)),"")</f>
        <v/>
      </c>
      <c r="I341">
        <f>IF(C341&gt;=6,TRIM(MID(SUBSTITUTE(B341," ",REPT(" ",200)),1001,200)),"")</f>
        <v/>
      </c>
      <c r="J341">
        <f>IF(C341&gt;=7,TRIM(MID(SUBSTITUTE(B341," ",REPT(" ",200)),1201,200)),"")</f>
        <v/>
      </c>
      <c r="K341">
        <f>IF(C341&gt;=8,TRIM(MID(SUBSTITUTE(B341," ",REPT(" ",200)),1401,200)),"")</f>
        <v/>
      </c>
      <c r="L341">
        <f>SUBSTITUTE(SUBSTITUTE(SUBSTITUTE(D341,"年","-"),"組","-"),"番","")</f>
        <v/>
      </c>
      <c r="M341">
        <f>IF(D341="",0,IF(ISNUMBER(VALUE(SUBSTITUTE(L341,"-",""))),1,0))</f>
        <v/>
      </c>
      <c r="N341">
        <f>IF(M341=0,"",IFERROR(VALUE(TRIM(MID(SUBSTITUTE(L341,"-",REPT(" ",100)),101,100))),""))</f>
        <v/>
      </c>
      <c r="O341">
        <f>IF(M341=0,"",IFERROR(VALUE(TRIM(RIGHT(SUBSTITUTE(L341,"-",REPT(" ",100)),100))),""))</f>
        <v/>
      </c>
      <c r="P341">
        <f>IF(B341="","",TRIM(INDEX($D341:$K341,IF(M341=1,2,1))&amp;IF(AD341&gt;=2," "&amp;INDEX($D341:$K341,IF(M341=1,2,1)+1),"")&amp;IF(AD341&gt;=3," "&amp;INDEX($D341:$K341,IF(M341=1,2,1)+2),"")))</f>
        <v/>
      </c>
      <c r="Q341">
        <f>IF(C341&lt;2,"",TRIM(IF(AND(2&gt;=(IF(M341=1,2,1)+AD341),2&lt;=C341-IF(S341="",0,1)),E341&amp;" ","")&amp;IF(AND(3&gt;=(IF(M341=1,2,1)+AD341),3&lt;=C341-IF(S341="",0,1)),F341&amp;" ","")&amp;IF(AND(4&gt;=(IF(M341=1,2,1)+AD341),4&lt;=C341-IF(S341="",0,1)),G341&amp;" ","")&amp;IF(AND(5&gt;=(IF(M341=1,2,1)+AD341),5&lt;=C341-IF(S341="",0,1)),H341&amp;" ","")&amp;IF(AND(6&gt;=(IF(M341=1,2,1)+AD341),6&lt;=C341-IF(S341="",0,1)),I341&amp;" ","")&amp;IF(AND(7&gt;=(IF(M341=1,2,1)+AD341),7&lt;=C341-IF(S341="",0,1)),J341&amp;" ","")&amp;IF(AND(8&gt;=(IF(M341=1,2,1)+AD341),8&lt;=C341-IF(S341="",0,1)),K341&amp;" ","")))</f>
        <v/>
      </c>
      <c r="R341">
        <f>IF(Q341="","",IFERROR(INDEX(資格マスタ!$B:$B,MATCH(ASC(SUBSTITUTE(SUBSTITUTE(Q341," ",""),"　","")),資格マスタ!$D:$D,0)),Q341))</f>
        <v/>
      </c>
      <c r="S341" s="139">
        <f>IF(C341&lt;2,"",IFERROR(IF(OR(LEFT(INDEX(D341:K341,MIN(8,MAX(1,C341))),2)="令和",LEFT(INDEX(D341:K341,MIN(8,MAX(1,C341))),2)="平成",LEFT(INDEX(D341:K341,MIN(8,MAX(1,C341))),2)="昭和"),DATE(VALUE(MID(INDEX(D341:K341,MIN(8,MAX(1,C341))),3,FIND("年",INDEX(D341:K341,MIN(8,MAX(1,C341))))-3))+IF(LEFT(INDEX(D341:K341,MIN(8,MAX(1,C341))),2)="令和",2018,IF(LEFT(INDEX(D341:K341,MIN(8,MAX(1,C341))),2)="平成",1988,1925)),VALUE(MID(INDEX(D341:K341,MIN(8,MAX(1,C341))),FIND("年",INDEX(D341:K341,MIN(8,MAX(1,C341))))+1,FIND("月",INDEX(D341:K341,MIN(8,MAX(1,C341))))-FIND("年",INDEX(D341:K341,MIN(8,MAX(1,C341))))-1)),IFERROR(VALUE(SUBSTITUTE(MID(INDEX(D341:K341,MIN(8,MAX(1,C341))),FIND("月",INDEX(D341:K341,MIN(8,MAX(1,C341))))+1,10),"日","")),1)),DATE(VALUE(TRIM(MID(SUBSTITUTE(AA341,"/",REPT(" ",50)),1,50))),VALUE(TRIM(MID(SUBSTITUTE(AA341,"/",REPT(" ",50)),51,50))),IFERROR(VALUE(TRIM(MID(SUBSTITUTE(AA341,"/",REPT(" ",50)),101,50))),1))),IFERROR(DATEVALUE(INDEX(D341:K341,MIN(8,MAX(1,C341)))),"")))</f>
        <v/>
      </c>
      <c r="T341">
        <f>IF(B341="","",IF(AB341&lt;&gt;"",AB341,IFERROR(MATCH(SUBSTITUTE(SUBSTITUTE(P341," ",""),"　",""),入力!$AH$5:$AH$44,0),"")))</f>
        <v/>
      </c>
      <c r="U341">
        <f>IF(T341="","",INDEX(入力!$D$5:$D$44,T341))</f>
        <v/>
      </c>
      <c r="V341">
        <f>IF(B341="","",IF(T341="","要確認（名簿と照合できません）",IF(R341="","要確認（資格名がありません）",IF(S341="","要確認（取得日が読めません）",IF((IF(INDEX(入力!$N$5:$N$44,T341)=R341,1,0)+IF(INDEX(入力!$P$5:$P$44,T341)=R341,1,0)+IF(INDEX(入力!$R$5:$R$44,T341)=R341,1,0)+IF(INDEX(入力!$T$5:$T$44,T341)=R341,1,0)+IF(INDEX(入力!$V$5:$V$44,T341)=R341,1,0)+IF(INDEX(入力!$X$5:$X$44,T341)=R341,1,0))+(COUNTIFS($T$6:$T$405,T341,$R$6:$R$405,R341,$X$6:$X$405,"&lt;"&amp;X341))&gt;0,"重複","反映")))))</f>
        <v/>
      </c>
      <c r="W341">
        <f>IF(V341="反映",1,0)</f>
        <v/>
      </c>
      <c r="X341" t="n">
        <v>341</v>
      </c>
      <c r="Y341">
        <f>IF(W341=0,"",COUNTIFS($T$6:$T$405,T341,$W$6:$W$405,1,$S$6:$S$405,"&lt;"&amp;S341)+COUNTIFS($T$6:$T$405,T341,$W$6:$W$405,1,$S$6:$S$405,S341,$X$6:$X$405,"&lt;"&amp;X341)+1)</f>
        <v/>
      </c>
      <c r="Z341">
        <f>IF(Y341="","",T341&amp;"_"&amp;Y341)</f>
        <v/>
      </c>
      <c r="AA341">
        <f>SUBSTITUTE(SUBSTITUTE(SUBSTITUTE(SUBSTITUTE(SUBSTITUTE(INDEX(D341:K341,MIN(8,MAX(1,C341))),"年","/"),"月","/"),"日",""),"-","/"),".","/")</f>
        <v/>
      </c>
      <c r="AB341">
        <f>IFERROR(MATCH(O341,入力!$C$5:$C$44,0),"")</f>
        <v/>
      </c>
      <c r="AC341">
        <f>IF(AB341="","",INDEX(入力!$AH$5:$AH$44,AB341))</f>
        <v/>
      </c>
      <c r="AD341">
        <f>IF(INDEX($D341:$K341,IF(M341=1,2,1))=AC341,1,IF(INDEX($D341:$K341,IF(M341=1,2,1))&amp;INDEX($D341:$K341,IF(M341=1,2,1)+1)=AC341,2,IF(INDEX($D341:$K341,IF(M341=1,2,1))&amp;INDEX($D341:$K341,IF(M341=1,2,1)+1)&amp;INDEX($D341:$K341,IF(M341=1,2,1)+2)=AC341,3,IF(AB341&lt;&gt;"",2,IF(ISNUMBER(MATCH(INDEX($D341:$K341,IF(M341=1,2,1)),入力!$AH$5:$AH$44,0)),1,IF(ISNUMBER(MATCH(INDEX($D341:$K341,IF(M341=1,2,1))&amp;INDEX($D341:$K341,IF(M341=1,2,1)+1),入力!$AH$5:$AH$44,0)),2,IF(ISNUMBER(MATCH(INDEX($D341:$K341,IF(M341=1,2,1))&amp;INDEX($D341:$K341,IF(M341=1,2,1)+1)&amp;INDEX($D341:$K341,IF(M341=1,2,1)+2),入力!$AH$5:$AH$44,0)),3,2)))))))</f>
        <v/>
      </c>
      <c r="AE341">
        <f>IF(V341="","",IF(AND(V341="反映",N(Y341)&gt;20),"要確認（この生徒の取込が20件を超えました）",V341))</f>
        <v/>
      </c>
    </row>
    <row r="342">
      <c r="A342" s="138" t="n"/>
      <c r="B342">
        <f>TRIM(SUBSTITUTE(SUBSTITUTE(SUBSTITUTE(A342,CHAR(9)," "),"　"," "),CHAR(160)," "))</f>
        <v/>
      </c>
      <c r="C342">
        <f>IF(B342="",0,LEN(B342)-LEN(SUBSTITUTE(B342," ",""))+1)</f>
        <v/>
      </c>
      <c r="D342">
        <f>IF(C342&gt;=1,TRIM(MID(SUBSTITUTE(B342," ",REPT(" ",200)),1,200)),"")</f>
        <v/>
      </c>
      <c r="E342">
        <f>IF(C342&gt;=2,TRIM(MID(SUBSTITUTE(B342," ",REPT(" ",200)),201,200)),"")</f>
        <v/>
      </c>
      <c r="F342">
        <f>IF(C342&gt;=3,TRIM(MID(SUBSTITUTE(B342," ",REPT(" ",200)),401,200)),"")</f>
        <v/>
      </c>
      <c r="G342">
        <f>IF(C342&gt;=4,TRIM(MID(SUBSTITUTE(B342," ",REPT(" ",200)),601,200)),"")</f>
        <v/>
      </c>
      <c r="H342">
        <f>IF(C342&gt;=5,TRIM(MID(SUBSTITUTE(B342," ",REPT(" ",200)),801,200)),"")</f>
        <v/>
      </c>
      <c r="I342">
        <f>IF(C342&gt;=6,TRIM(MID(SUBSTITUTE(B342," ",REPT(" ",200)),1001,200)),"")</f>
        <v/>
      </c>
      <c r="J342">
        <f>IF(C342&gt;=7,TRIM(MID(SUBSTITUTE(B342," ",REPT(" ",200)),1201,200)),"")</f>
        <v/>
      </c>
      <c r="K342">
        <f>IF(C342&gt;=8,TRIM(MID(SUBSTITUTE(B342," ",REPT(" ",200)),1401,200)),"")</f>
        <v/>
      </c>
      <c r="L342">
        <f>SUBSTITUTE(SUBSTITUTE(SUBSTITUTE(D342,"年","-"),"組","-"),"番","")</f>
        <v/>
      </c>
      <c r="M342">
        <f>IF(D342="",0,IF(ISNUMBER(VALUE(SUBSTITUTE(L342,"-",""))),1,0))</f>
        <v/>
      </c>
      <c r="N342">
        <f>IF(M342=0,"",IFERROR(VALUE(TRIM(MID(SUBSTITUTE(L342,"-",REPT(" ",100)),101,100))),""))</f>
        <v/>
      </c>
      <c r="O342">
        <f>IF(M342=0,"",IFERROR(VALUE(TRIM(RIGHT(SUBSTITUTE(L342,"-",REPT(" ",100)),100))),""))</f>
        <v/>
      </c>
      <c r="P342">
        <f>IF(B342="","",TRIM(INDEX($D342:$K342,IF(M342=1,2,1))&amp;IF(AD342&gt;=2," "&amp;INDEX($D342:$K342,IF(M342=1,2,1)+1),"")&amp;IF(AD342&gt;=3," "&amp;INDEX($D342:$K342,IF(M342=1,2,1)+2),"")))</f>
        <v/>
      </c>
      <c r="Q342">
        <f>IF(C342&lt;2,"",TRIM(IF(AND(2&gt;=(IF(M342=1,2,1)+AD342),2&lt;=C342-IF(S342="",0,1)),E342&amp;" ","")&amp;IF(AND(3&gt;=(IF(M342=1,2,1)+AD342),3&lt;=C342-IF(S342="",0,1)),F342&amp;" ","")&amp;IF(AND(4&gt;=(IF(M342=1,2,1)+AD342),4&lt;=C342-IF(S342="",0,1)),G342&amp;" ","")&amp;IF(AND(5&gt;=(IF(M342=1,2,1)+AD342),5&lt;=C342-IF(S342="",0,1)),H342&amp;" ","")&amp;IF(AND(6&gt;=(IF(M342=1,2,1)+AD342),6&lt;=C342-IF(S342="",0,1)),I342&amp;" ","")&amp;IF(AND(7&gt;=(IF(M342=1,2,1)+AD342),7&lt;=C342-IF(S342="",0,1)),J342&amp;" ","")&amp;IF(AND(8&gt;=(IF(M342=1,2,1)+AD342),8&lt;=C342-IF(S342="",0,1)),K342&amp;" ","")))</f>
        <v/>
      </c>
      <c r="R342">
        <f>IF(Q342="","",IFERROR(INDEX(資格マスタ!$B:$B,MATCH(ASC(SUBSTITUTE(SUBSTITUTE(Q342," ",""),"　","")),資格マスタ!$D:$D,0)),Q342))</f>
        <v/>
      </c>
      <c r="S342" s="139">
        <f>IF(C342&lt;2,"",IFERROR(IF(OR(LEFT(INDEX(D342:K342,MIN(8,MAX(1,C342))),2)="令和",LEFT(INDEX(D342:K342,MIN(8,MAX(1,C342))),2)="平成",LEFT(INDEX(D342:K342,MIN(8,MAX(1,C342))),2)="昭和"),DATE(VALUE(MID(INDEX(D342:K342,MIN(8,MAX(1,C342))),3,FIND("年",INDEX(D342:K342,MIN(8,MAX(1,C342))))-3))+IF(LEFT(INDEX(D342:K342,MIN(8,MAX(1,C342))),2)="令和",2018,IF(LEFT(INDEX(D342:K342,MIN(8,MAX(1,C342))),2)="平成",1988,1925)),VALUE(MID(INDEX(D342:K342,MIN(8,MAX(1,C342))),FIND("年",INDEX(D342:K342,MIN(8,MAX(1,C342))))+1,FIND("月",INDEX(D342:K342,MIN(8,MAX(1,C342))))-FIND("年",INDEX(D342:K342,MIN(8,MAX(1,C342))))-1)),IFERROR(VALUE(SUBSTITUTE(MID(INDEX(D342:K342,MIN(8,MAX(1,C342))),FIND("月",INDEX(D342:K342,MIN(8,MAX(1,C342))))+1,10),"日","")),1)),DATE(VALUE(TRIM(MID(SUBSTITUTE(AA342,"/",REPT(" ",50)),1,50))),VALUE(TRIM(MID(SUBSTITUTE(AA342,"/",REPT(" ",50)),51,50))),IFERROR(VALUE(TRIM(MID(SUBSTITUTE(AA342,"/",REPT(" ",50)),101,50))),1))),IFERROR(DATEVALUE(INDEX(D342:K342,MIN(8,MAX(1,C342)))),"")))</f>
        <v/>
      </c>
      <c r="T342">
        <f>IF(B342="","",IF(AB342&lt;&gt;"",AB342,IFERROR(MATCH(SUBSTITUTE(SUBSTITUTE(P342," ",""),"　",""),入力!$AH$5:$AH$44,0),"")))</f>
        <v/>
      </c>
      <c r="U342">
        <f>IF(T342="","",INDEX(入力!$D$5:$D$44,T342))</f>
        <v/>
      </c>
      <c r="V342">
        <f>IF(B342="","",IF(T342="","要確認（名簿と照合できません）",IF(R342="","要確認（資格名がありません）",IF(S342="","要確認（取得日が読めません）",IF((IF(INDEX(入力!$N$5:$N$44,T342)=R342,1,0)+IF(INDEX(入力!$P$5:$P$44,T342)=R342,1,0)+IF(INDEX(入力!$R$5:$R$44,T342)=R342,1,0)+IF(INDEX(入力!$T$5:$T$44,T342)=R342,1,0)+IF(INDEX(入力!$V$5:$V$44,T342)=R342,1,0)+IF(INDEX(入力!$X$5:$X$44,T342)=R342,1,0))+(COUNTIFS($T$6:$T$405,T342,$R$6:$R$405,R342,$X$6:$X$405,"&lt;"&amp;X342))&gt;0,"重複","反映")))))</f>
        <v/>
      </c>
      <c r="W342">
        <f>IF(V342="反映",1,0)</f>
        <v/>
      </c>
      <c r="X342" t="n">
        <v>342</v>
      </c>
      <c r="Y342">
        <f>IF(W342=0,"",COUNTIFS($T$6:$T$405,T342,$W$6:$W$405,1,$S$6:$S$405,"&lt;"&amp;S342)+COUNTIFS($T$6:$T$405,T342,$W$6:$W$405,1,$S$6:$S$405,S342,$X$6:$X$405,"&lt;"&amp;X342)+1)</f>
        <v/>
      </c>
      <c r="Z342">
        <f>IF(Y342="","",T342&amp;"_"&amp;Y342)</f>
        <v/>
      </c>
      <c r="AA342">
        <f>SUBSTITUTE(SUBSTITUTE(SUBSTITUTE(SUBSTITUTE(SUBSTITUTE(INDEX(D342:K342,MIN(8,MAX(1,C342))),"年","/"),"月","/"),"日",""),"-","/"),".","/")</f>
        <v/>
      </c>
      <c r="AB342">
        <f>IFERROR(MATCH(O342,入力!$C$5:$C$44,0),"")</f>
        <v/>
      </c>
      <c r="AC342">
        <f>IF(AB342="","",INDEX(入力!$AH$5:$AH$44,AB342))</f>
        <v/>
      </c>
      <c r="AD342">
        <f>IF(INDEX($D342:$K342,IF(M342=1,2,1))=AC342,1,IF(INDEX($D342:$K342,IF(M342=1,2,1))&amp;INDEX($D342:$K342,IF(M342=1,2,1)+1)=AC342,2,IF(INDEX($D342:$K342,IF(M342=1,2,1))&amp;INDEX($D342:$K342,IF(M342=1,2,1)+1)&amp;INDEX($D342:$K342,IF(M342=1,2,1)+2)=AC342,3,IF(AB342&lt;&gt;"",2,IF(ISNUMBER(MATCH(INDEX($D342:$K342,IF(M342=1,2,1)),入力!$AH$5:$AH$44,0)),1,IF(ISNUMBER(MATCH(INDEX($D342:$K342,IF(M342=1,2,1))&amp;INDEX($D342:$K342,IF(M342=1,2,1)+1),入力!$AH$5:$AH$44,0)),2,IF(ISNUMBER(MATCH(INDEX($D342:$K342,IF(M342=1,2,1))&amp;INDEX($D342:$K342,IF(M342=1,2,1)+1)&amp;INDEX($D342:$K342,IF(M342=1,2,1)+2),入力!$AH$5:$AH$44,0)),3,2)))))))</f>
        <v/>
      </c>
      <c r="AE342">
        <f>IF(V342="","",IF(AND(V342="反映",N(Y342)&gt;20),"要確認（この生徒の取込が20件を超えました）",V342))</f>
        <v/>
      </c>
    </row>
    <row r="343">
      <c r="A343" s="138" t="n"/>
      <c r="B343">
        <f>TRIM(SUBSTITUTE(SUBSTITUTE(SUBSTITUTE(A343,CHAR(9)," "),"　"," "),CHAR(160)," "))</f>
        <v/>
      </c>
      <c r="C343">
        <f>IF(B343="",0,LEN(B343)-LEN(SUBSTITUTE(B343," ",""))+1)</f>
        <v/>
      </c>
      <c r="D343">
        <f>IF(C343&gt;=1,TRIM(MID(SUBSTITUTE(B343," ",REPT(" ",200)),1,200)),"")</f>
        <v/>
      </c>
      <c r="E343">
        <f>IF(C343&gt;=2,TRIM(MID(SUBSTITUTE(B343," ",REPT(" ",200)),201,200)),"")</f>
        <v/>
      </c>
      <c r="F343">
        <f>IF(C343&gt;=3,TRIM(MID(SUBSTITUTE(B343," ",REPT(" ",200)),401,200)),"")</f>
        <v/>
      </c>
      <c r="G343">
        <f>IF(C343&gt;=4,TRIM(MID(SUBSTITUTE(B343," ",REPT(" ",200)),601,200)),"")</f>
        <v/>
      </c>
      <c r="H343">
        <f>IF(C343&gt;=5,TRIM(MID(SUBSTITUTE(B343," ",REPT(" ",200)),801,200)),"")</f>
        <v/>
      </c>
      <c r="I343">
        <f>IF(C343&gt;=6,TRIM(MID(SUBSTITUTE(B343," ",REPT(" ",200)),1001,200)),"")</f>
        <v/>
      </c>
      <c r="J343">
        <f>IF(C343&gt;=7,TRIM(MID(SUBSTITUTE(B343," ",REPT(" ",200)),1201,200)),"")</f>
        <v/>
      </c>
      <c r="K343">
        <f>IF(C343&gt;=8,TRIM(MID(SUBSTITUTE(B343," ",REPT(" ",200)),1401,200)),"")</f>
        <v/>
      </c>
      <c r="L343">
        <f>SUBSTITUTE(SUBSTITUTE(SUBSTITUTE(D343,"年","-"),"組","-"),"番","")</f>
        <v/>
      </c>
      <c r="M343">
        <f>IF(D343="",0,IF(ISNUMBER(VALUE(SUBSTITUTE(L343,"-",""))),1,0))</f>
        <v/>
      </c>
      <c r="N343">
        <f>IF(M343=0,"",IFERROR(VALUE(TRIM(MID(SUBSTITUTE(L343,"-",REPT(" ",100)),101,100))),""))</f>
        <v/>
      </c>
      <c r="O343">
        <f>IF(M343=0,"",IFERROR(VALUE(TRIM(RIGHT(SUBSTITUTE(L343,"-",REPT(" ",100)),100))),""))</f>
        <v/>
      </c>
      <c r="P343">
        <f>IF(B343="","",TRIM(INDEX($D343:$K343,IF(M343=1,2,1))&amp;IF(AD343&gt;=2," "&amp;INDEX($D343:$K343,IF(M343=1,2,1)+1),"")&amp;IF(AD343&gt;=3," "&amp;INDEX($D343:$K343,IF(M343=1,2,1)+2),"")))</f>
        <v/>
      </c>
      <c r="Q343">
        <f>IF(C343&lt;2,"",TRIM(IF(AND(2&gt;=(IF(M343=1,2,1)+AD343),2&lt;=C343-IF(S343="",0,1)),E343&amp;" ","")&amp;IF(AND(3&gt;=(IF(M343=1,2,1)+AD343),3&lt;=C343-IF(S343="",0,1)),F343&amp;" ","")&amp;IF(AND(4&gt;=(IF(M343=1,2,1)+AD343),4&lt;=C343-IF(S343="",0,1)),G343&amp;" ","")&amp;IF(AND(5&gt;=(IF(M343=1,2,1)+AD343),5&lt;=C343-IF(S343="",0,1)),H343&amp;" ","")&amp;IF(AND(6&gt;=(IF(M343=1,2,1)+AD343),6&lt;=C343-IF(S343="",0,1)),I343&amp;" ","")&amp;IF(AND(7&gt;=(IF(M343=1,2,1)+AD343),7&lt;=C343-IF(S343="",0,1)),J343&amp;" ","")&amp;IF(AND(8&gt;=(IF(M343=1,2,1)+AD343),8&lt;=C343-IF(S343="",0,1)),K343&amp;" ","")))</f>
        <v/>
      </c>
      <c r="R343">
        <f>IF(Q343="","",IFERROR(INDEX(資格マスタ!$B:$B,MATCH(ASC(SUBSTITUTE(SUBSTITUTE(Q343," ",""),"　","")),資格マスタ!$D:$D,0)),Q343))</f>
        <v/>
      </c>
      <c r="S343" s="139">
        <f>IF(C343&lt;2,"",IFERROR(IF(OR(LEFT(INDEX(D343:K343,MIN(8,MAX(1,C343))),2)="令和",LEFT(INDEX(D343:K343,MIN(8,MAX(1,C343))),2)="平成",LEFT(INDEX(D343:K343,MIN(8,MAX(1,C343))),2)="昭和"),DATE(VALUE(MID(INDEX(D343:K343,MIN(8,MAX(1,C343))),3,FIND("年",INDEX(D343:K343,MIN(8,MAX(1,C343))))-3))+IF(LEFT(INDEX(D343:K343,MIN(8,MAX(1,C343))),2)="令和",2018,IF(LEFT(INDEX(D343:K343,MIN(8,MAX(1,C343))),2)="平成",1988,1925)),VALUE(MID(INDEX(D343:K343,MIN(8,MAX(1,C343))),FIND("年",INDEX(D343:K343,MIN(8,MAX(1,C343))))+1,FIND("月",INDEX(D343:K343,MIN(8,MAX(1,C343))))-FIND("年",INDEX(D343:K343,MIN(8,MAX(1,C343))))-1)),IFERROR(VALUE(SUBSTITUTE(MID(INDEX(D343:K343,MIN(8,MAX(1,C343))),FIND("月",INDEX(D343:K343,MIN(8,MAX(1,C343))))+1,10),"日","")),1)),DATE(VALUE(TRIM(MID(SUBSTITUTE(AA343,"/",REPT(" ",50)),1,50))),VALUE(TRIM(MID(SUBSTITUTE(AA343,"/",REPT(" ",50)),51,50))),IFERROR(VALUE(TRIM(MID(SUBSTITUTE(AA343,"/",REPT(" ",50)),101,50))),1))),IFERROR(DATEVALUE(INDEX(D343:K343,MIN(8,MAX(1,C343)))),"")))</f>
        <v/>
      </c>
      <c r="T343">
        <f>IF(B343="","",IF(AB343&lt;&gt;"",AB343,IFERROR(MATCH(SUBSTITUTE(SUBSTITUTE(P343," ",""),"　",""),入力!$AH$5:$AH$44,0),"")))</f>
        <v/>
      </c>
      <c r="U343">
        <f>IF(T343="","",INDEX(入力!$D$5:$D$44,T343))</f>
        <v/>
      </c>
      <c r="V343">
        <f>IF(B343="","",IF(T343="","要確認（名簿と照合できません）",IF(R343="","要確認（資格名がありません）",IF(S343="","要確認（取得日が読めません）",IF((IF(INDEX(入力!$N$5:$N$44,T343)=R343,1,0)+IF(INDEX(入力!$P$5:$P$44,T343)=R343,1,0)+IF(INDEX(入力!$R$5:$R$44,T343)=R343,1,0)+IF(INDEX(入力!$T$5:$T$44,T343)=R343,1,0)+IF(INDEX(入力!$V$5:$V$44,T343)=R343,1,0)+IF(INDEX(入力!$X$5:$X$44,T343)=R343,1,0))+(COUNTIFS($T$6:$T$405,T343,$R$6:$R$405,R343,$X$6:$X$405,"&lt;"&amp;X343))&gt;0,"重複","反映")))))</f>
        <v/>
      </c>
      <c r="W343">
        <f>IF(V343="反映",1,0)</f>
        <v/>
      </c>
      <c r="X343" t="n">
        <v>343</v>
      </c>
      <c r="Y343">
        <f>IF(W343=0,"",COUNTIFS($T$6:$T$405,T343,$W$6:$W$405,1,$S$6:$S$405,"&lt;"&amp;S343)+COUNTIFS($T$6:$T$405,T343,$W$6:$W$405,1,$S$6:$S$405,S343,$X$6:$X$405,"&lt;"&amp;X343)+1)</f>
        <v/>
      </c>
      <c r="Z343">
        <f>IF(Y343="","",T343&amp;"_"&amp;Y343)</f>
        <v/>
      </c>
      <c r="AA343">
        <f>SUBSTITUTE(SUBSTITUTE(SUBSTITUTE(SUBSTITUTE(SUBSTITUTE(INDEX(D343:K343,MIN(8,MAX(1,C343))),"年","/"),"月","/"),"日",""),"-","/"),".","/")</f>
        <v/>
      </c>
      <c r="AB343">
        <f>IFERROR(MATCH(O343,入力!$C$5:$C$44,0),"")</f>
        <v/>
      </c>
      <c r="AC343">
        <f>IF(AB343="","",INDEX(入力!$AH$5:$AH$44,AB343))</f>
        <v/>
      </c>
      <c r="AD343">
        <f>IF(INDEX($D343:$K343,IF(M343=1,2,1))=AC343,1,IF(INDEX($D343:$K343,IF(M343=1,2,1))&amp;INDEX($D343:$K343,IF(M343=1,2,1)+1)=AC343,2,IF(INDEX($D343:$K343,IF(M343=1,2,1))&amp;INDEX($D343:$K343,IF(M343=1,2,1)+1)&amp;INDEX($D343:$K343,IF(M343=1,2,1)+2)=AC343,3,IF(AB343&lt;&gt;"",2,IF(ISNUMBER(MATCH(INDEX($D343:$K343,IF(M343=1,2,1)),入力!$AH$5:$AH$44,0)),1,IF(ISNUMBER(MATCH(INDEX($D343:$K343,IF(M343=1,2,1))&amp;INDEX($D343:$K343,IF(M343=1,2,1)+1),入力!$AH$5:$AH$44,0)),2,IF(ISNUMBER(MATCH(INDEX($D343:$K343,IF(M343=1,2,1))&amp;INDEX($D343:$K343,IF(M343=1,2,1)+1)&amp;INDEX($D343:$K343,IF(M343=1,2,1)+2),入力!$AH$5:$AH$44,0)),3,2)))))))</f>
        <v/>
      </c>
      <c r="AE343">
        <f>IF(V343="","",IF(AND(V343="反映",N(Y343)&gt;20),"要確認（この生徒の取込が20件を超えました）",V343))</f>
        <v/>
      </c>
    </row>
    <row r="344">
      <c r="A344" s="138" t="n"/>
      <c r="B344">
        <f>TRIM(SUBSTITUTE(SUBSTITUTE(SUBSTITUTE(A344,CHAR(9)," "),"　"," "),CHAR(160)," "))</f>
        <v/>
      </c>
      <c r="C344">
        <f>IF(B344="",0,LEN(B344)-LEN(SUBSTITUTE(B344," ",""))+1)</f>
        <v/>
      </c>
      <c r="D344">
        <f>IF(C344&gt;=1,TRIM(MID(SUBSTITUTE(B344," ",REPT(" ",200)),1,200)),"")</f>
        <v/>
      </c>
      <c r="E344">
        <f>IF(C344&gt;=2,TRIM(MID(SUBSTITUTE(B344," ",REPT(" ",200)),201,200)),"")</f>
        <v/>
      </c>
      <c r="F344">
        <f>IF(C344&gt;=3,TRIM(MID(SUBSTITUTE(B344," ",REPT(" ",200)),401,200)),"")</f>
        <v/>
      </c>
      <c r="G344">
        <f>IF(C344&gt;=4,TRIM(MID(SUBSTITUTE(B344," ",REPT(" ",200)),601,200)),"")</f>
        <v/>
      </c>
      <c r="H344">
        <f>IF(C344&gt;=5,TRIM(MID(SUBSTITUTE(B344," ",REPT(" ",200)),801,200)),"")</f>
        <v/>
      </c>
      <c r="I344">
        <f>IF(C344&gt;=6,TRIM(MID(SUBSTITUTE(B344," ",REPT(" ",200)),1001,200)),"")</f>
        <v/>
      </c>
      <c r="J344">
        <f>IF(C344&gt;=7,TRIM(MID(SUBSTITUTE(B344," ",REPT(" ",200)),1201,200)),"")</f>
        <v/>
      </c>
      <c r="K344">
        <f>IF(C344&gt;=8,TRIM(MID(SUBSTITUTE(B344," ",REPT(" ",200)),1401,200)),"")</f>
        <v/>
      </c>
      <c r="L344">
        <f>SUBSTITUTE(SUBSTITUTE(SUBSTITUTE(D344,"年","-"),"組","-"),"番","")</f>
        <v/>
      </c>
      <c r="M344">
        <f>IF(D344="",0,IF(ISNUMBER(VALUE(SUBSTITUTE(L344,"-",""))),1,0))</f>
        <v/>
      </c>
      <c r="N344">
        <f>IF(M344=0,"",IFERROR(VALUE(TRIM(MID(SUBSTITUTE(L344,"-",REPT(" ",100)),101,100))),""))</f>
        <v/>
      </c>
      <c r="O344">
        <f>IF(M344=0,"",IFERROR(VALUE(TRIM(RIGHT(SUBSTITUTE(L344,"-",REPT(" ",100)),100))),""))</f>
        <v/>
      </c>
      <c r="P344">
        <f>IF(B344="","",TRIM(INDEX($D344:$K344,IF(M344=1,2,1))&amp;IF(AD344&gt;=2," "&amp;INDEX($D344:$K344,IF(M344=1,2,1)+1),"")&amp;IF(AD344&gt;=3," "&amp;INDEX($D344:$K344,IF(M344=1,2,1)+2),"")))</f>
        <v/>
      </c>
      <c r="Q344">
        <f>IF(C344&lt;2,"",TRIM(IF(AND(2&gt;=(IF(M344=1,2,1)+AD344),2&lt;=C344-IF(S344="",0,1)),E344&amp;" ","")&amp;IF(AND(3&gt;=(IF(M344=1,2,1)+AD344),3&lt;=C344-IF(S344="",0,1)),F344&amp;" ","")&amp;IF(AND(4&gt;=(IF(M344=1,2,1)+AD344),4&lt;=C344-IF(S344="",0,1)),G344&amp;" ","")&amp;IF(AND(5&gt;=(IF(M344=1,2,1)+AD344),5&lt;=C344-IF(S344="",0,1)),H344&amp;" ","")&amp;IF(AND(6&gt;=(IF(M344=1,2,1)+AD344),6&lt;=C344-IF(S344="",0,1)),I344&amp;" ","")&amp;IF(AND(7&gt;=(IF(M344=1,2,1)+AD344),7&lt;=C344-IF(S344="",0,1)),J344&amp;" ","")&amp;IF(AND(8&gt;=(IF(M344=1,2,1)+AD344),8&lt;=C344-IF(S344="",0,1)),K344&amp;" ","")))</f>
        <v/>
      </c>
      <c r="R344">
        <f>IF(Q344="","",IFERROR(INDEX(資格マスタ!$B:$B,MATCH(ASC(SUBSTITUTE(SUBSTITUTE(Q344," ",""),"　","")),資格マスタ!$D:$D,0)),Q344))</f>
        <v/>
      </c>
      <c r="S344" s="139">
        <f>IF(C344&lt;2,"",IFERROR(IF(OR(LEFT(INDEX(D344:K344,MIN(8,MAX(1,C344))),2)="令和",LEFT(INDEX(D344:K344,MIN(8,MAX(1,C344))),2)="平成",LEFT(INDEX(D344:K344,MIN(8,MAX(1,C344))),2)="昭和"),DATE(VALUE(MID(INDEX(D344:K344,MIN(8,MAX(1,C344))),3,FIND("年",INDEX(D344:K344,MIN(8,MAX(1,C344))))-3))+IF(LEFT(INDEX(D344:K344,MIN(8,MAX(1,C344))),2)="令和",2018,IF(LEFT(INDEX(D344:K344,MIN(8,MAX(1,C344))),2)="平成",1988,1925)),VALUE(MID(INDEX(D344:K344,MIN(8,MAX(1,C344))),FIND("年",INDEX(D344:K344,MIN(8,MAX(1,C344))))+1,FIND("月",INDEX(D344:K344,MIN(8,MAX(1,C344))))-FIND("年",INDEX(D344:K344,MIN(8,MAX(1,C344))))-1)),IFERROR(VALUE(SUBSTITUTE(MID(INDEX(D344:K344,MIN(8,MAX(1,C344))),FIND("月",INDEX(D344:K344,MIN(8,MAX(1,C344))))+1,10),"日","")),1)),DATE(VALUE(TRIM(MID(SUBSTITUTE(AA344,"/",REPT(" ",50)),1,50))),VALUE(TRIM(MID(SUBSTITUTE(AA344,"/",REPT(" ",50)),51,50))),IFERROR(VALUE(TRIM(MID(SUBSTITUTE(AA344,"/",REPT(" ",50)),101,50))),1))),IFERROR(DATEVALUE(INDEX(D344:K344,MIN(8,MAX(1,C344)))),"")))</f>
        <v/>
      </c>
      <c r="T344">
        <f>IF(B344="","",IF(AB344&lt;&gt;"",AB344,IFERROR(MATCH(SUBSTITUTE(SUBSTITUTE(P344," ",""),"　",""),入力!$AH$5:$AH$44,0),"")))</f>
        <v/>
      </c>
      <c r="U344">
        <f>IF(T344="","",INDEX(入力!$D$5:$D$44,T344))</f>
        <v/>
      </c>
      <c r="V344">
        <f>IF(B344="","",IF(T344="","要確認（名簿と照合できません）",IF(R344="","要確認（資格名がありません）",IF(S344="","要確認（取得日が読めません）",IF((IF(INDEX(入力!$N$5:$N$44,T344)=R344,1,0)+IF(INDEX(入力!$P$5:$P$44,T344)=R344,1,0)+IF(INDEX(入力!$R$5:$R$44,T344)=R344,1,0)+IF(INDEX(入力!$T$5:$T$44,T344)=R344,1,0)+IF(INDEX(入力!$V$5:$V$44,T344)=R344,1,0)+IF(INDEX(入力!$X$5:$X$44,T344)=R344,1,0))+(COUNTIFS($T$6:$T$405,T344,$R$6:$R$405,R344,$X$6:$X$405,"&lt;"&amp;X344))&gt;0,"重複","反映")))))</f>
        <v/>
      </c>
      <c r="W344">
        <f>IF(V344="反映",1,0)</f>
        <v/>
      </c>
      <c r="X344" t="n">
        <v>344</v>
      </c>
      <c r="Y344">
        <f>IF(W344=0,"",COUNTIFS($T$6:$T$405,T344,$W$6:$W$405,1,$S$6:$S$405,"&lt;"&amp;S344)+COUNTIFS($T$6:$T$405,T344,$W$6:$W$405,1,$S$6:$S$405,S344,$X$6:$X$405,"&lt;"&amp;X344)+1)</f>
        <v/>
      </c>
      <c r="Z344">
        <f>IF(Y344="","",T344&amp;"_"&amp;Y344)</f>
        <v/>
      </c>
      <c r="AA344">
        <f>SUBSTITUTE(SUBSTITUTE(SUBSTITUTE(SUBSTITUTE(SUBSTITUTE(INDEX(D344:K344,MIN(8,MAX(1,C344))),"年","/"),"月","/"),"日",""),"-","/"),".","/")</f>
        <v/>
      </c>
      <c r="AB344">
        <f>IFERROR(MATCH(O344,入力!$C$5:$C$44,0),"")</f>
        <v/>
      </c>
      <c r="AC344">
        <f>IF(AB344="","",INDEX(入力!$AH$5:$AH$44,AB344))</f>
        <v/>
      </c>
      <c r="AD344">
        <f>IF(INDEX($D344:$K344,IF(M344=1,2,1))=AC344,1,IF(INDEX($D344:$K344,IF(M344=1,2,1))&amp;INDEX($D344:$K344,IF(M344=1,2,1)+1)=AC344,2,IF(INDEX($D344:$K344,IF(M344=1,2,1))&amp;INDEX($D344:$K344,IF(M344=1,2,1)+1)&amp;INDEX($D344:$K344,IF(M344=1,2,1)+2)=AC344,3,IF(AB344&lt;&gt;"",2,IF(ISNUMBER(MATCH(INDEX($D344:$K344,IF(M344=1,2,1)),入力!$AH$5:$AH$44,0)),1,IF(ISNUMBER(MATCH(INDEX($D344:$K344,IF(M344=1,2,1))&amp;INDEX($D344:$K344,IF(M344=1,2,1)+1),入力!$AH$5:$AH$44,0)),2,IF(ISNUMBER(MATCH(INDEX($D344:$K344,IF(M344=1,2,1))&amp;INDEX($D344:$K344,IF(M344=1,2,1)+1)&amp;INDEX($D344:$K344,IF(M344=1,2,1)+2),入力!$AH$5:$AH$44,0)),3,2)))))))</f>
        <v/>
      </c>
      <c r="AE344">
        <f>IF(V344="","",IF(AND(V344="反映",N(Y344)&gt;20),"要確認（この生徒の取込が20件を超えました）",V344))</f>
        <v/>
      </c>
    </row>
    <row r="345">
      <c r="A345" s="138" t="n"/>
      <c r="B345">
        <f>TRIM(SUBSTITUTE(SUBSTITUTE(SUBSTITUTE(A345,CHAR(9)," "),"　"," "),CHAR(160)," "))</f>
        <v/>
      </c>
      <c r="C345">
        <f>IF(B345="",0,LEN(B345)-LEN(SUBSTITUTE(B345," ",""))+1)</f>
        <v/>
      </c>
      <c r="D345">
        <f>IF(C345&gt;=1,TRIM(MID(SUBSTITUTE(B345," ",REPT(" ",200)),1,200)),"")</f>
        <v/>
      </c>
      <c r="E345">
        <f>IF(C345&gt;=2,TRIM(MID(SUBSTITUTE(B345," ",REPT(" ",200)),201,200)),"")</f>
        <v/>
      </c>
      <c r="F345">
        <f>IF(C345&gt;=3,TRIM(MID(SUBSTITUTE(B345," ",REPT(" ",200)),401,200)),"")</f>
        <v/>
      </c>
      <c r="G345">
        <f>IF(C345&gt;=4,TRIM(MID(SUBSTITUTE(B345," ",REPT(" ",200)),601,200)),"")</f>
        <v/>
      </c>
      <c r="H345">
        <f>IF(C345&gt;=5,TRIM(MID(SUBSTITUTE(B345," ",REPT(" ",200)),801,200)),"")</f>
        <v/>
      </c>
      <c r="I345">
        <f>IF(C345&gt;=6,TRIM(MID(SUBSTITUTE(B345," ",REPT(" ",200)),1001,200)),"")</f>
        <v/>
      </c>
      <c r="J345">
        <f>IF(C345&gt;=7,TRIM(MID(SUBSTITUTE(B345," ",REPT(" ",200)),1201,200)),"")</f>
        <v/>
      </c>
      <c r="K345">
        <f>IF(C345&gt;=8,TRIM(MID(SUBSTITUTE(B345," ",REPT(" ",200)),1401,200)),"")</f>
        <v/>
      </c>
      <c r="L345">
        <f>SUBSTITUTE(SUBSTITUTE(SUBSTITUTE(D345,"年","-"),"組","-"),"番","")</f>
        <v/>
      </c>
      <c r="M345">
        <f>IF(D345="",0,IF(ISNUMBER(VALUE(SUBSTITUTE(L345,"-",""))),1,0))</f>
        <v/>
      </c>
      <c r="N345">
        <f>IF(M345=0,"",IFERROR(VALUE(TRIM(MID(SUBSTITUTE(L345,"-",REPT(" ",100)),101,100))),""))</f>
        <v/>
      </c>
      <c r="O345">
        <f>IF(M345=0,"",IFERROR(VALUE(TRIM(RIGHT(SUBSTITUTE(L345,"-",REPT(" ",100)),100))),""))</f>
        <v/>
      </c>
      <c r="P345">
        <f>IF(B345="","",TRIM(INDEX($D345:$K345,IF(M345=1,2,1))&amp;IF(AD345&gt;=2," "&amp;INDEX($D345:$K345,IF(M345=1,2,1)+1),"")&amp;IF(AD345&gt;=3," "&amp;INDEX($D345:$K345,IF(M345=1,2,1)+2),"")))</f>
        <v/>
      </c>
      <c r="Q345">
        <f>IF(C345&lt;2,"",TRIM(IF(AND(2&gt;=(IF(M345=1,2,1)+AD345),2&lt;=C345-IF(S345="",0,1)),E345&amp;" ","")&amp;IF(AND(3&gt;=(IF(M345=1,2,1)+AD345),3&lt;=C345-IF(S345="",0,1)),F345&amp;" ","")&amp;IF(AND(4&gt;=(IF(M345=1,2,1)+AD345),4&lt;=C345-IF(S345="",0,1)),G345&amp;" ","")&amp;IF(AND(5&gt;=(IF(M345=1,2,1)+AD345),5&lt;=C345-IF(S345="",0,1)),H345&amp;" ","")&amp;IF(AND(6&gt;=(IF(M345=1,2,1)+AD345),6&lt;=C345-IF(S345="",0,1)),I345&amp;" ","")&amp;IF(AND(7&gt;=(IF(M345=1,2,1)+AD345),7&lt;=C345-IF(S345="",0,1)),J345&amp;" ","")&amp;IF(AND(8&gt;=(IF(M345=1,2,1)+AD345),8&lt;=C345-IF(S345="",0,1)),K345&amp;" ","")))</f>
        <v/>
      </c>
      <c r="R345">
        <f>IF(Q345="","",IFERROR(INDEX(資格マスタ!$B:$B,MATCH(ASC(SUBSTITUTE(SUBSTITUTE(Q345," ",""),"　","")),資格マスタ!$D:$D,0)),Q345))</f>
        <v/>
      </c>
      <c r="S345" s="139">
        <f>IF(C345&lt;2,"",IFERROR(IF(OR(LEFT(INDEX(D345:K345,MIN(8,MAX(1,C345))),2)="令和",LEFT(INDEX(D345:K345,MIN(8,MAX(1,C345))),2)="平成",LEFT(INDEX(D345:K345,MIN(8,MAX(1,C345))),2)="昭和"),DATE(VALUE(MID(INDEX(D345:K345,MIN(8,MAX(1,C345))),3,FIND("年",INDEX(D345:K345,MIN(8,MAX(1,C345))))-3))+IF(LEFT(INDEX(D345:K345,MIN(8,MAX(1,C345))),2)="令和",2018,IF(LEFT(INDEX(D345:K345,MIN(8,MAX(1,C345))),2)="平成",1988,1925)),VALUE(MID(INDEX(D345:K345,MIN(8,MAX(1,C345))),FIND("年",INDEX(D345:K345,MIN(8,MAX(1,C345))))+1,FIND("月",INDEX(D345:K345,MIN(8,MAX(1,C345))))-FIND("年",INDEX(D345:K345,MIN(8,MAX(1,C345))))-1)),IFERROR(VALUE(SUBSTITUTE(MID(INDEX(D345:K345,MIN(8,MAX(1,C345))),FIND("月",INDEX(D345:K345,MIN(8,MAX(1,C345))))+1,10),"日","")),1)),DATE(VALUE(TRIM(MID(SUBSTITUTE(AA345,"/",REPT(" ",50)),1,50))),VALUE(TRIM(MID(SUBSTITUTE(AA345,"/",REPT(" ",50)),51,50))),IFERROR(VALUE(TRIM(MID(SUBSTITUTE(AA345,"/",REPT(" ",50)),101,50))),1))),IFERROR(DATEVALUE(INDEX(D345:K345,MIN(8,MAX(1,C345)))),"")))</f>
        <v/>
      </c>
      <c r="T345">
        <f>IF(B345="","",IF(AB345&lt;&gt;"",AB345,IFERROR(MATCH(SUBSTITUTE(SUBSTITUTE(P345," ",""),"　",""),入力!$AH$5:$AH$44,0),"")))</f>
        <v/>
      </c>
      <c r="U345">
        <f>IF(T345="","",INDEX(入力!$D$5:$D$44,T345))</f>
        <v/>
      </c>
      <c r="V345">
        <f>IF(B345="","",IF(T345="","要確認（名簿と照合できません）",IF(R345="","要確認（資格名がありません）",IF(S345="","要確認（取得日が読めません）",IF((IF(INDEX(入力!$N$5:$N$44,T345)=R345,1,0)+IF(INDEX(入力!$P$5:$P$44,T345)=R345,1,0)+IF(INDEX(入力!$R$5:$R$44,T345)=R345,1,0)+IF(INDEX(入力!$T$5:$T$44,T345)=R345,1,0)+IF(INDEX(入力!$V$5:$V$44,T345)=R345,1,0)+IF(INDEX(入力!$X$5:$X$44,T345)=R345,1,0))+(COUNTIFS($T$6:$T$405,T345,$R$6:$R$405,R345,$X$6:$X$405,"&lt;"&amp;X345))&gt;0,"重複","反映")))))</f>
        <v/>
      </c>
      <c r="W345">
        <f>IF(V345="反映",1,0)</f>
        <v/>
      </c>
      <c r="X345" t="n">
        <v>345</v>
      </c>
      <c r="Y345">
        <f>IF(W345=0,"",COUNTIFS($T$6:$T$405,T345,$W$6:$W$405,1,$S$6:$S$405,"&lt;"&amp;S345)+COUNTIFS($T$6:$T$405,T345,$W$6:$W$405,1,$S$6:$S$405,S345,$X$6:$X$405,"&lt;"&amp;X345)+1)</f>
        <v/>
      </c>
      <c r="Z345">
        <f>IF(Y345="","",T345&amp;"_"&amp;Y345)</f>
        <v/>
      </c>
      <c r="AA345">
        <f>SUBSTITUTE(SUBSTITUTE(SUBSTITUTE(SUBSTITUTE(SUBSTITUTE(INDEX(D345:K345,MIN(8,MAX(1,C345))),"年","/"),"月","/"),"日",""),"-","/"),".","/")</f>
        <v/>
      </c>
      <c r="AB345">
        <f>IFERROR(MATCH(O345,入力!$C$5:$C$44,0),"")</f>
        <v/>
      </c>
      <c r="AC345">
        <f>IF(AB345="","",INDEX(入力!$AH$5:$AH$44,AB345))</f>
        <v/>
      </c>
      <c r="AD345">
        <f>IF(INDEX($D345:$K345,IF(M345=1,2,1))=AC345,1,IF(INDEX($D345:$K345,IF(M345=1,2,1))&amp;INDEX($D345:$K345,IF(M345=1,2,1)+1)=AC345,2,IF(INDEX($D345:$K345,IF(M345=1,2,1))&amp;INDEX($D345:$K345,IF(M345=1,2,1)+1)&amp;INDEX($D345:$K345,IF(M345=1,2,1)+2)=AC345,3,IF(AB345&lt;&gt;"",2,IF(ISNUMBER(MATCH(INDEX($D345:$K345,IF(M345=1,2,1)),入力!$AH$5:$AH$44,0)),1,IF(ISNUMBER(MATCH(INDEX($D345:$K345,IF(M345=1,2,1))&amp;INDEX($D345:$K345,IF(M345=1,2,1)+1),入力!$AH$5:$AH$44,0)),2,IF(ISNUMBER(MATCH(INDEX($D345:$K345,IF(M345=1,2,1))&amp;INDEX($D345:$K345,IF(M345=1,2,1)+1)&amp;INDEX($D345:$K345,IF(M345=1,2,1)+2),入力!$AH$5:$AH$44,0)),3,2)))))))</f>
        <v/>
      </c>
      <c r="AE345">
        <f>IF(V345="","",IF(AND(V345="反映",N(Y345)&gt;20),"要確認（この生徒の取込が20件を超えました）",V345))</f>
        <v/>
      </c>
    </row>
    <row r="346">
      <c r="A346" s="138" t="n"/>
      <c r="B346">
        <f>TRIM(SUBSTITUTE(SUBSTITUTE(SUBSTITUTE(A346,CHAR(9)," "),"　"," "),CHAR(160)," "))</f>
        <v/>
      </c>
      <c r="C346">
        <f>IF(B346="",0,LEN(B346)-LEN(SUBSTITUTE(B346," ",""))+1)</f>
        <v/>
      </c>
      <c r="D346">
        <f>IF(C346&gt;=1,TRIM(MID(SUBSTITUTE(B346," ",REPT(" ",200)),1,200)),"")</f>
        <v/>
      </c>
      <c r="E346">
        <f>IF(C346&gt;=2,TRIM(MID(SUBSTITUTE(B346," ",REPT(" ",200)),201,200)),"")</f>
        <v/>
      </c>
      <c r="F346">
        <f>IF(C346&gt;=3,TRIM(MID(SUBSTITUTE(B346," ",REPT(" ",200)),401,200)),"")</f>
        <v/>
      </c>
      <c r="G346">
        <f>IF(C346&gt;=4,TRIM(MID(SUBSTITUTE(B346," ",REPT(" ",200)),601,200)),"")</f>
        <v/>
      </c>
      <c r="H346">
        <f>IF(C346&gt;=5,TRIM(MID(SUBSTITUTE(B346," ",REPT(" ",200)),801,200)),"")</f>
        <v/>
      </c>
      <c r="I346">
        <f>IF(C346&gt;=6,TRIM(MID(SUBSTITUTE(B346," ",REPT(" ",200)),1001,200)),"")</f>
        <v/>
      </c>
      <c r="J346">
        <f>IF(C346&gt;=7,TRIM(MID(SUBSTITUTE(B346," ",REPT(" ",200)),1201,200)),"")</f>
        <v/>
      </c>
      <c r="K346">
        <f>IF(C346&gt;=8,TRIM(MID(SUBSTITUTE(B346," ",REPT(" ",200)),1401,200)),"")</f>
        <v/>
      </c>
      <c r="L346">
        <f>SUBSTITUTE(SUBSTITUTE(SUBSTITUTE(D346,"年","-"),"組","-"),"番","")</f>
        <v/>
      </c>
      <c r="M346">
        <f>IF(D346="",0,IF(ISNUMBER(VALUE(SUBSTITUTE(L346,"-",""))),1,0))</f>
        <v/>
      </c>
      <c r="N346">
        <f>IF(M346=0,"",IFERROR(VALUE(TRIM(MID(SUBSTITUTE(L346,"-",REPT(" ",100)),101,100))),""))</f>
        <v/>
      </c>
      <c r="O346">
        <f>IF(M346=0,"",IFERROR(VALUE(TRIM(RIGHT(SUBSTITUTE(L346,"-",REPT(" ",100)),100))),""))</f>
        <v/>
      </c>
      <c r="P346">
        <f>IF(B346="","",TRIM(INDEX($D346:$K346,IF(M346=1,2,1))&amp;IF(AD346&gt;=2," "&amp;INDEX($D346:$K346,IF(M346=1,2,1)+1),"")&amp;IF(AD346&gt;=3," "&amp;INDEX($D346:$K346,IF(M346=1,2,1)+2),"")))</f>
        <v/>
      </c>
      <c r="Q346">
        <f>IF(C346&lt;2,"",TRIM(IF(AND(2&gt;=(IF(M346=1,2,1)+AD346),2&lt;=C346-IF(S346="",0,1)),E346&amp;" ","")&amp;IF(AND(3&gt;=(IF(M346=1,2,1)+AD346),3&lt;=C346-IF(S346="",0,1)),F346&amp;" ","")&amp;IF(AND(4&gt;=(IF(M346=1,2,1)+AD346),4&lt;=C346-IF(S346="",0,1)),G346&amp;" ","")&amp;IF(AND(5&gt;=(IF(M346=1,2,1)+AD346),5&lt;=C346-IF(S346="",0,1)),H346&amp;" ","")&amp;IF(AND(6&gt;=(IF(M346=1,2,1)+AD346),6&lt;=C346-IF(S346="",0,1)),I346&amp;" ","")&amp;IF(AND(7&gt;=(IF(M346=1,2,1)+AD346),7&lt;=C346-IF(S346="",0,1)),J346&amp;" ","")&amp;IF(AND(8&gt;=(IF(M346=1,2,1)+AD346),8&lt;=C346-IF(S346="",0,1)),K346&amp;" ","")))</f>
        <v/>
      </c>
      <c r="R346">
        <f>IF(Q346="","",IFERROR(INDEX(資格マスタ!$B:$B,MATCH(ASC(SUBSTITUTE(SUBSTITUTE(Q346," ",""),"　","")),資格マスタ!$D:$D,0)),Q346))</f>
        <v/>
      </c>
      <c r="S346" s="139">
        <f>IF(C346&lt;2,"",IFERROR(IF(OR(LEFT(INDEX(D346:K346,MIN(8,MAX(1,C346))),2)="令和",LEFT(INDEX(D346:K346,MIN(8,MAX(1,C346))),2)="平成",LEFT(INDEX(D346:K346,MIN(8,MAX(1,C346))),2)="昭和"),DATE(VALUE(MID(INDEX(D346:K346,MIN(8,MAX(1,C346))),3,FIND("年",INDEX(D346:K346,MIN(8,MAX(1,C346))))-3))+IF(LEFT(INDEX(D346:K346,MIN(8,MAX(1,C346))),2)="令和",2018,IF(LEFT(INDEX(D346:K346,MIN(8,MAX(1,C346))),2)="平成",1988,1925)),VALUE(MID(INDEX(D346:K346,MIN(8,MAX(1,C346))),FIND("年",INDEX(D346:K346,MIN(8,MAX(1,C346))))+1,FIND("月",INDEX(D346:K346,MIN(8,MAX(1,C346))))-FIND("年",INDEX(D346:K346,MIN(8,MAX(1,C346))))-1)),IFERROR(VALUE(SUBSTITUTE(MID(INDEX(D346:K346,MIN(8,MAX(1,C346))),FIND("月",INDEX(D346:K346,MIN(8,MAX(1,C346))))+1,10),"日","")),1)),DATE(VALUE(TRIM(MID(SUBSTITUTE(AA346,"/",REPT(" ",50)),1,50))),VALUE(TRIM(MID(SUBSTITUTE(AA346,"/",REPT(" ",50)),51,50))),IFERROR(VALUE(TRIM(MID(SUBSTITUTE(AA346,"/",REPT(" ",50)),101,50))),1))),IFERROR(DATEVALUE(INDEX(D346:K346,MIN(8,MAX(1,C346)))),"")))</f>
        <v/>
      </c>
      <c r="T346">
        <f>IF(B346="","",IF(AB346&lt;&gt;"",AB346,IFERROR(MATCH(SUBSTITUTE(SUBSTITUTE(P346," ",""),"　",""),入力!$AH$5:$AH$44,0),"")))</f>
        <v/>
      </c>
      <c r="U346">
        <f>IF(T346="","",INDEX(入力!$D$5:$D$44,T346))</f>
        <v/>
      </c>
      <c r="V346">
        <f>IF(B346="","",IF(T346="","要確認（名簿と照合できません）",IF(R346="","要確認（資格名がありません）",IF(S346="","要確認（取得日が読めません）",IF((IF(INDEX(入力!$N$5:$N$44,T346)=R346,1,0)+IF(INDEX(入力!$P$5:$P$44,T346)=R346,1,0)+IF(INDEX(入力!$R$5:$R$44,T346)=R346,1,0)+IF(INDEX(入力!$T$5:$T$44,T346)=R346,1,0)+IF(INDEX(入力!$V$5:$V$44,T346)=R346,1,0)+IF(INDEX(入力!$X$5:$X$44,T346)=R346,1,0))+(COUNTIFS($T$6:$T$405,T346,$R$6:$R$405,R346,$X$6:$X$405,"&lt;"&amp;X346))&gt;0,"重複","反映")))))</f>
        <v/>
      </c>
      <c r="W346">
        <f>IF(V346="反映",1,0)</f>
        <v/>
      </c>
      <c r="X346" t="n">
        <v>346</v>
      </c>
      <c r="Y346">
        <f>IF(W346=0,"",COUNTIFS($T$6:$T$405,T346,$W$6:$W$405,1,$S$6:$S$405,"&lt;"&amp;S346)+COUNTIFS($T$6:$T$405,T346,$W$6:$W$405,1,$S$6:$S$405,S346,$X$6:$X$405,"&lt;"&amp;X346)+1)</f>
        <v/>
      </c>
      <c r="Z346">
        <f>IF(Y346="","",T346&amp;"_"&amp;Y346)</f>
        <v/>
      </c>
      <c r="AA346">
        <f>SUBSTITUTE(SUBSTITUTE(SUBSTITUTE(SUBSTITUTE(SUBSTITUTE(INDEX(D346:K346,MIN(8,MAX(1,C346))),"年","/"),"月","/"),"日",""),"-","/"),".","/")</f>
        <v/>
      </c>
      <c r="AB346">
        <f>IFERROR(MATCH(O346,入力!$C$5:$C$44,0),"")</f>
        <v/>
      </c>
      <c r="AC346">
        <f>IF(AB346="","",INDEX(入力!$AH$5:$AH$44,AB346))</f>
        <v/>
      </c>
      <c r="AD346">
        <f>IF(INDEX($D346:$K346,IF(M346=1,2,1))=AC346,1,IF(INDEX($D346:$K346,IF(M346=1,2,1))&amp;INDEX($D346:$K346,IF(M346=1,2,1)+1)=AC346,2,IF(INDEX($D346:$K346,IF(M346=1,2,1))&amp;INDEX($D346:$K346,IF(M346=1,2,1)+1)&amp;INDEX($D346:$K346,IF(M346=1,2,1)+2)=AC346,3,IF(AB346&lt;&gt;"",2,IF(ISNUMBER(MATCH(INDEX($D346:$K346,IF(M346=1,2,1)),入力!$AH$5:$AH$44,0)),1,IF(ISNUMBER(MATCH(INDEX($D346:$K346,IF(M346=1,2,1))&amp;INDEX($D346:$K346,IF(M346=1,2,1)+1),入力!$AH$5:$AH$44,0)),2,IF(ISNUMBER(MATCH(INDEX($D346:$K346,IF(M346=1,2,1))&amp;INDEX($D346:$K346,IF(M346=1,2,1)+1)&amp;INDEX($D346:$K346,IF(M346=1,2,1)+2),入力!$AH$5:$AH$44,0)),3,2)))))))</f>
        <v/>
      </c>
      <c r="AE346">
        <f>IF(V346="","",IF(AND(V346="反映",N(Y346)&gt;20),"要確認（この生徒の取込が20件を超えました）",V346))</f>
        <v/>
      </c>
    </row>
    <row r="347">
      <c r="A347" s="138" t="n"/>
      <c r="B347">
        <f>TRIM(SUBSTITUTE(SUBSTITUTE(SUBSTITUTE(A347,CHAR(9)," "),"　"," "),CHAR(160)," "))</f>
        <v/>
      </c>
      <c r="C347">
        <f>IF(B347="",0,LEN(B347)-LEN(SUBSTITUTE(B347," ",""))+1)</f>
        <v/>
      </c>
      <c r="D347">
        <f>IF(C347&gt;=1,TRIM(MID(SUBSTITUTE(B347," ",REPT(" ",200)),1,200)),"")</f>
        <v/>
      </c>
      <c r="E347">
        <f>IF(C347&gt;=2,TRIM(MID(SUBSTITUTE(B347," ",REPT(" ",200)),201,200)),"")</f>
        <v/>
      </c>
      <c r="F347">
        <f>IF(C347&gt;=3,TRIM(MID(SUBSTITUTE(B347," ",REPT(" ",200)),401,200)),"")</f>
        <v/>
      </c>
      <c r="G347">
        <f>IF(C347&gt;=4,TRIM(MID(SUBSTITUTE(B347," ",REPT(" ",200)),601,200)),"")</f>
        <v/>
      </c>
      <c r="H347">
        <f>IF(C347&gt;=5,TRIM(MID(SUBSTITUTE(B347," ",REPT(" ",200)),801,200)),"")</f>
        <v/>
      </c>
      <c r="I347">
        <f>IF(C347&gt;=6,TRIM(MID(SUBSTITUTE(B347," ",REPT(" ",200)),1001,200)),"")</f>
        <v/>
      </c>
      <c r="J347">
        <f>IF(C347&gt;=7,TRIM(MID(SUBSTITUTE(B347," ",REPT(" ",200)),1201,200)),"")</f>
        <v/>
      </c>
      <c r="K347">
        <f>IF(C347&gt;=8,TRIM(MID(SUBSTITUTE(B347," ",REPT(" ",200)),1401,200)),"")</f>
        <v/>
      </c>
      <c r="L347">
        <f>SUBSTITUTE(SUBSTITUTE(SUBSTITUTE(D347,"年","-"),"組","-"),"番","")</f>
        <v/>
      </c>
      <c r="M347">
        <f>IF(D347="",0,IF(ISNUMBER(VALUE(SUBSTITUTE(L347,"-",""))),1,0))</f>
        <v/>
      </c>
      <c r="N347">
        <f>IF(M347=0,"",IFERROR(VALUE(TRIM(MID(SUBSTITUTE(L347,"-",REPT(" ",100)),101,100))),""))</f>
        <v/>
      </c>
      <c r="O347">
        <f>IF(M347=0,"",IFERROR(VALUE(TRIM(RIGHT(SUBSTITUTE(L347,"-",REPT(" ",100)),100))),""))</f>
        <v/>
      </c>
      <c r="P347">
        <f>IF(B347="","",TRIM(INDEX($D347:$K347,IF(M347=1,2,1))&amp;IF(AD347&gt;=2," "&amp;INDEX($D347:$K347,IF(M347=1,2,1)+1),"")&amp;IF(AD347&gt;=3," "&amp;INDEX($D347:$K347,IF(M347=1,2,1)+2),"")))</f>
        <v/>
      </c>
      <c r="Q347">
        <f>IF(C347&lt;2,"",TRIM(IF(AND(2&gt;=(IF(M347=1,2,1)+AD347),2&lt;=C347-IF(S347="",0,1)),E347&amp;" ","")&amp;IF(AND(3&gt;=(IF(M347=1,2,1)+AD347),3&lt;=C347-IF(S347="",0,1)),F347&amp;" ","")&amp;IF(AND(4&gt;=(IF(M347=1,2,1)+AD347),4&lt;=C347-IF(S347="",0,1)),G347&amp;" ","")&amp;IF(AND(5&gt;=(IF(M347=1,2,1)+AD347),5&lt;=C347-IF(S347="",0,1)),H347&amp;" ","")&amp;IF(AND(6&gt;=(IF(M347=1,2,1)+AD347),6&lt;=C347-IF(S347="",0,1)),I347&amp;" ","")&amp;IF(AND(7&gt;=(IF(M347=1,2,1)+AD347),7&lt;=C347-IF(S347="",0,1)),J347&amp;" ","")&amp;IF(AND(8&gt;=(IF(M347=1,2,1)+AD347),8&lt;=C347-IF(S347="",0,1)),K347&amp;" ","")))</f>
        <v/>
      </c>
      <c r="R347">
        <f>IF(Q347="","",IFERROR(INDEX(資格マスタ!$B:$B,MATCH(ASC(SUBSTITUTE(SUBSTITUTE(Q347," ",""),"　","")),資格マスタ!$D:$D,0)),Q347))</f>
        <v/>
      </c>
      <c r="S347" s="139">
        <f>IF(C347&lt;2,"",IFERROR(IF(OR(LEFT(INDEX(D347:K347,MIN(8,MAX(1,C347))),2)="令和",LEFT(INDEX(D347:K347,MIN(8,MAX(1,C347))),2)="平成",LEFT(INDEX(D347:K347,MIN(8,MAX(1,C347))),2)="昭和"),DATE(VALUE(MID(INDEX(D347:K347,MIN(8,MAX(1,C347))),3,FIND("年",INDEX(D347:K347,MIN(8,MAX(1,C347))))-3))+IF(LEFT(INDEX(D347:K347,MIN(8,MAX(1,C347))),2)="令和",2018,IF(LEFT(INDEX(D347:K347,MIN(8,MAX(1,C347))),2)="平成",1988,1925)),VALUE(MID(INDEX(D347:K347,MIN(8,MAX(1,C347))),FIND("年",INDEX(D347:K347,MIN(8,MAX(1,C347))))+1,FIND("月",INDEX(D347:K347,MIN(8,MAX(1,C347))))-FIND("年",INDEX(D347:K347,MIN(8,MAX(1,C347))))-1)),IFERROR(VALUE(SUBSTITUTE(MID(INDEX(D347:K347,MIN(8,MAX(1,C347))),FIND("月",INDEX(D347:K347,MIN(8,MAX(1,C347))))+1,10),"日","")),1)),DATE(VALUE(TRIM(MID(SUBSTITUTE(AA347,"/",REPT(" ",50)),1,50))),VALUE(TRIM(MID(SUBSTITUTE(AA347,"/",REPT(" ",50)),51,50))),IFERROR(VALUE(TRIM(MID(SUBSTITUTE(AA347,"/",REPT(" ",50)),101,50))),1))),IFERROR(DATEVALUE(INDEX(D347:K347,MIN(8,MAX(1,C347)))),"")))</f>
        <v/>
      </c>
      <c r="T347">
        <f>IF(B347="","",IF(AB347&lt;&gt;"",AB347,IFERROR(MATCH(SUBSTITUTE(SUBSTITUTE(P347," ",""),"　",""),入力!$AH$5:$AH$44,0),"")))</f>
        <v/>
      </c>
      <c r="U347">
        <f>IF(T347="","",INDEX(入力!$D$5:$D$44,T347))</f>
        <v/>
      </c>
      <c r="V347">
        <f>IF(B347="","",IF(T347="","要確認（名簿と照合できません）",IF(R347="","要確認（資格名がありません）",IF(S347="","要確認（取得日が読めません）",IF((IF(INDEX(入力!$N$5:$N$44,T347)=R347,1,0)+IF(INDEX(入力!$P$5:$P$44,T347)=R347,1,0)+IF(INDEX(入力!$R$5:$R$44,T347)=R347,1,0)+IF(INDEX(入力!$T$5:$T$44,T347)=R347,1,0)+IF(INDEX(入力!$V$5:$V$44,T347)=R347,1,0)+IF(INDEX(入力!$X$5:$X$44,T347)=R347,1,0))+(COUNTIFS($T$6:$T$405,T347,$R$6:$R$405,R347,$X$6:$X$405,"&lt;"&amp;X347))&gt;0,"重複","反映")))))</f>
        <v/>
      </c>
      <c r="W347">
        <f>IF(V347="反映",1,0)</f>
        <v/>
      </c>
      <c r="X347" t="n">
        <v>347</v>
      </c>
      <c r="Y347">
        <f>IF(W347=0,"",COUNTIFS($T$6:$T$405,T347,$W$6:$W$405,1,$S$6:$S$405,"&lt;"&amp;S347)+COUNTIFS($T$6:$T$405,T347,$W$6:$W$405,1,$S$6:$S$405,S347,$X$6:$X$405,"&lt;"&amp;X347)+1)</f>
        <v/>
      </c>
      <c r="Z347">
        <f>IF(Y347="","",T347&amp;"_"&amp;Y347)</f>
        <v/>
      </c>
      <c r="AA347">
        <f>SUBSTITUTE(SUBSTITUTE(SUBSTITUTE(SUBSTITUTE(SUBSTITUTE(INDEX(D347:K347,MIN(8,MAX(1,C347))),"年","/"),"月","/"),"日",""),"-","/"),".","/")</f>
        <v/>
      </c>
      <c r="AB347">
        <f>IFERROR(MATCH(O347,入力!$C$5:$C$44,0),"")</f>
        <v/>
      </c>
      <c r="AC347">
        <f>IF(AB347="","",INDEX(入力!$AH$5:$AH$44,AB347))</f>
        <v/>
      </c>
      <c r="AD347">
        <f>IF(INDEX($D347:$K347,IF(M347=1,2,1))=AC347,1,IF(INDEX($D347:$K347,IF(M347=1,2,1))&amp;INDEX($D347:$K347,IF(M347=1,2,1)+1)=AC347,2,IF(INDEX($D347:$K347,IF(M347=1,2,1))&amp;INDEX($D347:$K347,IF(M347=1,2,1)+1)&amp;INDEX($D347:$K347,IF(M347=1,2,1)+2)=AC347,3,IF(AB347&lt;&gt;"",2,IF(ISNUMBER(MATCH(INDEX($D347:$K347,IF(M347=1,2,1)),入力!$AH$5:$AH$44,0)),1,IF(ISNUMBER(MATCH(INDEX($D347:$K347,IF(M347=1,2,1))&amp;INDEX($D347:$K347,IF(M347=1,2,1)+1),入力!$AH$5:$AH$44,0)),2,IF(ISNUMBER(MATCH(INDEX($D347:$K347,IF(M347=1,2,1))&amp;INDEX($D347:$K347,IF(M347=1,2,1)+1)&amp;INDEX($D347:$K347,IF(M347=1,2,1)+2),入力!$AH$5:$AH$44,0)),3,2)))))))</f>
        <v/>
      </c>
      <c r="AE347">
        <f>IF(V347="","",IF(AND(V347="反映",N(Y347)&gt;20),"要確認（この生徒の取込が20件を超えました）",V347))</f>
        <v/>
      </c>
    </row>
    <row r="348">
      <c r="A348" s="138" t="n"/>
      <c r="B348">
        <f>TRIM(SUBSTITUTE(SUBSTITUTE(SUBSTITUTE(A348,CHAR(9)," "),"　"," "),CHAR(160)," "))</f>
        <v/>
      </c>
      <c r="C348">
        <f>IF(B348="",0,LEN(B348)-LEN(SUBSTITUTE(B348," ",""))+1)</f>
        <v/>
      </c>
      <c r="D348">
        <f>IF(C348&gt;=1,TRIM(MID(SUBSTITUTE(B348," ",REPT(" ",200)),1,200)),"")</f>
        <v/>
      </c>
      <c r="E348">
        <f>IF(C348&gt;=2,TRIM(MID(SUBSTITUTE(B348," ",REPT(" ",200)),201,200)),"")</f>
        <v/>
      </c>
      <c r="F348">
        <f>IF(C348&gt;=3,TRIM(MID(SUBSTITUTE(B348," ",REPT(" ",200)),401,200)),"")</f>
        <v/>
      </c>
      <c r="G348">
        <f>IF(C348&gt;=4,TRIM(MID(SUBSTITUTE(B348," ",REPT(" ",200)),601,200)),"")</f>
        <v/>
      </c>
      <c r="H348">
        <f>IF(C348&gt;=5,TRIM(MID(SUBSTITUTE(B348," ",REPT(" ",200)),801,200)),"")</f>
        <v/>
      </c>
      <c r="I348">
        <f>IF(C348&gt;=6,TRIM(MID(SUBSTITUTE(B348," ",REPT(" ",200)),1001,200)),"")</f>
        <v/>
      </c>
      <c r="J348">
        <f>IF(C348&gt;=7,TRIM(MID(SUBSTITUTE(B348," ",REPT(" ",200)),1201,200)),"")</f>
        <v/>
      </c>
      <c r="K348">
        <f>IF(C348&gt;=8,TRIM(MID(SUBSTITUTE(B348," ",REPT(" ",200)),1401,200)),"")</f>
        <v/>
      </c>
      <c r="L348">
        <f>SUBSTITUTE(SUBSTITUTE(SUBSTITUTE(D348,"年","-"),"組","-"),"番","")</f>
        <v/>
      </c>
      <c r="M348">
        <f>IF(D348="",0,IF(ISNUMBER(VALUE(SUBSTITUTE(L348,"-",""))),1,0))</f>
        <v/>
      </c>
      <c r="N348">
        <f>IF(M348=0,"",IFERROR(VALUE(TRIM(MID(SUBSTITUTE(L348,"-",REPT(" ",100)),101,100))),""))</f>
        <v/>
      </c>
      <c r="O348">
        <f>IF(M348=0,"",IFERROR(VALUE(TRIM(RIGHT(SUBSTITUTE(L348,"-",REPT(" ",100)),100))),""))</f>
        <v/>
      </c>
      <c r="P348">
        <f>IF(B348="","",TRIM(INDEX($D348:$K348,IF(M348=1,2,1))&amp;IF(AD348&gt;=2," "&amp;INDEX($D348:$K348,IF(M348=1,2,1)+1),"")&amp;IF(AD348&gt;=3," "&amp;INDEX($D348:$K348,IF(M348=1,2,1)+2),"")))</f>
        <v/>
      </c>
      <c r="Q348">
        <f>IF(C348&lt;2,"",TRIM(IF(AND(2&gt;=(IF(M348=1,2,1)+AD348),2&lt;=C348-IF(S348="",0,1)),E348&amp;" ","")&amp;IF(AND(3&gt;=(IF(M348=1,2,1)+AD348),3&lt;=C348-IF(S348="",0,1)),F348&amp;" ","")&amp;IF(AND(4&gt;=(IF(M348=1,2,1)+AD348),4&lt;=C348-IF(S348="",0,1)),G348&amp;" ","")&amp;IF(AND(5&gt;=(IF(M348=1,2,1)+AD348),5&lt;=C348-IF(S348="",0,1)),H348&amp;" ","")&amp;IF(AND(6&gt;=(IF(M348=1,2,1)+AD348),6&lt;=C348-IF(S348="",0,1)),I348&amp;" ","")&amp;IF(AND(7&gt;=(IF(M348=1,2,1)+AD348),7&lt;=C348-IF(S348="",0,1)),J348&amp;" ","")&amp;IF(AND(8&gt;=(IF(M348=1,2,1)+AD348),8&lt;=C348-IF(S348="",0,1)),K348&amp;" ","")))</f>
        <v/>
      </c>
      <c r="R348">
        <f>IF(Q348="","",IFERROR(INDEX(資格マスタ!$B:$B,MATCH(ASC(SUBSTITUTE(SUBSTITUTE(Q348," ",""),"　","")),資格マスタ!$D:$D,0)),Q348))</f>
        <v/>
      </c>
      <c r="S348" s="139">
        <f>IF(C348&lt;2,"",IFERROR(IF(OR(LEFT(INDEX(D348:K348,MIN(8,MAX(1,C348))),2)="令和",LEFT(INDEX(D348:K348,MIN(8,MAX(1,C348))),2)="平成",LEFT(INDEX(D348:K348,MIN(8,MAX(1,C348))),2)="昭和"),DATE(VALUE(MID(INDEX(D348:K348,MIN(8,MAX(1,C348))),3,FIND("年",INDEX(D348:K348,MIN(8,MAX(1,C348))))-3))+IF(LEFT(INDEX(D348:K348,MIN(8,MAX(1,C348))),2)="令和",2018,IF(LEFT(INDEX(D348:K348,MIN(8,MAX(1,C348))),2)="平成",1988,1925)),VALUE(MID(INDEX(D348:K348,MIN(8,MAX(1,C348))),FIND("年",INDEX(D348:K348,MIN(8,MAX(1,C348))))+1,FIND("月",INDEX(D348:K348,MIN(8,MAX(1,C348))))-FIND("年",INDEX(D348:K348,MIN(8,MAX(1,C348))))-1)),IFERROR(VALUE(SUBSTITUTE(MID(INDEX(D348:K348,MIN(8,MAX(1,C348))),FIND("月",INDEX(D348:K348,MIN(8,MAX(1,C348))))+1,10),"日","")),1)),DATE(VALUE(TRIM(MID(SUBSTITUTE(AA348,"/",REPT(" ",50)),1,50))),VALUE(TRIM(MID(SUBSTITUTE(AA348,"/",REPT(" ",50)),51,50))),IFERROR(VALUE(TRIM(MID(SUBSTITUTE(AA348,"/",REPT(" ",50)),101,50))),1))),IFERROR(DATEVALUE(INDEX(D348:K348,MIN(8,MAX(1,C348)))),"")))</f>
        <v/>
      </c>
      <c r="T348">
        <f>IF(B348="","",IF(AB348&lt;&gt;"",AB348,IFERROR(MATCH(SUBSTITUTE(SUBSTITUTE(P348," ",""),"　",""),入力!$AH$5:$AH$44,0),"")))</f>
        <v/>
      </c>
      <c r="U348">
        <f>IF(T348="","",INDEX(入力!$D$5:$D$44,T348))</f>
        <v/>
      </c>
      <c r="V348">
        <f>IF(B348="","",IF(T348="","要確認（名簿と照合できません）",IF(R348="","要確認（資格名がありません）",IF(S348="","要確認（取得日が読めません）",IF((IF(INDEX(入力!$N$5:$N$44,T348)=R348,1,0)+IF(INDEX(入力!$P$5:$P$44,T348)=R348,1,0)+IF(INDEX(入力!$R$5:$R$44,T348)=R348,1,0)+IF(INDEX(入力!$T$5:$T$44,T348)=R348,1,0)+IF(INDEX(入力!$V$5:$V$44,T348)=R348,1,0)+IF(INDEX(入力!$X$5:$X$44,T348)=R348,1,0))+(COUNTIFS($T$6:$T$405,T348,$R$6:$R$405,R348,$X$6:$X$405,"&lt;"&amp;X348))&gt;0,"重複","反映")))))</f>
        <v/>
      </c>
      <c r="W348">
        <f>IF(V348="反映",1,0)</f>
        <v/>
      </c>
      <c r="X348" t="n">
        <v>348</v>
      </c>
      <c r="Y348">
        <f>IF(W348=0,"",COUNTIFS($T$6:$T$405,T348,$W$6:$W$405,1,$S$6:$S$405,"&lt;"&amp;S348)+COUNTIFS($T$6:$T$405,T348,$W$6:$W$405,1,$S$6:$S$405,S348,$X$6:$X$405,"&lt;"&amp;X348)+1)</f>
        <v/>
      </c>
      <c r="Z348">
        <f>IF(Y348="","",T348&amp;"_"&amp;Y348)</f>
        <v/>
      </c>
      <c r="AA348">
        <f>SUBSTITUTE(SUBSTITUTE(SUBSTITUTE(SUBSTITUTE(SUBSTITUTE(INDEX(D348:K348,MIN(8,MAX(1,C348))),"年","/"),"月","/"),"日",""),"-","/"),".","/")</f>
        <v/>
      </c>
      <c r="AB348">
        <f>IFERROR(MATCH(O348,入力!$C$5:$C$44,0),"")</f>
        <v/>
      </c>
      <c r="AC348">
        <f>IF(AB348="","",INDEX(入力!$AH$5:$AH$44,AB348))</f>
        <v/>
      </c>
      <c r="AD348">
        <f>IF(INDEX($D348:$K348,IF(M348=1,2,1))=AC348,1,IF(INDEX($D348:$K348,IF(M348=1,2,1))&amp;INDEX($D348:$K348,IF(M348=1,2,1)+1)=AC348,2,IF(INDEX($D348:$K348,IF(M348=1,2,1))&amp;INDEX($D348:$K348,IF(M348=1,2,1)+1)&amp;INDEX($D348:$K348,IF(M348=1,2,1)+2)=AC348,3,IF(AB348&lt;&gt;"",2,IF(ISNUMBER(MATCH(INDEX($D348:$K348,IF(M348=1,2,1)),入力!$AH$5:$AH$44,0)),1,IF(ISNUMBER(MATCH(INDEX($D348:$K348,IF(M348=1,2,1))&amp;INDEX($D348:$K348,IF(M348=1,2,1)+1),入力!$AH$5:$AH$44,0)),2,IF(ISNUMBER(MATCH(INDEX($D348:$K348,IF(M348=1,2,1))&amp;INDEX($D348:$K348,IF(M348=1,2,1)+1)&amp;INDEX($D348:$K348,IF(M348=1,2,1)+2),入力!$AH$5:$AH$44,0)),3,2)))))))</f>
        <v/>
      </c>
      <c r="AE348">
        <f>IF(V348="","",IF(AND(V348="反映",N(Y348)&gt;20),"要確認（この生徒の取込が20件を超えました）",V348))</f>
        <v/>
      </c>
    </row>
    <row r="349">
      <c r="A349" s="138" t="n"/>
      <c r="B349">
        <f>TRIM(SUBSTITUTE(SUBSTITUTE(SUBSTITUTE(A349,CHAR(9)," "),"　"," "),CHAR(160)," "))</f>
        <v/>
      </c>
      <c r="C349">
        <f>IF(B349="",0,LEN(B349)-LEN(SUBSTITUTE(B349," ",""))+1)</f>
        <v/>
      </c>
      <c r="D349">
        <f>IF(C349&gt;=1,TRIM(MID(SUBSTITUTE(B349," ",REPT(" ",200)),1,200)),"")</f>
        <v/>
      </c>
      <c r="E349">
        <f>IF(C349&gt;=2,TRIM(MID(SUBSTITUTE(B349," ",REPT(" ",200)),201,200)),"")</f>
        <v/>
      </c>
      <c r="F349">
        <f>IF(C349&gt;=3,TRIM(MID(SUBSTITUTE(B349," ",REPT(" ",200)),401,200)),"")</f>
        <v/>
      </c>
      <c r="G349">
        <f>IF(C349&gt;=4,TRIM(MID(SUBSTITUTE(B349," ",REPT(" ",200)),601,200)),"")</f>
        <v/>
      </c>
      <c r="H349">
        <f>IF(C349&gt;=5,TRIM(MID(SUBSTITUTE(B349," ",REPT(" ",200)),801,200)),"")</f>
        <v/>
      </c>
      <c r="I349">
        <f>IF(C349&gt;=6,TRIM(MID(SUBSTITUTE(B349," ",REPT(" ",200)),1001,200)),"")</f>
        <v/>
      </c>
      <c r="J349">
        <f>IF(C349&gt;=7,TRIM(MID(SUBSTITUTE(B349," ",REPT(" ",200)),1201,200)),"")</f>
        <v/>
      </c>
      <c r="K349">
        <f>IF(C349&gt;=8,TRIM(MID(SUBSTITUTE(B349," ",REPT(" ",200)),1401,200)),"")</f>
        <v/>
      </c>
      <c r="L349">
        <f>SUBSTITUTE(SUBSTITUTE(SUBSTITUTE(D349,"年","-"),"組","-"),"番","")</f>
        <v/>
      </c>
      <c r="M349">
        <f>IF(D349="",0,IF(ISNUMBER(VALUE(SUBSTITUTE(L349,"-",""))),1,0))</f>
        <v/>
      </c>
      <c r="N349">
        <f>IF(M349=0,"",IFERROR(VALUE(TRIM(MID(SUBSTITUTE(L349,"-",REPT(" ",100)),101,100))),""))</f>
        <v/>
      </c>
      <c r="O349">
        <f>IF(M349=0,"",IFERROR(VALUE(TRIM(RIGHT(SUBSTITUTE(L349,"-",REPT(" ",100)),100))),""))</f>
        <v/>
      </c>
      <c r="P349">
        <f>IF(B349="","",TRIM(INDEX($D349:$K349,IF(M349=1,2,1))&amp;IF(AD349&gt;=2," "&amp;INDEX($D349:$K349,IF(M349=1,2,1)+1),"")&amp;IF(AD349&gt;=3," "&amp;INDEX($D349:$K349,IF(M349=1,2,1)+2),"")))</f>
        <v/>
      </c>
      <c r="Q349">
        <f>IF(C349&lt;2,"",TRIM(IF(AND(2&gt;=(IF(M349=1,2,1)+AD349),2&lt;=C349-IF(S349="",0,1)),E349&amp;" ","")&amp;IF(AND(3&gt;=(IF(M349=1,2,1)+AD349),3&lt;=C349-IF(S349="",0,1)),F349&amp;" ","")&amp;IF(AND(4&gt;=(IF(M349=1,2,1)+AD349),4&lt;=C349-IF(S349="",0,1)),G349&amp;" ","")&amp;IF(AND(5&gt;=(IF(M349=1,2,1)+AD349),5&lt;=C349-IF(S349="",0,1)),H349&amp;" ","")&amp;IF(AND(6&gt;=(IF(M349=1,2,1)+AD349),6&lt;=C349-IF(S349="",0,1)),I349&amp;" ","")&amp;IF(AND(7&gt;=(IF(M349=1,2,1)+AD349),7&lt;=C349-IF(S349="",0,1)),J349&amp;" ","")&amp;IF(AND(8&gt;=(IF(M349=1,2,1)+AD349),8&lt;=C349-IF(S349="",0,1)),K349&amp;" ","")))</f>
        <v/>
      </c>
      <c r="R349">
        <f>IF(Q349="","",IFERROR(INDEX(資格マスタ!$B:$B,MATCH(ASC(SUBSTITUTE(SUBSTITUTE(Q349," ",""),"　","")),資格マスタ!$D:$D,0)),Q349))</f>
        <v/>
      </c>
      <c r="S349" s="139">
        <f>IF(C349&lt;2,"",IFERROR(IF(OR(LEFT(INDEX(D349:K349,MIN(8,MAX(1,C349))),2)="令和",LEFT(INDEX(D349:K349,MIN(8,MAX(1,C349))),2)="平成",LEFT(INDEX(D349:K349,MIN(8,MAX(1,C349))),2)="昭和"),DATE(VALUE(MID(INDEX(D349:K349,MIN(8,MAX(1,C349))),3,FIND("年",INDEX(D349:K349,MIN(8,MAX(1,C349))))-3))+IF(LEFT(INDEX(D349:K349,MIN(8,MAX(1,C349))),2)="令和",2018,IF(LEFT(INDEX(D349:K349,MIN(8,MAX(1,C349))),2)="平成",1988,1925)),VALUE(MID(INDEX(D349:K349,MIN(8,MAX(1,C349))),FIND("年",INDEX(D349:K349,MIN(8,MAX(1,C349))))+1,FIND("月",INDEX(D349:K349,MIN(8,MAX(1,C349))))-FIND("年",INDEX(D349:K349,MIN(8,MAX(1,C349))))-1)),IFERROR(VALUE(SUBSTITUTE(MID(INDEX(D349:K349,MIN(8,MAX(1,C349))),FIND("月",INDEX(D349:K349,MIN(8,MAX(1,C349))))+1,10),"日","")),1)),DATE(VALUE(TRIM(MID(SUBSTITUTE(AA349,"/",REPT(" ",50)),1,50))),VALUE(TRIM(MID(SUBSTITUTE(AA349,"/",REPT(" ",50)),51,50))),IFERROR(VALUE(TRIM(MID(SUBSTITUTE(AA349,"/",REPT(" ",50)),101,50))),1))),IFERROR(DATEVALUE(INDEX(D349:K349,MIN(8,MAX(1,C349)))),"")))</f>
        <v/>
      </c>
      <c r="T349">
        <f>IF(B349="","",IF(AB349&lt;&gt;"",AB349,IFERROR(MATCH(SUBSTITUTE(SUBSTITUTE(P349," ",""),"　",""),入力!$AH$5:$AH$44,0),"")))</f>
        <v/>
      </c>
      <c r="U349">
        <f>IF(T349="","",INDEX(入力!$D$5:$D$44,T349))</f>
        <v/>
      </c>
      <c r="V349">
        <f>IF(B349="","",IF(T349="","要確認（名簿と照合できません）",IF(R349="","要確認（資格名がありません）",IF(S349="","要確認（取得日が読めません）",IF((IF(INDEX(入力!$N$5:$N$44,T349)=R349,1,0)+IF(INDEX(入力!$P$5:$P$44,T349)=R349,1,0)+IF(INDEX(入力!$R$5:$R$44,T349)=R349,1,0)+IF(INDEX(入力!$T$5:$T$44,T349)=R349,1,0)+IF(INDEX(入力!$V$5:$V$44,T349)=R349,1,0)+IF(INDEX(入力!$X$5:$X$44,T349)=R349,1,0))+(COUNTIFS($T$6:$T$405,T349,$R$6:$R$405,R349,$X$6:$X$405,"&lt;"&amp;X349))&gt;0,"重複","反映")))))</f>
        <v/>
      </c>
      <c r="W349">
        <f>IF(V349="反映",1,0)</f>
        <v/>
      </c>
      <c r="X349" t="n">
        <v>349</v>
      </c>
      <c r="Y349">
        <f>IF(W349=0,"",COUNTIFS($T$6:$T$405,T349,$W$6:$W$405,1,$S$6:$S$405,"&lt;"&amp;S349)+COUNTIFS($T$6:$T$405,T349,$W$6:$W$405,1,$S$6:$S$405,S349,$X$6:$X$405,"&lt;"&amp;X349)+1)</f>
        <v/>
      </c>
      <c r="Z349">
        <f>IF(Y349="","",T349&amp;"_"&amp;Y349)</f>
        <v/>
      </c>
      <c r="AA349">
        <f>SUBSTITUTE(SUBSTITUTE(SUBSTITUTE(SUBSTITUTE(SUBSTITUTE(INDEX(D349:K349,MIN(8,MAX(1,C349))),"年","/"),"月","/"),"日",""),"-","/"),".","/")</f>
        <v/>
      </c>
      <c r="AB349">
        <f>IFERROR(MATCH(O349,入力!$C$5:$C$44,0),"")</f>
        <v/>
      </c>
      <c r="AC349">
        <f>IF(AB349="","",INDEX(入力!$AH$5:$AH$44,AB349))</f>
        <v/>
      </c>
      <c r="AD349">
        <f>IF(INDEX($D349:$K349,IF(M349=1,2,1))=AC349,1,IF(INDEX($D349:$K349,IF(M349=1,2,1))&amp;INDEX($D349:$K349,IF(M349=1,2,1)+1)=AC349,2,IF(INDEX($D349:$K349,IF(M349=1,2,1))&amp;INDEX($D349:$K349,IF(M349=1,2,1)+1)&amp;INDEX($D349:$K349,IF(M349=1,2,1)+2)=AC349,3,IF(AB349&lt;&gt;"",2,IF(ISNUMBER(MATCH(INDEX($D349:$K349,IF(M349=1,2,1)),入力!$AH$5:$AH$44,0)),1,IF(ISNUMBER(MATCH(INDEX($D349:$K349,IF(M349=1,2,1))&amp;INDEX($D349:$K349,IF(M349=1,2,1)+1),入力!$AH$5:$AH$44,0)),2,IF(ISNUMBER(MATCH(INDEX($D349:$K349,IF(M349=1,2,1))&amp;INDEX($D349:$K349,IF(M349=1,2,1)+1)&amp;INDEX($D349:$K349,IF(M349=1,2,1)+2),入力!$AH$5:$AH$44,0)),3,2)))))))</f>
        <v/>
      </c>
      <c r="AE349">
        <f>IF(V349="","",IF(AND(V349="反映",N(Y349)&gt;20),"要確認（この生徒の取込が20件を超えました）",V349))</f>
        <v/>
      </c>
    </row>
    <row r="350">
      <c r="A350" s="138" t="n"/>
      <c r="B350">
        <f>TRIM(SUBSTITUTE(SUBSTITUTE(SUBSTITUTE(A350,CHAR(9)," "),"　"," "),CHAR(160)," "))</f>
        <v/>
      </c>
      <c r="C350">
        <f>IF(B350="",0,LEN(B350)-LEN(SUBSTITUTE(B350," ",""))+1)</f>
        <v/>
      </c>
      <c r="D350">
        <f>IF(C350&gt;=1,TRIM(MID(SUBSTITUTE(B350," ",REPT(" ",200)),1,200)),"")</f>
        <v/>
      </c>
      <c r="E350">
        <f>IF(C350&gt;=2,TRIM(MID(SUBSTITUTE(B350," ",REPT(" ",200)),201,200)),"")</f>
        <v/>
      </c>
      <c r="F350">
        <f>IF(C350&gt;=3,TRIM(MID(SUBSTITUTE(B350," ",REPT(" ",200)),401,200)),"")</f>
        <v/>
      </c>
      <c r="G350">
        <f>IF(C350&gt;=4,TRIM(MID(SUBSTITUTE(B350," ",REPT(" ",200)),601,200)),"")</f>
        <v/>
      </c>
      <c r="H350">
        <f>IF(C350&gt;=5,TRIM(MID(SUBSTITUTE(B350," ",REPT(" ",200)),801,200)),"")</f>
        <v/>
      </c>
      <c r="I350">
        <f>IF(C350&gt;=6,TRIM(MID(SUBSTITUTE(B350," ",REPT(" ",200)),1001,200)),"")</f>
        <v/>
      </c>
      <c r="J350">
        <f>IF(C350&gt;=7,TRIM(MID(SUBSTITUTE(B350," ",REPT(" ",200)),1201,200)),"")</f>
        <v/>
      </c>
      <c r="K350">
        <f>IF(C350&gt;=8,TRIM(MID(SUBSTITUTE(B350," ",REPT(" ",200)),1401,200)),"")</f>
        <v/>
      </c>
      <c r="L350">
        <f>SUBSTITUTE(SUBSTITUTE(SUBSTITUTE(D350,"年","-"),"組","-"),"番","")</f>
        <v/>
      </c>
      <c r="M350">
        <f>IF(D350="",0,IF(ISNUMBER(VALUE(SUBSTITUTE(L350,"-",""))),1,0))</f>
        <v/>
      </c>
      <c r="N350">
        <f>IF(M350=0,"",IFERROR(VALUE(TRIM(MID(SUBSTITUTE(L350,"-",REPT(" ",100)),101,100))),""))</f>
        <v/>
      </c>
      <c r="O350">
        <f>IF(M350=0,"",IFERROR(VALUE(TRIM(RIGHT(SUBSTITUTE(L350,"-",REPT(" ",100)),100))),""))</f>
        <v/>
      </c>
      <c r="P350">
        <f>IF(B350="","",TRIM(INDEX($D350:$K350,IF(M350=1,2,1))&amp;IF(AD350&gt;=2," "&amp;INDEX($D350:$K350,IF(M350=1,2,1)+1),"")&amp;IF(AD350&gt;=3," "&amp;INDEX($D350:$K350,IF(M350=1,2,1)+2),"")))</f>
        <v/>
      </c>
      <c r="Q350">
        <f>IF(C350&lt;2,"",TRIM(IF(AND(2&gt;=(IF(M350=1,2,1)+AD350),2&lt;=C350-IF(S350="",0,1)),E350&amp;" ","")&amp;IF(AND(3&gt;=(IF(M350=1,2,1)+AD350),3&lt;=C350-IF(S350="",0,1)),F350&amp;" ","")&amp;IF(AND(4&gt;=(IF(M350=1,2,1)+AD350),4&lt;=C350-IF(S350="",0,1)),G350&amp;" ","")&amp;IF(AND(5&gt;=(IF(M350=1,2,1)+AD350),5&lt;=C350-IF(S350="",0,1)),H350&amp;" ","")&amp;IF(AND(6&gt;=(IF(M350=1,2,1)+AD350),6&lt;=C350-IF(S350="",0,1)),I350&amp;" ","")&amp;IF(AND(7&gt;=(IF(M350=1,2,1)+AD350),7&lt;=C350-IF(S350="",0,1)),J350&amp;" ","")&amp;IF(AND(8&gt;=(IF(M350=1,2,1)+AD350),8&lt;=C350-IF(S350="",0,1)),K350&amp;" ","")))</f>
        <v/>
      </c>
      <c r="R350">
        <f>IF(Q350="","",IFERROR(INDEX(資格マスタ!$B:$B,MATCH(ASC(SUBSTITUTE(SUBSTITUTE(Q350," ",""),"　","")),資格マスタ!$D:$D,0)),Q350))</f>
        <v/>
      </c>
      <c r="S350" s="139">
        <f>IF(C350&lt;2,"",IFERROR(IF(OR(LEFT(INDEX(D350:K350,MIN(8,MAX(1,C350))),2)="令和",LEFT(INDEX(D350:K350,MIN(8,MAX(1,C350))),2)="平成",LEFT(INDEX(D350:K350,MIN(8,MAX(1,C350))),2)="昭和"),DATE(VALUE(MID(INDEX(D350:K350,MIN(8,MAX(1,C350))),3,FIND("年",INDEX(D350:K350,MIN(8,MAX(1,C350))))-3))+IF(LEFT(INDEX(D350:K350,MIN(8,MAX(1,C350))),2)="令和",2018,IF(LEFT(INDEX(D350:K350,MIN(8,MAX(1,C350))),2)="平成",1988,1925)),VALUE(MID(INDEX(D350:K350,MIN(8,MAX(1,C350))),FIND("年",INDEX(D350:K350,MIN(8,MAX(1,C350))))+1,FIND("月",INDEX(D350:K350,MIN(8,MAX(1,C350))))-FIND("年",INDEX(D350:K350,MIN(8,MAX(1,C350))))-1)),IFERROR(VALUE(SUBSTITUTE(MID(INDEX(D350:K350,MIN(8,MAX(1,C350))),FIND("月",INDEX(D350:K350,MIN(8,MAX(1,C350))))+1,10),"日","")),1)),DATE(VALUE(TRIM(MID(SUBSTITUTE(AA350,"/",REPT(" ",50)),1,50))),VALUE(TRIM(MID(SUBSTITUTE(AA350,"/",REPT(" ",50)),51,50))),IFERROR(VALUE(TRIM(MID(SUBSTITUTE(AA350,"/",REPT(" ",50)),101,50))),1))),IFERROR(DATEVALUE(INDEX(D350:K350,MIN(8,MAX(1,C350)))),"")))</f>
        <v/>
      </c>
      <c r="T350">
        <f>IF(B350="","",IF(AB350&lt;&gt;"",AB350,IFERROR(MATCH(SUBSTITUTE(SUBSTITUTE(P350," ",""),"　",""),入力!$AH$5:$AH$44,0),"")))</f>
        <v/>
      </c>
      <c r="U350">
        <f>IF(T350="","",INDEX(入力!$D$5:$D$44,T350))</f>
        <v/>
      </c>
      <c r="V350">
        <f>IF(B350="","",IF(T350="","要確認（名簿と照合できません）",IF(R350="","要確認（資格名がありません）",IF(S350="","要確認（取得日が読めません）",IF((IF(INDEX(入力!$N$5:$N$44,T350)=R350,1,0)+IF(INDEX(入力!$P$5:$P$44,T350)=R350,1,0)+IF(INDEX(入力!$R$5:$R$44,T350)=R350,1,0)+IF(INDEX(入力!$T$5:$T$44,T350)=R350,1,0)+IF(INDEX(入力!$V$5:$V$44,T350)=R350,1,0)+IF(INDEX(入力!$X$5:$X$44,T350)=R350,1,0))+(COUNTIFS($T$6:$T$405,T350,$R$6:$R$405,R350,$X$6:$X$405,"&lt;"&amp;X350))&gt;0,"重複","反映")))))</f>
        <v/>
      </c>
      <c r="W350">
        <f>IF(V350="反映",1,0)</f>
        <v/>
      </c>
      <c r="X350" t="n">
        <v>350</v>
      </c>
      <c r="Y350">
        <f>IF(W350=0,"",COUNTIFS($T$6:$T$405,T350,$W$6:$W$405,1,$S$6:$S$405,"&lt;"&amp;S350)+COUNTIFS($T$6:$T$405,T350,$W$6:$W$405,1,$S$6:$S$405,S350,$X$6:$X$405,"&lt;"&amp;X350)+1)</f>
        <v/>
      </c>
      <c r="Z350">
        <f>IF(Y350="","",T350&amp;"_"&amp;Y350)</f>
        <v/>
      </c>
      <c r="AA350">
        <f>SUBSTITUTE(SUBSTITUTE(SUBSTITUTE(SUBSTITUTE(SUBSTITUTE(INDEX(D350:K350,MIN(8,MAX(1,C350))),"年","/"),"月","/"),"日",""),"-","/"),".","/")</f>
        <v/>
      </c>
      <c r="AB350">
        <f>IFERROR(MATCH(O350,入力!$C$5:$C$44,0),"")</f>
        <v/>
      </c>
      <c r="AC350">
        <f>IF(AB350="","",INDEX(入力!$AH$5:$AH$44,AB350))</f>
        <v/>
      </c>
      <c r="AD350">
        <f>IF(INDEX($D350:$K350,IF(M350=1,2,1))=AC350,1,IF(INDEX($D350:$K350,IF(M350=1,2,1))&amp;INDEX($D350:$K350,IF(M350=1,2,1)+1)=AC350,2,IF(INDEX($D350:$K350,IF(M350=1,2,1))&amp;INDEX($D350:$K350,IF(M350=1,2,1)+1)&amp;INDEX($D350:$K350,IF(M350=1,2,1)+2)=AC350,3,IF(AB350&lt;&gt;"",2,IF(ISNUMBER(MATCH(INDEX($D350:$K350,IF(M350=1,2,1)),入力!$AH$5:$AH$44,0)),1,IF(ISNUMBER(MATCH(INDEX($D350:$K350,IF(M350=1,2,1))&amp;INDEX($D350:$K350,IF(M350=1,2,1)+1),入力!$AH$5:$AH$44,0)),2,IF(ISNUMBER(MATCH(INDEX($D350:$K350,IF(M350=1,2,1))&amp;INDEX($D350:$K350,IF(M350=1,2,1)+1)&amp;INDEX($D350:$K350,IF(M350=1,2,1)+2),入力!$AH$5:$AH$44,0)),3,2)))))))</f>
        <v/>
      </c>
      <c r="AE350">
        <f>IF(V350="","",IF(AND(V350="反映",N(Y350)&gt;20),"要確認（この生徒の取込が20件を超えました）",V350))</f>
        <v/>
      </c>
    </row>
    <row r="351">
      <c r="A351" s="138" t="n"/>
      <c r="B351">
        <f>TRIM(SUBSTITUTE(SUBSTITUTE(SUBSTITUTE(A351,CHAR(9)," "),"　"," "),CHAR(160)," "))</f>
        <v/>
      </c>
      <c r="C351">
        <f>IF(B351="",0,LEN(B351)-LEN(SUBSTITUTE(B351," ",""))+1)</f>
        <v/>
      </c>
      <c r="D351">
        <f>IF(C351&gt;=1,TRIM(MID(SUBSTITUTE(B351," ",REPT(" ",200)),1,200)),"")</f>
        <v/>
      </c>
      <c r="E351">
        <f>IF(C351&gt;=2,TRIM(MID(SUBSTITUTE(B351," ",REPT(" ",200)),201,200)),"")</f>
        <v/>
      </c>
      <c r="F351">
        <f>IF(C351&gt;=3,TRIM(MID(SUBSTITUTE(B351," ",REPT(" ",200)),401,200)),"")</f>
        <v/>
      </c>
      <c r="G351">
        <f>IF(C351&gt;=4,TRIM(MID(SUBSTITUTE(B351," ",REPT(" ",200)),601,200)),"")</f>
        <v/>
      </c>
      <c r="H351">
        <f>IF(C351&gt;=5,TRIM(MID(SUBSTITUTE(B351," ",REPT(" ",200)),801,200)),"")</f>
        <v/>
      </c>
      <c r="I351">
        <f>IF(C351&gt;=6,TRIM(MID(SUBSTITUTE(B351," ",REPT(" ",200)),1001,200)),"")</f>
        <v/>
      </c>
      <c r="J351">
        <f>IF(C351&gt;=7,TRIM(MID(SUBSTITUTE(B351," ",REPT(" ",200)),1201,200)),"")</f>
        <v/>
      </c>
      <c r="K351">
        <f>IF(C351&gt;=8,TRIM(MID(SUBSTITUTE(B351," ",REPT(" ",200)),1401,200)),"")</f>
        <v/>
      </c>
      <c r="L351">
        <f>SUBSTITUTE(SUBSTITUTE(SUBSTITUTE(D351,"年","-"),"組","-"),"番","")</f>
        <v/>
      </c>
      <c r="M351">
        <f>IF(D351="",0,IF(ISNUMBER(VALUE(SUBSTITUTE(L351,"-",""))),1,0))</f>
        <v/>
      </c>
      <c r="N351">
        <f>IF(M351=0,"",IFERROR(VALUE(TRIM(MID(SUBSTITUTE(L351,"-",REPT(" ",100)),101,100))),""))</f>
        <v/>
      </c>
      <c r="O351">
        <f>IF(M351=0,"",IFERROR(VALUE(TRIM(RIGHT(SUBSTITUTE(L351,"-",REPT(" ",100)),100))),""))</f>
        <v/>
      </c>
      <c r="P351">
        <f>IF(B351="","",TRIM(INDEX($D351:$K351,IF(M351=1,2,1))&amp;IF(AD351&gt;=2," "&amp;INDEX($D351:$K351,IF(M351=1,2,1)+1),"")&amp;IF(AD351&gt;=3," "&amp;INDEX($D351:$K351,IF(M351=1,2,1)+2),"")))</f>
        <v/>
      </c>
      <c r="Q351">
        <f>IF(C351&lt;2,"",TRIM(IF(AND(2&gt;=(IF(M351=1,2,1)+AD351),2&lt;=C351-IF(S351="",0,1)),E351&amp;" ","")&amp;IF(AND(3&gt;=(IF(M351=1,2,1)+AD351),3&lt;=C351-IF(S351="",0,1)),F351&amp;" ","")&amp;IF(AND(4&gt;=(IF(M351=1,2,1)+AD351),4&lt;=C351-IF(S351="",0,1)),G351&amp;" ","")&amp;IF(AND(5&gt;=(IF(M351=1,2,1)+AD351),5&lt;=C351-IF(S351="",0,1)),H351&amp;" ","")&amp;IF(AND(6&gt;=(IF(M351=1,2,1)+AD351),6&lt;=C351-IF(S351="",0,1)),I351&amp;" ","")&amp;IF(AND(7&gt;=(IF(M351=1,2,1)+AD351),7&lt;=C351-IF(S351="",0,1)),J351&amp;" ","")&amp;IF(AND(8&gt;=(IF(M351=1,2,1)+AD351),8&lt;=C351-IF(S351="",0,1)),K351&amp;" ","")))</f>
        <v/>
      </c>
      <c r="R351">
        <f>IF(Q351="","",IFERROR(INDEX(資格マスタ!$B:$B,MATCH(ASC(SUBSTITUTE(SUBSTITUTE(Q351," ",""),"　","")),資格マスタ!$D:$D,0)),Q351))</f>
        <v/>
      </c>
      <c r="S351" s="139">
        <f>IF(C351&lt;2,"",IFERROR(IF(OR(LEFT(INDEX(D351:K351,MIN(8,MAX(1,C351))),2)="令和",LEFT(INDEX(D351:K351,MIN(8,MAX(1,C351))),2)="平成",LEFT(INDEX(D351:K351,MIN(8,MAX(1,C351))),2)="昭和"),DATE(VALUE(MID(INDEX(D351:K351,MIN(8,MAX(1,C351))),3,FIND("年",INDEX(D351:K351,MIN(8,MAX(1,C351))))-3))+IF(LEFT(INDEX(D351:K351,MIN(8,MAX(1,C351))),2)="令和",2018,IF(LEFT(INDEX(D351:K351,MIN(8,MAX(1,C351))),2)="平成",1988,1925)),VALUE(MID(INDEX(D351:K351,MIN(8,MAX(1,C351))),FIND("年",INDEX(D351:K351,MIN(8,MAX(1,C351))))+1,FIND("月",INDEX(D351:K351,MIN(8,MAX(1,C351))))-FIND("年",INDEX(D351:K351,MIN(8,MAX(1,C351))))-1)),IFERROR(VALUE(SUBSTITUTE(MID(INDEX(D351:K351,MIN(8,MAX(1,C351))),FIND("月",INDEX(D351:K351,MIN(8,MAX(1,C351))))+1,10),"日","")),1)),DATE(VALUE(TRIM(MID(SUBSTITUTE(AA351,"/",REPT(" ",50)),1,50))),VALUE(TRIM(MID(SUBSTITUTE(AA351,"/",REPT(" ",50)),51,50))),IFERROR(VALUE(TRIM(MID(SUBSTITUTE(AA351,"/",REPT(" ",50)),101,50))),1))),IFERROR(DATEVALUE(INDEX(D351:K351,MIN(8,MAX(1,C351)))),"")))</f>
        <v/>
      </c>
      <c r="T351">
        <f>IF(B351="","",IF(AB351&lt;&gt;"",AB351,IFERROR(MATCH(SUBSTITUTE(SUBSTITUTE(P351," ",""),"　",""),入力!$AH$5:$AH$44,0),"")))</f>
        <v/>
      </c>
      <c r="U351">
        <f>IF(T351="","",INDEX(入力!$D$5:$D$44,T351))</f>
        <v/>
      </c>
      <c r="V351">
        <f>IF(B351="","",IF(T351="","要確認（名簿と照合できません）",IF(R351="","要確認（資格名がありません）",IF(S351="","要確認（取得日が読めません）",IF((IF(INDEX(入力!$N$5:$N$44,T351)=R351,1,0)+IF(INDEX(入力!$P$5:$P$44,T351)=R351,1,0)+IF(INDEX(入力!$R$5:$R$44,T351)=R351,1,0)+IF(INDEX(入力!$T$5:$T$44,T351)=R351,1,0)+IF(INDEX(入力!$V$5:$V$44,T351)=R351,1,0)+IF(INDEX(入力!$X$5:$X$44,T351)=R351,1,0))+(COUNTIFS($T$6:$T$405,T351,$R$6:$R$405,R351,$X$6:$X$405,"&lt;"&amp;X351))&gt;0,"重複","反映")))))</f>
        <v/>
      </c>
      <c r="W351">
        <f>IF(V351="反映",1,0)</f>
        <v/>
      </c>
      <c r="X351" t="n">
        <v>351</v>
      </c>
      <c r="Y351">
        <f>IF(W351=0,"",COUNTIFS($T$6:$T$405,T351,$W$6:$W$405,1,$S$6:$S$405,"&lt;"&amp;S351)+COUNTIFS($T$6:$T$405,T351,$W$6:$W$405,1,$S$6:$S$405,S351,$X$6:$X$405,"&lt;"&amp;X351)+1)</f>
        <v/>
      </c>
      <c r="Z351">
        <f>IF(Y351="","",T351&amp;"_"&amp;Y351)</f>
        <v/>
      </c>
      <c r="AA351">
        <f>SUBSTITUTE(SUBSTITUTE(SUBSTITUTE(SUBSTITUTE(SUBSTITUTE(INDEX(D351:K351,MIN(8,MAX(1,C351))),"年","/"),"月","/"),"日",""),"-","/"),".","/")</f>
        <v/>
      </c>
      <c r="AB351">
        <f>IFERROR(MATCH(O351,入力!$C$5:$C$44,0),"")</f>
        <v/>
      </c>
      <c r="AC351">
        <f>IF(AB351="","",INDEX(入力!$AH$5:$AH$44,AB351))</f>
        <v/>
      </c>
      <c r="AD351">
        <f>IF(INDEX($D351:$K351,IF(M351=1,2,1))=AC351,1,IF(INDEX($D351:$K351,IF(M351=1,2,1))&amp;INDEX($D351:$K351,IF(M351=1,2,1)+1)=AC351,2,IF(INDEX($D351:$K351,IF(M351=1,2,1))&amp;INDEX($D351:$K351,IF(M351=1,2,1)+1)&amp;INDEX($D351:$K351,IF(M351=1,2,1)+2)=AC351,3,IF(AB351&lt;&gt;"",2,IF(ISNUMBER(MATCH(INDEX($D351:$K351,IF(M351=1,2,1)),入力!$AH$5:$AH$44,0)),1,IF(ISNUMBER(MATCH(INDEX($D351:$K351,IF(M351=1,2,1))&amp;INDEX($D351:$K351,IF(M351=1,2,1)+1),入力!$AH$5:$AH$44,0)),2,IF(ISNUMBER(MATCH(INDEX($D351:$K351,IF(M351=1,2,1))&amp;INDEX($D351:$K351,IF(M351=1,2,1)+1)&amp;INDEX($D351:$K351,IF(M351=1,2,1)+2),入力!$AH$5:$AH$44,0)),3,2)))))))</f>
        <v/>
      </c>
      <c r="AE351">
        <f>IF(V351="","",IF(AND(V351="反映",N(Y351)&gt;20),"要確認（この生徒の取込が20件を超えました）",V351))</f>
        <v/>
      </c>
    </row>
    <row r="352">
      <c r="A352" s="138" t="n"/>
      <c r="B352">
        <f>TRIM(SUBSTITUTE(SUBSTITUTE(SUBSTITUTE(A352,CHAR(9)," "),"　"," "),CHAR(160)," "))</f>
        <v/>
      </c>
      <c r="C352">
        <f>IF(B352="",0,LEN(B352)-LEN(SUBSTITUTE(B352," ",""))+1)</f>
        <v/>
      </c>
      <c r="D352">
        <f>IF(C352&gt;=1,TRIM(MID(SUBSTITUTE(B352," ",REPT(" ",200)),1,200)),"")</f>
        <v/>
      </c>
      <c r="E352">
        <f>IF(C352&gt;=2,TRIM(MID(SUBSTITUTE(B352," ",REPT(" ",200)),201,200)),"")</f>
        <v/>
      </c>
      <c r="F352">
        <f>IF(C352&gt;=3,TRIM(MID(SUBSTITUTE(B352," ",REPT(" ",200)),401,200)),"")</f>
        <v/>
      </c>
      <c r="G352">
        <f>IF(C352&gt;=4,TRIM(MID(SUBSTITUTE(B352," ",REPT(" ",200)),601,200)),"")</f>
        <v/>
      </c>
      <c r="H352">
        <f>IF(C352&gt;=5,TRIM(MID(SUBSTITUTE(B352," ",REPT(" ",200)),801,200)),"")</f>
        <v/>
      </c>
      <c r="I352">
        <f>IF(C352&gt;=6,TRIM(MID(SUBSTITUTE(B352," ",REPT(" ",200)),1001,200)),"")</f>
        <v/>
      </c>
      <c r="J352">
        <f>IF(C352&gt;=7,TRIM(MID(SUBSTITUTE(B352," ",REPT(" ",200)),1201,200)),"")</f>
        <v/>
      </c>
      <c r="K352">
        <f>IF(C352&gt;=8,TRIM(MID(SUBSTITUTE(B352," ",REPT(" ",200)),1401,200)),"")</f>
        <v/>
      </c>
      <c r="L352">
        <f>SUBSTITUTE(SUBSTITUTE(SUBSTITUTE(D352,"年","-"),"組","-"),"番","")</f>
        <v/>
      </c>
      <c r="M352">
        <f>IF(D352="",0,IF(ISNUMBER(VALUE(SUBSTITUTE(L352,"-",""))),1,0))</f>
        <v/>
      </c>
      <c r="N352">
        <f>IF(M352=0,"",IFERROR(VALUE(TRIM(MID(SUBSTITUTE(L352,"-",REPT(" ",100)),101,100))),""))</f>
        <v/>
      </c>
      <c r="O352">
        <f>IF(M352=0,"",IFERROR(VALUE(TRIM(RIGHT(SUBSTITUTE(L352,"-",REPT(" ",100)),100))),""))</f>
        <v/>
      </c>
      <c r="P352">
        <f>IF(B352="","",TRIM(INDEX($D352:$K352,IF(M352=1,2,1))&amp;IF(AD352&gt;=2," "&amp;INDEX($D352:$K352,IF(M352=1,2,1)+1),"")&amp;IF(AD352&gt;=3," "&amp;INDEX($D352:$K352,IF(M352=1,2,1)+2),"")))</f>
        <v/>
      </c>
      <c r="Q352">
        <f>IF(C352&lt;2,"",TRIM(IF(AND(2&gt;=(IF(M352=1,2,1)+AD352),2&lt;=C352-IF(S352="",0,1)),E352&amp;" ","")&amp;IF(AND(3&gt;=(IF(M352=1,2,1)+AD352),3&lt;=C352-IF(S352="",0,1)),F352&amp;" ","")&amp;IF(AND(4&gt;=(IF(M352=1,2,1)+AD352),4&lt;=C352-IF(S352="",0,1)),G352&amp;" ","")&amp;IF(AND(5&gt;=(IF(M352=1,2,1)+AD352),5&lt;=C352-IF(S352="",0,1)),H352&amp;" ","")&amp;IF(AND(6&gt;=(IF(M352=1,2,1)+AD352),6&lt;=C352-IF(S352="",0,1)),I352&amp;" ","")&amp;IF(AND(7&gt;=(IF(M352=1,2,1)+AD352),7&lt;=C352-IF(S352="",0,1)),J352&amp;" ","")&amp;IF(AND(8&gt;=(IF(M352=1,2,1)+AD352),8&lt;=C352-IF(S352="",0,1)),K352&amp;" ","")))</f>
        <v/>
      </c>
      <c r="R352">
        <f>IF(Q352="","",IFERROR(INDEX(資格マスタ!$B:$B,MATCH(ASC(SUBSTITUTE(SUBSTITUTE(Q352," ",""),"　","")),資格マスタ!$D:$D,0)),Q352))</f>
        <v/>
      </c>
      <c r="S352" s="139">
        <f>IF(C352&lt;2,"",IFERROR(IF(OR(LEFT(INDEX(D352:K352,MIN(8,MAX(1,C352))),2)="令和",LEFT(INDEX(D352:K352,MIN(8,MAX(1,C352))),2)="平成",LEFT(INDEX(D352:K352,MIN(8,MAX(1,C352))),2)="昭和"),DATE(VALUE(MID(INDEX(D352:K352,MIN(8,MAX(1,C352))),3,FIND("年",INDEX(D352:K352,MIN(8,MAX(1,C352))))-3))+IF(LEFT(INDEX(D352:K352,MIN(8,MAX(1,C352))),2)="令和",2018,IF(LEFT(INDEX(D352:K352,MIN(8,MAX(1,C352))),2)="平成",1988,1925)),VALUE(MID(INDEX(D352:K352,MIN(8,MAX(1,C352))),FIND("年",INDEX(D352:K352,MIN(8,MAX(1,C352))))+1,FIND("月",INDEX(D352:K352,MIN(8,MAX(1,C352))))-FIND("年",INDEX(D352:K352,MIN(8,MAX(1,C352))))-1)),IFERROR(VALUE(SUBSTITUTE(MID(INDEX(D352:K352,MIN(8,MAX(1,C352))),FIND("月",INDEX(D352:K352,MIN(8,MAX(1,C352))))+1,10),"日","")),1)),DATE(VALUE(TRIM(MID(SUBSTITUTE(AA352,"/",REPT(" ",50)),1,50))),VALUE(TRIM(MID(SUBSTITUTE(AA352,"/",REPT(" ",50)),51,50))),IFERROR(VALUE(TRIM(MID(SUBSTITUTE(AA352,"/",REPT(" ",50)),101,50))),1))),IFERROR(DATEVALUE(INDEX(D352:K352,MIN(8,MAX(1,C352)))),"")))</f>
        <v/>
      </c>
      <c r="T352">
        <f>IF(B352="","",IF(AB352&lt;&gt;"",AB352,IFERROR(MATCH(SUBSTITUTE(SUBSTITUTE(P352," ",""),"　",""),入力!$AH$5:$AH$44,0),"")))</f>
        <v/>
      </c>
      <c r="U352">
        <f>IF(T352="","",INDEX(入力!$D$5:$D$44,T352))</f>
        <v/>
      </c>
      <c r="V352">
        <f>IF(B352="","",IF(T352="","要確認（名簿と照合できません）",IF(R352="","要確認（資格名がありません）",IF(S352="","要確認（取得日が読めません）",IF((IF(INDEX(入力!$N$5:$N$44,T352)=R352,1,0)+IF(INDEX(入力!$P$5:$P$44,T352)=R352,1,0)+IF(INDEX(入力!$R$5:$R$44,T352)=R352,1,0)+IF(INDEX(入力!$T$5:$T$44,T352)=R352,1,0)+IF(INDEX(入力!$V$5:$V$44,T352)=R352,1,0)+IF(INDEX(入力!$X$5:$X$44,T352)=R352,1,0))+(COUNTIFS($T$6:$T$405,T352,$R$6:$R$405,R352,$X$6:$X$405,"&lt;"&amp;X352))&gt;0,"重複","反映")))))</f>
        <v/>
      </c>
      <c r="W352">
        <f>IF(V352="反映",1,0)</f>
        <v/>
      </c>
      <c r="X352" t="n">
        <v>352</v>
      </c>
      <c r="Y352">
        <f>IF(W352=0,"",COUNTIFS($T$6:$T$405,T352,$W$6:$W$405,1,$S$6:$S$405,"&lt;"&amp;S352)+COUNTIFS($T$6:$T$405,T352,$W$6:$W$405,1,$S$6:$S$405,S352,$X$6:$X$405,"&lt;"&amp;X352)+1)</f>
        <v/>
      </c>
      <c r="Z352">
        <f>IF(Y352="","",T352&amp;"_"&amp;Y352)</f>
        <v/>
      </c>
      <c r="AA352">
        <f>SUBSTITUTE(SUBSTITUTE(SUBSTITUTE(SUBSTITUTE(SUBSTITUTE(INDEX(D352:K352,MIN(8,MAX(1,C352))),"年","/"),"月","/"),"日",""),"-","/"),".","/")</f>
        <v/>
      </c>
      <c r="AB352">
        <f>IFERROR(MATCH(O352,入力!$C$5:$C$44,0),"")</f>
        <v/>
      </c>
      <c r="AC352">
        <f>IF(AB352="","",INDEX(入力!$AH$5:$AH$44,AB352))</f>
        <v/>
      </c>
      <c r="AD352">
        <f>IF(INDEX($D352:$K352,IF(M352=1,2,1))=AC352,1,IF(INDEX($D352:$K352,IF(M352=1,2,1))&amp;INDEX($D352:$K352,IF(M352=1,2,1)+1)=AC352,2,IF(INDEX($D352:$K352,IF(M352=1,2,1))&amp;INDEX($D352:$K352,IF(M352=1,2,1)+1)&amp;INDEX($D352:$K352,IF(M352=1,2,1)+2)=AC352,3,IF(AB352&lt;&gt;"",2,IF(ISNUMBER(MATCH(INDEX($D352:$K352,IF(M352=1,2,1)),入力!$AH$5:$AH$44,0)),1,IF(ISNUMBER(MATCH(INDEX($D352:$K352,IF(M352=1,2,1))&amp;INDEX($D352:$K352,IF(M352=1,2,1)+1),入力!$AH$5:$AH$44,0)),2,IF(ISNUMBER(MATCH(INDEX($D352:$K352,IF(M352=1,2,1))&amp;INDEX($D352:$K352,IF(M352=1,2,1)+1)&amp;INDEX($D352:$K352,IF(M352=1,2,1)+2),入力!$AH$5:$AH$44,0)),3,2)))))))</f>
        <v/>
      </c>
      <c r="AE352">
        <f>IF(V352="","",IF(AND(V352="反映",N(Y352)&gt;20),"要確認（この生徒の取込が20件を超えました）",V352))</f>
        <v/>
      </c>
    </row>
    <row r="353">
      <c r="A353" s="138" t="n"/>
      <c r="B353">
        <f>TRIM(SUBSTITUTE(SUBSTITUTE(SUBSTITUTE(A353,CHAR(9)," "),"　"," "),CHAR(160)," "))</f>
        <v/>
      </c>
      <c r="C353">
        <f>IF(B353="",0,LEN(B353)-LEN(SUBSTITUTE(B353," ",""))+1)</f>
        <v/>
      </c>
      <c r="D353">
        <f>IF(C353&gt;=1,TRIM(MID(SUBSTITUTE(B353," ",REPT(" ",200)),1,200)),"")</f>
        <v/>
      </c>
      <c r="E353">
        <f>IF(C353&gt;=2,TRIM(MID(SUBSTITUTE(B353," ",REPT(" ",200)),201,200)),"")</f>
        <v/>
      </c>
      <c r="F353">
        <f>IF(C353&gt;=3,TRIM(MID(SUBSTITUTE(B353," ",REPT(" ",200)),401,200)),"")</f>
        <v/>
      </c>
      <c r="G353">
        <f>IF(C353&gt;=4,TRIM(MID(SUBSTITUTE(B353," ",REPT(" ",200)),601,200)),"")</f>
        <v/>
      </c>
      <c r="H353">
        <f>IF(C353&gt;=5,TRIM(MID(SUBSTITUTE(B353," ",REPT(" ",200)),801,200)),"")</f>
        <v/>
      </c>
      <c r="I353">
        <f>IF(C353&gt;=6,TRIM(MID(SUBSTITUTE(B353," ",REPT(" ",200)),1001,200)),"")</f>
        <v/>
      </c>
      <c r="J353">
        <f>IF(C353&gt;=7,TRIM(MID(SUBSTITUTE(B353," ",REPT(" ",200)),1201,200)),"")</f>
        <v/>
      </c>
      <c r="K353">
        <f>IF(C353&gt;=8,TRIM(MID(SUBSTITUTE(B353," ",REPT(" ",200)),1401,200)),"")</f>
        <v/>
      </c>
      <c r="L353">
        <f>SUBSTITUTE(SUBSTITUTE(SUBSTITUTE(D353,"年","-"),"組","-"),"番","")</f>
        <v/>
      </c>
      <c r="M353">
        <f>IF(D353="",0,IF(ISNUMBER(VALUE(SUBSTITUTE(L353,"-",""))),1,0))</f>
        <v/>
      </c>
      <c r="N353">
        <f>IF(M353=0,"",IFERROR(VALUE(TRIM(MID(SUBSTITUTE(L353,"-",REPT(" ",100)),101,100))),""))</f>
        <v/>
      </c>
      <c r="O353">
        <f>IF(M353=0,"",IFERROR(VALUE(TRIM(RIGHT(SUBSTITUTE(L353,"-",REPT(" ",100)),100))),""))</f>
        <v/>
      </c>
      <c r="P353">
        <f>IF(B353="","",TRIM(INDEX($D353:$K353,IF(M353=1,2,1))&amp;IF(AD353&gt;=2," "&amp;INDEX($D353:$K353,IF(M353=1,2,1)+1),"")&amp;IF(AD353&gt;=3," "&amp;INDEX($D353:$K353,IF(M353=1,2,1)+2),"")))</f>
        <v/>
      </c>
      <c r="Q353">
        <f>IF(C353&lt;2,"",TRIM(IF(AND(2&gt;=(IF(M353=1,2,1)+AD353),2&lt;=C353-IF(S353="",0,1)),E353&amp;" ","")&amp;IF(AND(3&gt;=(IF(M353=1,2,1)+AD353),3&lt;=C353-IF(S353="",0,1)),F353&amp;" ","")&amp;IF(AND(4&gt;=(IF(M353=1,2,1)+AD353),4&lt;=C353-IF(S353="",0,1)),G353&amp;" ","")&amp;IF(AND(5&gt;=(IF(M353=1,2,1)+AD353),5&lt;=C353-IF(S353="",0,1)),H353&amp;" ","")&amp;IF(AND(6&gt;=(IF(M353=1,2,1)+AD353),6&lt;=C353-IF(S353="",0,1)),I353&amp;" ","")&amp;IF(AND(7&gt;=(IF(M353=1,2,1)+AD353),7&lt;=C353-IF(S353="",0,1)),J353&amp;" ","")&amp;IF(AND(8&gt;=(IF(M353=1,2,1)+AD353),8&lt;=C353-IF(S353="",0,1)),K353&amp;" ","")))</f>
        <v/>
      </c>
      <c r="R353">
        <f>IF(Q353="","",IFERROR(INDEX(資格マスタ!$B:$B,MATCH(ASC(SUBSTITUTE(SUBSTITUTE(Q353," ",""),"　","")),資格マスタ!$D:$D,0)),Q353))</f>
        <v/>
      </c>
      <c r="S353" s="139">
        <f>IF(C353&lt;2,"",IFERROR(IF(OR(LEFT(INDEX(D353:K353,MIN(8,MAX(1,C353))),2)="令和",LEFT(INDEX(D353:K353,MIN(8,MAX(1,C353))),2)="平成",LEFT(INDEX(D353:K353,MIN(8,MAX(1,C353))),2)="昭和"),DATE(VALUE(MID(INDEX(D353:K353,MIN(8,MAX(1,C353))),3,FIND("年",INDEX(D353:K353,MIN(8,MAX(1,C353))))-3))+IF(LEFT(INDEX(D353:K353,MIN(8,MAX(1,C353))),2)="令和",2018,IF(LEFT(INDEX(D353:K353,MIN(8,MAX(1,C353))),2)="平成",1988,1925)),VALUE(MID(INDEX(D353:K353,MIN(8,MAX(1,C353))),FIND("年",INDEX(D353:K353,MIN(8,MAX(1,C353))))+1,FIND("月",INDEX(D353:K353,MIN(8,MAX(1,C353))))-FIND("年",INDEX(D353:K353,MIN(8,MAX(1,C353))))-1)),IFERROR(VALUE(SUBSTITUTE(MID(INDEX(D353:K353,MIN(8,MAX(1,C353))),FIND("月",INDEX(D353:K353,MIN(8,MAX(1,C353))))+1,10),"日","")),1)),DATE(VALUE(TRIM(MID(SUBSTITUTE(AA353,"/",REPT(" ",50)),1,50))),VALUE(TRIM(MID(SUBSTITUTE(AA353,"/",REPT(" ",50)),51,50))),IFERROR(VALUE(TRIM(MID(SUBSTITUTE(AA353,"/",REPT(" ",50)),101,50))),1))),IFERROR(DATEVALUE(INDEX(D353:K353,MIN(8,MAX(1,C353)))),"")))</f>
        <v/>
      </c>
      <c r="T353">
        <f>IF(B353="","",IF(AB353&lt;&gt;"",AB353,IFERROR(MATCH(SUBSTITUTE(SUBSTITUTE(P353," ",""),"　",""),入力!$AH$5:$AH$44,0),"")))</f>
        <v/>
      </c>
      <c r="U353">
        <f>IF(T353="","",INDEX(入力!$D$5:$D$44,T353))</f>
        <v/>
      </c>
      <c r="V353">
        <f>IF(B353="","",IF(T353="","要確認（名簿と照合できません）",IF(R353="","要確認（資格名がありません）",IF(S353="","要確認（取得日が読めません）",IF((IF(INDEX(入力!$N$5:$N$44,T353)=R353,1,0)+IF(INDEX(入力!$P$5:$P$44,T353)=R353,1,0)+IF(INDEX(入力!$R$5:$R$44,T353)=R353,1,0)+IF(INDEX(入力!$T$5:$T$44,T353)=R353,1,0)+IF(INDEX(入力!$V$5:$V$44,T353)=R353,1,0)+IF(INDEX(入力!$X$5:$X$44,T353)=R353,1,0))+(COUNTIFS($T$6:$T$405,T353,$R$6:$R$405,R353,$X$6:$X$405,"&lt;"&amp;X353))&gt;0,"重複","反映")))))</f>
        <v/>
      </c>
      <c r="W353">
        <f>IF(V353="反映",1,0)</f>
        <v/>
      </c>
      <c r="X353" t="n">
        <v>353</v>
      </c>
      <c r="Y353">
        <f>IF(W353=0,"",COUNTIFS($T$6:$T$405,T353,$W$6:$W$405,1,$S$6:$S$405,"&lt;"&amp;S353)+COUNTIFS($T$6:$T$405,T353,$W$6:$W$405,1,$S$6:$S$405,S353,$X$6:$X$405,"&lt;"&amp;X353)+1)</f>
        <v/>
      </c>
      <c r="Z353">
        <f>IF(Y353="","",T353&amp;"_"&amp;Y353)</f>
        <v/>
      </c>
      <c r="AA353">
        <f>SUBSTITUTE(SUBSTITUTE(SUBSTITUTE(SUBSTITUTE(SUBSTITUTE(INDEX(D353:K353,MIN(8,MAX(1,C353))),"年","/"),"月","/"),"日",""),"-","/"),".","/")</f>
        <v/>
      </c>
      <c r="AB353">
        <f>IFERROR(MATCH(O353,入力!$C$5:$C$44,0),"")</f>
        <v/>
      </c>
      <c r="AC353">
        <f>IF(AB353="","",INDEX(入力!$AH$5:$AH$44,AB353))</f>
        <v/>
      </c>
      <c r="AD353">
        <f>IF(INDEX($D353:$K353,IF(M353=1,2,1))=AC353,1,IF(INDEX($D353:$K353,IF(M353=1,2,1))&amp;INDEX($D353:$K353,IF(M353=1,2,1)+1)=AC353,2,IF(INDEX($D353:$K353,IF(M353=1,2,1))&amp;INDEX($D353:$K353,IF(M353=1,2,1)+1)&amp;INDEX($D353:$K353,IF(M353=1,2,1)+2)=AC353,3,IF(AB353&lt;&gt;"",2,IF(ISNUMBER(MATCH(INDEX($D353:$K353,IF(M353=1,2,1)),入力!$AH$5:$AH$44,0)),1,IF(ISNUMBER(MATCH(INDEX($D353:$K353,IF(M353=1,2,1))&amp;INDEX($D353:$K353,IF(M353=1,2,1)+1),入力!$AH$5:$AH$44,0)),2,IF(ISNUMBER(MATCH(INDEX($D353:$K353,IF(M353=1,2,1))&amp;INDEX($D353:$K353,IF(M353=1,2,1)+1)&amp;INDEX($D353:$K353,IF(M353=1,2,1)+2),入力!$AH$5:$AH$44,0)),3,2)))))))</f>
        <v/>
      </c>
      <c r="AE353">
        <f>IF(V353="","",IF(AND(V353="反映",N(Y353)&gt;20),"要確認（この生徒の取込が20件を超えました）",V353))</f>
        <v/>
      </c>
    </row>
    <row r="354">
      <c r="A354" s="138" t="n"/>
      <c r="B354">
        <f>TRIM(SUBSTITUTE(SUBSTITUTE(SUBSTITUTE(A354,CHAR(9)," "),"　"," "),CHAR(160)," "))</f>
        <v/>
      </c>
      <c r="C354">
        <f>IF(B354="",0,LEN(B354)-LEN(SUBSTITUTE(B354," ",""))+1)</f>
        <v/>
      </c>
      <c r="D354">
        <f>IF(C354&gt;=1,TRIM(MID(SUBSTITUTE(B354," ",REPT(" ",200)),1,200)),"")</f>
        <v/>
      </c>
      <c r="E354">
        <f>IF(C354&gt;=2,TRIM(MID(SUBSTITUTE(B354," ",REPT(" ",200)),201,200)),"")</f>
        <v/>
      </c>
      <c r="F354">
        <f>IF(C354&gt;=3,TRIM(MID(SUBSTITUTE(B354," ",REPT(" ",200)),401,200)),"")</f>
        <v/>
      </c>
      <c r="G354">
        <f>IF(C354&gt;=4,TRIM(MID(SUBSTITUTE(B354," ",REPT(" ",200)),601,200)),"")</f>
        <v/>
      </c>
      <c r="H354">
        <f>IF(C354&gt;=5,TRIM(MID(SUBSTITUTE(B354," ",REPT(" ",200)),801,200)),"")</f>
        <v/>
      </c>
      <c r="I354">
        <f>IF(C354&gt;=6,TRIM(MID(SUBSTITUTE(B354," ",REPT(" ",200)),1001,200)),"")</f>
        <v/>
      </c>
      <c r="J354">
        <f>IF(C354&gt;=7,TRIM(MID(SUBSTITUTE(B354," ",REPT(" ",200)),1201,200)),"")</f>
        <v/>
      </c>
      <c r="K354">
        <f>IF(C354&gt;=8,TRIM(MID(SUBSTITUTE(B354," ",REPT(" ",200)),1401,200)),"")</f>
        <v/>
      </c>
      <c r="L354">
        <f>SUBSTITUTE(SUBSTITUTE(SUBSTITUTE(D354,"年","-"),"組","-"),"番","")</f>
        <v/>
      </c>
      <c r="M354">
        <f>IF(D354="",0,IF(ISNUMBER(VALUE(SUBSTITUTE(L354,"-",""))),1,0))</f>
        <v/>
      </c>
      <c r="N354">
        <f>IF(M354=0,"",IFERROR(VALUE(TRIM(MID(SUBSTITUTE(L354,"-",REPT(" ",100)),101,100))),""))</f>
        <v/>
      </c>
      <c r="O354">
        <f>IF(M354=0,"",IFERROR(VALUE(TRIM(RIGHT(SUBSTITUTE(L354,"-",REPT(" ",100)),100))),""))</f>
        <v/>
      </c>
      <c r="P354">
        <f>IF(B354="","",TRIM(INDEX($D354:$K354,IF(M354=1,2,1))&amp;IF(AD354&gt;=2," "&amp;INDEX($D354:$K354,IF(M354=1,2,1)+1),"")&amp;IF(AD354&gt;=3," "&amp;INDEX($D354:$K354,IF(M354=1,2,1)+2),"")))</f>
        <v/>
      </c>
      <c r="Q354">
        <f>IF(C354&lt;2,"",TRIM(IF(AND(2&gt;=(IF(M354=1,2,1)+AD354),2&lt;=C354-IF(S354="",0,1)),E354&amp;" ","")&amp;IF(AND(3&gt;=(IF(M354=1,2,1)+AD354),3&lt;=C354-IF(S354="",0,1)),F354&amp;" ","")&amp;IF(AND(4&gt;=(IF(M354=1,2,1)+AD354),4&lt;=C354-IF(S354="",0,1)),G354&amp;" ","")&amp;IF(AND(5&gt;=(IF(M354=1,2,1)+AD354),5&lt;=C354-IF(S354="",0,1)),H354&amp;" ","")&amp;IF(AND(6&gt;=(IF(M354=1,2,1)+AD354),6&lt;=C354-IF(S354="",0,1)),I354&amp;" ","")&amp;IF(AND(7&gt;=(IF(M354=1,2,1)+AD354),7&lt;=C354-IF(S354="",0,1)),J354&amp;" ","")&amp;IF(AND(8&gt;=(IF(M354=1,2,1)+AD354),8&lt;=C354-IF(S354="",0,1)),K354&amp;" ","")))</f>
        <v/>
      </c>
      <c r="R354">
        <f>IF(Q354="","",IFERROR(INDEX(資格マスタ!$B:$B,MATCH(ASC(SUBSTITUTE(SUBSTITUTE(Q354," ",""),"　","")),資格マスタ!$D:$D,0)),Q354))</f>
        <v/>
      </c>
      <c r="S354" s="139">
        <f>IF(C354&lt;2,"",IFERROR(IF(OR(LEFT(INDEX(D354:K354,MIN(8,MAX(1,C354))),2)="令和",LEFT(INDEX(D354:K354,MIN(8,MAX(1,C354))),2)="平成",LEFT(INDEX(D354:K354,MIN(8,MAX(1,C354))),2)="昭和"),DATE(VALUE(MID(INDEX(D354:K354,MIN(8,MAX(1,C354))),3,FIND("年",INDEX(D354:K354,MIN(8,MAX(1,C354))))-3))+IF(LEFT(INDEX(D354:K354,MIN(8,MAX(1,C354))),2)="令和",2018,IF(LEFT(INDEX(D354:K354,MIN(8,MAX(1,C354))),2)="平成",1988,1925)),VALUE(MID(INDEX(D354:K354,MIN(8,MAX(1,C354))),FIND("年",INDEX(D354:K354,MIN(8,MAX(1,C354))))+1,FIND("月",INDEX(D354:K354,MIN(8,MAX(1,C354))))-FIND("年",INDEX(D354:K354,MIN(8,MAX(1,C354))))-1)),IFERROR(VALUE(SUBSTITUTE(MID(INDEX(D354:K354,MIN(8,MAX(1,C354))),FIND("月",INDEX(D354:K354,MIN(8,MAX(1,C354))))+1,10),"日","")),1)),DATE(VALUE(TRIM(MID(SUBSTITUTE(AA354,"/",REPT(" ",50)),1,50))),VALUE(TRIM(MID(SUBSTITUTE(AA354,"/",REPT(" ",50)),51,50))),IFERROR(VALUE(TRIM(MID(SUBSTITUTE(AA354,"/",REPT(" ",50)),101,50))),1))),IFERROR(DATEVALUE(INDEX(D354:K354,MIN(8,MAX(1,C354)))),"")))</f>
        <v/>
      </c>
      <c r="T354">
        <f>IF(B354="","",IF(AB354&lt;&gt;"",AB354,IFERROR(MATCH(SUBSTITUTE(SUBSTITUTE(P354," ",""),"　",""),入力!$AH$5:$AH$44,0),"")))</f>
        <v/>
      </c>
      <c r="U354">
        <f>IF(T354="","",INDEX(入力!$D$5:$D$44,T354))</f>
        <v/>
      </c>
      <c r="V354">
        <f>IF(B354="","",IF(T354="","要確認（名簿と照合できません）",IF(R354="","要確認（資格名がありません）",IF(S354="","要確認（取得日が読めません）",IF((IF(INDEX(入力!$N$5:$N$44,T354)=R354,1,0)+IF(INDEX(入力!$P$5:$P$44,T354)=R354,1,0)+IF(INDEX(入力!$R$5:$R$44,T354)=R354,1,0)+IF(INDEX(入力!$T$5:$T$44,T354)=R354,1,0)+IF(INDEX(入力!$V$5:$V$44,T354)=R354,1,0)+IF(INDEX(入力!$X$5:$X$44,T354)=R354,1,0))+(COUNTIFS($T$6:$T$405,T354,$R$6:$R$405,R354,$X$6:$X$405,"&lt;"&amp;X354))&gt;0,"重複","反映")))))</f>
        <v/>
      </c>
      <c r="W354">
        <f>IF(V354="反映",1,0)</f>
        <v/>
      </c>
      <c r="X354" t="n">
        <v>354</v>
      </c>
      <c r="Y354">
        <f>IF(W354=0,"",COUNTIFS($T$6:$T$405,T354,$W$6:$W$405,1,$S$6:$S$405,"&lt;"&amp;S354)+COUNTIFS($T$6:$T$405,T354,$W$6:$W$405,1,$S$6:$S$405,S354,$X$6:$X$405,"&lt;"&amp;X354)+1)</f>
        <v/>
      </c>
      <c r="Z354">
        <f>IF(Y354="","",T354&amp;"_"&amp;Y354)</f>
        <v/>
      </c>
      <c r="AA354">
        <f>SUBSTITUTE(SUBSTITUTE(SUBSTITUTE(SUBSTITUTE(SUBSTITUTE(INDEX(D354:K354,MIN(8,MAX(1,C354))),"年","/"),"月","/"),"日",""),"-","/"),".","/")</f>
        <v/>
      </c>
      <c r="AB354">
        <f>IFERROR(MATCH(O354,入力!$C$5:$C$44,0),"")</f>
        <v/>
      </c>
      <c r="AC354">
        <f>IF(AB354="","",INDEX(入力!$AH$5:$AH$44,AB354))</f>
        <v/>
      </c>
      <c r="AD354">
        <f>IF(INDEX($D354:$K354,IF(M354=1,2,1))=AC354,1,IF(INDEX($D354:$K354,IF(M354=1,2,1))&amp;INDEX($D354:$K354,IF(M354=1,2,1)+1)=AC354,2,IF(INDEX($D354:$K354,IF(M354=1,2,1))&amp;INDEX($D354:$K354,IF(M354=1,2,1)+1)&amp;INDEX($D354:$K354,IF(M354=1,2,1)+2)=AC354,3,IF(AB354&lt;&gt;"",2,IF(ISNUMBER(MATCH(INDEX($D354:$K354,IF(M354=1,2,1)),入力!$AH$5:$AH$44,0)),1,IF(ISNUMBER(MATCH(INDEX($D354:$K354,IF(M354=1,2,1))&amp;INDEX($D354:$K354,IF(M354=1,2,1)+1),入力!$AH$5:$AH$44,0)),2,IF(ISNUMBER(MATCH(INDEX($D354:$K354,IF(M354=1,2,1))&amp;INDEX($D354:$K354,IF(M354=1,2,1)+1)&amp;INDEX($D354:$K354,IF(M354=1,2,1)+2),入力!$AH$5:$AH$44,0)),3,2)))))))</f>
        <v/>
      </c>
      <c r="AE354">
        <f>IF(V354="","",IF(AND(V354="反映",N(Y354)&gt;20),"要確認（この生徒の取込が20件を超えました）",V354))</f>
        <v/>
      </c>
    </row>
    <row r="355">
      <c r="A355" s="138" t="n"/>
      <c r="B355">
        <f>TRIM(SUBSTITUTE(SUBSTITUTE(SUBSTITUTE(A355,CHAR(9)," "),"　"," "),CHAR(160)," "))</f>
        <v/>
      </c>
      <c r="C355">
        <f>IF(B355="",0,LEN(B355)-LEN(SUBSTITUTE(B355," ",""))+1)</f>
        <v/>
      </c>
      <c r="D355">
        <f>IF(C355&gt;=1,TRIM(MID(SUBSTITUTE(B355," ",REPT(" ",200)),1,200)),"")</f>
        <v/>
      </c>
      <c r="E355">
        <f>IF(C355&gt;=2,TRIM(MID(SUBSTITUTE(B355," ",REPT(" ",200)),201,200)),"")</f>
        <v/>
      </c>
      <c r="F355">
        <f>IF(C355&gt;=3,TRIM(MID(SUBSTITUTE(B355," ",REPT(" ",200)),401,200)),"")</f>
        <v/>
      </c>
      <c r="G355">
        <f>IF(C355&gt;=4,TRIM(MID(SUBSTITUTE(B355," ",REPT(" ",200)),601,200)),"")</f>
        <v/>
      </c>
      <c r="H355">
        <f>IF(C355&gt;=5,TRIM(MID(SUBSTITUTE(B355," ",REPT(" ",200)),801,200)),"")</f>
        <v/>
      </c>
      <c r="I355">
        <f>IF(C355&gt;=6,TRIM(MID(SUBSTITUTE(B355," ",REPT(" ",200)),1001,200)),"")</f>
        <v/>
      </c>
      <c r="J355">
        <f>IF(C355&gt;=7,TRIM(MID(SUBSTITUTE(B355," ",REPT(" ",200)),1201,200)),"")</f>
        <v/>
      </c>
      <c r="K355">
        <f>IF(C355&gt;=8,TRIM(MID(SUBSTITUTE(B355," ",REPT(" ",200)),1401,200)),"")</f>
        <v/>
      </c>
      <c r="L355">
        <f>SUBSTITUTE(SUBSTITUTE(SUBSTITUTE(D355,"年","-"),"組","-"),"番","")</f>
        <v/>
      </c>
      <c r="M355">
        <f>IF(D355="",0,IF(ISNUMBER(VALUE(SUBSTITUTE(L355,"-",""))),1,0))</f>
        <v/>
      </c>
      <c r="N355">
        <f>IF(M355=0,"",IFERROR(VALUE(TRIM(MID(SUBSTITUTE(L355,"-",REPT(" ",100)),101,100))),""))</f>
        <v/>
      </c>
      <c r="O355">
        <f>IF(M355=0,"",IFERROR(VALUE(TRIM(RIGHT(SUBSTITUTE(L355,"-",REPT(" ",100)),100))),""))</f>
        <v/>
      </c>
      <c r="P355">
        <f>IF(B355="","",TRIM(INDEX($D355:$K355,IF(M355=1,2,1))&amp;IF(AD355&gt;=2," "&amp;INDEX($D355:$K355,IF(M355=1,2,1)+1),"")&amp;IF(AD355&gt;=3," "&amp;INDEX($D355:$K355,IF(M355=1,2,1)+2),"")))</f>
        <v/>
      </c>
      <c r="Q355">
        <f>IF(C355&lt;2,"",TRIM(IF(AND(2&gt;=(IF(M355=1,2,1)+AD355),2&lt;=C355-IF(S355="",0,1)),E355&amp;" ","")&amp;IF(AND(3&gt;=(IF(M355=1,2,1)+AD355),3&lt;=C355-IF(S355="",0,1)),F355&amp;" ","")&amp;IF(AND(4&gt;=(IF(M355=1,2,1)+AD355),4&lt;=C355-IF(S355="",0,1)),G355&amp;" ","")&amp;IF(AND(5&gt;=(IF(M355=1,2,1)+AD355),5&lt;=C355-IF(S355="",0,1)),H355&amp;" ","")&amp;IF(AND(6&gt;=(IF(M355=1,2,1)+AD355),6&lt;=C355-IF(S355="",0,1)),I355&amp;" ","")&amp;IF(AND(7&gt;=(IF(M355=1,2,1)+AD355),7&lt;=C355-IF(S355="",0,1)),J355&amp;" ","")&amp;IF(AND(8&gt;=(IF(M355=1,2,1)+AD355),8&lt;=C355-IF(S355="",0,1)),K355&amp;" ","")))</f>
        <v/>
      </c>
      <c r="R355">
        <f>IF(Q355="","",IFERROR(INDEX(資格マスタ!$B:$B,MATCH(ASC(SUBSTITUTE(SUBSTITUTE(Q355," ",""),"　","")),資格マスタ!$D:$D,0)),Q355))</f>
        <v/>
      </c>
      <c r="S355" s="139">
        <f>IF(C355&lt;2,"",IFERROR(IF(OR(LEFT(INDEX(D355:K355,MIN(8,MAX(1,C355))),2)="令和",LEFT(INDEX(D355:K355,MIN(8,MAX(1,C355))),2)="平成",LEFT(INDEX(D355:K355,MIN(8,MAX(1,C355))),2)="昭和"),DATE(VALUE(MID(INDEX(D355:K355,MIN(8,MAX(1,C355))),3,FIND("年",INDEX(D355:K355,MIN(8,MAX(1,C355))))-3))+IF(LEFT(INDEX(D355:K355,MIN(8,MAX(1,C355))),2)="令和",2018,IF(LEFT(INDEX(D355:K355,MIN(8,MAX(1,C355))),2)="平成",1988,1925)),VALUE(MID(INDEX(D355:K355,MIN(8,MAX(1,C355))),FIND("年",INDEX(D355:K355,MIN(8,MAX(1,C355))))+1,FIND("月",INDEX(D355:K355,MIN(8,MAX(1,C355))))-FIND("年",INDEX(D355:K355,MIN(8,MAX(1,C355))))-1)),IFERROR(VALUE(SUBSTITUTE(MID(INDEX(D355:K355,MIN(8,MAX(1,C355))),FIND("月",INDEX(D355:K355,MIN(8,MAX(1,C355))))+1,10),"日","")),1)),DATE(VALUE(TRIM(MID(SUBSTITUTE(AA355,"/",REPT(" ",50)),1,50))),VALUE(TRIM(MID(SUBSTITUTE(AA355,"/",REPT(" ",50)),51,50))),IFERROR(VALUE(TRIM(MID(SUBSTITUTE(AA355,"/",REPT(" ",50)),101,50))),1))),IFERROR(DATEVALUE(INDEX(D355:K355,MIN(8,MAX(1,C355)))),"")))</f>
        <v/>
      </c>
      <c r="T355">
        <f>IF(B355="","",IF(AB355&lt;&gt;"",AB355,IFERROR(MATCH(SUBSTITUTE(SUBSTITUTE(P355," ",""),"　",""),入力!$AH$5:$AH$44,0),"")))</f>
        <v/>
      </c>
      <c r="U355">
        <f>IF(T355="","",INDEX(入力!$D$5:$D$44,T355))</f>
        <v/>
      </c>
      <c r="V355">
        <f>IF(B355="","",IF(T355="","要確認（名簿と照合できません）",IF(R355="","要確認（資格名がありません）",IF(S355="","要確認（取得日が読めません）",IF((IF(INDEX(入力!$N$5:$N$44,T355)=R355,1,0)+IF(INDEX(入力!$P$5:$P$44,T355)=R355,1,0)+IF(INDEX(入力!$R$5:$R$44,T355)=R355,1,0)+IF(INDEX(入力!$T$5:$T$44,T355)=R355,1,0)+IF(INDEX(入力!$V$5:$V$44,T355)=R355,1,0)+IF(INDEX(入力!$X$5:$X$44,T355)=R355,1,0))+(COUNTIFS($T$6:$T$405,T355,$R$6:$R$405,R355,$X$6:$X$405,"&lt;"&amp;X355))&gt;0,"重複","反映")))))</f>
        <v/>
      </c>
      <c r="W355">
        <f>IF(V355="反映",1,0)</f>
        <v/>
      </c>
      <c r="X355" t="n">
        <v>355</v>
      </c>
      <c r="Y355">
        <f>IF(W355=0,"",COUNTIFS($T$6:$T$405,T355,$W$6:$W$405,1,$S$6:$S$405,"&lt;"&amp;S355)+COUNTIFS($T$6:$T$405,T355,$W$6:$W$405,1,$S$6:$S$405,S355,$X$6:$X$405,"&lt;"&amp;X355)+1)</f>
        <v/>
      </c>
      <c r="Z355">
        <f>IF(Y355="","",T355&amp;"_"&amp;Y355)</f>
        <v/>
      </c>
      <c r="AA355">
        <f>SUBSTITUTE(SUBSTITUTE(SUBSTITUTE(SUBSTITUTE(SUBSTITUTE(INDEX(D355:K355,MIN(8,MAX(1,C355))),"年","/"),"月","/"),"日",""),"-","/"),".","/")</f>
        <v/>
      </c>
      <c r="AB355">
        <f>IFERROR(MATCH(O355,入力!$C$5:$C$44,0),"")</f>
        <v/>
      </c>
      <c r="AC355">
        <f>IF(AB355="","",INDEX(入力!$AH$5:$AH$44,AB355))</f>
        <v/>
      </c>
      <c r="AD355">
        <f>IF(INDEX($D355:$K355,IF(M355=1,2,1))=AC355,1,IF(INDEX($D355:$K355,IF(M355=1,2,1))&amp;INDEX($D355:$K355,IF(M355=1,2,1)+1)=AC355,2,IF(INDEX($D355:$K355,IF(M355=1,2,1))&amp;INDEX($D355:$K355,IF(M355=1,2,1)+1)&amp;INDEX($D355:$K355,IF(M355=1,2,1)+2)=AC355,3,IF(AB355&lt;&gt;"",2,IF(ISNUMBER(MATCH(INDEX($D355:$K355,IF(M355=1,2,1)),入力!$AH$5:$AH$44,0)),1,IF(ISNUMBER(MATCH(INDEX($D355:$K355,IF(M355=1,2,1))&amp;INDEX($D355:$K355,IF(M355=1,2,1)+1),入力!$AH$5:$AH$44,0)),2,IF(ISNUMBER(MATCH(INDEX($D355:$K355,IF(M355=1,2,1))&amp;INDEX($D355:$K355,IF(M355=1,2,1)+1)&amp;INDEX($D355:$K355,IF(M355=1,2,1)+2),入力!$AH$5:$AH$44,0)),3,2)))))))</f>
        <v/>
      </c>
      <c r="AE355">
        <f>IF(V355="","",IF(AND(V355="反映",N(Y355)&gt;20),"要確認（この生徒の取込が20件を超えました）",V355))</f>
        <v/>
      </c>
    </row>
    <row r="356">
      <c r="A356" s="138" t="n"/>
      <c r="B356">
        <f>TRIM(SUBSTITUTE(SUBSTITUTE(SUBSTITUTE(A356,CHAR(9)," "),"　"," "),CHAR(160)," "))</f>
        <v/>
      </c>
      <c r="C356">
        <f>IF(B356="",0,LEN(B356)-LEN(SUBSTITUTE(B356," ",""))+1)</f>
        <v/>
      </c>
      <c r="D356">
        <f>IF(C356&gt;=1,TRIM(MID(SUBSTITUTE(B356," ",REPT(" ",200)),1,200)),"")</f>
        <v/>
      </c>
      <c r="E356">
        <f>IF(C356&gt;=2,TRIM(MID(SUBSTITUTE(B356," ",REPT(" ",200)),201,200)),"")</f>
        <v/>
      </c>
      <c r="F356">
        <f>IF(C356&gt;=3,TRIM(MID(SUBSTITUTE(B356," ",REPT(" ",200)),401,200)),"")</f>
        <v/>
      </c>
      <c r="G356">
        <f>IF(C356&gt;=4,TRIM(MID(SUBSTITUTE(B356," ",REPT(" ",200)),601,200)),"")</f>
        <v/>
      </c>
      <c r="H356">
        <f>IF(C356&gt;=5,TRIM(MID(SUBSTITUTE(B356," ",REPT(" ",200)),801,200)),"")</f>
        <v/>
      </c>
      <c r="I356">
        <f>IF(C356&gt;=6,TRIM(MID(SUBSTITUTE(B356," ",REPT(" ",200)),1001,200)),"")</f>
        <v/>
      </c>
      <c r="J356">
        <f>IF(C356&gt;=7,TRIM(MID(SUBSTITUTE(B356," ",REPT(" ",200)),1201,200)),"")</f>
        <v/>
      </c>
      <c r="K356">
        <f>IF(C356&gt;=8,TRIM(MID(SUBSTITUTE(B356," ",REPT(" ",200)),1401,200)),"")</f>
        <v/>
      </c>
      <c r="L356">
        <f>SUBSTITUTE(SUBSTITUTE(SUBSTITUTE(D356,"年","-"),"組","-"),"番","")</f>
        <v/>
      </c>
      <c r="M356">
        <f>IF(D356="",0,IF(ISNUMBER(VALUE(SUBSTITUTE(L356,"-",""))),1,0))</f>
        <v/>
      </c>
      <c r="N356">
        <f>IF(M356=0,"",IFERROR(VALUE(TRIM(MID(SUBSTITUTE(L356,"-",REPT(" ",100)),101,100))),""))</f>
        <v/>
      </c>
      <c r="O356">
        <f>IF(M356=0,"",IFERROR(VALUE(TRIM(RIGHT(SUBSTITUTE(L356,"-",REPT(" ",100)),100))),""))</f>
        <v/>
      </c>
      <c r="P356">
        <f>IF(B356="","",TRIM(INDEX($D356:$K356,IF(M356=1,2,1))&amp;IF(AD356&gt;=2," "&amp;INDEX($D356:$K356,IF(M356=1,2,1)+1),"")&amp;IF(AD356&gt;=3," "&amp;INDEX($D356:$K356,IF(M356=1,2,1)+2),"")))</f>
        <v/>
      </c>
      <c r="Q356">
        <f>IF(C356&lt;2,"",TRIM(IF(AND(2&gt;=(IF(M356=1,2,1)+AD356),2&lt;=C356-IF(S356="",0,1)),E356&amp;" ","")&amp;IF(AND(3&gt;=(IF(M356=1,2,1)+AD356),3&lt;=C356-IF(S356="",0,1)),F356&amp;" ","")&amp;IF(AND(4&gt;=(IF(M356=1,2,1)+AD356),4&lt;=C356-IF(S356="",0,1)),G356&amp;" ","")&amp;IF(AND(5&gt;=(IF(M356=1,2,1)+AD356),5&lt;=C356-IF(S356="",0,1)),H356&amp;" ","")&amp;IF(AND(6&gt;=(IF(M356=1,2,1)+AD356),6&lt;=C356-IF(S356="",0,1)),I356&amp;" ","")&amp;IF(AND(7&gt;=(IF(M356=1,2,1)+AD356),7&lt;=C356-IF(S356="",0,1)),J356&amp;" ","")&amp;IF(AND(8&gt;=(IF(M356=1,2,1)+AD356),8&lt;=C356-IF(S356="",0,1)),K356&amp;" ","")))</f>
        <v/>
      </c>
      <c r="R356">
        <f>IF(Q356="","",IFERROR(INDEX(資格マスタ!$B:$B,MATCH(ASC(SUBSTITUTE(SUBSTITUTE(Q356," ",""),"　","")),資格マスタ!$D:$D,0)),Q356))</f>
        <v/>
      </c>
      <c r="S356" s="139">
        <f>IF(C356&lt;2,"",IFERROR(IF(OR(LEFT(INDEX(D356:K356,MIN(8,MAX(1,C356))),2)="令和",LEFT(INDEX(D356:K356,MIN(8,MAX(1,C356))),2)="平成",LEFT(INDEX(D356:K356,MIN(8,MAX(1,C356))),2)="昭和"),DATE(VALUE(MID(INDEX(D356:K356,MIN(8,MAX(1,C356))),3,FIND("年",INDEX(D356:K356,MIN(8,MAX(1,C356))))-3))+IF(LEFT(INDEX(D356:K356,MIN(8,MAX(1,C356))),2)="令和",2018,IF(LEFT(INDEX(D356:K356,MIN(8,MAX(1,C356))),2)="平成",1988,1925)),VALUE(MID(INDEX(D356:K356,MIN(8,MAX(1,C356))),FIND("年",INDEX(D356:K356,MIN(8,MAX(1,C356))))+1,FIND("月",INDEX(D356:K356,MIN(8,MAX(1,C356))))-FIND("年",INDEX(D356:K356,MIN(8,MAX(1,C356))))-1)),IFERROR(VALUE(SUBSTITUTE(MID(INDEX(D356:K356,MIN(8,MAX(1,C356))),FIND("月",INDEX(D356:K356,MIN(8,MAX(1,C356))))+1,10),"日","")),1)),DATE(VALUE(TRIM(MID(SUBSTITUTE(AA356,"/",REPT(" ",50)),1,50))),VALUE(TRIM(MID(SUBSTITUTE(AA356,"/",REPT(" ",50)),51,50))),IFERROR(VALUE(TRIM(MID(SUBSTITUTE(AA356,"/",REPT(" ",50)),101,50))),1))),IFERROR(DATEVALUE(INDEX(D356:K356,MIN(8,MAX(1,C356)))),"")))</f>
        <v/>
      </c>
      <c r="T356">
        <f>IF(B356="","",IF(AB356&lt;&gt;"",AB356,IFERROR(MATCH(SUBSTITUTE(SUBSTITUTE(P356," ",""),"　",""),入力!$AH$5:$AH$44,0),"")))</f>
        <v/>
      </c>
      <c r="U356">
        <f>IF(T356="","",INDEX(入力!$D$5:$D$44,T356))</f>
        <v/>
      </c>
      <c r="V356">
        <f>IF(B356="","",IF(T356="","要確認（名簿と照合できません）",IF(R356="","要確認（資格名がありません）",IF(S356="","要確認（取得日が読めません）",IF((IF(INDEX(入力!$N$5:$N$44,T356)=R356,1,0)+IF(INDEX(入力!$P$5:$P$44,T356)=R356,1,0)+IF(INDEX(入力!$R$5:$R$44,T356)=R356,1,0)+IF(INDEX(入力!$T$5:$T$44,T356)=R356,1,0)+IF(INDEX(入力!$V$5:$V$44,T356)=R356,1,0)+IF(INDEX(入力!$X$5:$X$44,T356)=R356,1,0))+(COUNTIFS($T$6:$T$405,T356,$R$6:$R$405,R356,$X$6:$X$405,"&lt;"&amp;X356))&gt;0,"重複","反映")))))</f>
        <v/>
      </c>
      <c r="W356">
        <f>IF(V356="反映",1,0)</f>
        <v/>
      </c>
      <c r="X356" t="n">
        <v>356</v>
      </c>
      <c r="Y356">
        <f>IF(W356=0,"",COUNTIFS($T$6:$T$405,T356,$W$6:$W$405,1,$S$6:$S$405,"&lt;"&amp;S356)+COUNTIFS($T$6:$T$405,T356,$W$6:$W$405,1,$S$6:$S$405,S356,$X$6:$X$405,"&lt;"&amp;X356)+1)</f>
        <v/>
      </c>
      <c r="Z356">
        <f>IF(Y356="","",T356&amp;"_"&amp;Y356)</f>
        <v/>
      </c>
      <c r="AA356">
        <f>SUBSTITUTE(SUBSTITUTE(SUBSTITUTE(SUBSTITUTE(SUBSTITUTE(INDEX(D356:K356,MIN(8,MAX(1,C356))),"年","/"),"月","/"),"日",""),"-","/"),".","/")</f>
        <v/>
      </c>
      <c r="AB356">
        <f>IFERROR(MATCH(O356,入力!$C$5:$C$44,0),"")</f>
        <v/>
      </c>
      <c r="AC356">
        <f>IF(AB356="","",INDEX(入力!$AH$5:$AH$44,AB356))</f>
        <v/>
      </c>
      <c r="AD356">
        <f>IF(INDEX($D356:$K356,IF(M356=1,2,1))=AC356,1,IF(INDEX($D356:$K356,IF(M356=1,2,1))&amp;INDEX($D356:$K356,IF(M356=1,2,1)+1)=AC356,2,IF(INDEX($D356:$K356,IF(M356=1,2,1))&amp;INDEX($D356:$K356,IF(M356=1,2,1)+1)&amp;INDEX($D356:$K356,IF(M356=1,2,1)+2)=AC356,3,IF(AB356&lt;&gt;"",2,IF(ISNUMBER(MATCH(INDEX($D356:$K356,IF(M356=1,2,1)),入力!$AH$5:$AH$44,0)),1,IF(ISNUMBER(MATCH(INDEX($D356:$K356,IF(M356=1,2,1))&amp;INDEX($D356:$K356,IF(M356=1,2,1)+1),入力!$AH$5:$AH$44,0)),2,IF(ISNUMBER(MATCH(INDEX($D356:$K356,IF(M356=1,2,1))&amp;INDEX($D356:$K356,IF(M356=1,2,1)+1)&amp;INDEX($D356:$K356,IF(M356=1,2,1)+2),入力!$AH$5:$AH$44,0)),3,2)))))))</f>
        <v/>
      </c>
      <c r="AE356">
        <f>IF(V356="","",IF(AND(V356="反映",N(Y356)&gt;20),"要確認（この生徒の取込が20件を超えました）",V356))</f>
        <v/>
      </c>
    </row>
    <row r="357">
      <c r="A357" s="138" t="n"/>
      <c r="B357">
        <f>TRIM(SUBSTITUTE(SUBSTITUTE(SUBSTITUTE(A357,CHAR(9)," "),"　"," "),CHAR(160)," "))</f>
        <v/>
      </c>
      <c r="C357">
        <f>IF(B357="",0,LEN(B357)-LEN(SUBSTITUTE(B357," ",""))+1)</f>
        <v/>
      </c>
      <c r="D357">
        <f>IF(C357&gt;=1,TRIM(MID(SUBSTITUTE(B357," ",REPT(" ",200)),1,200)),"")</f>
        <v/>
      </c>
      <c r="E357">
        <f>IF(C357&gt;=2,TRIM(MID(SUBSTITUTE(B357," ",REPT(" ",200)),201,200)),"")</f>
        <v/>
      </c>
      <c r="F357">
        <f>IF(C357&gt;=3,TRIM(MID(SUBSTITUTE(B357," ",REPT(" ",200)),401,200)),"")</f>
        <v/>
      </c>
      <c r="G357">
        <f>IF(C357&gt;=4,TRIM(MID(SUBSTITUTE(B357," ",REPT(" ",200)),601,200)),"")</f>
        <v/>
      </c>
      <c r="H357">
        <f>IF(C357&gt;=5,TRIM(MID(SUBSTITUTE(B357," ",REPT(" ",200)),801,200)),"")</f>
        <v/>
      </c>
      <c r="I357">
        <f>IF(C357&gt;=6,TRIM(MID(SUBSTITUTE(B357," ",REPT(" ",200)),1001,200)),"")</f>
        <v/>
      </c>
      <c r="J357">
        <f>IF(C357&gt;=7,TRIM(MID(SUBSTITUTE(B357," ",REPT(" ",200)),1201,200)),"")</f>
        <v/>
      </c>
      <c r="K357">
        <f>IF(C357&gt;=8,TRIM(MID(SUBSTITUTE(B357," ",REPT(" ",200)),1401,200)),"")</f>
        <v/>
      </c>
      <c r="L357">
        <f>SUBSTITUTE(SUBSTITUTE(SUBSTITUTE(D357,"年","-"),"組","-"),"番","")</f>
        <v/>
      </c>
      <c r="M357">
        <f>IF(D357="",0,IF(ISNUMBER(VALUE(SUBSTITUTE(L357,"-",""))),1,0))</f>
        <v/>
      </c>
      <c r="N357">
        <f>IF(M357=0,"",IFERROR(VALUE(TRIM(MID(SUBSTITUTE(L357,"-",REPT(" ",100)),101,100))),""))</f>
        <v/>
      </c>
      <c r="O357">
        <f>IF(M357=0,"",IFERROR(VALUE(TRIM(RIGHT(SUBSTITUTE(L357,"-",REPT(" ",100)),100))),""))</f>
        <v/>
      </c>
      <c r="P357">
        <f>IF(B357="","",TRIM(INDEX($D357:$K357,IF(M357=1,2,1))&amp;IF(AD357&gt;=2," "&amp;INDEX($D357:$K357,IF(M357=1,2,1)+1),"")&amp;IF(AD357&gt;=3," "&amp;INDEX($D357:$K357,IF(M357=1,2,1)+2),"")))</f>
        <v/>
      </c>
      <c r="Q357">
        <f>IF(C357&lt;2,"",TRIM(IF(AND(2&gt;=(IF(M357=1,2,1)+AD357),2&lt;=C357-IF(S357="",0,1)),E357&amp;" ","")&amp;IF(AND(3&gt;=(IF(M357=1,2,1)+AD357),3&lt;=C357-IF(S357="",0,1)),F357&amp;" ","")&amp;IF(AND(4&gt;=(IF(M357=1,2,1)+AD357),4&lt;=C357-IF(S357="",0,1)),G357&amp;" ","")&amp;IF(AND(5&gt;=(IF(M357=1,2,1)+AD357),5&lt;=C357-IF(S357="",0,1)),H357&amp;" ","")&amp;IF(AND(6&gt;=(IF(M357=1,2,1)+AD357),6&lt;=C357-IF(S357="",0,1)),I357&amp;" ","")&amp;IF(AND(7&gt;=(IF(M357=1,2,1)+AD357),7&lt;=C357-IF(S357="",0,1)),J357&amp;" ","")&amp;IF(AND(8&gt;=(IF(M357=1,2,1)+AD357),8&lt;=C357-IF(S357="",0,1)),K357&amp;" ","")))</f>
        <v/>
      </c>
      <c r="R357">
        <f>IF(Q357="","",IFERROR(INDEX(資格マスタ!$B:$B,MATCH(ASC(SUBSTITUTE(SUBSTITUTE(Q357," ",""),"　","")),資格マスタ!$D:$D,0)),Q357))</f>
        <v/>
      </c>
      <c r="S357" s="139">
        <f>IF(C357&lt;2,"",IFERROR(IF(OR(LEFT(INDEX(D357:K357,MIN(8,MAX(1,C357))),2)="令和",LEFT(INDEX(D357:K357,MIN(8,MAX(1,C357))),2)="平成",LEFT(INDEX(D357:K357,MIN(8,MAX(1,C357))),2)="昭和"),DATE(VALUE(MID(INDEX(D357:K357,MIN(8,MAX(1,C357))),3,FIND("年",INDEX(D357:K357,MIN(8,MAX(1,C357))))-3))+IF(LEFT(INDEX(D357:K357,MIN(8,MAX(1,C357))),2)="令和",2018,IF(LEFT(INDEX(D357:K357,MIN(8,MAX(1,C357))),2)="平成",1988,1925)),VALUE(MID(INDEX(D357:K357,MIN(8,MAX(1,C357))),FIND("年",INDEX(D357:K357,MIN(8,MAX(1,C357))))+1,FIND("月",INDEX(D357:K357,MIN(8,MAX(1,C357))))-FIND("年",INDEX(D357:K357,MIN(8,MAX(1,C357))))-1)),IFERROR(VALUE(SUBSTITUTE(MID(INDEX(D357:K357,MIN(8,MAX(1,C357))),FIND("月",INDEX(D357:K357,MIN(8,MAX(1,C357))))+1,10),"日","")),1)),DATE(VALUE(TRIM(MID(SUBSTITUTE(AA357,"/",REPT(" ",50)),1,50))),VALUE(TRIM(MID(SUBSTITUTE(AA357,"/",REPT(" ",50)),51,50))),IFERROR(VALUE(TRIM(MID(SUBSTITUTE(AA357,"/",REPT(" ",50)),101,50))),1))),IFERROR(DATEVALUE(INDEX(D357:K357,MIN(8,MAX(1,C357)))),"")))</f>
        <v/>
      </c>
      <c r="T357">
        <f>IF(B357="","",IF(AB357&lt;&gt;"",AB357,IFERROR(MATCH(SUBSTITUTE(SUBSTITUTE(P357," ",""),"　",""),入力!$AH$5:$AH$44,0),"")))</f>
        <v/>
      </c>
      <c r="U357">
        <f>IF(T357="","",INDEX(入力!$D$5:$D$44,T357))</f>
        <v/>
      </c>
      <c r="V357">
        <f>IF(B357="","",IF(T357="","要確認（名簿と照合できません）",IF(R357="","要確認（資格名がありません）",IF(S357="","要確認（取得日が読めません）",IF((IF(INDEX(入力!$N$5:$N$44,T357)=R357,1,0)+IF(INDEX(入力!$P$5:$P$44,T357)=R357,1,0)+IF(INDEX(入力!$R$5:$R$44,T357)=R357,1,0)+IF(INDEX(入力!$T$5:$T$44,T357)=R357,1,0)+IF(INDEX(入力!$V$5:$V$44,T357)=R357,1,0)+IF(INDEX(入力!$X$5:$X$44,T357)=R357,1,0))+(COUNTIFS($T$6:$T$405,T357,$R$6:$R$405,R357,$X$6:$X$405,"&lt;"&amp;X357))&gt;0,"重複","反映")))))</f>
        <v/>
      </c>
      <c r="W357">
        <f>IF(V357="反映",1,0)</f>
        <v/>
      </c>
      <c r="X357" t="n">
        <v>357</v>
      </c>
      <c r="Y357">
        <f>IF(W357=0,"",COUNTIFS($T$6:$T$405,T357,$W$6:$W$405,1,$S$6:$S$405,"&lt;"&amp;S357)+COUNTIFS($T$6:$T$405,T357,$W$6:$W$405,1,$S$6:$S$405,S357,$X$6:$X$405,"&lt;"&amp;X357)+1)</f>
        <v/>
      </c>
      <c r="Z357">
        <f>IF(Y357="","",T357&amp;"_"&amp;Y357)</f>
        <v/>
      </c>
      <c r="AA357">
        <f>SUBSTITUTE(SUBSTITUTE(SUBSTITUTE(SUBSTITUTE(SUBSTITUTE(INDEX(D357:K357,MIN(8,MAX(1,C357))),"年","/"),"月","/"),"日",""),"-","/"),".","/")</f>
        <v/>
      </c>
      <c r="AB357">
        <f>IFERROR(MATCH(O357,入力!$C$5:$C$44,0),"")</f>
        <v/>
      </c>
      <c r="AC357">
        <f>IF(AB357="","",INDEX(入力!$AH$5:$AH$44,AB357))</f>
        <v/>
      </c>
      <c r="AD357">
        <f>IF(INDEX($D357:$K357,IF(M357=1,2,1))=AC357,1,IF(INDEX($D357:$K357,IF(M357=1,2,1))&amp;INDEX($D357:$K357,IF(M357=1,2,1)+1)=AC357,2,IF(INDEX($D357:$K357,IF(M357=1,2,1))&amp;INDEX($D357:$K357,IF(M357=1,2,1)+1)&amp;INDEX($D357:$K357,IF(M357=1,2,1)+2)=AC357,3,IF(AB357&lt;&gt;"",2,IF(ISNUMBER(MATCH(INDEX($D357:$K357,IF(M357=1,2,1)),入力!$AH$5:$AH$44,0)),1,IF(ISNUMBER(MATCH(INDEX($D357:$K357,IF(M357=1,2,1))&amp;INDEX($D357:$K357,IF(M357=1,2,1)+1),入力!$AH$5:$AH$44,0)),2,IF(ISNUMBER(MATCH(INDEX($D357:$K357,IF(M357=1,2,1))&amp;INDEX($D357:$K357,IF(M357=1,2,1)+1)&amp;INDEX($D357:$K357,IF(M357=1,2,1)+2),入力!$AH$5:$AH$44,0)),3,2)))))))</f>
        <v/>
      </c>
      <c r="AE357">
        <f>IF(V357="","",IF(AND(V357="反映",N(Y357)&gt;20),"要確認（この生徒の取込が20件を超えました）",V357))</f>
        <v/>
      </c>
    </row>
    <row r="358">
      <c r="A358" s="138" t="n"/>
      <c r="B358">
        <f>TRIM(SUBSTITUTE(SUBSTITUTE(SUBSTITUTE(A358,CHAR(9)," "),"　"," "),CHAR(160)," "))</f>
        <v/>
      </c>
      <c r="C358">
        <f>IF(B358="",0,LEN(B358)-LEN(SUBSTITUTE(B358," ",""))+1)</f>
        <v/>
      </c>
      <c r="D358">
        <f>IF(C358&gt;=1,TRIM(MID(SUBSTITUTE(B358," ",REPT(" ",200)),1,200)),"")</f>
        <v/>
      </c>
      <c r="E358">
        <f>IF(C358&gt;=2,TRIM(MID(SUBSTITUTE(B358," ",REPT(" ",200)),201,200)),"")</f>
        <v/>
      </c>
      <c r="F358">
        <f>IF(C358&gt;=3,TRIM(MID(SUBSTITUTE(B358," ",REPT(" ",200)),401,200)),"")</f>
        <v/>
      </c>
      <c r="G358">
        <f>IF(C358&gt;=4,TRIM(MID(SUBSTITUTE(B358," ",REPT(" ",200)),601,200)),"")</f>
        <v/>
      </c>
      <c r="H358">
        <f>IF(C358&gt;=5,TRIM(MID(SUBSTITUTE(B358," ",REPT(" ",200)),801,200)),"")</f>
        <v/>
      </c>
      <c r="I358">
        <f>IF(C358&gt;=6,TRIM(MID(SUBSTITUTE(B358," ",REPT(" ",200)),1001,200)),"")</f>
        <v/>
      </c>
      <c r="J358">
        <f>IF(C358&gt;=7,TRIM(MID(SUBSTITUTE(B358," ",REPT(" ",200)),1201,200)),"")</f>
        <v/>
      </c>
      <c r="K358">
        <f>IF(C358&gt;=8,TRIM(MID(SUBSTITUTE(B358," ",REPT(" ",200)),1401,200)),"")</f>
        <v/>
      </c>
      <c r="L358">
        <f>SUBSTITUTE(SUBSTITUTE(SUBSTITUTE(D358,"年","-"),"組","-"),"番","")</f>
        <v/>
      </c>
      <c r="M358">
        <f>IF(D358="",0,IF(ISNUMBER(VALUE(SUBSTITUTE(L358,"-",""))),1,0))</f>
        <v/>
      </c>
      <c r="N358">
        <f>IF(M358=0,"",IFERROR(VALUE(TRIM(MID(SUBSTITUTE(L358,"-",REPT(" ",100)),101,100))),""))</f>
        <v/>
      </c>
      <c r="O358">
        <f>IF(M358=0,"",IFERROR(VALUE(TRIM(RIGHT(SUBSTITUTE(L358,"-",REPT(" ",100)),100))),""))</f>
        <v/>
      </c>
      <c r="P358">
        <f>IF(B358="","",TRIM(INDEX($D358:$K358,IF(M358=1,2,1))&amp;IF(AD358&gt;=2," "&amp;INDEX($D358:$K358,IF(M358=1,2,1)+1),"")&amp;IF(AD358&gt;=3," "&amp;INDEX($D358:$K358,IF(M358=1,2,1)+2),"")))</f>
        <v/>
      </c>
      <c r="Q358">
        <f>IF(C358&lt;2,"",TRIM(IF(AND(2&gt;=(IF(M358=1,2,1)+AD358),2&lt;=C358-IF(S358="",0,1)),E358&amp;" ","")&amp;IF(AND(3&gt;=(IF(M358=1,2,1)+AD358),3&lt;=C358-IF(S358="",0,1)),F358&amp;" ","")&amp;IF(AND(4&gt;=(IF(M358=1,2,1)+AD358),4&lt;=C358-IF(S358="",0,1)),G358&amp;" ","")&amp;IF(AND(5&gt;=(IF(M358=1,2,1)+AD358),5&lt;=C358-IF(S358="",0,1)),H358&amp;" ","")&amp;IF(AND(6&gt;=(IF(M358=1,2,1)+AD358),6&lt;=C358-IF(S358="",0,1)),I358&amp;" ","")&amp;IF(AND(7&gt;=(IF(M358=1,2,1)+AD358),7&lt;=C358-IF(S358="",0,1)),J358&amp;" ","")&amp;IF(AND(8&gt;=(IF(M358=1,2,1)+AD358),8&lt;=C358-IF(S358="",0,1)),K358&amp;" ","")))</f>
        <v/>
      </c>
      <c r="R358">
        <f>IF(Q358="","",IFERROR(INDEX(資格マスタ!$B:$B,MATCH(ASC(SUBSTITUTE(SUBSTITUTE(Q358," ",""),"　","")),資格マスタ!$D:$D,0)),Q358))</f>
        <v/>
      </c>
      <c r="S358" s="139">
        <f>IF(C358&lt;2,"",IFERROR(IF(OR(LEFT(INDEX(D358:K358,MIN(8,MAX(1,C358))),2)="令和",LEFT(INDEX(D358:K358,MIN(8,MAX(1,C358))),2)="平成",LEFT(INDEX(D358:K358,MIN(8,MAX(1,C358))),2)="昭和"),DATE(VALUE(MID(INDEX(D358:K358,MIN(8,MAX(1,C358))),3,FIND("年",INDEX(D358:K358,MIN(8,MAX(1,C358))))-3))+IF(LEFT(INDEX(D358:K358,MIN(8,MAX(1,C358))),2)="令和",2018,IF(LEFT(INDEX(D358:K358,MIN(8,MAX(1,C358))),2)="平成",1988,1925)),VALUE(MID(INDEX(D358:K358,MIN(8,MAX(1,C358))),FIND("年",INDEX(D358:K358,MIN(8,MAX(1,C358))))+1,FIND("月",INDEX(D358:K358,MIN(8,MAX(1,C358))))-FIND("年",INDEX(D358:K358,MIN(8,MAX(1,C358))))-1)),IFERROR(VALUE(SUBSTITUTE(MID(INDEX(D358:K358,MIN(8,MAX(1,C358))),FIND("月",INDEX(D358:K358,MIN(8,MAX(1,C358))))+1,10),"日","")),1)),DATE(VALUE(TRIM(MID(SUBSTITUTE(AA358,"/",REPT(" ",50)),1,50))),VALUE(TRIM(MID(SUBSTITUTE(AA358,"/",REPT(" ",50)),51,50))),IFERROR(VALUE(TRIM(MID(SUBSTITUTE(AA358,"/",REPT(" ",50)),101,50))),1))),IFERROR(DATEVALUE(INDEX(D358:K358,MIN(8,MAX(1,C358)))),"")))</f>
        <v/>
      </c>
      <c r="T358">
        <f>IF(B358="","",IF(AB358&lt;&gt;"",AB358,IFERROR(MATCH(SUBSTITUTE(SUBSTITUTE(P358," ",""),"　",""),入力!$AH$5:$AH$44,0),"")))</f>
        <v/>
      </c>
      <c r="U358">
        <f>IF(T358="","",INDEX(入力!$D$5:$D$44,T358))</f>
        <v/>
      </c>
      <c r="V358">
        <f>IF(B358="","",IF(T358="","要確認（名簿と照合できません）",IF(R358="","要確認（資格名がありません）",IF(S358="","要確認（取得日が読めません）",IF((IF(INDEX(入力!$N$5:$N$44,T358)=R358,1,0)+IF(INDEX(入力!$P$5:$P$44,T358)=R358,1,0)+IF(INDEX(入力!$R$5:$R$44,T358)=R358,1,0)+IF(INDEX(入力!$T$5:$T$44,T358)=R358,1,0)+IF(INDEX(入力!$V$5:$V$44,T358)=R358,1,0)+IF(INDEX(入力!$X$5:$X$44,T358)=R358,1,0))+(COUNTIFS($T$6:$T$405,T358,$R$6:$R$405,R358,$X$6:$X$405,"&lt;"&amp;X358))&gt;0,"重複","反映")))))</f>
        <v/>
      </c>
      <c r="W358">
        <f>IF(V358="反映",1,0)</f>
        <v/>
      </c>
      <c r="X358" t="n">
        <v>358</v>
      </c>
      <c r="Y358">
        <f>IF(W358=0,"",COUNTIFS($T$6:$T$405,T358,$W$6:$W$405,1,$S$6:$S$405,"&lt;"&amp;S358)+COUNTIFS($T$6:$T$405,T358,$W$6:$W$405,1,$S$6:$S$405,S358,$X$6:$X$405,"&lt;"&amp;X358)+1)</f>
        <v/>
      </c>
      <c r="Z358">
        <f>IF(Y358="","",T358&amp;"_"&amp;Y358)</f>
        <v/>
      </c>
      <c r="AA358">
        <f>SUBSTITUTE(SUBSTITUTE(SUBSTITUTE(SUBSTITUTE(SUBSTITUTE(INDEX(D358:K358,MIN(8,MAX(1,C358))),"年","/"),"月","/"),"日",""),"-","/"),".","/")</f>
        <v/>
      </c>
      <c r="AB358">
        <f>IFERROR(MATCH(O358,入力!$C$5:$C$44,0),"")</f>
        <v/>
      </c>
      <c r="AC358">
        <f>IF(AB358="","",INDEX(入力!$AH$5:$AH$44,AB358))</f>
        <v/>
      </c>
      <c r="AD358">
        <f>IF(INDEX($D358:$K358,IF(M358=1,2,1))=AC358,1,IF(INDEX($D358:$K358,IF(M358=1,2,1))&amp;INDEX($D358:$K358,IF(M358=1,2,1)+1)=AC358,2,IF(INDEX($D358:$K358,IF(M358=1,2,1))&amp;INDEX($D358:$K358,IF(M358=1,2,1)+1)&amp;INDEX($D358:$K358,IF(M358=1,2,1)+2)=AC358,3,IF(AB358&lt;&gt;"",2,IF(ISNUMBER(MATCH(INDEX($D358:$K358,IF(M358=1,2,1)),入力!$AH$5:$AH$44,0)),1,IF(ISNUMBER(MATCH(INDEX($D358:$K358,IF(M358=1,2,1))&amp;INDEX($D358:$K358,IF(M358=1,2,1)+1),入力!$AH$5:$AH$44,0)),2,IF(ISNUMBER(MATCH(INDEX($D358:$K358,IF(M358=1,2,1))&amp;INDEX($D358:$K358,IF(M358=1,2,1)+1)&amp;INDEX($D358:$K358,IF(M358=1,2,1)+2),入力!$AH$5:$AH$44,0)),3,2)))))))</f>
        <v/>
      </c>
      <c r="AE358">
        <f>IF(V358="","",IF(AND(V358="反映",N(Y358)&gt;20),"要確認（この生徒の取込が20件を超えました）",V358))</f>
        <v/>
      </c>
    </row>
    <row r="359">
      <c r="A359" s="138" t="n"/>
      <c r="B359">
        <f>TRIM(SUBSTITUTE(SUBSTITUTE(SUBSTITUTE(A359,CHAR(9)," "),"　"," "),CHAR(160)," "))</f>
        <v/>
      </c>
      <c r="C359">
        <f>IF(B359="",0,LEN(B359)-LEN(SUBSTITUTE(B359," ",""))+1)</f>
        <v/>
      </c>
      <c r="D359">
        <f>IF(C359&gt;=1,TRIM(MID(SUBSTITUTE(B359," ",REPT(" ",200)),1,200)),"")</f>
        <v/>
      </c>
      <c r="E359">
        <f>IF(C359&gt;=2,TRIM(MID(SUBSTITUTE(B359," ",REPT(" ",200)),201,200)),"")</f>
        <v/>
      </c>
      <c r="F359">
        <f>IF(C359&gt;=3,TRIM(MID(SUBSTITUTE(B359," ",REPT(" ",200)),401,200)),"")</f>
        <v/>
      </c>
      <c r="G359">
        <f>IF(C359&gt;=4,TRIM(MID(SUBSTITUTE(B359," ",REPT(" ",200)),601,200)),"")</f>
        <v/>
      </c>
      <c r="H359">
        <f>IF(C359&gt;=5,TRIM(MID(SUBSTITUTE(B359," ",REPT(" ",200)),801,200)),"")</f>
        <v/>
      </c>
      <c r="I359">
        <f>IF(C359&gt;=6,TRIM(MID(SUBSTITUTE(B359," ",REPT(" ",200)),1001,200)),"")</f>
        <v/>
      </c>
      <c r="J359">
        <f>IF(C359&gt;=7,TRIM(MID(SUBSTITUTE(B359," ",REPT(" ",200)),1201,200)),"")</f>
        <v/>
      </c>
      <c r="K359">
        <f>IF(C359&gt;=8,TRIM(MID(SUBSTITUTE(B359," ",REPT(" ",200)),1401,200)),"")</f>
        <v/>
      </c>
      <c r="L359">
        <f>SUBSTITUTE(SUBSTITUTE(SUBSTITUTE(D359,"年","-"),"組","-"),"番","")</f>
        <v/>
      </c>
      <c r="M359">
        <f>IF(D359="",0,IF(ISNUMBER(VALUE(SUBSTITUTE(L359,"-",""))),1,0))</f>
        <v/>
      </c>
      <c r="N359">
        <f>IF(M359=0,"",IFERROR(VALUE(TRIM(MID(SUBSTITUTE(L359,"-",REPT(" ",100)),101,100))),""))</f>
        <v/>
      </c>
      <c r="O359">
        <f>IF(M359=0,"",IFERROR(VALUE(TRIM(RIGHT(SUBSTITUTE(L359,"-",REPT(" ",100)),100))),""))</f>
        <v/>
      </c>
      <c r="P359">
        <f>IF(B359="","",TRIM(INDEX($D359:$K359,IF(M359=1,2,1))&amp;IF(AD359&gt;=2," "&amp;INDEX($D359:$K359,IF(M359=1,2,1)+1),"")&amp;IF(AD359&gt;=3," "&amp;INDEX($D359:$K359,IF(M359=1,2,1)+2),"")))</f>
        <v/>
      </c>
      <c r="Q359">
        <f>IF(C359&lt;2,"",TRIM(IF(AND(2&gt;=(IF(M359=1,2,1)+AD359),2&lt;=C359-IF(S359="",0,1)),E359&amp;" ","")&amp;IF(AND(3&gt;=(IF(M359=1,2,1)+AD359),3&lt;=C359-IF(S359="",0,1)),F359&amp;" ","")&amp;IF(AND(4&gt;=(IF(M359=1,2,1)+AD359),4&lt;=C359-IF(S359="",0,1)),G359&amp;" ","")&amp;IF(AND(5&gt;=(IF(M359=1,2,1)+AD359),5&lt;=C359-IF(S359="",0,1)),H359&amp;" ","")&amp;IF(AND(6&gt;=(IF(M359=1,2,1)+AD359),6&lt;=C359-IF(S359="",0,1)),I359&amp;" ","")&amp;IF(AND(7&gt;=(IF(M359=1,2,1)+AD359),7&lt;=C359-IF(S359="",0,1)),J359&amp;" ","")&amp;IF(AND(8&gt;=(IF(M359=1,2,1)+AD359),8&lt;=C359-IF(S359="",0,1)),K359&amp;" ","")))</f>
        <v/>
      </c>
      <c r="R359">
        <f>IF(Q359="","",IFERROR(INDEX(資格マスタ!$B:$B,MATCH(ASC(SUBSTITUTE(SUBSTITUTE(Q359," ",""),"　","")),資格マスタ!$D:$D,0)),Q359))</f>
        <v/>
      </c>
      <c r="S359" s="139">
        <f>IF(C359&lt;2,"",IFERROR(IF(OR(LEFT(INDEX(D359:K359,MIN(8,MAX(1,C359))),2)="令和",LEFT(INDEX(D359:K359,MIN(8,MAX(1,C359))),2)="平成",LEFT(INDEX(D359:K359,MIN(8,MAX(1,C359))),2)="昭和"),DATE(VALUE(MID(INDEX(D359:K359,MIN(8,MAX(1,C359))),3,FIND("年",INDEX(D359:K359,MIN(8,MAX(1,C359))))-3))+IF(LEFT(INDEX(D359:K359,MIN(8,MAX(1,C359))),2)="令和",2018,IF(LEFT(INDEX(D359:K359,MIN(8,MAX(1,C359))),2)="平成",1988,1925)),VALUE(MID(INDEX(D359:K359,MIN(8,MAX(1,C359))),FIND("年",INDEX(D359:K359,MIN(8,MAX(1,C359))))+1,FIND("月",INDEX(D359:K359,MIN(8,MAX(1,C359))))-FIND("年",INDEX(D359:K359,MIN(8,MAX(1,C359))))-1)),IFERROR(VALUE(SUBSTITUTE(MID(INDEX(D359:K359,MIN(8,MAX(1,C359))),FIND("月",INDEX(D359:K359,MIN(8,MAX(1,C359))))+1,10),"日","")),1)),DATE(VALUE(TRIM(MID(SUBSTITUTE(AA359,"/",REPT(" ",50)),1,50))),VALUE(TRIM(MID(SUBSTITUTE(AA359,"/",REPT(" ",50)),51,50))),IFERROR(VALUE(TRIM(MID(SUBSTITUTE(AA359,"/",REPT(" ",50)),101,50))),1))),IFERROR(DATEVALUE(INDEX(D359:K359,MIN(8,MAX(1,C359)))),"")))</f>
        <v/>
      </c>
      <c r="T359">
        <f>IF(B359="","",IF(AB359&lt;&gt;"",AB359,IFERROR(MATCH(SUBSTITUTE(SUBSTITUTE(P359," ",""),"　",""),入力!$AH$5:$AH$44,0),"")))</f>
        <v/>
      </c>
      <c r="U359">
        <f>IF(T359="","",INDEX(入力!$D$5:$D$44,T359))</f>
        <v/>
      </c>
      <c r="V359">
        <f>IF(B359="","",IF(T359="","要確認（名簿と照合できません）",IF(R359="","要確認（資格名がありません）",IF(S359="","要確認（取得日が読めません）",IF((IF(INDEX(入力!$N$5:$N$44,T359)=R359,1,0)+IF(INDEX(入力!$P$5:$P$44,T359)=R359,1,0)+IF(INDEX(入力!$R$5:$R$44,T359)=R359,1,0)+IF(INDEX(入力!$T$5:$T$44,T359)=R359,1,0)+IF(INDEX(入力!$V$5:$V$44,T359)=R359,1,0)+IF(INDEX(入力!$X$5:$X$44,T359)=R359,1,0))+(COUNTIFS($T$6:$T$405,T359,$R$6:$R$405,R359,$X$6:$X$405,"&lt;"&amp;X359))&gt;0,"重複","反映")))))</f>
        <v/>
      </c>
      <c r="W359">
        <f>IF(V359="反映",1,0)</f>
        <v/>
      </c>
      <c r="X359" t="n">
        <v>359</v>
      </c>
      <c r="Y359">
        <f>IF(W359=0,"",COUNTIFS($T$6:$T$405,T359,$W$6:$W$405,1,$S$6:$S$405,"&lt;"&amp;S359)+COUNTIFS($T$6:$T$405,T359,$W$6:$W$405,1,$S$6:$S$405,S359,$X$6:$X$405,"&lt;"&amp;X359)+1)</f>
        <v/>
      </c>
      <c r="Z359">
        <f>IF(Y359="","",T359&amp;"_"&amp;Y359)</f>
        <v/>
      </c>
      <c r="AA359">
        <f>SUBSTITUTE(SUBSTITUTE(SUBSTITUTE(SUBSTITUTE(SUBSTITUTE(INDEX(D359:K359,MIN(8,MAX(1,C359))),"年","/"),"月","/"),"日",""),"-","/"),".","/")</f>
        <v/>
      </c>
      <c r="AB359">
        <f>IFERROR(MATCH(O359,入力!$C$5:$C$44,0),"")</f>
        <v/>
      </c>
      <c r="AC359">
        <f>IF(AB359="","",INDEX(入力!$AH$5:$AH$44,AB359))</f>
        <v/>
      </c>
      <c r="AD359">
        <f>IF(INDEX($D359:$K359,IF(M359=1,2,1))=AC359,1,IF(INDEX($D359:$K359,IF(M359=1,2,1))&amp;INDEX($D359:$K359,IF(M359=1,2,1)+1)=AC359,2,IF(INDEX($D359:$K359,IF(M359=1,2,1))&amp;INDEX($D359:$K359,IF(M359=1,2,1)+1)&amp;INDEX($D359:$K359,IF(M359=1,2,1)+2)=AC359,3,IF(AB359&lt;&gt;"",2,IF(ISNUMBER(MATCH(INDEX($D359:$K359,IF(M359=1,2,1)),入力!$AH$5:$AH$44,0)),1,IF(ISNUMBER(MATCH(INDEX($D359:$K359,IF(M359=1,2,1))&amp;INDEX($D359:$K359,IF(M359=1,2,1)+1),入力!$AH$5:$AH$44,0)),2,IF(ISNUMBER(MATCH(INDEX($D359:$K359,IF(M359=1,2,1))&amp;INDEX($D359:$K359,IF(M359=1,2,1)+1)&amp;INDEX($D359:$K359,IF(M359=1,2,1)+2),入力!$AH$5:$AH$44,0)),3,2)))))))</f>
        <v/>
      </c>
      <c r="AE359">
        <f>IF(V359="","",IF(AND(V359="反映",N(Y359)&gt;20),"要確認（この生徒の取込が20件を超えました）",V359))</f>
        <v/>
      </c>
    </row>
    <row r="360">
      <c r="A360" s="138" t="n"/>
      <c r="B360">
        <f>TRIM(SUBSTITUTE(SUBSTITUTE(SUBSTITUTE(A360,CHAR(9)," "),"　"," "),CHAR(160)," "))</f>
        <v/>
      </c>
      <c r="C360">
        <f>IF(B360="",0,LEN(B360)-LEN(SUBSTITUTE(B360," ",""))+1)</f>
        <v/>
      </c>
      <c r="D360">
        <f>IF(C360&gt;=1,TRIM(MID(SUBSTITUTE(B360," ",REPT(" ",200)),1,200)),"")</f>
        <v/>
      </c>
      <c r="E360">
        <f>IF(C360&gt;=2,TRIM(MID(SUBSTITUTE(B360," ",REPT(" ",200)),201,200)),"")</f>
        <v/>
      </c>
      <c r="F360">
        <f>IF(C360&gt;=3,TRIM(MID(SUBSTITUTE(B360," ",REPT(" ",200)),401,200)),"")</f>
        <v/>
      </c>
      <c r="G360">
        <f>IF(C360&gt;=4,TRIM(MID(SUBSTITUTE(B360," ",REPT(" ",200)),601,200)),"")</f>
        <v/>
      </c>
      <c r="H360">
        <f>IF(C360&gt;=5,TRIM(MID(SUBSTITUTE(B360," ",REPT(" ",200)),801,200)),"")</f>
        <v/>
      </c>
      <c r="I360">
        <f>IF(C360&gt;=6,TRIM(MID(SUBSTITUTE(B360," ",REPT(" ",200)),1001,200)),"")</f>
        <v/>
      </c>
      <c r="J360">
        <f>IF(C360&gt;=7,TRIM(MID(SUBSTITUTE(B360," ",REPT(" ",200)),1201,200)),"")</f>
        <v/>
      </c>
      <c r="K360">
        <f>IF(C360&gt;=8,TRIM(MID(SUBSTITUTE(B360," ",REPT(" ",200)),1401,200)),"")</f>
        <v/>
      </c>
      <c r="L360">
        <f>SUBSTITUTE(SUBSTITUTE(SUBSTITUTE(D360,"年","-"),"組","-"),"番","")</f>
        <v/>
      </c>
      <c r="M360">
        <f>IF(D360="",0,IF(ISNUMBER(VALUE(SUBSTITUTE(L360,"-",""))),1,0))</f>
        <v/>
      </c>
      <c r="N360">
        <f>IF(M360=0,"",IFERROR(VALUE(TRIM(MID(SUBSTITUTE(L360,"-",REPT(" ",100)),101,100))),""))</f>
        <v/>
      </c>
      <c r="O360">
        <f>IF(M360=0,"",IFERROR(VALUE(TRIM(RIGHT(SUBSTITUTE(L360,"-",REPT(" ",100)),100))),""))</f>
        <v/>
      </c>
      <c r="P360">
        <f>IF(B360="","",TRIM(INDEX($D360:$K360,IF(M360=1,2,1))&amp;IF(AD360&gt;=2," "&amp;INDEX($D360:$K360,IF(M360=1,2,1)+1),"")&amp;IF(AD360&gt;=3," "&amp;INDEX($D360:$K360,IF(M360=1,2,1)+2),"")))</f>
        <v/>
      </c>
      <c r="Q360">
        <f>IF(C360&lt;2,"",TRIM(IF(AND(2&gt;=(IF(M360=1,2,1)+AD360),2&lt;=C360-IF(S360="",0,1)),E360&amp;" ","")&amp;IF(AND(3&gt;=(IF(M360=1,2,1)+AD360),3&lt;=C360-IF(S360="",0,1)),F360&amp;" ","")&amp;IF(AND(4&gt;=(IF(M360=1,2,1)+AD360),4&lt;=C360-IF(S360="",0,1)),G360&amp;" ","")&amp;IF(AND(5&gt;=(IF(M360=1,2,1)+AD360),5&lt;=C360-IF(S360="",0,1)),H360&amp;" ","")&amp;IF(AND(6&gt;=(IF(M360=1,2,1)+AD360),6&lt;=C360-IF(S360="",0,1)),I360&amp;" ","")&amp;IF(AND(7&gt;=(IF(M360=1,2,1)+AD360),7&lt;=C360-IF(S360="",0,1)),J360&amp;" ","")&amp;IF(AND(8&gt;=(IF(M360=1,2,1)+AD360),8&lt;=C360-IF(S360="",0,1)),K360&amp;" ","")))</f>
        <v/>
      </c>
      <c r="R360">
        <f>IF(Q360="","",IFERROR(INDEX(資格マスタ!$B:$B,MATCH(ASC(SUBSTITUTE(SUBSTITUTE(Q360," ",""),"　","")),資格マスタ!$D:$D,0)),Q360))</f>
        <v/>
      </c>
      <c r="S360" s="139">
        <f>IF(C360&lt;2,"",IFERROR(IF(OR(LEFT(INDEX(D360:K360,MIN(8,MAX(1,C360))),2)="令和",LEFT(INDEX(D360:K360,MIN(8,MAX(1,C360))),2)="平成",LEFT(INDEX(D360:K360,MIN(8,MAX(1,C360))),2)="昭和"),DATE(VALUE(MID(INDEX(D360:K360,MIN(8,MAX(1,C360))),3,FIND("年",INDEX(D360:K360,MIN(8,MAX(1,C360))))-3))+IF(LEFT(INDEX(D360:K360,MIN(8,MAX(1,C360))),2)="令和",2018,IF(LEFT(INDEX(D360:K360,MIN(8,MAX(1,C360))),2)="平成",1988,1925)),VALUE(MID(INDEX(D360:K360,MIN(8,MAX(1,C360))),FIND("年",INDEX(D360:K360,MIN(8,MAX(1,C360))))+1,FIND("月",INDEX(D360:K360,MIN(8,MAX(1,C360))))-FIND("年",INDEX(D360:K360,MIN(8,MAX(1,C360))))-1)),IFERROR(VALUE(SUBSTITUTE(MID(INDEX(D360:K360,MIN(8,MAX(1,C360))),FIND("月",INDEX(D360:K360,MIN(8,MAX(1,C360))))+1,10),"日","")),1)),DATE(VALUE(TRIM(MID(SUBSTITUTE(AA360,"/",REPT(" ",50)),1,50))),VALUE(TRIM(MID(SUBSTITUTE(AA360,"/",REPT(" ",50)),51,50))),IFERROR(VALUE(TRIM(MID(SUBSTITUTE(AA360,"/",REPT(" ",50)),101,50))),1))),IFERROR(DATEVALUE(INDEX(D360:K360,MIN(8,MAX(1,C360)))),"")))</f>
        <v/>
      </c>
      <c r="T360">
        <f>IF(B360="","",IF(AB360&lt;&gt;"",AB360,IFERROR(MATCH(SUBSTITUTE(SUBSTITUTE(P360," ",""),"　",""),入力!$AH$5:$AH$44,0),"")))</f>
        <v/>
      </c>
      <c r="U360">
        <f>IF(T360="","",INDEX(入力!$D$5:$D$44,T360))</f>
        <v/>
      </c>
      <c r="V360">
        <f>IF(B360="","",IF(T360="","要確認（名簿と照合できません）",IF(R360="","要確認（資格名がありません）",IF(S360="","要確認（取得日が読めません）",IF((IF(INDEX(入力!$N$5:$N$44,T360)=R360,1,0)+IF(INDEX(入力!$P$5:$P$44,T360)=R360,1,0)+IF(INDEX(入力!$R$5:$R$44,T360)=R360,1,0)+IF(INDEX(入力!$T$5:$T$44,T360)=R360,1,0)+IF(INDEX(入力!$V$5:$V$44,T360)=R360,1,0)+IF(INDEX(入力!$X$5:$X$44,T360)=R360,1,0))+(COUNTIFS($T$6:$T$405,T360,$R$6:$R$405,R360,$X$6:$X$405,"&lt;"&amp;X360))&gt;0,"重複","反映")))))</f>
        <v/>
      </c>
      <c r="W360">
        <f>IF(V360="反映",1,0)</f>
        <v/>
      </c>
      <c r="X360" t="n">
        <v>360</v>
      </c>
      <c r="Y360">
        <f>IF(W360=0,"",COUNTIFS($T$6:$T$405,T360,$W$6:$W$405,1,$S$6:$S$405,"&lt;"&amp;S360)+COUNTIFS($T$6:$T$405,T360,$W$6:$W$405,1,$S$6:$S$405,S360,$X$6:$X$405,"&lt;"&amp;X360)+1)</f>
        <v/>
      </c>
      <c r="Z360">
        <f>IF(Y360="","",T360&amp;"_"&amp;Y360)</f>
        <v/>
      </c>
      <c r="AA360">
        <f>SUBSTITUTE(SUBSTITUTE(SUBSTITUTE(SUBSTITUTE(SUBSTITUTE(INDEX(D360:K360,MIN(8,MAX(1,C360))),"年","/"),"月","/"),"日",""),"-","/"),".","/")</f>
        <v/>
      </c>
      <c r="AB360">
        <f>IFERROR(MATCH(O360,入力!$C$5:$C$44,0),"")</f>
        <v/>
      </c>
      <c r="AC360">
        <f>IF(AB360="","",INDEX(入力!$AH$5:$AH$44,AB360))</f>
        <v/>
      </c>
      <c r="AD360">
        <f>IF(INDEX($D360:$K360,IF(M360=1,2,1))=AC360,1,IF(INDEX($D360:$K360,IF(M360=1,2,1))&amp;INDEX($D360:$K360,IF(M360=1,2,1)+1)=AC360,2,IF(INDEX($D360:$K360,IF(M360=1,2,1))&amp;INDEX($D360:$K360,IF(M360=1,2,1)+1)&amp;INDEX($D360:$K360,IF(M360=1,2,1)+2)=AC360,3,IF(AB360&lt;&gt;"",2,IF(ISNUMBER(MATCH(INDEX($D360:$K360,IF(M360=1,2,1)),入力!$AH$5:$AH$44,0)),1,IF(ISNUMBER(MATCH(INDEX($D360:$K360,IF(M360=1,2,1))&amp;INDEX($D360:$K360,IF(M360=1,2,1)+1),入力!$AH$5:$AH$44,0)),2,IF(ISNUMBER(MATCH(INDEX($D360:$K360,IF(M360=1,2,1))&amp;INDEX($D360:$K360,IF(M360=1,2,1)+1)&amp;INDEX($D360:$K360,IF(M360=1,2,1)+2),入力!$AH$5:$AH$44,0)),3,2)))))))</f>
        <v/>
      </c>
      <c r="AE360">
        <f>IF(V360="","",IF(AND(V360="反映",N(Y360)&gt;20),"要確認（この生徒の取込が20件を超えました）",V360))</f>
        <v/>
      </c>
    </row>
    <row r="361">
      <c r="A361" s="138" t="n"/>
      <c r="B361">
        <f>TRIM(SUBSTITUTE(SUBSTITUTE(SUBSTITUTE(A361,CHAR(9)," "),"　"," "),CHAR(160)," "))</f>
        <v/>
      </c>
      <c r="C361">
        <f>IF(B361="",0,LEN(B361)-LEN(SUBSTITUTE(B361," ",""))+1)</f>
        <v/>
      </c>
      <c r="D361">
        <f>IF(C361&gt;=1,TRIM(MID(SUBSTITUTE(B361," ",REPT(" ",200)),1,200)),"")</f>
        <v/>
      </c>
      <c r="E361">
        <f>IF(C361&gt;=2,TRIM(MID(SUBSTITUTE(B361," ",REPT(" ",200)),201,200)),"")</f>
        <v/>
      </c>
      <c r="F361">
        <f>IF(C361&gt;=3,TRIM(MID(SUBSTITUTE(B361," ",REPT(" ",200)),401,200)),"")</f>
        <v/>
      </c>
      <c r="G361">
        <f>IF(C361&gt;=4,TRIM(MID(SUBSTITUTE(B361," ",REPT(" ",200)),601,200)),"")</f>
        <v/>
      </c>
      <c r="H361">
        <f>IF(C361&gt;=5,TRIM(MID(SUBSTITUTE(B361," ",REPT(" ",200)),801,200)),"")</f>
        <v/>
      </c>
      <c r="I361">
        <f>IF(C361&gt;=6,TRIM(MID(SUBSTITUTE(B361," ",REPT(" ",200)),1001,200)),"")</f>
        <v/>
      </c>
      <c r="J361">
        <f>IF(C361&gt;=7,TRIM(MID(SUBSTITUTE(B361," ",REPT(" ",200)),1201,200)),"")</f>
        <v/>
      </c>
      <c r="K361">
        <f>IF(C361&gt;=8,TRIM(MID(SUBSTITUTE(B361," ",REPT(" ",200)),1401,200)),"")</f>
        <v/>
      </c>
      <c r="L361">
        <f>SUBSTITUTE(SUBSTITUTE(SUBSTITUTE(D361,"年","-"),"組","-"),"番","")</f>
        <v/>
      </c>
      <c r="M361">
        <f>IF(D361="",0,IF(ISNUMBER(VALUE(SUBSTITUTE(L361,"-",""))),1,0))</f>
        <v/>
      </c>
      <c r="N361">
        <f>IF(M361=0,"",IFERROR(VALUE(TRIM(MID(SUBSTITUTE(L361,"-",REPT(" ",100)),101,100))),""))</f>
        <v/>
      </c>
      <c r="O361">
        <f>IF(M361=0,"",IFERROR(VALUE(TRIM(RIGHT(SUBSTITUTE(L361,"-",REPT(" ",100)),100))),""))</f>
        <v/>
      </c>
      <c r="P361">
        <f>IF(B361="","",TRIM(INDEX($D361:$K361,IF(M361=1,2,1))&amp;IF(AD361&gt;=2," "&amp;INDEX($D361:$K361,IF(M361=1,2,1)+1),"")&amp;IF(AD361&gt;=3," "&amp;INDEX($D361:$K361,IF(M361=1,2,1)+2),"")))</f>
        <v/>
      </c>
      <c r="Q361">
        <f>IF(C361&lt;2,"",TRIM(IF(AND(2&gt;=(IF(M361=1,2,1)+AD361),2&lt;=C361-IF(S361="",0,1)),E361&amp;" ","")&amp;IF(AND(3&gt;=(IF(M361=1,2,1)+AD361),3&lt;=C361-IF(S361="",0,1)),F361&amp;" ","")&amp;IF(AND(4&gt;=(IF(M361=1,2,1)+AD361),4&lt;=C361-IF(S361="",0,1)),G361&amp;" ","")&amp;IF(AND(5&gt;=(IF(M361=1,2,1)+AD361),5&lt;=C361-IF(S361="",0,1)),H361&amp;" ","")&amp;IF(AND(6&gt;=(IF(M361=1,2,1)+AD361),6&lt;=C361-IF(S361="",0,1)),I361&amp;" ","")&amp;IF(AND(7&gt;=(IF(M361=1,2,1)+AD361),7&lt;=C361-IF(S361="",0,1)),J361&amp;" ","")&amp;IF(AND(8&gt;=(IF(M361=1,2,1)+AD361),8&lt;=C361-IF(S361="",0,1)),K361&amp;" ","")))</f>
        <v/>
      </c>
      <c r="R361">
        <f>IF(Q361="","",IFERROR(INDEX(資格マスタ!$B:$B,MATCH(ASC(SUBSTITUTE(SUBSTITUTE(Q361," ",""),"　","")),資格マスタ!$D:$D,0)),Q361))</f>
        <v/>
      </c>
      <c r="S361" s="139">
        <f>IF(C361&lt;2,"",IFERROR(IF(OR(LEFT(INDEX(D361:K361,MIN(8,MAX(1,C361))),2)="令和",LEFT(INDEX(D361:K361,MIN(8,MAX(1,C361))),2)="平成",LEFT(INDEX(D361:K361,MIN(8,MAX(1,C361))),2)="昭和"),DATE(VALUE(MID(INDEX(D361:K361,MIN(8,MAX(1,C361))),3,FIND("年",INDEX(D361:K361,MIN(8,MAX(1,C361))))-3))+IF(LEFT(INDEX(D361:K361,MIN(8,MAX(1,C361))),2)="令和",2018,IF(LEFT(INDEX(D361:K361,MIN(8,MAX(1,C361))),2)="平成",1988,1925)),VALUE(MID(INDEX(D361:K361,MIN(8,MAX(1,C361))),FIND("年",INDEX(D361:K361,MIN(8,MAX(1,C361))))+1,FIND("月",INDEX(D361:K361,MIN(8,MAX(1,C361))))-FIND("年",INDEX(D361:K361,MIN(8,MAX(1,C361))))-1)),IFERROR(VALUE(SUBSTITUTE(MID(INDEX(D361:K361,MIN(8,MAX(1,C361))),FIND("月",INDEX(D361:K361,MIN(8,MAX(1,C361))))+1,10),"日","")),1)),DATE(VALUE(TRIM(MID(SUBSTITUTE(AA361,"/",REPT(" ",50)),1,50))),VALUE(TRIM(MID(SUBSTITUTE(AA361,"/",REPT(" ",50)),51,50))),IFERROR(VALUE(TRIM(MID(SUBSTITUTE(AA361,"/",REPT(" ",50)),101,50))),1))),IFERROR(DATEVALUE(INDEX(D361:K361,MIN(8,MAX(1,C361)))),"")))</f>
        <v/>
      </c>
      <c r="T361">
        <f>IF(B361="","",IF(AB361&lt;&gt;"",AB361,IFERROR(MATCH(SUBSTITUTE(SUBSTITUTE(P361," ",""),"　",""),入力!$AH$5:$AH$44,0),"")))</f>
        <v/>
      </c>
      <c r="U361">
        <f>IF(T361="","",INDEX(入力!$D$5:$D$44,T361))</f>
        <v/>
      </c>
      <c r="V361">
        <f>IF(B361="","",IF(T361="","要確認（名簿と照合できません）",IF(R361="","要確認（資格名がありません）",IF(S361="","要確認（取得日が読めません）",IF((IF(INDEX(入力!$N$5:$N$44,T361)=R361,1,0)+IF(INDEX(入力!$P$5:$P$44,T361)=R361,1,0)+IF(INDEX(入力!$R$5:$R$44,T361)=R361,1,0)+IF(INDEX(入力!$T$5:$T$44,T361)=R361,1,0)+IF(INDEX(入力!$V$5:$V$44,T361)=R361,1,0)+IF(INDEX(入力!$X$5:$X$44,T361)=R361,1,0))+(COUNTIFS($T$6:$T$405,T361,$R$6:$R$405,R361,$X$6:$X$405,"&lt;"&amp;X361))&gt;0,"重複","反映")))))</f>
        <v/>
      </c>
      <c r="W361">
        <f>IF(V361="反映",1,0)</f>
        <v/>
      </c>
      <c r="X361" t="n">
        <v>361</v>
      </c>
      <c r="Y361">
        <f>IF(W361=0,"",COUNTIFS($T$6:$T$405,T361,$W$6:$W$405,1,$S$6:$S$405,"&lt;"&amp;S361)+COUNTIFS($T$6:$T$405,T361,$W$6:$W$405,1,$S$6:$S$405,S361,$X$6:$X$405,"&lt;"&amp;X361)+1)</f>
        <v/>
      </c>
      <c r="Z361">
        <f>IF(Y361="","",T361&amp;"_"&amp;Y361)</f>
        <v/>
      </c>
      <c r="AA361">
        <f>SUBSTITUTE(SUBSTITUTE(SUBSTITUTE(SUBSTITUTE(SUBSTITUTE(INDEX(D361:K361,MIN(8,MAX(1,C361))),"年","/"),"月","/"),"日",""),"-","/"),".","/")</f>
        <v/>
      </c>
      <c r="AB361">
        <f>IFERROR(MATCH(O361,入力!$C$5:$C$44,0),"")</f>
        <v/>
      </c>
      <c r="AC361">
        <f>IF(AB361="","",INDEX(入力!$AH$5:$AH$44,AB361))</f>
        <v/>
      </c>
      <c r="AD361">
        <f>IF(INDEX($D361:$K361,IF(M361=1,2,1))=AC361,1,IF(INDEX($D361:$K361,IF(M361=1,2,1))&amp;INDEX($D361:$K361,IF(M361=1,2,1)+1)=AC361,2,IF(INDEX($D361:$K361,IF(M361=1,2,1))&amp;INDEX($D361:$K361,IF(M361=1,2,1)+1)&amp;INDEX($D361:$K361,IF(M361=1,2,1)+2)=AC361,3,IF(AB361&lt;&gt;"",2,IF(ISNUMBER(MATCH(INDEX($D361:$K361,IF(M361=1,2,1)),入力!$AH$5:$AH$44,0)),1,IF(ISNUMBER(MATCH(INDEX($D361:$K361,IF(M361=1,2,1))&amp;INDEX($D361:$K361,IF(M361=1,2,1)+1),入力!$AH$5:$AH$44,0)),2,IF(ISNUMBER(MATCH(INDEX($D361:$K361,IF(M361=1,2,1))&amp;INDEX($D361:$K361,IF(M361=1,2,1)+1)&amp;INDEX($D361:$K361,IF(M361=1,2,1)+2),入力!$AH$5:$AH$44,0)),3,2)))))))</f>
        <v/>
      </c>
      <c r="AE361">
        <f>IF(V361="","",IF(AND(V361="反映",N(Y361)&gt;20),"要確認（この生徒の取込が20件を超えました）",V361))</f>
        <v/>
      </c>
    </row>
    <row r="362">
      <c r="A362" s="138" t="n"/>
      <c r="B362">
        <f>TRIM(SUBSTITUTE(SUBSTITUTE(SUBSTITUTE(A362,CHAR(9)," "),"　"," "),CHAR(160)," "))</f>
        <v/>
      </c>
      <c r="C362">
        <f>IF(B362="",0,LEN(B362)-LEN(SUBSTITUTE(B362," ",""))+1)</f>
        <v/>
      </c>
      <c r="D362">
        <f>IF(C362&gt;=1,TRIM(MID(SUBSTITUTE(B362," ",REPT(" ",200)),1,200)),"")</f>
        <v/>
      </c>
      <c r="E362">
        <f>IF(C362&gt;=2,TRIM(MID(SUBSTITUTE(B362," ",REPT(" ",200)),201,200)),"")</f>
        <v/>
      </c>
      <c r="F362">
        <f>IF(C362&gt;=3,TRIM(MID(SUBSTITUTE(B362," ",REPT(" ",200)),401,200)),"")</f>
        <v/>
      </c>
      <c r="G362">
        <f>IF(C362&gt;=4,TRIM(MID(SUBSTITUTE(B362," ",REPT(" ",200)),601,200)),"")</f>
        <v/>
      </c>
      <c r="H362">
        <f>IF(C362&gt;=5,TRIM(MID(SUBSTITUTE(B362," ",REPT(" ",200)),801,200)),"")</f>
        <v/>
      </c>
      <c r="I362">
        <f>IF(C362&gt;=6,TRIM(MID(SUBSTITUTE(B362," ",REPT(" ",200)),1001,200)),"")</f>
        <v/>
      </c>
      <c r="J362">
        <f>IF(C362&gt;=7,TRIM(MID(SUBSTITUTE(B362," ",REPT(" ",200)),1201,200)),"")</f>
        <v/>
      </c>
      <c r="K362">
        <f>IF(C362&gt;=8,TRIM(MID(SUBSTITUTE(B362," ",REPT(" ",200)),1401,200)),"")</f>
        <v/>
      </c>
      <c r="L362">
        <f>SUBSTITUTE(SUBSTITUTE(SUBSTITUTE(D362,"年","-"),"組","-"),"番","")</f>
        <v/>
      </c>
      <c r="M362">
        <f>IF(D362="",0,IF(ISNUMBER(VALUE(SUBSTITUTE(L362,"-",""))),1,0))</f>
        <v/>
      </c>
      <c r="N362">
        <f>IF(M362=0,"",IFERROR(VALUE(TRIM(MID(SUBSTITUTE(L362,"-",REPT(" ",100)),101,100))),""))</f>
        <v/>
      </c>
      <c r="O362">
        <f>IF(M362=0,"",IFERROR(VALUE(TRIM(RIGHT(SUBSTITUTE(L362,"-",REPT(" ",100)),100))),""))</f>
        <v/>
      </c>
      <c r="P362">
        <f>IF(B362="","",TRIM(INDEX($D362:$K362,IF(M362=1,2,1))&amp;IF(AD362&gt;=2," "&amp;INDEX($D362:$K362,IF(M362=1,2,1)+1),"")&amp;IF(AD362&gt;=3," "&amp;INDEX($D362:$K362,IF(M362=1,2,1)+2),"")))</f>
        <v/>
      </c>
      <c r="Q362">
        <f>IF(C362&lt;2,"",TRIM(IF(AND(2&gt;=(IF(M362=1,2,1)+AD362),2&lt;=C362-IF(S362="",0,1)),E362&amp;" ","")&amp;IF(AND(3&gt;=(IF(M362=1,2,1)+AD362),3&lt;=C362-IF(S362="",0,1)),F362&amp;" ","")&amp;IF(AND(4&gt;=(IF(M362=1,2,1)+AD362),4&lt;=C362-IF(S362="",0,1)),G362&amp;" ","")&amp;IF(AND(5&gt;=(IF(M362=1,2,1)+AD362),5&lt;=C362-IF(S362="",0,1)),H362&amp;" ","")&amp;IF(AND(6&gt;=(IF(M362=1,2,1)+AD362),6&lt;=C362-IF(S362="",0,1)),I362&amp;" ","")&amp;IF(AND(7&gt;=(IF(M362=1,2,1)+AD362),7&lt;=C362-IF(S362="",0,1)),J362&amp;" ","")&amp;IF(AND(8&gt;=(IF(M362=1,2,1)+AD362),8&lt;=C362-IF(S362="",0,1)),K362&amp;" ","")))</f>
        <v/>
      </c>
      <c r="R362">
        <f>IF(Q362="","",IFERROR(INDEX(資格マスタ!$B:$B,MATCH(ASC(SUBSTITUTE(SUBSTITUTE(Q362," ",""),"　","")),資格マスタ!$D:$D,0)),Q362))</f>
        <v/>
      </c>
      <c r="S362" s="139">
        <f>IF(C362&lt;2,"",IFERROR(IF(OR(LEFT(INDEX(D362:K362,MIN(8,MAX(1,C362))),2)="令和",LEFT(INDEX(D362:K362,MIN(8,MAX(1,C362))),2)="平成",LEFT(INDEX(D362:K362,MIN(8,MAX(1,C362))),2)="昭和"),DATE(VALUE(MID(INDEX(D362:K362,MIN(8,MAX(1,C362))),3,FIND("年",INDEX(D362:K362,MIN(8,MAX(1,C362))))-3))+IF(LEFT(INDEX(D362:K362,MIN(8,MAX(1,C362))),2)="令和",2018,IF(LEFT(INDEX(D362:K362,MIN(8,MAX(1,C362))),2)="平成",1988,1925)),VALUE(MID(INDEX(D362:K362,MIN(8,MAX(1,C362))),FIND("年",INDEX(D362:K362,MIN(8,MAX(1,C362))))+1,FIND("月",INDEX(D362:K362,MIN(8,MAX(1,C362))))-FIND("年",INDEX(D362:K362,MIN(8,MAX(1,C362))))-1)),IFERROR(VALUE(SUBSTITUTE(MID(INDEX(D362:K362,MIN(8,MAX(1,C362))),FIND("月",INDEX(D362:K362,MIN(8,MAX(1,C362))))+1,10),"日","")),1)),DATE(VALUE(TRIM(MID(SUBSTITUTE(AA362,"/",REPT(" ",50)),1,50))),VALUE(TRIM(MID(SUBSTITUTE(AA362,"/",REPT(" ",50)),51,50))),IFERROR(VALUE(TRIM(MID(SUBSTITUTE(AA362,"/",REPT(" ",50)),101,50))),1))),IFERROR(DATEVALUE(INDEX(D362:K362,MIN(8,MAX(1,C362)))),"")))</f>
        <v/>
      </c>
      <c r="T362">
        <f>IF(B362="","",IF(AB362&lt;&gt;"",AB362,IFERROR(MATCH(SUBSTITUTE(SUBSTITUTE(P362," ",""),"　",""),入力!$AH$5:$AH$44,0),"")))</f>
        <v/>
      </c>
      <c r="U362">
        <f>IF(T362="","",INDEX(入力!$D$5:$D$44,T362))</f>
        <v/>
      </c>
      <c r="V362">
        <f>IF(B362="","",IF(T362="","要確認（名簿と照合できません）",IF(R362="","要確認（資格名がありません）",IF(S362="","要確認（取得日が読めません）",IF((IF(INDEX(入力!$N$5:$N$44,T362)=R362,1,0)+IF(INDEX(入力!$P$5:$P$44,T362)=R362,1,0)+IF(INDEX(入力!$R$5:$R$44,T362)=R362,1,0)+IF(INDEX(入力!$T$5:$T$44,T362)=R362,1,0)+IF(INDEX(入力!$V$5:$V$44,T362)=R362,1,0)+IF(INDEX(入力!$X$5:$X$44,T362)=R362,1,0))+(COUNTIFS($T$6:$T$405,T362,$R$6:$R$405,R362,$X$6:$X$405,"&lt;"&amp;X362))&gt;0,"重複","反映")))))</f>
        <v/>
      </c>
      <c r="W362">
        <f>IF(V362="反映",1,0)</f>
        <v/>
      </c>
      <c r="X362" t="n">
        <v>362</v>
      </c>
      <c r="Y362">
        <f>IF(W362=0,"",COUNTIFS($T$6:$T$405,T362,$W$6:$W$405,1,$S$6:$S$405,"&lt;"&amp;S362)+COUNTIFS($T$6:$T$405,T362,$W$6:$W$405,1,$S$6:$S$405,S362,$X$6:$X$405,"&lt;"&amp;X362)+1)</f>
        <v/>
      </c>
      <c r="Z362">
        <f>IF(Y362="","",T362&amp;"_"&amp;Y362)</f>
        <v/>
      </c>
      <c r="AA362">
        <f>SUBSTITUTE(SUBSTITUTE(SUBSTITUTE(SUBSTITUTE(SUBSTITUTE(INDEX(D362:K362,MIN(8,MAX(1,C362))),"年","/"),"月","/"),"日",""),"-","/"),".","/")</f>
        <v/>
      </c>
      <c r="AB362">
        <f>IFERROR(MATCH(O362,入力!$C$5:$C$44,0),"")</f>
        <v/>
      </c>
      <c r="AC362">
        <f>IF(AB362="","",INDEX(入力!$AH$5:$AH$44,AB362))</f>
        <v/>
      </c>
      <c r="AD362">
        <f>IF(INDEX($D362:$K362,IF(M362=1,2,1))=AC362,1,IF(INDEX($D362:$K362,IF(M362=1,2,1))&amp;INDEX($D362:$K362,IF(M362=1,2,1)+1)=AC362,2,IF(INDEX($D362:$K362,IF(M362=1,2,1))&amp;INDEX($D362:$K362,IF(M362=1,2,1)+1)&amp;INDEX($D362:$K362,IF(M362=1,2,1)+2)=AC362,3,IF(AB362&lt;&gt;"",2,IF(ISNUMBER(MATCH(INDEX($D362:$K362,IF(M362=1,2,1)),入力!$AH$5:$AH$44,0)),1,IF(ISNUMBER(MATCH(INDEX($D362:$K362,IF(M362=1,2,1))&amp;INDEX($D362:$K362,IF(M362=1,2,1)+1),入力!$AH$5:$AH$44,0)),2,IF(ISNUMBER(MATCH(INDEX($D362:$K362,IF(M362=1,2,1))&amp;INDEX($D362:$K362,IF(M362=1,2,1)+1)&amp;INDEX($D362:$K362,IF(M362=1,2,1)+2),入力!$AH$5:$AH$44,0)),3,2)))))))</f>
        <v/>
      </c>
      <c r="AE362">
        <f>IF(V362="","",IF(AND(V362="反映",N(Y362)&gt;20),"要確認（この生徒の取込が20件を超えました）",V362))</f>
        <v/>
      </c>
    </row>
    <row r="363">
      <c r="A363" s="138" t="n"/>
      <c r="B363">
        <f>TRIM(SUBSTITUTE(SUBSTITUTE(SUBSTITUTE(A363,CHAR(9)," "),"　"," "),CHAR(160)," "))</f>
        <v/>
      </c>
      <c r="C363">
        <f>IF(B363="",0,LEN(B363)-LEN(SUBSTITUTE(B363," ",""))+1)</f>
        <v/>
      </c>
      <c r="D363">
        <f>IF(C363&gt;=1,TRIM(MID(SUBSTITUTE(B363," ",REPT(" ",200)),1,200)),"")</f>
        <v/>
      </c>
      <c r="E363">
        <f>IF(C363&gt;=2,TRIM(MID(SUBSTITUTE(B363," ",REPT(" ",200)),201,200)),"")</f>
        <v/>
      </c>
      <c r="F363">
        <f>IF(C363&gt;=3,TRIM(MID(SUBSTITUTE(B363," ",REPT(" ",200)),401,200)),"")</f>
        <v/>
      </c>
      <c r="G363">
        <f>IF(C363&gt;=4,TRIM(MID(SUBSTITUTE(B363," ",REPT(" ",200)),601,200)),"")</f>
        <v/>
      </c>
      <c r="H363">
        <f>IF(C363&gt;=5,TRIM(MID(SUBSTITUTE(B363," ",REPT(" ",200)),801,200)),"")</f>
        <v/>
      </c>
      <c r="I363">
        <f>IF(C363&gt;=6,TRIM(MID(SUBSTITUTE(B363," ",REPT(" ",200)),1001,200)),"")</f>
        <v/>
      </c>
      <c r="J363">
        <f>IF(C363&gt;=7,TRIM(MID(SUBSTITUTE(B363," ",REPT(" ",200)),1201,200)),"")</f>
        <v/>
      </c>
      <c r="K363">
        <f>IF(C363&gt;=8,TRIM(MID(SUBSTITUTE(B363," ",REPT(" ",200)),1401,200)),"")</f>
        <v/>
      </c>
      <c r="L363">
        <f>SUBSTITUTE(SUBSTITUTE(SUBSTITUTE(D363,"年","-"),"組","-"),"番","")</f>
        <v/>
      </c>
      <c r="M363">
        <f>IF(D363="",0,IF(ISNUMBER(VALUE(SUBSTITUTE(L363,"-",""))),1,0))</f>
        <v/>
      </c>
      <c r="N363">
        <f>IF(M363=0,"",IFERROR(VALUE(TRIM(MID(SUBSTITUTE(L363,"-",REPT(" ",100)),101,100))),""))</f>
        <v/>
      </c>
      <c r="O363">
        <f>IF(M363=0,"",IFERROR(VALUE(TRIM(RIGHT(SUBSTITUTE(L363,"-",REPT(" ",100)),100))),""))</f>
        <v/>
      </c>
      <c r="P363">
        <f>IF(B363="","",TRIM(INDEX($D363:$K363,IF(M363=1,2,1))&amp;IF(AD363&gt;=2," "&amp;INDEX($D363:$K363,IF(M363=1,2,1)+1),"")&amp;IF(AD363&gt;=3," "&amp;INDEX($D363:$K363,IF(M363=1,2,1)+2),"")))</f>
        <v/>
      </c>
      <c r="Q363">
        <f>IF(C363&lt;2,"",TRIM(IF(AND(2&gt;=(IF(M363=1,2,1)+AD363),2&lt;=C363-IF(S363="",0,1)),E363&amp;" ","")&amp;IF(AND(3&gt;=(IF(M363=1,2,1)+AD363),3&lt;=C363-IF(S363="",0,1)),F363&amp;" ","")&amp;IF(AND(4&gt;=(IF(M363=1,2,1)+AD363),4&lt;=C363-IF(S363="",0,1)),G363&amp;" ","")&amp;IF(AND(5&gt;=(IF(M363=1,2,1)+AD363),5&lt;=C363-IF(S363="",0,1)),H363&amp;" ","")&amp;IF(AND(6&gt;=(IF(M363=1,2,1)+AD363),6&lt;=C363-IF(S363="",0,1)),I363&amp;" ","")&amp;IF(AND(7&gt;=(IF(M363=1,2,1)+AD363),7&lt;=C363-IF(S363="",0,1)),J363&amp;" ","")&amp;IF(AND(8&gt;=(IF(M363=1,2,1)+AD363),8&lt;=C363-IF(S363="",0,1)),K363&amp;" ","")))</f>
        <v/>
      </c>
      <c r="R363">
        <f>IF(Q363="","",IFERROR(INDEX(資格マスタ!$B:$B,MATCH(ASC(SUBSTITUTE(SUBSTITUTE(Q363," ",""),"　","")),資格マスタ!$D:$D,0)),Q363))</f>
        <v/>
      </c>
      <c r="S363" s="139">
        <f>IF(C363&lt;2,"",IFERROR(IF(OR(LEFT(INDEX(D363:K363,MIN(8,MAX(1,C363))),2)="令和",LEFT(INDEX(D363:K363,MIN(8,MAX(1,C363))),2)="平成",LEFT(INDEX(D363:K363,MIN(8,MAX(1,C363))),2)="昭和"),DATE(VALUE(MID(INDEX(D363:K363,MIN(8,MAX(1,C363))),3,FIND("年",INDEX(D363:K363,MIN(8,MAX(1,C363))))-3))+IF(LEFT(INDEX(D363:K363,MIN(8,MAX(1,C363))),2)="令和",2018,IF(LEFT(INDEX(D363:K363,MIN(8,MAX(1,C363))),2)="平成",1988,1925)),VALUE(MID(INDEX(D363:K363,MIN(8,MAX(1,C363))),FIND("年",INDEX(D363:K363,MIN(8,MAX(1,C363))))+1,FIND("月",INDEX(D363:K363,MIN(8,MAX(1,C363))))-FIND("年",INDEX(D363:K363,MIN(8,MAX(1,C363))))-1)),IFERROR(VALUE(SUBSTITUTE(MID(INDEX(D363:K363,MIN(8,MAX(1,C363))),FIND("月",INDEX(D363:K363,MIN(8,MAX(1,C363))))+1,10),"日","")),1)),DATE(VALUE(TRIM(MID(SUBSTITUTE(AA363,"/",REPT(" ",50)),1,50))),VALUE(TRIM(MID(SUBSTITUTE(AA363,"/",REPT(" ",50)),51,50))),IFERROR(VALUE(TRIM(MID(SUBSTITUTE(AA363,"/",REPT(" ",50)),101,50))),1))),IFERROR(DATEVALUE(INDEX(D363:K363,MIN(8,MAX(1,C363)))),"")))</f>
        <v/>
      </c>
      <c r="T363">
        <f>IF(B363="","",IF(AB363&lt;&gt;"",AB363,IFERROR(MATCH(SUBSTITUTE(SUBSTITUTE(P363," ",""),"　",""),入力!$AH$5:$AH$44,0),"")))</f>
        <v/>
      </c>
      <c r="U363">
        <f>IF(T363="","",INDEX(入力!$D$5:$D$44,T363))</f>
        <v/>
      </c>
      <c r="V363">
        <f>IF(B363="","",IF(T363="","要確認（名簿と照合できません）",IF(R363="","要確認（資格名がありません）",IF(S363="","要確認（取得日が読めません）",IF((IF(INDEX(入力!$N$5:$N$44,T363)=R363,1,0)+IF(INDEX(入力!$P$5:$P$44,T363)=R363,1,0)+IF(INDEX(入力!$R$5:$R$44,T363)=R363,1,0)+IF(INDEX(入力!$T$5:$T$44,T363)=R363,1,0)+IF(INDEX(入力!$V$5:$V$44,T363)=R363,1,0)+IF(INDEX(入力!$X$5:$X$44,T363)=R363,1,0))+(COUNTIFS($T$6:$T$405,T363,$R$6:$R$405,R363,$X$6:$X$405,"&lt;"&amp;X363))&gt;0,"重複","反映")))))</f>
        <v/>
      </c>
      <c r="W363">
        <f>IF(V363="反映",1,0)</f>
        <v/>
      </c>
      <c r="X363" t="n">
        <v>363</v>
      </c>
      <c r="Y363">
        <f>IF(W363=0,"",COUNTIFS($T$6:$T$405,T363,$W$6:$W$405,1,$S$6:$S$405,"&lt;"&amp;S363)+COUNTIFS($T$6:$T$405,T363,$W$6:$W$405,1,$S$6:$S$405,S363,$X$6:$X$405,"&lt;"&amp;X363)+1)</f>
        <v/>
      </c>
      <c r="Z363">
        <f>IF(Y363="","",T363&amp;"_"&amp;Y363)</f>
        <v/>
      </c>
      <c r="AA363">
        <f>SUBSTITUTE(SUBSTITUTE(SUBSTITUTE(SUBSTITUTE(SUBSTITUTE(INDEX(D363:K363,MIN(8,MAX(1,C363))),"年","/"),"月","/"),"日",""),"-","/"),".","/")</f>
        <v/>
      </c>
      <c r="AB363">
        <f>IFERROR(MATCH(O363,入力!$C$5:$C$44,0),"")</f>
        <v/>
      </c>
      <c r="AC363">
        <f>IF(AB363="","",INDEX(入力!$AH$5:$AH$44,AB363))</f>
        <v/>
      </c>
      <c r="AD363">
        <f>IF(INDEX($D363:$K363,IF(M363=1,2,1))=AC363,1,IF(INDEX($D363:$K363,IF(M363=1,2,1))&amp;INDEX($D363:$K363,IF(M363=1,2,1)+1)=AC363,2,IF(INDEX($D363:$K363,IF(M363=1,2,1))&amp;INDEX($D363:$K363,IF(M363=1,2,1)+1)&amp;INDEX($D363:$K363,IF(M363=1,2,1)+2)=AC363,3,IF(AB363&lt;&gt;"",2,IF(ISNUMBER(MATCH(INDEX($D363:$K363,IF(M363=1,2,1)),入力!$AH$5:$AH$44,0)),1,IF(ISNUMBER(MATCH(INDEX($D363:$K363,IF(M363=1,2,1))&amp;INDEX($D363:$K363,IF(M363=1,2,1)+1),入力!$AH$5:$AH$44,0)),2,IF(ISNUMBER(MATCH(INDEX($D363:$K363,IF(M363=1,2,1))&amp;INDEX($D363:$K363,IF(M363=1,2,1)+1)&amp;INDEX($D363:$K363,IF(M363=1,2,1)+2),入力!$AH$5:$AH$44,0)),3,2)))))))</f>
        <v/>
      </c>
      <c r="AE363">
        <f>IF(V363="","",IF(AND(V363="反映",N(Y363)&gt;20),"要確認（この生徒の取込が20件を超えました）",V363))</f>
        <v/>
      </c>
    </row>
    <row r="364">
      <c r="A364" s="138" t="n"/>
      <c r="B364">
        <f>TRIM(SUBSTITUTE(SUBSTITUTE(SUBSTITUTE(A364,CHAR(9)," "),"　"," "),CHAR(160)," "))</f>
        <v/>
      </c>
      <c r="C364">
        <f>IF(B364="",0,LEN(B364)-LEN(SUBSTITUTE(B364," ",""))+1)</f>
        <v/>
      </c>
      <c r="D364">
        <f>IF(C364&gt;=1,TRIM(MID(SUBSTITUTE(B364," ",REPT(" ",200)),1,200)),"")</f>
        <v/>
      </c>
      <c r="E364">
        <f>IF(C364&gt;=2,TRIM(MID(SUBSTITUTE(B364," ",REPT(" ",200)),201,200)),"")</f>
        <v/>
      </c>
      <c r="F364">
        <f>IF(C364&gt;=3,TRIM(MID(SUBSTITUTE(B364," ",REPT(" ",200)),401,200)),"")</f>
        <v/>
      </c>
      <c r="G364">
        <f>IF(C364&gt;=4,TRIM(MID(SUBSTITUTE(B364," ",REPT(" ",200)),601,200)),"")</f>
        <v/>
      </c>
      <c r="H364">
        <f>IF(C364&gt;=5,TRIM(MID(SUBSTITUTE(B364," ",REPT(" ",200)),801,200)),"")</f>
        <v/>
      </c>
      <c r="I364">
        <f>IF(C364&gt;=6,TRIM(MID(SUBSTITUTE(B364," ",REPT(" ",200)),1001,200)),"")</f>
        <v/>
      </c>
      <c r="J364">
        <f>IF(C364&gt;=7,TRIM(MID(SUBSTITUTE(B364," ",REPT(" ",200)),1201,200)),"")</f>
        <v/>
      </c>
      <c r="K364">
        <f>IF(C364&gt;=8,TRIM(MID(SUBSTITUTE(B364," ",REPT(" ",200)),1401,200)),"")</f>
        <v/>
      </c>
      <c r="L364">
        <f>SUBSTITUTE(SUBSTITUTE(SUBSTITUTE(D364,"年","-"),"組","-"),"番","")</f>
        <v/>
      </c>
      <c r="M364">
        <f>IF(D364="",0,IF(ISNUMBER(VALUE(SUBSTITUTE(L364,"-",""))),1,0))</f>
        <v/>
      </c>
      <c r="N364">
        <f>IF(M364=0,"",IFERROR(VALUE(TRIM(MID(SUBSTITUTE(L364,"-",REPT(" ",100)),101,100))),""))</f>
        <v/>
      </c>
      <c r="O364">
        <f>IF(M364=0,"",IFERROR(VALUE(TRIM(RIGHT(SUBSTITUTE(L364,"-",REPT(" ",100)),100))),""))</f>
        <v/>
      </c>
      <c r="P364">
        <f>IF(B364="","",TRIM(INDEX($D364:$K364,IF(M364=1,2,1))&amp;IF(AD364&gt;=2," "&amp;INDEX($D364:$K364,IF(M364=1,2,1)+1),"")&amp;IF(AD364&gt;=3," "&amp;INDEX($D364:$K364,IF(M364=1,2,1)+2),"")))</f>
        <v/>
      </c>
      <c r="Q364">
        <f>IF(C364&lt;2,"",TRIM(IF(AND(2&gt;=(IF(M364=1,2,1)+AD364),2&lt;=C364-IF(S364="",0,1)),E364&amp;" ","")&amp;IF(AND(3&gt;=(IF(M364=1,2,1)+AD364),3&lt;=C364-IF(S364="",0,1)),F364&amp;" ","")&amp;IF(AND(4&gt;=(IF(M364=1,2,1)+AD364),4&lt;=C364-IF(S364="",0,1)),G364&amp;" ","")&amp;IF(AND(5&gt;=(IF(M364=1,2,1)+AD364),5&lt;=C364-IF(S364="",0,1)),H364&amp;" ","")&amp;IF(AND(6&gt;=(IF(M364=1,2,1)+AD364),6&lt;=C364-IF(S364="",0,1)),I364&amp;" ","")&amp;IF(AND(7&gt;=(IF(M364=1,2,1)+AD364),7&lt;=C364-IF(S364="",0,1)),J364&amp;" ","")&amp;IF(AND(8&gt;=(IF(M364=1,2,1)+AD364),8&lt;=C364-IF(S364="",0,1)),K364&amp;" ","")))</f>
        <v/>
      </c>
      <c r="R364">
        <f>IF(Q364="","",IFERROR(INDEX(資格マスタ!$B:$B,MATCH(ASC(SUBSTITUTE(SUBSTITUTE(Q364," ",""),"　","")),資格マスタ!$D:$D,0)),Q364))</f>
        <v/>
      </c>
      <c r="S364" s="139">
        <f>IF(C364&lt;2,"",IFERROR(IF(OR(LEFT(INDEX(D364:K364,MIN(8,MAX(1,C364))),2)="令和",LEFT(INDEX(D364:K364,MIN(8,MAX(1,C364))),2)="平成",LEFT(INDEX(D364:K364,MIN(8,MAX(1,C364))),2)="昭和"),DATE(VALUE(MID(INDEX(D364:K364,MIN(8,MAX(1,C364))),3,FIND("年",INDEX(D364:K364,MIN(8,MAX(1,C364))))-3))+IF(LEFT(INDEX(D364:K364,MIN(8,MAX(1,C364))),2)="令和",2018,IF(LEFT(INDEX(D364:K364,MIN(8,MAX(1,C364))),2)="平成",1988,1925)),VALUE(MID(INDEX(D364:K364,MIN(8,MAX(1,C364))),FIND("年",INDEX(D364:K364,MIN(8,MAX(1,C364))))+1,FIND("月",INDEX(D364:K364,MIN(8,MAX(1,C364))))-FIND("年",INDEX(D364:K364,MIN(8,MAX(1,C364))))-1)),IFERROR(VALUE(SUBSTITUTE(MID(INDEX(D364:K364,MIN(8,MAX(1,C364))),FIND("月",INDEX(D364:K364,MIN(8,MAX(1,C364))))+1,10),"日","")),1)),DATE(VALUE(TRIM(MID(SUBSTITUTE(AA364,"/",REPT(" ",50)),1,50))),VALUE(TRIM(MID(SUBSTITUTE(AA364,"/",REPT(" ",50)),51,50))),IFERROR(VALUE(TRIM(MID(SUBSTITUTE(AA364,"/",REPT(" ",50)),101,50))),1))),IFERROR(DATEVALUE(INDEX(D364:K364,MIN(8,MAX(1,C364)))),"")))</f>
        <v/>
      </c>
      <c r="T364">
        <f>IF(B364="","",IF(AB364&lt;&gt;"",AB364,IFERROR(MATCH(SUBSTITUTE(SUBSTITUTE(P364," ",""),"　",""),入力!$AH$5:$AH$44,0),"")))</f>
        <v/>
      </c>
      <c r="U364">
        <f>IF(T364="","",INDEX(入力!$D$5:$D$44,T364))</f>
        <v/>
      </c>
      <c r="V364">
        <f>IF(B364="","",IF(T364="","要確認（名簿と照合できません）",IF(R364="","要確認（資格名がありません）",IF(S364="","要確認（取得日が読めません）",IF((IF(INDEX(入力!$N$5:$N$44,T364)=R364,1,0)+IF(INDEX(入力!$P$5:$P$44,T364)=R364,1,0)+IF(INDEX(入力!$R$5:$R$44,T364)=R364,1,0)+IF(INDEX(入力!$T$5:$T$44,T364)=R364,1,0)+IF(INDEX(入力!$V$5:$V$44,T364)=R364,1,0)+IF(INDEX(入力!$X$5:$X$44,T364)=R364,1,0))+(COUNTIFS($T$6:$T$405,T364,$R$6:$R$405,R364,$X$6:$X$405,"&lt;"&amp;X364))&gt;0,"重複","反映")))))</f>
        <v/>
      </c>
      <c r="W364">
        <f>IF(V364="反映",1,0)</f>
        <v/>
      </c>
      <c r="X364" t="n">
        <v>364</v>
      </c>
      <c r="Y364">
        <f>IF(W364=0,"",COUNTIFS($T$6:$T$405,T364,$W$6:$W$405,1,$S$6:$S$405,"&lt;"&amp;S364)+COUNTIFS($T$6:$T$405,T364,$W$6:$W$405,1,$S$6:$S$405,S364,$X$6:$X$405,"&lt;"&amp;X364)+1)</f>
        <v/>
      </c>
      <c r="Z364">
        <f>IF(Y364="","",T364&amp;"_"&amp;Y364)</f>
        <v/>
      </c>
      <c r="AA364">
        <f>SUBSTITUTE(SUBSTITUTE(SUBSTITUTE(SUBSTITUTE(SUBSTITUTE(INDEX(D364:K364,MIN(8,MAX(1,C364))),"年","/"),"月","/"),"日",""),"-","/"),".","/")</f>
        <v/>
      </c>
      <c r="AB364">
        <f>IFERROR(MATCH(O364,入力!$C$5:$C$44,0),"")</f>
        <v/>
      </c>
      <c r="AC364">
        <f>IF(AB364="","",INDEX(入力!$AH$5:$AH$44,AB364))</f>
        <v/>
      </c>
      <c r="AD364">
        <f>IF(INDEX($D364:$K364,IF(M364=1,2,1))=AC364,1,IF(INDEX($D364:$K364,IF(M364=1,2,1))&amp;INDEX($D364:$K364,IF(M364=1,2,1)+1)=AC364,2,IF(INDEX($D364:$K364,IF(M364=1,2,1))&amp;INDEX($D364:$K364,IF(M364=1,2,1)+1)&amp;INDEX($D364:$K364,IF(M364=1,2,1)+2)=AC364,3,IF(AB364&lt;&gt;"",2,IF(ISNUMBER(MATCH(INDEX($D364:$K364,IF(M364=1,2,1)),入力!$AH$5:$AH$44,0)),1,IF(ISNUMBER(MATCH(INDEX($D364:$K364,IF(M364=1,2,1))&amp;INDEX($D364:$K364,IF(M364=1,2,1)+1),入力!$AH$5:$AH$44,0)),2,IF(ISNUMBER(MATCH(INDEX($D364:$K364,IF(M364=1,2,1))&amp;INDEX($D364:$K364,IF(M364=1,2,1)+1)&amp;INDEX($D364:$K364,IF(M364=1,2,1)+2),入力!$AH$5:$AH$44,0)),3,2)))))))</f>
        <v/>
      </c>
      <c r="AE364">
        <f>IF(V364="","",IF(AND(V364="反映",N(Y364)&gt;20),"要確認（この生徒の取込が20件を超えました）",V364))</f>
        <v/>
      </c>
    </row>
    <row r="365">
      <c r="A365" s="138" t="n"/>
      <c r="B365">
        <f>TRIM(SUBSTITUTE(SUBSTITUTE(SUBSTITUTE(A365,CHAR(9)," "),"　"," "),CHAR(160)," "))</f>
        <v/>
      </c>
      <c r="C365">
        <f>IF(B365="",0,LEN(B365)-LEN(SUBSTITUTE(B365," ",""))+1)</f>
        <v/>
      </c>
      <c r="D365">
        <f>IF(C365&gt;=1,TRIM(MID(SUBSTITUTE(B365," ",REPT(" ",200)),1,200)),"")</f>
        <v/>
      </c>
      <c r="E365">
        <f>IF(C365&gt;=2,TRIM(MID(SUBSTITUTE(B365," ",REPT(" ",200)),201,200)),"")</f>
        <v/>
      </c>
      <c r="F365">
        <f>IF(C365&gt;=3,TRIM(MID(SUBSTITUTE(B365," ",REPT(" ",200)),401,200)),"")</f>
        <v/>
      </c>
      <c r="G365">
        <f>IF(C365&gt;=4,TRIM(MID(SUBSTITUTE(B365," ",REPT(" ",200)),601,200)),"")</f>
        <v/>
      </c>
      <c r="H365">
        <f>IF(C365&gt;=5,TRIM(MID(SUBSTITUTE(B365," ",REPT(" ",200)),801,200)),"")</f>
        <v/>
      </c>
      <c r="I365">
        <f>IF(C365&gt;=6,TRIM(MID(SUBSTITUTE(B365," ",REPT(" ",200)),1001,200)),"")</f>
        <v/>
      </c>
      <c r="J365">
        <f>IF(C365&gt;=7,TRIM(MID(SUBSTITUTE(B365," ",REPT(" ",200)),1201,200)),"")</f>
        <v/>
      </c>
      <c r="K365">
        <f>IF(C365&gt;=8,TRIM(MID(SUBSTITUTE(B365," ",REPT(" ",200)),1401,200)),"")</f>
        <v/>
      </c>
      <c r="L365">
        <f>SUBSTITUTE(SUBSTITUTE(SUBSTITUTE(D365,"年","-"),"組","-"),"番","")</f>
        <v/>
      </c>
      <c r="M365">
        <f>IF(D365="",0,IF(ISNUMBER(VALUE(SUBSTITUTE(L365,"-",""))),1,0))</f>
        <v/>
      </c>
      <c r="N365">
        <f>IF(M365=0,"",IFERROR(VALUE(TRIM(MID(SUBSTITUTE(L365,"-",REPT(" ",100)),101,100))),""))</f>
        <v/>
      </c>
      <c r="O365">
        <f>IF(M365=0,"",IFERROR(VALUE(TRIM(RIGHT(SUBSTITUTE(L365,"-",REPT(" ",100)),100))),""))</f>
        <v/>
      </c>
      <c r="P365">
        <f>IF(B365="","",TRIM(INDEX($D365:$K365,IF(M365=1,2,1))&amp;IF(AD365&gt;=2," "&amp;INDEX($D365:$K365,IF(M365=1,2,1)+1),"")&amp;IF(AD365&gt;=3," "&amp;INDEX($D365:$K365,IF(M365=1,2,1)+2),"")))</f>
        <v/>
      </c>
      <c r="Q365">
        <f>IF(C365&lt;2,"",TRIM(IF(AND(2&gt;=(IF(M365=1,2,1)+AD365),2&lt;=C365-IF(S365="",0,1)),E365&amp;" ","")&amp;IF(AND(3&gt;=(IF(M365=1,2,1)+AD365),3&lt;=C365-IF(S365="",0,1)),F365&amp;" ","")&amp;IF(AND(4&gt;=(IF(M365=1,2,1)+AD365),4&lt;=C365-IF(S365="",0,1)),G365&amp;" ","")&amp;IF(AND(5&gt;=(IF(M365=1,2,1)+AD365),5&lt;=C365-IF(S365="",0,1)),H365&amp;" ","")&amp;IF(AND(6&gt;=(IF(M365=1,2,1)+AD365),6&lt;=C365-IF(S365="",0,1)),I365&amp;" ","")&amp;IF(AND(7&gt;=(IF(M365=1,2,1)+AD365),7&lt;=C365-IF(S365="",0,1)),J365&amp;" ","")&amp;IF(AND(8&gt;=(IF(M365=1,2,1)+AD365),8&lt;=C365-IF(S365="",0,1)),K365&amp;" ","")))</f>
        <v/>
      </c>
      <c r="R365">
        <f>IF(Q365="","",IFERROR(INDEX(資格マスタ!$B:$B,MATCH(ASC(SUBSTITUTE(SUBSTITUTE(Q365," ",""),"　","")),資格マスタ!$D:$D,0)),Q365))</f>
        <v/>
      </c>
      <c r="S365" s="139">
        <f>IF(C365&lt;2,"",IFERROR(IF(OR(LEFT(INDEX(D365:K365,MIN(8,MAX(1,C365))),2)="令和",LEFT(INDEX(D365:K365,MIN(8,MAX(1,C365))),2)="平成",LEFT(INDEX(D365:K365,MIN(8,MAX(1,C365))),2)="昭和"),DATE(VALUE(MID(INDEX(D365:K365,MIN(8,MAX(1,C365))),3,FIND("年",INDEX(D365:K365,MIN(8,MAX(1,C365))))-3))+IF(LEFT(INDEX(D365:K365,MIN(8,MAX(1,C365))),2)="令和",2018,IF(LEFT(INDEX(D365:K365,MIN(8,MAX(1,C365))),2)="平成",1988,1925)),VALUE(MID(INDEX(D365:K365,MIN(8,MAX(1,C365))),FIND("年",INDEX(D365:K365,MIN(8,MAX(1,C365))))+1,FIND("月",INDEX(D365:K365,MIN(8,MAX(1,C365))))-FIND("年",INDEX(D365:K365,MIN(8,MAX(1,C365))))-1)),IFERROR(VALUE(SUBSTITUTE(MID(INDEX(D365:K365,MIN(8,MAX(1,C365))),FIND("月",INDEX(D365:K365,MIN(8,MAX(1,C365))))+1,10),"日","")),1)),DATE(VALUE(TRIM(MID(SUBSTITUTE(AA365,"/",REPT(" ",50)),1,50))),VALUE(TRIM(MID(SUBSTITUTE(AA365,"/",REPT(" ",50)),51,50))),IFERROR(VALUE(TRIM(MID(SUBSTITUTE(AA365,"/",REPT(" ",50)),101,50))),1))),IFERROR(DATEVALUE(INDEX(D365:K365,MIN(8,MAX(1,C365)))),"")))</f>
        <v/>
      </c>
      <c r="T365">
        <f>IF(B365="","",IF(AB365&lt;&gt;"",AB365,IFERROR(MATCH(SUBSTITUTE(SUBSTITUTE(P365," ",""),"　",""),入力!$AH$5:$AH$44,0),"")))</f>
        <v/>
      </c>
      <c r="U365">
        <f>IF(T365="","",INDEX(入力!$D$5:$D$44,T365))</f>
        <v/>
      </c>
      <c r="V365">
        <f>IF(B365="","",IF(T365="","要確認（名簿と照合できません）",IF(R365="","要確認（資格名がありません）",IF(S365="","要確認（取得日が読めません）",IF((IF(INDEX(入力!$N$5:$N$44,T365)=R365,1,0)+IF(INDEX(入力!$P$5:$P$44,T365)=R365,1,0)+IF(INDEX(入力!$R$5:$R$44,T365)=R365,1,0)+IF(INDEX(入力!$T$5:$T$44,T365)=R365,1,0)+IF(INDEX(入力!$V$5:$V$44,T365)=R365,1,0)+IF(INDEX(入力!$X$5:$X$44,T365)=R365,1,0))+(COUNTIFS($T$6:$T$405,T365,$R$6:$R$405,R365,$X$6:$X$405,"&lt;"&amp;X365))&gt;0,"重複","反映")))))</f>
        <v/>
      </c>
      <c r="W365">
        <f>IF(V365="反映",1,0)</f>
        <v/>
      </c>
      <c r="X365" t="n">
        <v>365</v>
      </c>
      <c r="Y365">
        <f>IF(W365=0,"",COUNTIFS($T$6:$T$405,T365,$W$6:$W$405,1,$S$6:$S$405,"&lt;"&amp;S365)+COUNTIFS($T$6:$T$405,T365,$W$6:$W$405,1,$S$6:$S$405,S365,$X$6:$X$405,"&lt;"&amp;X365)+1)</f>
        <v/>
      </c>
      <c r="Z365">
        <f>IF(Y365="","",T365&amp;"_"&amp;Y365)</f>
        <v/>
      </c>
      <c r="AA365">
        <f>SUBSTITUTE(SUBSTITUTE(SUBSTITUTE(SUBSTITUTE(SUBSTITUTE(INDEX(D365:K365,MIN(8,MAX(1,C365))),"年","/"),"月","/"),"日",""),"-","/"),".","/")</f>
        <v/>
      </c>
      <c r="AB365">
        <f>IFERROR(MATCH(O365,入力!$C$5:$C$44,0),"")</f>
        <v/>
      </c>
      <c r="AC365">
        <f>IF(AB365="","",INDEX(入力!$AH$5:$AH$44,AB365))</f>
        <v/>
      </c>
      <c r="AD365">
        <f>IF(INDEX($D365:$K365,IF(M365=1,2,1))=AC365,1,IF(INDEX($D365:$K365,IF(M365=1,2,1))&amp;INDEX($D365:$K365,IF(M365=1,2,1)+1)=AC365,2,IF(INDEX($D365:$K365,IF(M365=1,2,1))&amp;INDEX($D365:$K365,IF(M365=1,2,1)+1)&amp;INDEX($D365:$K365,IF(M365=1,2,1)+2)=AC365,3,IF(AB365&lt;&gt;"",2,IF(ISNUMBER(MATCH(INDEX($D365:$K365,IF(M365=1,2,1)),入力!$AH$5:$AH$44,0)),1,IF(ISNUMBER(MATCH(INDEX($D365:$K365,IF(M365=1,2,1))&amp;INDEX($D365:$K365,IF(M365=1,2,1)+1),入力!$AH$5:$AH$44,0)),2,IF(ISNUMBER(MATCH(INDEX($D365:$K365,IF(M365=1,2,1))&amp;INDEX($D365:$K365,IF(M365=1,2,1)+1)&amp;INDEX($D365:$K365,IF(M365=1,2,1)+2),入力!$AH$5:$AH$44,0)),3,2)))))))</f>
        <v/>
      </c>
      <c r="AE365">
        <f>IF(V365="","",IF(AND(V365="反映",N(Y365)&gt;20),"要確認（この生徒の取込が20件を超えました）",V365))</f>
        <v/>
      </c>
    </row>
    <row r="366">
      <c r="A366" s="138" t="n"/>
      <c r="B366">
        <f>TRIM(SUBSTITUTE(SUBSTITUTE(SUBSTITUTE(A366,CHAR(9)," "),"　"," "),CHAR(160)," "))</f>
        <v/>
      </c>
      <c r="C366">
        <f>IF(B366="",0,LEN(B366)-LEN(SUBSTITUTE(B366," ",""))+1)</f>
        <v/>
      </c>
      <c r="D366">
        <f>IF(C366&gt;=1,TRIM(MID(SUBSTITUTE(B366," ",REPT(" ",200)),1,200)),"")</f>
        <v/>
      </c>
      <c r="E366">
        <f>IF(C366&gt;=2,TRIM(MID(SUBSTITUTE(B366," ",REPT(" ",200)),201,200)),"")</f>
        <v/>
      </c>
      <c r="F366">
        <f>IF(C366&gt;=3,TRIM(MID(SUBSTITUTE(B366," ",REPT(" ",200)),401,200)),"")</f>
        <v/>
      </c>
      <c r="G366">
        <f>IF(C366&gt;=4,TRIM(MID(SUBSTITUTE(B366," ",REPT(" ",200)),601,200)),"")</f>
        <v/>
      </c>
      <c r="H366">
        <f>IF(C366&gt;=5,TRIM(MID(SUBSTITUTE(B366," ",REPT(" ",200)),801,200)),"")</f>
        <v/>
      </c>
      <c r="I366">
        <f>IF(C366&gt;=6,TRIM(MID(SUBSTITUTE(B366," ",REPT(" ",200)),1001,200)),"")</f>
        <v/>
      </c>
      <c r="J366">
        <f>IF(C366&gt;=7,TRIM(MID(SUBSTITUTE(B366," ",REPT(" ",200)),1201,200)),"")</f>
        <v/>
      </c>
      <c r="K366">
        <f>IF(C366&gt;=8,TRIM(MID(SUBSTITUTE(B366," ",REPT(" ",200)),1401,200)),"")</f>
        <v/>
      </c>
      <c r="L366">
        <f>SUBSTITUTE(SUBSTITUTE(SUBSTITUTE(D366,"年","-"),"組","-"),"番","")</f>
        <v/>
      </c>
      <c r="M366">
        <f>IF(D366="",0,IF(ISNUMBER(VALUE(SUBSTITUTE(L366,"-",""))),1,0))</f>
        <v/>
      </c>
      <c r="N366">
        <f>IF(M366=0,"",IFERROR(VALUE(TRIM(MID(SUBSTITUTE(L366,"-",REPT(" ",100)),101,100))),""))</f>
        <v/>
      </c>
      <c r="O366">
        <f>IF(M366=0,"",IFERROR(VALUE(TRIM(RIGHT(SUBSTITUTE(L366,"-",REPT(" ",100)),100))),""))</f>
        <v/>
      </c>
      <c r="P366">
        <f>IF(B366="","",TRIM(INDEX($D366:$K366,IF(M366=1,2,1))&amp;IF(AD366&gt;=2," "&amp;INDEX($D366:$K366,IF(M366=1,2,1)+1),"")&amp;IF(AD366&gt;=3," "&amp;INDEX($D366:$K366,IF(M366=1,2,1)+2),"")))</f>
        <v/>
      </c>
      <c r="Q366">
        <f>IF(C366&lt;2,"",TRIM(IF(AND(2&gt;=(IF(M366=1,2,1)+AD366),2&lt;=C366-IF(S366="",0,1)),E366&amp;" ","")&amp;IF(AND(3&gt;=(IF(M366=1,2,1)+AD366),3&lt;=C366-IF(S366="",0,1)),F366&amp;" ","")&amp;IF(AND(4&gt;=(IF(M366=1,2,1)+AD366),4&lt;=C366-IF(S366="",0,1)),G366&amp;" ","")&amp;IF(AND(5&gt;=(IF(M366=1,2,1)+AD366),5&lt;=C366-IF(S366="",0,1)),H366&amp;" ","")&amp;IF(AND(6&gt;=(IF(M366=1,2,1)+AD366),6&lt;=C366-IF(S366="",0,1)),I366&amp;" ","")&amp;IF(AND(7&gt;=(IF(M366=1,2,1)+AD366),7&lt;=C366-IF(S366="",0,1)),J366&amp;" ","")&amp;IF(AND(8&gt;=(IF(M366=1,2,1)+AD366),8&lt;=C366-IF(S366="",0,1)),K366&amp;" ","")))</f>
        <v/>
      </c>
      <c r="R366">
        <f>IF(Q366="","",IFERROR(INDEX(資格マスタ!$B:$B,MATCH(ASC(SUBSTITUTE(SUBSTITUTE(Q366," ",""),"　","")),資格マスタ!$D:$D,0)),Q366))</f>
        <v/>
      </c>
      <c r="S366" s="139">
        <f>IF(C366&lt;2,"",IFERROR(IF(OR(LEFT(INDEX(D366:K366,MIN(8,MAX(1,C366))),2)="令和",LEFT(INDEX(D366:K366,MIN(8,MAX(1,C366))),2)="平成",LEFT(INDEX(D366:K366,MIN(8,MAX(1,C366))),2)="昭和"),DATE(VALUE(MID(INDEX(D366:K366,MIN(8,MAX(1,C366))),3,FIND("年",INDEX(D366:K366,MIN(8,MAX(1,C366))))-3))+IF(LEFT(INDEX(D366:K366,MIN(8,MAX(1,C366))),2)="令和",2018,IF(LEFT(INDEX(D366:K366,MIN(8,MAX(1,C366))),2)="平成",1988,1925)),VALUE(MID(INDEX(D366:K366,MIN(8,MAX(1,C366))),FIND("年",INDEX(D366:K366,MIN(8,MAX(1,C366))))+1,FIND("月",INDEX(D366:K366,MIN(8,MAX(1,C366))))-FIND("年",INDEX(D366:K366,MIN(8,MAX(1,C366))))-1)),IFERROR(VALUE(SUBSTITUTE(MID(INDEX(D366:K366,MIN(8,MAX(1,C366))),FIND("月",INDEX(D366:K366,MIN(8,MAX(1,C366))))+1,10),"日","")),1)),DATE(VALUE(TRIM(MID(SUBSTITUTE(AA366,"/",REPT(" ",50)),1,50))),VALUE(TRIM(MID(SUBSTITUTE(AA366,"/",REPT(" ",50)),51,50))),IFERROR(VALUE(TRIM(MID(SUBSTITUTE(AA366,"/",REPT(" ",50)),101,50))),1))),IFERROR(DATEVALUE(INDEX(D366:K366,MIN(8,MAX(1,C366)))),"")))</f>
        <v/>
      </c>
      <c r="T366">
        <f>IF(B366="","",IF(AB366&lt;&gt;"",AB366,IFERROR(MATCH(SUBSTITUTE(SUBSTITUTE(P366," ",""),"　",""),入力!$AH$5:$AH$44,0),"")))</f>
        <v/>
      </c>
      <c r="U366">
        <f>IF(T366="","",INDEX(入力!$D$5:$D$44,T366))</f>
        <v/>
      </c>
      <c r="V366">
        <f>IF(B366="","",IF(T366="","要確認（名簿と照合できません）",IF(R366="","要確認（資格名がありません）",IF(S366="","要確認（取得日が読めません）",IF((IF(INDEX(入力!$N$5:$N$44,T366)=R366,1,0)+IF(INDEX(入力!$P$5:$P$44,T366)=R366,1,0)+IF(INDEX(入力!$R$5:$R$44,T366)=R366,1,0)+IF(INDEX(入力!$T$5:$T$44,T366)=R366,1,0)+IF(INDEX(入力!$V$5:$V$44,T366)=R366,1,0)+IF(INDEX(入力!$X$5:$X$44,T366)=R366,1,0))+(COUNTIFS($T$6:$T$405,T366,$R$6:$R$405,R366,$X$6:$X$405,"&lt;"&amp;X366))&gt;0,"重複","反映")))))</f>
        <v/>
      </c>
      <c r="W366">
        <f>IF(V366="反映",1,0)</f>
        <v/>
      </c>
      <c r="X366" t="n">
        <v>366</v>
      </c>
      <c r="Y366">
        <f>IF(W366=0,"",COUNTIFS($T$6:$T$405,T366,$W$6:$W$405,1,$S$6:$S$405,"&lt;"&amp;S366)+COUNTIFS($T$6:$T$405,T366,$W$6:$W$405,1,$S$6:$S$405,S366,$X$6:$X$405,"&lt;"&amp;X366)+1)</f>
        <v/>
      </c>
      <c r="Z366">
        <f>IF(Y366="","",T366&amp;"_"&amp;Y366)</f>
        <v/>
      </c>
      <c r="AA366">
        <f>SUBSTITUTE(SUBSTITUTE(SUBSTITUTE(SUBSTITUTE(SUBSTITUTE(INDEX(D366:K366,MIN(8,MAX(1,C366))),"年","/"),"月","/"),"日",""),"-","/"),".","/")</f>
        <v/>
      </c>
      <c r="AB366">
        <f>IFERROR(MATCH(O366,入力!$C$5:$C$44,0),"")</f>
        <v/>
      </c>
      <c r="AC366">
        <f>IF(AB366="","",INDEX(入力!$AH$5:$AH$44,AB366))</f>
        <v/>
      </c>
      <c r="AD366">
        <f>IF(INDEX($D366:$K366,IF(M366=1,2,1))=AC366,1,IF(INDEX($D366:$K366,IF(M366=1,2,1))&amp;INDEX($D366:$K366,IF(M366=1,2,1)+1)=AC366,2,IF(INDEX($D366:$K366,IF(M366=1,2,1))&amp;INDEX($D366:$K366,IF(M366=1,2,1)+1)&amp;INDEX($D366:$K366,IF(M366=1,2,1)+2)=AC366,3,IF(AB366&lt;&gt;"",2,IF(ISNUMBER(MATCH(INDEX($D366:$K366,IF(M366=1,2,1)),入力!$AH$5:$AH$44,0)),1,IF(ISNUMBER(MATCH(INDEX($D366:$K366,IF(M366=1,2,1))&amp;INDEX($D366:$K366,IF(M366=1,2,1)+1),入力!$AH$5:$AH$44,0)),2,IF(ISNUMBER(MATCH(INDEX($D366:$K366,IF(M366=1,2,1))&amp;INDEX($D366:$K366,IF(M366=1,2,1)+1)&amp;INDEX($D366:$K366,IF(M366=1,2,1)+2),入力!$AH$5:$AH$44,0)),3,2)))))))</f>
        <v/>
      </c>
      <c r="AE366">
        <f>IF(V366="","",IF(AND(V366="反映",N(Y366)&gt;20),"要確認（この生徒の取込が20件を超えました）",V366))</f>
        <v/>
      </c>
    </row>
    <row r="367">
      <c r="A367" s="138" t="n"/>
      <c r="B367">
        <f>TRIM(SUBSTITUTE(SUBSTITUTE(SUBSTITUTE(A367,CHAR(9)," "),"　"," "),CHAR(160)," "))</f>
        <v/>
      </c>
      <c r="C367">
        <f>IF(B367="",0,LEN(B367)-LEN(SUBSTITUTE(B367," ",""))+1)</f>
        <v/>
      </c>
      <c r="D367">
        <f>IF(C367&gt;=1,TRIM(MID(SUBSTITUTE(B367," ",REPT(" ",200)),1,200)),"")</f>
        <v/>
      </c>
      <c r="E367">
        <f>IF(C367&gt;=2,TRIM(MID(SUBSTITUTE(B367," ",REPT(" ",200)),201,200)),"")</f>
        <v/>
      </c>
      <c r="F367">
        <f>IF(C367&gt;=3,TRIM(MID(SUBSTITUTE(B367," ",REPT(" ",200)),401,200)),"")</f>
        <v/>
      </c>
      <c r="G367">
        <f>IF(C367&gt;=4,TRIM(MID(SUBSTITUTE(B367," ",REPT(" ",200)),601,200)),"")</f>
        <v/>
      </c>
      <c r="H367">
        <f>IF(C367&gt;=5,TRIM(MID(SUBSTITUTE(B367," ",REPT(" ",200)),801,200)),"")</f>
        <v/>
      </c>
      <c r="I367">
        <f>IF(C367&gt;=6,TRIM(MID(SUBSTITUTE(B367," ",REPT(" ",200)),1001,200)),"")</f>
        <v/>
      </c>
      <c r="J367">
        <f>IF(C367&gt;=7,TRIM(MID(SUBSTITUTE(B367," ",REPT(" ",200)),1201,200)),"")</f>
        <v/>
      </c>
      <c r="K367">
        <f>IF(C367&gt;=8,TRIM(MID(SUBSTITUTE(B367," ",REPT(" ",200)),1401,200)),"")</f>
        <v/>
      </c>
      <c r="L367">
        <f>SUBSTITUTE(SUBSTITUTE(SUBSTITUTE(D367,"年","-"),"組","-"),"番","")</f>
        <v/>
      </c>
      <c r="M367">
        <f>IF(D367="",0,IF(ISNUMBER(VALUE(SUBSTITUTE(L367,"-",""))),1,0))</f>
        <v/>
      </c>
      <c r="N367">
        <f>IF(M367=0,"",IFERROR(VALUE(TRIM(MID(SUBSTITUTE(L367,"-",REPT(" ",100)),101,100))),""))</f>
        <v/>
      </c>
      <c r="O367">
        <f>IF(M367=0,"",IFERROR(VALUE(TRIM(RIGHT(SUBSTITUTE(L367,"-",REPT(" ",100)),100))),""))</f>
        <v/>
      </c>
      <c r="P367">
        <f>IF(B367="","",TRIM(INDEX($D367:$K367,IF(M367=1,2,1))&amp;IF(AD367&gt;=2," "&amp;INDEX($D367:$K367,IF(M367=1,2,1)+1),"")&amp;IF(AD367&gt;=3," "&amp;INDEX($D367:$K367,IF(M367=1,2,1)+2),"")))</f>
        <v/>
      </c>
      <c r="Q367">
        <f>IF(C367&lt;2,"",TRIM(IF(AND(2&gt;=(IF(M367=1,2,1)+AD367),2&lt;=C367-IF(S367="",0,1)),E367&amp;" ","")&amp;IF(AND(3&gt;=(IF(M367=1,2,1)+AD367),3&lt;=C367-IF(S367="",0,1)),F367&amp;" ","")&amp;IF(AND(4&gt;=(IF(M367=1,2,1)+AD367),4&lt;=C367-IF(S367="",0,1)),G367&amp;" ","")&amp;IF(AND(5&gt;=(IF(M367=1,2,1)+AD367),5&lt;=C367-IF(S367="",0,1)),H367&amp;" ","")&amp;IF(AND(6&gt;=(IF(M367=1,2,1)+AD367),6&lt;=C367-IF(S367="",0,1)),I367&amp;" ","")&amp;IF(AND(7&gt;=(IF(M367=1,2,1)+AD367),7&lt;=C367-IF(S367="",0,1)),J367&amp;" ","")&amp;IF(AND(8&gt;=(IF(M367=1,2,1)+AD367),8&lt;=C367-IF(S367="",0,1)),K367&amp;" ","")))</f>
        <v/>
      </c>
      <c r="R367">
        <f>IF(Q367="","",IFERROR(INDEX(資格マスタ!$B:$B,MATCH(ASC(SUBSTITUTE(SUBSTITUTE(Q367," ",""),"　","")),資格マスタ!$D:$D,0)),Q367))</f>
        <v/>
      </c>
      <c r="S367" s="139">
        <f>IF(C367&lt;2,"",IFERROR(IF(OR(LEFT(INDEX(D367:K367,MIN(8,MAX(1,C367))),2)="令和",LEFT(INDEX(D367:K367,MIN(8,MAX(1,C367))),2)="平成",LEFT(INDEX(D367:K367,MIN(8,MAX(1,C367))),2)="昭和"),DATE(VALUE(MID(INDEX(D367:K367,MIN(8,MAX(1,C367))),3,FIND("年",INDEX(D367:K367,MIN(8,MAX(1,C367))))-3))+IF(LEFT(INDEX(D367:K367,MIN(8,MAX(1,C367))),2)="令和",2018,IF(LEFT(INDEX(D367:K367,MIN(8,MAX(1,C367))),2)="平成",1988,1925)),VALUE(MID(INDEX(D367:K367,MIN(8,MAX(1,C367))),FIND("年",INDEX(D367:K367,MIN(8,MAX(1,C367))))+1,FIND("月",INDEX(D367:K367,MIN(8,MAX(1,C367))))-FIND("年",INDEX(D367:K367,MIN(8,MAX(1,C367))))-1)),IFERROR(VALUE(SUBSTITUTE(MID(INDEX(D367:K367,MIN(8,MAX(1,C367))),FIND("月",INDEX(D367:K367,MIN(8,MAX(1,C367))))+1,10),"日","")),1)),DATE(VALUE(TRIM(MID(SUBSTITUTE(AA367,"/",REPT(" ",50)),1,50))),VALUE(TRIM(MID(SUBSTITUTE(AA367,"/",REPT(" ",50)),51,50))),IFERROR(VALUE(TRIM(MID(SUBSTITUTE(AA367,"/",REPT(" ",50)),101,50))),1))),IFERROR(DATEVALUE(INDEX(D367:K367,MIN(8,MAX(1,C367)))),"")))</f>
        <v/>
      </c>
      <c r="T367">
        <f>IF(B367="","",IF(AB367&lt;&gt;"",AB367,IFERROR(MATCH(SUBSTITUTE(SUBSTITUTE(P367," ",""),"　",""),入力!$AH$5:$AH$44,0),"")))</f>
        <v/>
      </c>
      <c r="U367">
        <f>IF(T367="","",INDEX(入力!$D$5:$D$44,T367))</f>
        <v/>
      </c>
      <c r="V367">
        <f>IF(B367="","",IF(T367="","要確認（名簿と照合できません）",IF(R367="","要確認（資格名がありません）",IF(S367="","要確認（取得日が読めません）",IF((IF(INDEX(入力!$N$5:$N$44,T367)=R367,1,0)+IF(INDEX(入力!$P$5:$P$44,T367)=R367,1,0)+IF(INDEX(入力!$R$5:$R$44,T367)=R367,1,0)+IF(INDEX(入力!$T$5:$T$44,T367)=R367,1,0)+IF(INDEX(入力!$V$5:$V$44,T367)=R367,1,0)+IF(INDEX(入力!$X$5:$X$44,T367)=R367,1,0))+(COUNTIFS($T$6:$T$405,T367,$R$6:$R$405,R367,$X$6:$X$405,"&lt;"&amp;X367))&gt;0,"重複","反映")))))</f>
        <v/>
      </c>
      <c r="W367">
        <f>IF(V367="反映",1,0)</f>
        <v/>
      </c>
      <c r="X367" t="n">
        <v>367</v>
      </c>
      <c r="Y367">
        <f>IF(W367=0,"",COUNTIFS($T$6:$T$405,T367,$W$6:$W$405,1,$S$6:$S$405,"&lt;"&amp;S367)+COUNTIFS($T$6:$T$405,T367,$W$6:$W$405,1,$S$6:$S$405,S367,$X$6:$X$405,"&lt;"&amp;X367)+1)</f>
        <v/>
      </c>
      <c r="Z367">
        <f>IF(Y367="","",T367&amp;"_"&amp;Y367)</f>
        <v/>
      </c>
      <c r="AA367">
        <f>SUBSTITUTE(SUBSTITUTE(SUBSTITUTE(SUBSTITUTE(SUBSTITUTE(INDEX(D367:K367,MIN(8,MAX(1,C367))),"年","/"),"月","/"),"日",""),"-","/"),".","/")</f>
        <v/>
      </c>
      <c r="AB367">
        <f>IFERROR(MATCH(O367,入力!$C$5:$C$44,0),"")</f>
        <v/>
      </c>
      <c r="AC367">
        <f>IF(AB367="","",INDEX(入力!$AH$5:$AH$44,AB367))</f>
        <v/>
      </c>
      <c r="AD367">
        <f>IF(INDEX($D367:$K367,IF(M367=1,2,1))=AC367,1,IF(INDEX($D367:$K367,IF(M367=1,2,1))&amp;INDEX($D367:$K367,IF(M367=1,2,1)+1)=AC367,2,IF(INDEX($D367:$K367,IF(M367=1,2,1))&amp;INDEX($D367:$K367,IF(M367=1,2,1)+1)&amp;INDEX($D367:$K367,IF(M367=1,2,1)+2)=AC367,3,IF(AB367&lt;&gt;"",2,IF(ISNUMBER(MATCH(INDEX($D367:$K367,IF(M367=1,2,1)),入力!$AH$5:$AH$44,0)),1,IF(ISNUMBER(MATCH(INDEX($D367:$K367,IF(M367=1,2,1))&amp;INDEX($D367:$K367,IF(M367=1,2,1)+1),入力!$AH$5:$AH$44,0)),2,IF(ISNUMBER(MATCH(INDEX($D367:$K367,IF(M367=1,2,1))&amp;INDEX($D367:$K367,IF(M367=1,2,1)+1)&amp;INDEX($D367:$K367,IF(M367=1,2,1)+2),入力!$AH$5:$AH$44,0)),3,2)))))))</f>
        <v/>
      </c>
      <c r="AE367">
        <f>IF(V367="","",IF(AND(V367="反映",N(Y367)&gt;20),"要確認（この生徒の取込が20件を超えました）",V367))</f>
        <v/>
      </c>
    </row>
    <row r="368">
      <c r="A368" s="138" t="n"/>
      <c r="B368">
        <f>TRIM(SUBSTITUTE(SUBSTITUTE(SUBSTITUTE(A368,CHAR(9)," "),"　"," "),CHAR(160)," "))</f>
        <v/>
      </c>
      <c r="C368">
        <f>IF(B368="",0,LEN(B368)-LEN(SUBSTITUTE(B368," ",""))+1)</f>
        <v/>
      </c>
      <c r="D368">
        <f>IF(C368&gt;=1,TRIM(MID(SUBSTITUTE(B368," ",REPT(" ",200)),1,200)),"")</f>
        <v/>
      </c>
      <c r="E368">
        <f>IF(C368&gt;=2,TRIM(MID(SUBSTITUTE(B368," ",REPT(" ",200)),201,200)),"")</f>
        <v/>
      </c>
      <c r="F368">
        <f>IF(C368&gt;=3,TRIM(MID(SUBSTITUTE(B368," ",REPT(" ",200)),401,200)),"")</f>
        <v/>
      </c>
      <c r="G368">
        <f>IF(C368&gt;=4,TRIM(MID(SUBSTITUTE(B368," ",REPT(" ",200)),601,200)),"")</f>
        <v/>
      </c>
      <c r="H368">
        <f>IF(C368&gt;=5,TRIM(MID(SUBSTITUTE(B368," ",REPT(" ",200)),801,200)),"")</f>
        <v/>
      </c>
      <c r="I368">
        <f>IF(C368&gt;=6,TRIM(MID(SUBSTITUTE(B368," ",REPT(" ",200)),1001,200)),"")</f>
        <v/>
      </c>
      <c r="J368">
        <f>IF(C368&gt;=7,TRIM(MID(SUBSTITUTE(B368," ",REPT(" ",200)),1201,200)),"")</f>
        <v/>
      </c>
      <c r="K368">
        <f>IF(C368&gt;=8,TRIM(MID(SUBSTITUTE(B368," ",REPT(" ",200)),1401,200)),"")</f>
        <v/>
      </c>
      <c r="L368">
        <f>SUBSTITUTE(SUBSTITUTE(SUBSTITUTE(D368,"年","-"),"組","-"),"番","")</f>
        <v/>
      </c>
      <c r="M368">
        <f>IF(D368="",0,IF(ISNUMBER(VALUE(SUBSTITUTE(L368,"-",""))),1,0))</f>
        <v/>
      </c>
      <c r="N368">
        <f>IF(M368=0,"",IFERROR(VALUE(TRIM(MID(SUBSTITUTE(L368,"-",REPT(" ",100)),101,100))),""))</f>
        <v/>
      </c>
      <c r="O368">
        <f>IF(M368=0,"",IFERROR(VALUE(TRIM(RIGHT(SUBSTITUTE(L368,"-",REPT(" ",100)),100))),""))</f>
        <v/>
      </c>
      <c r="P368">
        <f>IF(B368="","",TRIM(INDEX($D368:$K368,IF(M368=1,2,1))&amp;IF(AD368&gt;=2," "&amp;INDEX($D368:$K368,IF(M368=1,2,1)+1),"")&amp;IF(AD368&gt;=3," "&amp;INDEX($D368:$K368,IF(M368=1,2,1)+2),"")))</f>
        <v/>
      </c>
      <c r="Q368">
        <f>IF(C368&lt;2,"",TRIM(IF(AND(2&gt;=(IF(M368=1,2,1)+AD368),2&lt;=C368-IF(S368="",0,1)),E368&amp;" ","")&amp;IF(AND(3&gt;=(IF(M368=1,2,1)+AD368),3&lt;=C368-IF(S368="",0,1)),F368&amp;" ","")&amp;IF(AND(4&gt;=(IF(M368=1,2,1)+AD368),4&lt;=C368-IF(S368="",0,1)),G368&amp;" ","")&amp;IF(AND(5&gt;=(IF(M368=1,2,1)+AD368),5&lt;=C368-IF(S368="",0,1)),H368&amp;" ","")&amp;IF(AND(6&gt;=(IF(M368=1,2,1)+AD368),6&lt;=C368-IF(S368="",0,1)),I368&amp;" ","")&amp;IF(AND(7&gt;=(IF(M368=1,2,1)+AD368),7&lt;=C368-IF(S368="",0,1)),J368&amp;" ","")&amp;IF(AND(8&gt;=(IF(M368=1,2,1)+AD368),8&lt;=C368-IF(S368="",0,1)),K368&amp;" ","")))</f>
        <v/>
      </c>
      <c r="R368">
        <f>IF(Q368="","",IFERROR(INDEX(資格マスタ!$B:$B,MATCH(ASC(SUBSTITUTE(SUBSTITUTE(Q368," ",""),"　","")),資格マスタ!$D:$D,0)),Q368))</f>
        <v/>
      </c>
      <c r="S368" s="139">
        <f>IF(C368&lt;2,"",IFERROR(IF(OR(LEFT(INDEX(D368:K368,MIN(8,MAX(1,C368))),2)="令和",LEFT(INDEX(D368:K368,MIN(8,MAX(1,C368))),2)="平成",LEFT(INDEX(D368:K368,MIN(8,MAX(1,C368))),2)="昭和"),DATE(VALUE(MID(INDEX(D368:K368,MIN(8,MAX(1,C368))),3,FIND("年",INDEX(D368:K368,MIN(8,MAX(1,C368))))-3))+IF(LEFT(INDEX(D368:K368,MIN(8,MAX(1,C368))),2)="令和",2018,IF(LEFT(INDEX(D368:K368,MIN(8,MAX(1,C368))),2)="平成",1988,1925)),VALUE(MID(INDEX(D368:K368,MIN(8,MAX(1,C368))),FIND("年",INDEX(D368:K368,MIN(8,MAX(1,C368))))+1,FIND("月",INDEX(D368:K368,MIN(8,MAX(1,C368))))-FIND("年",INDEX(D368:K368,MIN(8,MAX(1,C368))))-1)),IFERROR(VALUE(SUBSTITUTE(MID(INDEX(D368:K368,MIN(8,MAX(1,C368))),FIND("月",INDEX(D368:K368,MIN(8,MAX(1,C368))))+1,10),"日","")),1)),DATE(VALUE(TRIM(MID(SUBSTITUTE(AA368,"/",REPT(" ",50)),1,50))),VALUE(TRIM(MID(SUBSTITUTE(AA368,"/",REPT(" ",50)),51,50))),IFERROR(VALUE(TRIM(MID(SUBSTITUTE(AA368,"/",REPT(" ",50)),101,50))),1))),IFERROR(DATEVALUE(INDEX(D368:K368,MIN(8,MAX(1,C368)))),"")))</f>
        <v/>
      </c>
      <c r="T368">
        <f>IF(B368="","",IF(AB368&lt;&gt;"",AB368,IFERROR(MATCH(SUBSTITUTE(SUBSTITUTE(P368," ",""),"　",""),入力!$AH$5:$AH$44,0),"")))</f>
        <v/>
      </c>
      <c r="U368">
        <f>IF(T368="","",INDEX(入力!$D$5:$D$44,T368))</f>
        <v/>
      </c>
      <c r="V368">
        <f>IF(B368="","",IF(T368="","要確認（名簿と照合できません）",IF(R368="","要確認（資格名がありません）",IF(S368="","要確認（取得日が読めません）",IF((IF(INDEX(入力!$N$5:$N$44,T368)=R368,1,0)+IF(INDEX(入力!$P$5:$P$44,T368)=R368,1,0)+IF(INDEX(入力!$R$5:$R$44,T368)=R368,1,0)+IF(INDEX(入力!$T$5:$T$44,T368)=R368,1,0)+IF(INDEX(入力!$V$5:$V$44,T368)=R368,1,0)+IF(INDEX(入力!$X$5:$X$44,T368)=R368,1,0))+(COUNTIFS($T$6:$T$405,T368,$R$6:$R$405,R368,$X$6:$X$405,"&lt;"&amp;X368))&gt;0,"重複","反映")))))</f>
        <v/>
      </c>
      <c r="W368">
        <f>IF(V368="反映",1,0)</f>
        <v/>
      </c>
      <c r="X368" t="n">
        <v>368</v>
      </c>
      <c r="Y368">
        <f>IF(W368=0,"",COUNTIFS($T$6:$T$405,T368,$W$6:$W$405,1,$S$6:$S$405,"&lt;"&amp;S368)+COUNTIFS($T$6:$T$405,T368,$W$6:$W$405,1,$S$6:$S$405,S368,$X$6:$X$405,"&lt;"&amp;X368)+1)</f>
        <v/>
      </c>
      <c r="Z368">
        <f>IF(Y368="","",T368&amp;"_"&amp;Y368)</f>
        <v/>
      </c>
      <c r="AA368">
        <f>SUBSTITUTE(SUBSTITUTE(SUBSTITUTE(SUBSTITUTE(SUBSTITUTE(INDEX(D368:K368,MIN(8,MAX(1,C368))),"年","/"),"月","/"),"日",""),"-","/"),".","/")</f>
        <v/>
      </c>
      <c r="AB368">
        <f>IFERROR(MATCH(O368,入力!$C$5:$C$44,0),"")</f>
        <v/>
      </c>
      <c r="AC368">
        <f>IF(AB368="","",INDEX(入力!$AH$5:$AH$44,AB368))</f>
        <v/>
      </c>
      <c r="AD368">
        <f>IF(INDEX($D368:$K368,IF(M368=1,2,1))=AC368,1,IF(INDEX($D368:$K368,IF(M368=1,2,1))&amp;INDEX($D368:$K368,IF(M368=1,2,1)+1)=AC368,2,IF(INDEX($D368:$K368,IF(M368=1,2,1))&amp;INDEX($D368:$K368,IF(M368=1,2,1)+1)&amp;INDEX($D368:$K368,IF(M368=1,2,1)+2)=AC368,3,IF(AB368&lt;&gt;"",2,IF(ISNUMBER(MATCH(INDEX($D368:$K368,IF(M368=1,2,1)),入力!$AH$5:$AH$44,0)),1,IF(ISNUMBER(MATCH(INDEX($D368:$K368,IF(M368=1,2,1))&amp;INDEX($D368:$K368,IF(M368=1,2,1)+1),入力!$AH$5:$AH$44,0)),2,IF(ISNUMBER(MATCH(INDEX($D368:$K368,IF(M368=1,2,1))&amp;INDEX($D368:$K368,IF(M368=1,2,1)+1)&amp;INDEX($D368:$K368,IF(M368=1,2,1)+2),入力!$AH$5:$AH$44,0)),3,2)))))))</f>
        <v/>
      </c>
      <c r="AE368">
        <f>IF(V368="","",IF(AND(V368="反映",N(Y368)&gt;20),"要確認（この生徒の取込が20件を超えました）",V368))</f>
        <v/>
      </c>
    </row>
    <row r="369">
      <c r="A369" s="138" t="n"/>
      <c r="B369">
        <f>TRIM(SUBSTITUTE(SUBSTITUTE(SUBSTITUTE(A369,CHAR(9)," "),"　"," "),CHAR(160)," "))</f>
        <v/>
      </c>
      <c r="C369">
        <f>IF(B369="",0,LEN(B369)-LEN(SUBSTITUTE(B369," ",""))+1)</f>
        <v/>
      </c>
      <c r="D369">
        <f>IF(C369&gt;=1,TRIM(MID(SUBSTITUTE(B369," ",REPT(" ",200)),1,200)),"")</f>
        <v/>
      </c>
      <c r="E369">
        <f>IF(C369&gt;=2,TRIM(MID(SUBSTITUTE(B369," ",REPT(" ",200)),201,200)),"")</f>
        <v/>
      </c>
      <c r="F369">
        <f>IF(C369&gt;=3,TRIM(MID(SUBSTITUTE(B369," ",REPT(" ",200)),401,200)),"")</f>
        <v/>
      </c>
      <c r="G369">
        <f>IF(C369&gt;=4,TRIM(MID(SUBSTITUTE(B369," ",REPT(" ",200)),601,200)),"")</f>
        <v/>
      </c>
      <c r="H369">
        <f>IF(C369&gt;=5,TRIM(MID(SUBSTITUTE(B369," ",REPT(" ",200)),801,200)),"")</f>
        <v/>
      </c>
      <c r="I369">
        <f>IF(C369&gt;=6,TRIM(MID(SUBSTITUTE(B369," ",REPT(" ",200)),1001,200)),"")</f>
        <v/>
      </c>
      <c r="J369">
        <f>IF(C369&gt;=7,TRIM(MID(SUBSTITUTE(B369," ",REPT(" ",200)),1201,200)),"")</f>
        <v/>
      </c>
      <c r="K369">
        <f>IF(C369&gt;=8,TRIM(MID(SUBSTITUTE(B369," ",REPT(" ",200)),1401,200)),"")</f>
        <v/>
      </c>
      <c r="L369">
        <f>SUBSTITUTE(SUBSTITUTE(SUBSTITUTE(D369,"年","-"),"組","-"),"番","")</f>
        <v/>
      </c>
      <c r="M369">
        <f>IF(D369="",0,IF(ISNUMBER(VALUE(SUBSTITUTE(L369,"-",""))),1,0))</f>
        <v/>
      </c>
      <c r="N369">
        <f>IF(M369=0,"",IFERROR(VALUE(TRIM(MID(SUBSTITUTE(L369,"-",REPT(" ",100)),101,100))),""))</f>
        <v/>
      </c>
      <c r="O369">
        <f>IF(M369=0,"",IFERROR(VALUE(TRIM(RIGHT(SUBSTITUTE(L369,"-",REPT(" ",100)),100))),""))</f>
        <v/>
      </c>
      <c r="P369">
        <f>IF(B369="","",TRIM(INDEX($D369:$K369,IF(M369=1,2,1))&amp;IF(AD369&gt;=2," "&amp;INDEX($D369:$K369,IF(M369=1,2,1)+1),"")&amp;IF(AD369&gt;=3," "&amp;INDEX($D369:$K369,IF(M369=1,2,1)+2),"")))</f>
        <v/>
      </c>
      <c r="Q369">
        <f>IF(C369&lt;2,"",TRIM(IF(AND(2&gt;=(IF(M369=1,2,1)+AD369),2&lt;=C369-IF(S369="",0,1)),E369&amp;" ","")&amp;IF(AND(3&gt;=(IF(M369=1,2,1)+AD369),3&lt;=C369-IF(S369="",0,1)),F369&amp;" ","")&amp;IF(AND(4&gt;=(IF(M369=1,2,1)+AD369),4&lt;=C369-IF(S369="",0,1)),G369&amp;" ","")&amp;IF(AND(5&gt;=(IF(M369=1,2,1)+AD369),5&lt;=C369-IF(S369="",0,1)),H369&amp;" ","")&amp;IF(AND(6&gt;=(IF(M369=1,2,1)+AD369),6&lt;=C369-IF(S369="",0,1)),I369&amp;" ","")&amp;IF(AND(7&gt;=(IF(M369=1,2,1)+AD369),7&lt;=C369-IF(S369="",0,1)),J369&amp;" ","")&amp;IF(AND(8&gt;=(IF(M369=1,2,1)+AD369),8&lt;=C369-IF(S369="",0,1)),K369&amp;" ","")))</f>
        <v/>
      </c>
      <c r="R369">
        <f>IF(Q369="","",IFERROR(INDEX(資格マスタ!$B:$B,MATCH(ASC(SUBSTITUTE(SUBSTITUTE(Q369," ",""),"　","")),資格マスタ!$D:$D,0)),Q369))</f>
        <v/>
      </c>
      <c r="S369" s="139">
        <f>IF(C369&lt;2,"",IFERROR(IF(OR(LEFT(INDEX(D369:K369,MIN(8,MAX(1,C369))),2)="令和",LEFT(INDEX(D369:K369,MIN(8,MAX(1,C369))),2)="平成",LEFT(INDEX(D369:K369,MIN(8,MAX(1,C369))),2)="昭和"),DATE(VALUE(MID(INDEX(D369:K369,MIN(8,MAX(1,C369))),3,FIND("年",INDEX(D369:K369,MIN(8,MAX(1,C369))))-3))+IF(LEFT(INDEX(D369:K369,MIN(8,MAX(1,C369))),2)="令和",2018,IF(LEFT(INDEX(D369:K369,MIN(8,MAX(1,C369))),2)="平成",1988,1925)),VALUE(MID(INDEX(D369:K369,MIN(8,MAX(1,C369))),FIND("年",INDEX(D369:K369,MIN(8,MAX(1,C369))))+1,FIND("月",INDEX(D369:K369,MIN(8,MAX(1,C369))))-FIND("年",INDEX(D369:K369,MIN(8,MAX(1,C369))))-1)),IFERROR(VALUE(SUBSTITUTE(MID(INDEX(D369:K369,MIN(8,MAX(1,C369))),FIND("月",INDEX(D369:K369,MIN(8,MAX(1,C369))))+1,10),"日","")),1)),DATE(VALUE(TRIM(MID(SUBSTITUTE(AA369,"/",REPT(" ",50)),1,50))),VALUE(TRIM(MID(SUBSTITUTE(AA369,"/",REPT(" ",50)),51,50))),IFERROR(VALUE(TRIM(MID(SUBSTITUTE(AA369,"/",REPT(" ",50)),101,50))),1))),IFERROR(DATEVALUE(INDEX(D369:K369,MIN(8,MAX(1,C369)))),"")))</f>
        <v/>
      </c>
      <c r="T369">
        <f>IF(B369="","",IF(AB369&lt;&gt;"",AB369,IFERROR(MATCH(SUBSTITUTE(SUBSTITUTE(P369," ",""),"　",""),入力!$AH$5:$AH$44,0),"")))</f>
        <v/>
      </c>
      <c r="U369">
        <f>IF(T369="","",INDEX(入力!$D$5:$D$44,T369))</f>
        <v/>
      </c>
      <c r="V369">
        <f>IF(B369="","",IF(T369="","要確認（名簿と照合できません）",IF(R369="","要確認（資格名がありません）",IF(S369="","要確認（取得日が読めません）",IF((IF(INDEX(入力!$N$5:$N$44,T369)=R369,1,0)+IF(INDEX(入力!$P$5:$P$44,T369)=R369,1,0)+IF(INDEX(入力!$R$5:$R$44,T369)=R369,1,0)+IF(INDEX(入力!$T$5:$T$44,T369)=R369,1,0)+IF(INDEX(入力!$V$5:$V$44,T369)=R369,1,0)+IF(INDEX(入力!$X$5:$X$44,T369)=R369,1,0))+(COUNTIFS($T$6:$T$405,T369,$R$6:$R$405,R369,$X$6:$X$405,"&lt;"&amp;X369))&gt;0,"重複","反映")))))</f>
        <v/>
      </c>
      <c r="W369">
        <f>IF(V369="反映",1,0)</f>
        <v/>
      </c>
      <c r="X369" t="n">
        <v>369</v>
      </c>
      <c r="Y369">
        <f>IF(W369=0,"",COUNTIFS($T$6:$T$405,T369,$W$6:$W$405,1,$S$6:$S$405,"&lt;"&amp;S369)+COUNTIFS($T$6:$T$405,T369,$W$6:$W$405,1,$S$6:$S$405,S369,$X$6:$X$405,"&lt;"&amp;X369)+1)</f>
        <v/>
      </c>
      <c r="Z369">
        <f>IF(Y369="","",T369&amp;"_"&amp;Y369)</f>
        <v/>
      </c>
      <c r="AA369">
        <f>SUBSTITUTE(SUBSTITUTE(SUBSTITUTE(SUBSTITUTE(SUBSTITUTE(INDEX(D369:K369,MIN(8,MAX(1,C369))),"年","/"),"月","/"),"日",""),"-","/"),".","/")</f>
        <v/>
      </c>
      <c r="AB369">
        <f>IFERROR(MATCH(O369,入力!$C$5:$C$44,0),"")</f>
        <v/>
      </c>
      <c r="AC369">
        <f>IF(AB369="","",INDEX(入力!$AH$5:$AH$44,AB369))</f>
        <v/>
      </c>
      <c r="AD369">
        <f>IF(INDEX($D369:$K369,IF(M369=1,2,1))=AC369,1,IF(INDEX($D369:$K369,IF(M369=1,2,1))&amp;INDEX($D369:$K369,IF(M369=1,2,1)+1)=AC369,2,IF(INDEX($D369:$K369,IF(M369=1,2,1))&amp;INDEX($D369:$K369,IF(M369=1,2,1)+1)&amp;INDEX($D369:$K369,IF(M369=1,2,1)+2)=AC369,3,IF(AB369&lt;&gt;"",2,IF(ISNUMBER(MATCH(INDEX($D369:$K369,IF(M369=1,2,1)),入力!$AH$5:$AH$44,0)),1,IF(ISNUMBER(MATCH(INDEX($D369:$K369,IF(M369=1,2,1))&amp;INDEX($D369:$K369,IF(M369=1,2,1)+1),入力!$AH$5:$AH$44,0)),2,IF(ISNUMBER(MATCH(INDEX($D369:$K369,IF(M369=1,2,1))&amp;INDEX($D369:$K369,IF(M369=1,2,1)+1)&amp;INDEX($D369:$K369,IF(M369=1,2,1)+2),入力!$AH$5:$AH$44,0)),3,2)))))))</f>
        <v/>
      </c>
      <c r="AE369">
        <f>IF(V369="","",IF(AND(V369="反映",N(Y369)&gt;20),"要確認（この生徒の取込が20件を超えました）",V369))</f>
        <v/>
      </c>
    </row>
    <row r="370">
      <c r="A370" s="138" t="n"/>
      <c r="B370">
        <f>TRIM(SUBSTITUTE(SUBSTITUTE(SUBSTITUTE(A370,CHAR(9)," "),"　"," "),CHAR(160)," "))</f>
        <v/>
      </c>
      <c r="C370">
        <f>IF(B370="",0,LEN(B370)-LEN(SUBSTITUTE(B370," ",""))+1)</f>
        <v/>
      </c>
      <c r="D370">
        <f>IF(C370&gt;=1,TRIM(MID(SUBSTITUTE(B370," ",REPT(" ",200)),1,200)),"")</f>
        <v/>
      </c>
      <c r="E370">
        <f>IF(C370&gt;=2,TRIM(MID(SUBSTITUTE(B370," ",REPT(" ",200)),201,200)),"")</f>
        <v/>
      </c>
      <c r="F370">
        <f>IF(C370&gt;=3,TRIM(MID(SUBSTITUTE(B370," ",REPT(" ",200)),401,200)),"")</f>
        <v/>
      </c>
      <c r="G370">
        <f>IF(C370&gt;=4,TRIM(MID(SUBSTITUTE(B370," ",REPT(" ",200)),601,200)),"")</f>
        <v/>
      </c>
      <c r="H370">
        <f>IF(C370&gt;=5,TRIM(MID(SUBSTITUTE(B370," ",REPT(" ",200)),801,200)),"")</f>
        <v/>
      </c>
      <c r="I370">
        <f>IF(C370&gt;=6,TRIM(MID(SUBSTITUTE(B370," ",REPT(" ",200)),1001,200)),"")</f>
        <v/>
      </c>
      <c r="J370">
        <f>IF(C370&gt;=7,TRIM(MID(SUBSTITUTE(B370," ",REPT(" ",200)),1201,200)),"")</f>
        <v/>
      </c>
      <c r="K370">
        <f>IF(C370&gt;=8,TRIM(MID(SUBSTITUTE(B370," ",REPT(" ",200)),1401,200)),"")</f>
        <v/>
      </c>
      <c r="L370">
        <f>SUBSTITUTE(SUBSTITUTE(SUBSTITUTE(D370,"年","-"),"組","-"),"番","")</f>
        <v/>
      </c>
      <c r="M370">
        <f>IF(D370="",0,IF(ISNUMBER(VALUE(SUBSTITUTE(L370,"-",""))),1,0))</f>
        <v/>
      </c>
      <c r="N370">
        <f>IF(M370=0,"",IFERROR(VALUE(TRIM(MID(SUBSTITUTE(L370,"-",REPT(" ",100)),101,100))),""))</f>
        <v/>
      </c>
      <c r="O370">
        <f>IF(M370=0,"",IFERROR(VALUE(TRIM(RIGHT(SUBSTITUTE(L370,"-",REPT(" ",100)),100))),""))</f>
        <v/>
      </c>
      <c r="P370">
        <f>IF(B370="","",TRIM(INDEX($D370:$K370,IF(M370=1,2,1))&amp;IF(AD370&gt;=2," "&amp;INDEX($D370:$K370,IF(M370=1,2,1)+1),"")&amp;IF(AD370&gt;=3," "&amp;INDEX($D370:$K370,IF(M370=1,2,1)+2),"")))</f>
        <v/>
      </c>
      <c r="Q370">
        <f>IF(C370&lt;2,"",TRIM(IF(AND(2&gt;=(IF(M370=1,2,1)+AD370),2&lt;=C370-IF(S370="",0,1)),E370&amp;" ","")&amp;IF(AND(3&gt;=(IF(M370=1,2,1)+AD370),3&lt;=C370-IF(S370="",0,1)),F370&amp;" ","")&amp;IF(AND(4&gt;=(IF(M370=1,2,1)+AD370),4&lt;=C370-IF(S370="",0,1)),G370&amp;" ","")&amp;IF(AND(5&gt;=(IF(M370=1,2,1)+AD370),5&lt;=C370-IF(S370="",0,1)),H370&amp;" ","")&amp;IF(AND(6&gt;=(IF(M370=1,2,1)+AD370),6&lt;=C370-IF(S370="",0,1)),I370&amp;" ","")&amp;IF(AND(7&gt;=(IF(M370=1,2,1)+AD370),7&lt;=C370-IF(S370="",0,1)),J370&amp;" ","")&amp;IF(AND(8&gt;=(IF(M370=1,2,1)+AD370),8&lt;=C370-IF(S370="",0,1)),K370&amp;" ","")))</f>
        <v/>
      </c>
      <c r="R370">
        <f>IF(Q370="","",IFERROR(INDEX(資格マスタ!$B:$B,MATCH(ASC(SUBSTITUTE(SUBSTITUTE(Q370," ",""),"　","")),資格マスタ!$D:$D,0)),Q370))</f>
        <v/>
      </c>
      <c r="S370" s="139">
        <f>IF(C370&lt;2,"",IFERROR(IF(OR(LEFT(INDEX(D370:K370,MIN(8,MAX(1,C370))),2)="令和",LEFT(INDEX(D370:K370,MIN(8,MAX(1,C370))),2)="平成",LEFT(INDEX(D370:K370,MIN(8,MAX(1,C370))),2)="昭和"),DATE(VALUE(MID(INDEX(D370:K370,MIN(8,MAX(1,C370))),3,FIND("年",INDEX(D370:K370,MIN(8,MAX(1,C370))))-3))+IF(LEFT(INDEX(D370:K370,MIN(8,MAX(1,C370))),2)="令和",2018,IF(LEFT(INDEX(D370:K370,MIN(8,MAX(1,C370))),2)="平成",1988,1925)),VALUE(MID(INDEX(D370:K370,MIN(8,MAX(1,C370))),FIND("年",INDEX(D370:K370,MIN(8,MAX(1,C370))))+1,FIND("月",INDEX(D370:K370,MIN(8,MAX(1,C370))))-FIND("年",INDEX(D370:K370,MIN(8,MAX(1,C370))))-1)),IFERROR(VALUE(SUBSTITUTE(MID(INDEX(D370:K370,MIN(8,MAX(1,C370))),FIND("月",INDEX(D370:K370,MIN(8,MAX(1,C370))))+1,10),"日","")),1)),DATE(VALUE(TRIM(MID(SUBSTITUTE(AA370,"/",REPT(" ",50)),1,50))),VALUE(TRIM(MID(SUBSTITUTE(AA370,"/",REPT(" ",50)),51,50))),IFERROR(VALUE(TRIM(MID(SUBSTITUTE(AA370,"/",REPT(" ",50)),101,50))),1))),IFERROR(DATEVALUE(INDEX(D370:K370,MIN(8,MAX(1,C370)))),"")))</f>
        <v/>
      </c>
      <c r="T370">
        <f>IF(B370="","",IF(AB370&lt;&gt;"",AB370,IFERROR(MATCH(SUBSTITUTE(SUBSTITUTE(P370," ",""),"　",""),入力!$AH$5:$AH$44,0),"")))</f>
        <v/>
      </c>
      <c r="U370">
        <f>IF(T370="","",INDEX(入力!$D$5:$D$44,T370))</f>
        <v/>
      </c>
      <c r="V370">
        <f>IF(B370="","",IF(T370="","要確認（名簿と照合できません）",IF(R370="","要確認（資格名がありません）",IF(S370="","要確認（取得日が読めません）",IF((IF(INDEX(入力!$N$5:$N$44,T370)=R370,1,0)+IF(INDEX(入力!$P$5:$P$44,T370)=R370,1,0)+IF(INDEX(入力!$R$5:$R$44,T370)=R370,1,0)+IF(INDEX(入力!$T$5:$T$44,T370)=R370,1,0)+IF(INDEX(入力!$V$5:$V$44,T370)=R370,1,0)+IF(INDEX(入力!$X$5:$X$44,T370)=R370,1,0))+(COUNTIFS($T$6:$T$405,T370,$R$6:$R$405,R370,$X$6:$X$405,"&lt;"&amp;X370))&gt;0,"重複","反映")))))</f>
        <v/>
      </c>
      <c r="W370">
        <f>IF(V370="反映",1,0)</f>
        <v/>
      </c>
      <c r="X370" t="n">
        <v>370</v>
      </c>
      <c r="Y370">
        <f>IF(W370=0,"",COUNTIFS($T$6:$T$405,T370,$W$6:$W$405,1,$S$6:$S$405,"&lt;"&amp;S370)+COUNTIFS($T$6:$T$405,T370,$W$6:$W$405,1,$S$6:$S$405,S370,$X$6:$X$405,"&lt;"&amp;X370)+1)</f>
        <v/>
      </c>
      <c r="Z370">
        <f>IF(Y370="","",T370&amp;"_"&amp;Y370)</f>
        <v/>
      </c>
      <c r="AA370">
        <f>SUBSTITUTE(SUBSTITUTE(SUBSTITUTE(SUBSTITUTE(SUBSTITUTE(INDEX(D370:K370,MIN(8,MAX(1,C370))),"年","/"),"月","/"),"日",""),"-","/"),".","/")</f>
        <v/>
      </c>
      <c r="AB370">
        <f>IFERROR(MATCH(O370,入力!$C$5:$C$44,0),"")</f>
        <v/>
      </c>
      <c r="AC370">
        <f>IF(AB370="","",INDEX(入力!$AH$5:$AH$44,AB370))</f>
        <v/>
      </c>
      <c r="AD370">
        <f>IF(INDEX($D370:$K370,IF(M370=1,2,1))=AC370,1,IF(INDEX($D370:$K370,IF(M370=1,2,1))&amp;INDEX($D370:$K370,IF(M370=1,2,1)+1)=AC370,2,IF(INDEX($D370:$K370,IF(M370=1,2,1))&amp;INDEX($D370:$K370,IF(M370=1,2,1)+1)&amp;INDEX($D370:$K370,IF(M370=1,2,1)+2)=AC370,3,IF(AB370&lt;&gt;"",2,IF(ISNUMBER(MATCH(INDEX($D370:$K370,IF(M370=1,2,1)),入力!$AH$5:$AH$44,0)),1,IF(ISNUMBER(MATCH(INDEX($D370:$K370,IF(M370=1,2,1))&amp;INDEX($D370:$K370,IF(M370=1,2,1)+1),入力!$AH$5:$AH$44,0)),2,IF(ISNUMBER(MATCH(INDEX($D370:$K370,IF(M370=1,2,1))&amp;INDEX($D370:$K370,IF(M370=1,2,1)+1)&amp;INDEX($D370:$K370,IF(M370=1,2,1)+2),入力!$AH$5:$AH$44,0)),3,2)))))))</f>
        <v/>
      </c>
      <c r="AE370">
        <f>IF(V370="","",IF(AND(V370="反映",N(Y370)&gt;20),"要確認（この生徒の取込が20件を超えました）",V370))</f>
        <v/>
      </c>
    </row>
    <row r="371">
      <c r="A371" s="138" t="n"/>
      <c r="B371">
        <f>TRIM(SUBSTITUTE(SUBSTITUTE(SUBSTITUTE(A371,CHAR(9)," "),"　"," "),CHAR(160)," "))</f>
        <v/>
      </c>
      <c r="C371">
        <f>IF(B371="",0,LEN(B371)-LEN(SUBSTITUTE(B371," ",""))+1)</f>
        <v/>
      </c>
      <c r="D371">
        <f>IF(C371&gt;=1,TRIM(MID(SUBSTITUTE(B371," ",REPT(" ",200)),1,200)),"")</f>
        <v/>
      </c>
      <c r="E371">
        <f>IF(C371&gt;=2,TRIM(MID(SUBSTITUTE(B371," ",REPT(" ",200)),201,200)),"")</f>
        <v/>
      </c>
      <c r="F371">
        <f>IF(C371&gt;=3,TRIM(MID(SUBSTITUTE(B371," ",REPT(" ",200)),401,200)),"")</f>
        <v/>
      </c>
      <c r="G371">
        <f>IF(C371&gt;=4,TRIM(MID(SUBSTITUTE(B371," ",REPT(" ",200)),601,200)),"")</f>
        <v/>
      </c>
      <c r="H371">
        <f>IF(C371&gt;=5,TRIM(MID(SUBSTITUTE(B371," ",REPT(" ",200)),801,200)),"")</f>
        <v/>
      </c>
      <c r="I371">
        <f>IF(C371&gt;=6,TRIM(MID(SUBSTITUTE(B371," ",REPT(" ",200)),1001,200)),"")</f>
        <v/>
      </c>
      <c r="J371">
        <f>IF(C371&gt;=7,TRIM(MID(SUBSTITUTE(B371," ",REPT(" ",200)),1201,200)),"")</f>
        <v/>
      </c>
      <c r="K371">
        <f>IF(C371&gt;=8,TRIM(MID(SUBSTITUTE(B371," ",REPT(" ",200)),1401,200)),"")</f>
        <v/>
      </c>
      <c r="L371">
        <f>SUBSTITUTE(SUBSTITUTE(SUBSTITUTE(D371,"年","-"),"組","-"),"番","")</f>
        <v/>
      </c>
      <c r="M371">
        <f>IF(D371="",0,IF(ISNUMBER(VALUE(SUBSTITUTE(L371,"-",""))),1,0))</f>
        <v/>
      </c>
      <c r="N371">
        <f>IF(M371=0,"",IFERROR(VALUE(TRIM(MID(SUBSTITUTE(L371,"-",REPT(" ",100)),101,100))),""))</f>
        <v/>
      </c>
      <c r="O371">
        <f>IF(M371=0,"",IFERROR(VALUE(TRIM(RIGHT(SUBSTITUTE(L371,"-",REPT(" ",100)),100))),""))</f>
        <v/>
      </c>
      <c r="P371">
        <f>IF(B371="","",TRIM(INDEX($D371:$K371,IF(M371=1,2,1))&amp;IF(AD371&gt;=2," "&amp;INDEX($D371:$K371,IF(M371=1,2,1)+1),"")&amp;IF(AD371&gt;=3," "&amp;INDEX($D371:$K371,IF(M371=1,2,1)+2),"")))</f>
        <v/>
      </c>
      <c r="Q371">
        <f>IF(C371&lt;2,"",TRIM(IF(AND(2&gt;=(IF(M371=1,2,1)+AD371),2&lt;=C371-IF(S371="",0,1)),E371&amp;" ","")&amp;IF(AND(3&gt;=(IF(M371=1,2,1)+AD371),3&lt;=C371-IF(S371="",0,1)),F371&amp;" ","")&amp;IF(AND(4&gt;=(IF(M371=1,2,1)+AD371),4&lt;=C371-IF(S371="",0,1)),G371&amp;" ","")&amp;IF(AND(5&gt;=(IF(M371=1,2,1)+AD371),5&lt;=C371-IF(S371="",0,1)),H371&amp;" ","")&amp;IF(AND(6&gt;=(IF(M371=1,2,1)+AD371),6&lt;=C371-IF(S371="",0,1)),I371&amp;" ","")&amp;IF(AND(7&gt;=(IF(M371=1,2,1)+AD371),7&lt;=C371-IF(S371="",0,1)),J371&amp;" ","")&amp;IF(AND(8&gt;=(IF(M371=1,2,1)+AD371),8&lt;=C371-IF(S371="",0,1)),K371&amp;" ","")))</f>
        <v/>
      </c>
      <c r="R371">
        <f>IF(Q371="","",IFERROR(INDEX(資格マスタ!$B:$B,MATCH(ASC(SUBSTITUTE(SUBSTITUTE(Q371," ",""),"　","")),資格マスタ!$D:$D,0)),Q371))</f>
        <v/>
      </c>
      <c r="S371" s="139">
        <f>IF(C371&lt;2,"",IFERROR(IF(OR(LEFT(INDEX(D371:K371,MIN(8,MAX(1,C371))),2)="令和",LEFT(INDEX(D371:K371,MIN(8,MAX(1,C371))),2)="平成",LEFT(INDEX(D371:K371,MIN(8,MAX(1,C371))),2)="昭和"),DATE(VALUE(MID(INDEX(D371:K371,MIN(8,MAX(1,C371))),3,FIND("年",INDEX(D371:K371,MIN(8,MAX(1,C371))))-3))+IF(LEFT(INDEX(D371:K371,MIN(8,MAX(1,C371))),2)="令和",2018,IF(LEFT(INDEX(D371:K371,MIN(8,MAX(1,C371))),2)="平成",1988,1925)),VALUE(MID(INDEX(D371:K371,MIN(8,MAX(1,C371))),FIND("年",INDEX(D371:K371,MIN(8,MAX(1,C371))))+1,FIND("月",INDEX(D371:K371,MIN(8,MAX(1,C371))))-FIND("年",INDEX(D371:K371,MIN(8,MAX(1,C371))))-1)),IFERROR(VALUE(SUBSTITUTE(MID(INDEX(D371:K371,MIN(8,MAX(1,C371))),FIND("月",INDEX(D371:K371,MIN(8,MAX(1,C371))))+1,10),"日","")),1)),DATE(VALUE(TRIM(MID(SUBSTITUTE(AA371,"/",REPT(" ",50)),1,50))),VALUE(TRIM(MID(SUBSTITUTE(AA371,"/",REPT(" ",50)),51,50))),IFERROR(VALUE(TRIM(MID(SUBSTITUTE(AA371,"/",REPT(" ",50)),101,50))),1))),IFERROR(DATEVALUE(INDEX(D371:K371,MIN(8,MAX(1,C371)))),"")))</f>
        <v/>
      </c>
      <c r="T371">
        <f>IF(B371="","",IF(AB371&lt;&gt;"",AB371,IFERROR(MATCH(SUBSTITUTE(SUBSTITUTE(P371," ",""),"　",""),入力!$AH$5:$AH$44,0),"")))</f>
        <v/>
      </c>
      <c r="U371">
        <f>IF(T371="","",INDEX(入力!$D$5:$D$44,T371))</f>
        <v/>
      </c>
      <c r="V371">
        <f>IF(B371="","",IF(T371="","要確認（名簿と照合できません）",IF(R371="","要確認（資格名がありません）",IF(S371="","要確認（取得日が読めません）",IF((IF(INDEX(入力!$N$5:$N$44,T371)=R371,1,0)+IF(INDEX(入力!$P$5:$P$44,T371)=R371,1,0)+IF(INDEX(入力!$R$5:$R$44,T371)=R371,1,0)+IF(INDEX(入力!$T$5:$T$44,T371)=R371,1,0)+IF(INDEX(入力!$V$5:$V$44,T371)=R371,1,0)+IF(INDEX(入力!$X$5:$X$44,T371)=R371,1,0))+(COUNTIFS($T$6:$T$405,T371,$R$6:$R$405,R371,$X$6:$X$405,"&lt;"&amp;X371))&gt;0,"重複","反映")))))</f>
        <v/>
      </c>
      <c r="W371">
        <f>IF(V371="反映",1,0)</f>
        <v/>
      </c>
      <c r="X371" t="n">
        <v>371</v>
      </c>
      <c r="Y371">
        <f>IF(W371=0,"",COUNTIFS($T$6:$T$405,T371,$W$6:$W$405,1,$S$6:$S$405,"&lt;"&amp;S371)+COUNTIFS($T$6:$T$405,T371,$W$6:$W$405,1,$S$6:$S$405,S371,$X$6:$X$405,"&lt;"&amp;X371)+1)</f>
        <v/>
      </c>
      <c r="Z371">
        <f>IF(Y371="","",T371&amp;"_"&amp;Y371)</f>
        <v/>
      </c>
      <c r="AA371">
        <f>SUBSTITUTE(SUBSTITUTE(SUBSTITUTE(SUBSTITUTE(SUBSTITUTE(INDEX(D371:K371,MIN(8,MAX(1,C371))),"年","/"),"月","/"),"日",""),"-","/"),".","/")</f>
        <v/>
      </c>
      <c r="AB371">
        <f>IFERROR(MATCH(O371,入力!$C$5:$C$44,0),"")</f>
        <v/>
      </c>
      <c r="AC371">
        <f>IF(AB371="","",INDEX(入力!$AH$5:$AH$44,AB371))</f>
        <v/>
      </c>
      <c r="AD371">
        <f>IF(INDEX($D371:$K371,IF(M371=1,2,1))=AC371,1,IF(INDEX($D371:$K371,IF(M371=1,2,1))&amp;INDEX($D371:$K371,IF(M371=1,2,1)+1)=AC371,2,IF(INDEX($D371:$K371,IF(M371=1,2,1))&amp;INDEX($D371:$K371,IF(M371=1,2,1)+1)&amp;INDEX($D371:$K371,IF(M371=1,2,1)+2)=AC371,3,IF(AB371&lt;&gt;"",2,IF(ISNUMBER(MATCH(INDEX($D371:$K371,IF(M371=1,2,1)),入力!$AH$5:$AH$44,0)),1,IF(ISNUMBER(MATCH(INDEX($D371:$K371,IF(M371=1,2,1))&amp;INDEX($D371:$K371,IF(M371=1,2,1)+1),入力!$AH$5:$AH$44,0)),2,IF(ISNUMBER(MATCH(INDEX($D371:$K371,IF(M371=1,2,1))&amp;INDEX($D371:$K371,IF(M371=1,2,1)+1)&amp;INDEX($D371:$K371,IF(M371=1,2,1)+2),入力!$AH$5:$AH$44,0)),3,2)))))))</f>
        <v/>
      </c>
      <c r="AE371">
        <f>IF(V371="","",IF(AND(V371="反映",N(Y371)&gt;20),"要確認（この生徒の取込が20件を超えました）",V371))</f>
        <v/>
      </c>
    </row>
    <row r="372">
      <c r="A372" s="138" t="n"/>
      <c r="B372">
        <f>TRIM(SUBSTITUTE(SUBSTITUTE(SUBSTITUTE(A372,CHAR(9)," "),"　"," "),CHAR(160)," "))</f>
        <v/>
      </c>
      <c r="C372">
        <f>IF(B372="",0,LEN(B372)-LEN(SUBSTITUTE(B372," ",""))+1)</f>
        <v/>
      </c>
      <c r="D372">
        <f>IF(C372&gt;=1,TRIM(MID(SUBSTITUTE(B372," ",REPT(" ",200)),1,200)),"")</f>
        <v/>
      </c>
      <c r="E372">
        <f>IF(C372&gt;=2,TRIM(MID(SUBSTITUTE(B372," ",REPT(" ",200)),201,200)),"")</f>
        <v/>
      </c>
      <c r="F372">
        <f>IF(C372&gt;=3,TRIM(MID(SUBSTITUTE(B372," ",REPT(" ",200)),401,200)),"")</f>
        <v/>
      </c>
      <c r="G372">
        <f>IF(C372&gt;=4,TRIM(MID(SUBSTITUTE(B372," ",REPT(" ",200)),601,200)),"")</f>
        <v/>
      </c>
      <c r="H372">
        <f>IF(C372&gt;=5,TRIM(MID(SUBSTITUTE(B372," ",REPT(" ",200)),801,200)),"")</f>
        <v/>
      </c>
      <c r="I372">
        <f>IF(C372&gt;=6,TRIM(MID(SUBSTITUTE(B372," ",REPT(" ",200)),1001,200)),"")</f>
        <v/>
      </c>
      <c r="J372">
        <f>IF(C372&gt;=7,TRIM(MID(SUBSTITUTE(B372," ",REPT(" ",200)),1201,200)),"")</f>
        <v/>
      </c>
      <c r="K372">
        <f>IF(C372&gt;=8,TRIM(MID(SUBSTITUTE(B372," ",REPT(" ",200)),1401,200)),"")</f>
        <v/>
      </c>
      <c r="L372">
        <f>SUBSTITUTE(SUBSTITUTE(SUBSTITUTE(D372,"年","-"),"組","-"),"番","")</f>
        <v/>
      </c>
      <c r="M372">
        <f>IF(D372="",0,IF(ISNUMBER(VALUE(SUBSTITUTE(L372,"-",""))),1,0))</f>
        <v/>
      </c>
      <c r="N372">
        <f>IF(M372=0,"",IFERROR(VALUE(TRIM(MID(SUBSTITUTE(L372,"-",REPT(" ",100)),101,100))),""))</f>
        <v/>
      </c>
      <c r="O372">
        <f>IF(M372=0,"",IFERROR(VALUE(TRIM(RIGHT(SUBSTITUTE(L372,"-",REPT(" ",100)),100))),""))</f>
        <v/>
      </c>
      <c r="P372">
        <f>IF(B372="","",TRIM(INDEX($D372:$K372,IF(M372=1,2,1))&amp;IF(AD372&gt;=2," "&amp;INDEX($D372:$K372,IF(M372=1,2,1)+1),"")&amp;IF(AD372&gt;=3," "&amp;INDEX($D372:$K372,IF(M372=1,2,1)+2),"")))</f>
        <v/>
      </c>
      <c r="Q372">
        <f>IF(C372&lt;2,"",TRIM(IF(AND(2&gt;=(IF(M372=1,2,1)+AD372),2&lt;=C372-IF(S372="",0,1)),E372&amp;" ","")&amp;IF(AND(3&gt;=(IF(M372=1,2,1)+AD372),3&lt;=C372-IF(S372="",0,1)),F372&amp;" ","")&amp;IF(AND(4&gt;=(IF(M372=1,2,1)+AD372),4&lt;=C372-IF(S372="",0,1)),G372&amp;" ","")&amp;IF(AND(5&gt;=(IF(M372=1,2,1)+AD372),5&lt;=C372-IF(S372="",0,1)),H372&amp;" ","")&amp;IF(AND(6&gt;=(IF(M372=1,2,1)+AD372),6&lt;=C372-IF(S372="",0,1)),I372&amp;" ","")&amp;IF(AND(7&gt;=(IF(M372=1,2,1)+AD372),7&lt;=C372-IF(S372="",0,1)),J372&amp;" ","")&amp;IF(AND(8&gt;=(IF(M372=1,2,1)+AD372),8&lt;=C372-IF(S372="",0,1)),K372&amp;" ","")))</f>
        <v/>
      </c>
      <c r="R372">
        <f>IF(Q372="","",IFERROR(INDEX(資格マスタ!$B:$B,MATCH(ASC(SUBSTITUTE(SUBSTITUTE(Q372," ",""),"　","")),資格マスタ!$D:$D,0)),Q372))</f>
        <v/>
      </c>
      <c r="S372" s="139">
        <f>IF(C372&lt;2,"",IFERROR(IF(OR(LEFT(INDEX(D372:K372,MIN(8,MAX(1,C372))),2)="令和",LEFT(INDEX(D372:K372,MIN(8,MAX(1,C372))),2)="平成",LEFT(INDEX(D372:K372,MIN(8,MAX(1,C372))),2)="昭和"),DATE(VALUE(MID(INDEX(D372:K372,MIN(8,MAX(1,C372))),3,FIND("年",INDEX(D372:K372,MIN(8,MAX(1,C372))))-3))+IF(LEFT(INDEX(D372:K372,MIN(8,MAX(1,C372))),2)="令和",2018,IF(LEFT(INDEX(D372:K372,MIN(8,MAX(1,C372))),2)="平成",1988,1925)),VALUE(MID(INDEX(D372:K372,MIN(8,MAX(1,C372))),FIND("年",INDEX(D372:K372,MIN(8,MAX(1,C372))))+1,FIND("月",INDEX(D372:K372,MIN(8,MAX(1,C372))))-FIND("年",INDEX(D372:K372,MIN(8,MAX(1,C372))))-1)),IFERROR(VALUE(SUBSTITUTE(MID(INDEX(D372:K372,MIN(8,MAX(1,C372))),FIND("月",INDEX(D372:K372,MIN(8,MAX(1,C372))))+1,10),"日","")),1)),DATE(VALUE(TRIM(MID(SUBSTITUTE(AA372,"/",REPT(" ",50)),1,50))),VALUE(TRIM(MID(SUBSTITUTE(AA372,"/",REPT(" ",50)),51,50))),IFERROR(VALUE(TRIM(MID(SUBSTITUTE(AA372,"/",REPT(" ",50)),101,50))),1))),IFERROR(DATEVALUE(INDEX(D372:K372,MIN(8,MAX(1,C372)))),"")))</f>
        <v/>
      </c>
      <c r="T372">
        <f>IF(B372="","",IF(AB372&lt;&gt;"",AB372,IFERROR(MATCH(SUBSTITUTE(SUBSTITUTE(P372," ",""),"　",""),入力!$AH$5:$AH$44,0),"")))</f>
        <v/>
      </c>
      <c r="U372">
        <f>IF(T372="","",INDEX(入力!$D$5:$D$44,T372))</f>
        <v/>
      </c>
      <c r="V372">
        <f>IF(B372="","",IF(T372="","要確認（名簿と照合できません）",IF(R372="","要確認（資格名がありません）",IF(S372="","要確認（取得日が読めません）",IF((IF(INDEX(入力!$N$5:$N$44,T372)=R372,1,0)+IF(INDEX(入力!$P$5:$P$44,T372)=R372,1,0)+IF(INDEX(入力!$R$5:$R$44,T372)=R372,1,0)+IF(INDEX(入力!$T$5:$T$44,T372)=R372,1,0)+IF(INDEX(入力!$V$5:$V$44,T372)=R372,1,0)+IF(INDEX(入力!$X$5:$X$44,T372)=R372,1,0))+(COUNTIFS($T$6:$T$405,T372,$R$6:$R$405,R372,$X$6:$X$405,"&lt;"&amp;X372))&gt;0,"重複","反映")))))</f>
        <v/>
      </c>
      <c r="W372">
        <f>IF(V372="反映",1,0)</f>
        <v/>
      </c>
      <c r="X372" t="n">
        <v>372</v>
      </c>
      <c r="Y372">
        <f>IF(W372=0,"",COUNTIFS($T$6:$T$405,T372,$W$6:$W$405,1,$S$6:$S$405,"&lt;"&amp;S372)+COUNTIFS($T$6:$T$405,T372,$W$6:$W$405,1,$S$6:$S$405,S372,$X$6:$X$405,"&lt;"&amp;X372)+1)</f>
        <v/>
      </c>
      <c r="Z372">
        <f>IF(Y372="","",T372&amp;"_"&amp;Y372)</f>
        <v/>
      </c>
      <c r="AA372">
        <f>SUBSTITUTE(SUBSTITUTE(SUBSTITUTE(SUBSTITUTE(SUBSTITUTE(INDEX(D372:K372,MIN(8,MAX(1,C372))),"年","/"),"月","/"),"日",""),"-","/"),".","/")</f>
        <v/>
      </c>
      <c r="AB372">
        <f>IFERROR(MATCH(O372,入力!$C$5:$C$44,0),"")</f>
        <v/>
      </c>
      <c r="AC372">
        <f>IF(AB372="","",INDEX(入力!$AH$5:$AH$44,AB372))</f>
        <v/>
      </c>
      <c r="AD372">
        <f>IF(INDEX($D372:$K372,IF(M372=1,2,1))=AC372,1,IF(INDEX($D372:$K372,IF(M372=1,2,1))&amp;INDEX($D372:$K372,IF(M372=1,2,1)+1)=AC372,2,IF(INDEX($D372:$K372,IF(M372=1,2,1))&amp;INDEX($D372:$K372,IF(M372=1,2,1)+1)&amp;INDEX($D372:$K372,IF(M372=1,2,1)+2)=AC372,3,IF(AB372&lt;&gt;"",2,IF(ISNUMBER(MATCH(INDEX($D372:$K372,IF(M372=1,2,1)),入力!$AH$5:$AH$44,0)),1,IF(ISNUMBER(MATCH(INDEX($D372:$K372,IF(M372=1,2,1))&amp;INDEX($D372:$K372,IF(M372=1,2,1)+1),入力!$AH$5:$AH$44,0)),2,IF(ISNUMBER(MATCH(INDEX($D372:$K372,IF(M372=1,2,1))&amp;INDEX($D372:$K372,IF(M372=1,2,1)+1)&amp;INDEX($D372:$K372,IF(M372=1,2,1)+2),入力!$AH$5:$AH$44,0)),3,2)))))))</f>
        <v/>
      </c>
      <c r="AE372">
        <f>IF(V372="","",IF(AND(V372="反映",N(Y372)&gt;20),"要確認（この生徒の取込が20件を超えました）",V372))</f>
        <v/>
      </c>
    </row>
    <row r="373">
      <c r="A373" s="138" t="n"/>
      <c r="B373">
        <f>TRIM(SUBSTITUTE(SUBSTITUTE(SUBSTITUTE(A373,CHAR(9)," "),"　"," "),CHAR(160)," "))</f>
        <v/>
      </c>
      <c r="C373">
        <f>IF(B373="",0,LEN(B373)-LEN(SUBSTITUTE(B373," ",""))+1)</f>
        <v/>
      </c>
      <c r="D373">
        <f>IF(C373&gt;=1,TRIM(MID(SUBSTITUTE(B373," ",REPT(" ",200)),1,200)),"")</f>
        <v/>
      </c>
      <c r="E373">
        <f>IF(C373&gt;=2,TRIM(MID(SUBSTITUTE(B373," ",REPT(" ",200)),201,200)),"")</f>
        <v/>
      </c>
      <c r="F373">
        <f>IF(C373&gt;=3,TRIM(MID(SUBSTITUTE(B373," ",REPT(" ",200)),401,200)),"")</f>
        <v/>
      </c>
      <c r="G373">
        <f>IF(C373&gt;=4,TRIM(MID(SUBSTITUTE(B373," ",REPT(" ",200)),601,200)),"")</f>
        <v/>
      </c>
      <c r="H373">
        <f>IF(C373&gt;=5,TRIM(MID(SUBSTITUTE(B373," ",REPT(" ",200)),801,200)),"")</f>
        <v/>
      </c>
      <c r="I373">
        <f>IF(C373&gt;=6,TRIM(MID(SUBSTITUTE(B373," ",REPT(" ",200)),1001,200)),"")</f>
        <v/>
      </c>
      <c r="J373">
        <f>IF(C373&gt;=7,TRIM(MID(SUBSTITUTE(B373," ",REPT(" ",200)),1201,200)),"")</f>
        <v/>
      </c>
      <c r="K373">
        <f>IF(C373&gt;=8,TRIM(MID(SUBSTITUTE(B373," ",REPT(" ",200)),1401,200)),"")</f>
        <v/>
      </c>
      <c r="L373">
        <f>SUBSTITUTE(SUBSTITUTE(SUBSTITUTE(D373,"年","-"),"組","-"),"番","")</f>
        <v/>
      </c>
      <c r="M373">
        <f>IF(D373="",0,IF(ISNUMBER(VALUE(SUBSTITUTE(L373,"-",""))),1,0))</f>
        <v/>
      </c>
      <c r="N373">
        <f>IF(M373=0,"",IFERROR(VALUE(TRIM(MID(SUBSTITUTE(L373,"-",REPT(" ",100)),101,100))),""))</f>
        <v/>
      </c>
      <c r="O373">
        <f>IF(M373=0,"",IFERROR(VALUE(TRIM(RIGHT(SUBSTITUTE(L373,"-",REPT(" ",100)),100))),""))</f>
        <v/>
      </c>
      <c r="P373">
        <f>IF(B373="","",TRIM(INDEX($D373:$K373,IF(M373=1,2,1))&amp;IF(AD373&gt;=2," "&amp;INDEX($D373:$K373,IF(M373=1,2,1)+1),"")&amp;IF(AD373&gt;=3," "&amp;INDEX($D373:$K373,IF(M373=1,2,1)+2),"")))</f>
        <v/>
      </c>
      <c r="Q373">
        <f>IF(C373&lt;2,"",TRIM(IF(AND(2&gt;=(IF(M373=1,2,1)+AD373),2&lt;=C373-IF(S373="",0,1)),E373&amp;" ","")&amp;IF(AND(3&gt;=(IF(M373=1,2,1)+AD373),3&lt;=C373-IF(S373="",0,1)),F373&amp;" ","")&amp;IF(AND(4&gt;=(IF(M373=1,2,1)+AD373),4&lt;=C373-IF(S373="",0,1)),G373&amp;" ","")&amp;IF(AND(5&gt;=(IF(M373=1,2,1)+AD373),5&lt;=C373-IF(S373="",0,1)),H373&amp;" ","")&amp;IF(AND(6&gt;=(IF(M373=1,2,1)+AD373),6&lt;=C373-IF(S373="",0,1)),I373&amp;" ","")&amp;IF(AND(7&gt;=(IF(M373=1,2,1)+AD373),7&lt;=C373-IF(S373="",0,1)),J373&amp;" ","")&amp;IF(AND(8&gt;=(IF(M373=1,2,1)+AD373),8&lt;=C373-IF(S373="",0,1)),K373&amp;" ","")))</f>
        <v/>
      </c>
      <c r="R373">
        <f>IF(Q373="","",IFERROR(INDEX(資格マスタ!$B:$B,MATCH(ASC(SUBSTITUTE(SUBSTITUTE(Q373," ",""),"　","")),資格マスタ!$D:$D,0)),Q373))</f>
        <v/>
      </c>
      <c r="S373" s="139">
        <f>IF(C373&lt;2,"",IFERROR(IF(OR(LEFT(INDEX(D373:K373,MIN(8,MAX(1,C373))),2)="令和",LEFT(INDEX(D373:K373,MIN(8,MAX(1,C373))),2)="平成",LEFT(INDEX(D373:K373,MIN(8,MAX(1,C373))),2)="昭和"),DATE(VALUE(MID(INDEX(D373:K373,MIN(8,MAX(1,C373))),3,FIND("年",INDEX(D373:K373,MIN(8,MAX(1,C373))))-3))+IF(LEFT(INDEX(D373:K373,MIN(8,MAX(1,C373))),2)="令和",2018,IF(LEFT(INDEX(D373:K373,MIN(8,MAX(1,C373))),2)="平成",1988,1925)),VALUE(MID(INDEX(D373:K373,MIN(8,MAX(1,C373))),FIND("年",INDEX(D373:K373,MIN(8,MAX(1,C373))))+1,FIND("月",INDEX(D373:K373,MIN(8,MAX(1,C373))))-FIND("年",INDEX(D373:K373,MIN(8,MAX(1,C373))))-1)),IFERROR(VALUE(SUBSTITUTE(MID(INDEX(D373:K373,MIN(8,MAX(1,C373))),FIND("月",INDEX(D373:K373,MIN(8,MAX(1,C373))))+1,10),"日","")),1)),DATE(VALUE(TRIM(MID(SUBSTITUTE(AA373,"/",REPT(" ",50)),1,50))),VALUE(TRIM(MID(SUBSTITUTE(AA373,"/",REPT(" ",50)),51,50))),IFERROR(VALUE(TRIM(MID(SUBSTITUTE(AA373,"/",REPT(" ",50)),101,50))),1))),IFERROR(DATEVALUE(INDEX(D373:K373,MIN(8,MAX(1,C373)))),"")))</f>
        <v/>
      </c>
      <c r="T373">
        <f>IF(B373="","",IF(AB373&lt;&gt;"",AB373,IFERROR(MATCH(SUBSTITUTE(SUBSTITUTE(P373," ",""),"　",""),入力!$AH$5:$AH$44,0),"")))</f>
        <v/>
      </c>
      <c r="U373">
        <f>IF(T373="","",INDEX(入力!$D$5:$D$44,T373))</f>
        <v/>
      </c>
      <c r="V373">
        <f>IF(B373="","",IF(T373="","要確認（名簿と照合できません）",IF(R373="","要確認（資格名がありません）",IF(S373="","要確認（取得日が読めません）",IF((IF(INDEX(入力!$N$5:$N$44,T373)=R373,1,0)+IF(INDEX(入力!$P$5:$P$44,T373)=R373,1,0)+IF(INDEX(入力!$R$5:$R$44,T373)=R373,1,0)+IF(INDEX(入力!$T$5:$T$44,T373)=R373,1,0)+IF(INDEX(入力!$V$5:$V$44,T373)=R373,1,0)+IF(INDEX(入力!$X$5:$X$44,T373)=R373,1,0))+(COUNTIFS($T$6:$T$405,T373,$R$6:$R$405,R373,$X$6:$X$405,"&lt;"&amp;X373))&gt;0,"重複","反映")))))</f>
        <v/>
      </c>
      <c r="W373">
        <f>IF(V373="反映",1,0)</f>
        <v/>
      </c>
      <c r="X373" t="n">
        <v>373</v>
      </c>
      <c r="Y373">
        <f>IF(W373=0,"",COUNTIFS($T$6:$T$405,T373,$W$6:$W$405,1,$S$6:$S$405,"&lt;"&amp;S373)+COUNTIFS($T$6:$T$405,T373,$W$6:$W$405,1,$S$6:$S$405,S373,$X$6:$X$405,"&lt;"&amp;X373)+1)</f>
        <v/>
      </c>
      <c r="Z373">
        <f>IF(Y373="","",T373&amp;"_"&amp;Y373)</f>
        <v/>
      </c>
      <c r="AA373">
        <f>SUBSTITUTE(SUBSTITUTE(SUBSTITUTE(SUBSTITUTE(SUBSTITUTE(INDEX(D373:K373,MIN(8,MAX(1,C373))),"年","/"),"月","/"),"日",""),"-","/"),".","/")</f>
        <v/>
      </c>
      <c r="AB373">
        <f>IFERROR(MATCH(O373,入力!$C$5:$C$44,0),"")</f>
        <v/>
      </c>
      <c r="AC373">
        <f>IF(AB373="","",INDEX(入力!$AH$5:$AH$44,AB373))</f>
        <v/>
      </c>
      <c r="AD373">
        <f>IF(INDEX($D373:$K373,IF(M373=1,2,1))=AC373,1,IF(INDEX($D373:$K373,IF(M373=1,2,1))&amp;INDEX($D373:$K373,IF(M373=1,2,1)+1)=AC373,2,IF(INDEX($D373:$K373,IF(M373=1,2,1))&amp;INDEX($D373:$K373,IF(M373=1,2,1)+1)&amp;INDEX($D373:$K373,IF(M373=1,2,1)+2)=AC373,3,IF(AB373&lt;&gt;"",2,IF(ISNUMBER(MATCH(INDEX($D373:$K373,IF(M373=1,2,1)),入力!$AH$5:$AH$44,0)),1,IF(ISNUMBER(MATCH(INDEX($D373:$K373,IF(M373=1,2,1))&amp;INDEX($D373:$K373,IF(M373=1,2,1)+1),入力!$AH$5:$AH$44,0)),2,IF(ISNUMBER(MATCH(INDEX($D373:$K373,IF(M373=1,2,1))&amp;INDEX($D373:$K373,IF(M373=1,2,1)+1)&amp;INDEX($D373:$K373,IF(M373=1,2,1)+2),入力!$AH$5:$AH$44,0)),3,2)))))))</f>
        <v/>
      </c>
      <c r="AE373">
        <f>IF(V373="","",IF(AND(V373="反映",N(Y373)&gt;20),"要確認（この生徒の取込が20件を超えました）",V373))</f>
        <v/>
      </c>
    </row>
    <row r="374">
      <c r="A374" s="138" t="n"/>
      <c r="B374">
        <f>TRIM(SUBSTITUTE(SUBSTITUTE(SUBSTITUTE(A374,CHAR(9)," "),"　"," "),CHAR(160)," "))</f>
        <v/>
      </c>
      <c r="C374">
        <f>IF(B374="",0,LEN(B374)-LEN(SUBSTITUTE(B374," ",""))+1)</f>
        <v/>
      </c>
      <c r="D374">
        <f>IF(C374&gt;=1,TRIM(MID(SUBSTITUTE(B374," ",REPT(" ",200)),1,200)),"")</f>
        <v/>
      </c>
      <c r="E374">
        <f>IF(C374&gt;=2,TRIM(MID(SUBSTITUTE(B374," ",REPT(" ",200)),201,200)),"")</f>
        <v/>
      </c>
      <c r="F374">
        <f>IF(C374&gt;=3,TRIM(MID(SUBSTITUTE(B374," ",REPT(" ",200)),401,200)),"")</f>
        <v/>
      </c>
      <c r="G374">
        <f>IF(C374&gt;=4,TRIM(MID(SUBSTITUTE(B374," ",REPT(" ",200)),601,200)),"")</f>
        <v/>
      </c>
      <c r="H374">
        <f>IF(C374&gt;=5,TRIM(MID(SUBSTITUTE(B374," ",REPT(" ",200)),801,200)),"")</f>
        <v/>
      </c>
      <c r="I374">
        <f>IF(C374&gt;=6,TRIM(MID(SUBSTITUTE(B374," ",REPT(" ",200)),1001,200)),"")</f>
        <v/>
      </c>
      <c r="J374">
        <f>IF(C374&gt;=7,TRIM(MID(SUBSTITUTE(B374," ",REPT(" ",200)),1201,200)),"")</f>
        <v/>
      </c>
      <c r="K374">
        <f>IF(C374&gt;=8,TRIM(MID(SUBSTITUTE(B374," ",REPT(" ",200)),1401,200)),"")</f>
        <v/>
      </c>
      <c r="L374">
        <f>SUBSTITUTE(SUBSTITUTE(SUBSTITUTE(D374,"年","-"),"組","-"),"番","")</f>
        <v/>
      </c>
      <c r="M374">
        <f>IF(D374="",0,IF(ISNUMBER(VALUE(SUBSTITUTE(L374,"-",""))),1,0))</f>
        <v/>
      </c>
      <c r="N374">
        <f>IF(M374=0,"",IFERROR(VALUE(TRIM(MID(SUBSTITUTE(L374,"-",REPT(" ",100)),101,100))),""))</f>
        <v/>
      </c>
      <c r="O374">
        <f>IF(M374=0,"",IFERROR(VALUE(TRIM(RIGHT(SUBSTITUTE(L374,"-",REPT(" ",100)),100))),""))</f>
        <v/>
      </c>
      <c r="P374">
        <f>IF(B374="","",TRIM(INDEX($D374:$K374,IF(M374=1,2,1))&amp;IF(AD374&gt;=2," "&amp;INDEX($D374:$K374,IF(M374=1,2,1)+1),"")&amp;IF(AD374&gt;=3," "&amp;INDEX($D374:$K374,IF(M374=1,2,1)+2),"")))</f>
        <v/>
      </c>
      <c r="Q374">
        <f>IF(C374&lt;2,"",TRIM(IF(AND(2&gt;=(IF(M374=1,2,1)+AD374),2&lt;=C374-IF(S374="",0,1)),E374&amp;" ","")&amp;IF(AND(3&gt;=(IF(M374=1,2,1)+AD374),3&lt;=C374-IF(S374="",0,1)),F374&amp;" ","")&amp;IF(AND(4&gt;=(IF(M374=1,2,1)+AD374),4&lt;=C374-IF(S374="",0,1)),G374&amp;" ","")&amp;IF(AND(5&gt;=(IF(M374=1,2,1)+AD374),5&lt;=C374-IF(S374="",0,1)),H374&amp;" ","")&amp;IF(AND(6&gt;=(IF(M374=1,2,1)+AD374),6&lt;=C374-IF(S374="",0,1)),I374&amp;" ","")&amp;IF(AND(7&gt;=(IF(M374=1,2,1)+AD374),7&lt;=C374-IF(S374="",0,1)),J374&amp;" ","")&amp;IF(AND(8&gt;=(IF(M374=1,2,1)+AD374),8&lt;=C374-IF(S374="",0,1)),K374&amp;" ","")))</f>
        <v/>
      </c>
      <c r="R374">
        <f>IF(Q374="","",IFERROR(INDEX(資格マスタ!$B:$B,MATCH(ASC(SUBSTITUTE(SUBSTITUTE(Q374," ",""),"　","")),資格マスタ!$D:$D,0)),Q374))</f>
        <v/>
      </c>
      <c r="S374" s="139">
        <f>IF(C374&lt;2,"",IFERROR(IF(OR(LEFT(INDEX(D374:K374,MIN(8,MAX(1,C374))),2)="令和",LEFT(INDEX(D374:K374,MIN(8,MAX(1,C374))),2)="平成",LEFT(INDEX(D374:K374,MIN(8,MAX(1,C374))),2)="昭和"),DATE(VALUE(MID(INDEX(D374:K374,MIN(8,MAX(1,C374))),3,FIND("年",INDEX(D374:K374,MIN(8,MAX(1,C374))))-3))+IF(LEFT(INDEX(D374:K374,MIN(8,MAX(1,C374))),2)="令和",2018,IF(LEFT(INDEX(D374:K374,MIN(8,MAX(1,C374))),2)="平成",1988,1925)),VALUE(MID(INDEX(D374:K374,MIN(8,MAX(1,C374))),FIND("年",INDEX(D374:K374,MIN(8,MAX(1,C374))))+1,FIND("月",INDEX(D374:K374,MIN(8,MAX(1,C374))))-FIND("年",INDEX(D374:K374,MIN(8,MAX(1,C374))))-1)),IFERROR(VALUE(SUBSTITUTE(MID(INDEX(D374:K374,MIN(8,MAX(1,C374))),FIND("月",INDEX(D374:K374,MIN(8,MAX(1,C374))))+1,10),"日","")),1)),DATE(VALUE(TRIM(MID(SUBSTITUTE(AA374,"/",REPT(" ",50)),1,50))),VALUE(TRIM(MID(SUBSTITUTE(AA374,"/",REPT(" ",50)),51,50))),IFERROR(VALUE(TRIM(MID(SUBSTITUTE(AA374,"/",REPT(" ",50)),101,50))),1))),IFERROR(DATEVALUE(INDEX(D374:K374,MIN(8,MAX(1,C374)))),"")))</f>
        <v/>
      </c>
      <c r="T374">
        <f>IF(B374="","",IF(AB374&lt;&gt;"",AB374,IFERROR(MATCH(SUBSTITUTE(SUBSTITUTE(P374," ",""),"　",""),入力!$AH$5:$AH$44,0),"")))</f>
        <v/>
      </c>
      <c r="U374">
        <f>IF(T374="","",INDEX(入力!$D$5:$D$44,T374))</f>
        <v/>
      </c>
      <c r="V374">
        <f>IF(B374="","",IF(T374="","要確認（名簿と照合できません）",IF(R374="","要確認（資格名がありません）",IF(S374="","要確認（取得日が読めません）",IF((IF(INDEX(入力!$N$5:$N$44,T374)=R374,1,0)+IF(INDEX(入力!$P$5:$P$44,T374)=R374,1,0)+IF(INDEX(入力!$R$5:$R$44,T374)=R374,1,0)+IF(INDEX(入力!$T$5:$T$44,T374)=R374,1,0)+IF(INDEX(入力!$V$5:$V$44,T374)=R374,1,0)+IF(INDEX(入力!$X$5:$X$44,T374)=R374,1,0))+(COUNTIFS($T$6:$T$405,T374,$R$6:$R$405,R374,$X$6:$X$405,"&lt;"&amp;X374))&gt;0,"重複","反映")))))</f>
        <v/>
      </c>
      <c r="W374">
        <f>IF(V374="反映",1,0)</f>
        <v/>
      </c>
      <c r="X374" t="n">
        <v>374</v>
      </c>
      <c r="Y374">
        <f>IF(W374=0,"",COUNTIFS($T$6:$T$405,T374,$W$6:$W$405,1,$S$6:$S$405,"&lt;"&amp;S374)+COUNTIFS($T$6:$T$405,T374,$W$6:$W$405,1,$S$6:$S$405,S374,$X$6:$X$405,"&lt;"&amp;X374)+1)</f>
        <v/>
      </c>
      <c r="Z374">
        <f>IF(Y374="","",T374&amp;"_"&amp;Y374)</f>
        <v/>
      </c>
      <c r="AA374">
        <f>SUBSTITUTE(SUBSTITUTE(SUBSTITUTE(SUBSTITUTE(SUBSTITUTE(INDEX(D374:K374,MIN(8,MAX(1,C374))),"年","/"),"月","/"),"日",""),"-","/"),".","/")</f>
        <v/>
      </c>
      <c r="AB374">
        <f>IFERROR(MATCH(O374,入力!$C$5:$C$44,0),"")</f>
        <v/>
      </c>
      <c r="AC374">
        <f>IF(AB374="","",INDEX(入力!$AH$5:$AH$44,AB374))</f>
        <v/>
      </c>
      <c r="AD374">
        <f>IF(INDEX($D374:$K374,IF(M374=1,2,1))=AC374,1,IF(INDEX($D374:$K374,IF(M374=1,2,1))&amp;INDEX($D374:$K374,IF(M374=1,2,1)+1)=AC374,2,IF(INDEX($D374:$K374,IF(M374=1,2,1))&amp;INDEX($D374:$K374,IF(M374=1,2,1)+1)&amp;INDEX($D374:$K374,IF(M374=1,2,1)+2)=AC374,3,IF(AB374&lt;&gt;"",2,IF(ISNUMBER(MATCH(INDEX($D374:$K374,IF(M374=1,2,1)),入力!$AH$5:$AH$44,0)),1,IF(ISNUMBER(MATCH(INDEX($D374:$K374,IF(M374=1,2,1))&amp;INDEX($D374:$K374,IF(M374=1,2,1)+1),入力!$AH$5:$AH$44,0)),2,IF(ISNUMBER(MATCH(INDEX($D374:$K374,IF(M374=1,2,1))&amp;INDEX($D374:$K374,IF(M374=1,2,1)+1)&amp;INDEX($D374:$K374,IF(M374=1,2,1)+2),入力!$AH$5:$AH$44,0)),3,2)))))))</f>
        <v/>
      </c>
      <c r="AE374">
        <f>IF(V374="","",IF(AND(V374="反映",N(Y374)&gt;20),"要確認（この生徒の取込が20件を超えました）",V374))</f>
        <v/>
      </c>
    </row>
    <row r="375">
      <c r="A375" s="138" t="n"/>
      <c r="B375">
        <f>TRIM(SUBSTITUTE(SUBSTITUTE(SUBSTITUTE(A375,CHAR(9)," "),"　"," "),CHAR(160)," "))</f>
        <v/>
      </c>
      <c r="C375">
        <f>IF(B375="",0,LEN(B375)-LEN(SUBSTITUTE(B375," ",""))+1)</f>
        <v/>
      </c>
      <c r="D375">
        <f>IF(C375&gt;=1,TRIM(MID(SUBSTITUTE(B375," ",REPT(" ",200)),1,200)),"")</f>
        <v/>
      </c>
      <c r="E375">
        <f>IF(C375&gt;=2,TRIM(MID(SUBSTITUTE(B375," ",REPT(" ",200)),201,200)),"")</f>
        <v/>
      </c>
      <c r="F375">
        <f>IF(C375&gt;=3,TRIM(MID(SUBSTITUTE(B375," ",REPT(" ",200)),401,200)),"")</f>
        <v/>
      </c>
      <c r="G375">
        <f>IF(C375&gt;=4,TRIM(MID(SUBSTITUTE(B375," ",REPT(" ",200)),601,200)),"")</f>
        <v/>
      </c>
      <c r="H375">
        <f>IF(C375&gt;=5,TRIM(MID(SUBSTITUTE(B375," ",REPT(" ",200)),801,200)),"")</f>
        <v/>
      </c>
      <c r="I375">
        <f>IF(C375&gt;=6,TRIM(MID(SUBSTITUTE(B375," ",REPT(" ",200)),1001,200)),"")</f>
        <v/>
      </c>
      <c r="J375">
        <f>IF(C375&gt;=7,TRIM(MID(SUBSTITUTE(B375," ",REPT(" ",200)),1201,200)),"")</f>
        <v/>
      </c>
      <c r="K375">
        <f>IF(C375&gt;=8,TRIM(MID(SUBSTITUTE(B375," ",REPT(" ",200)),1401,200)),"")</f>
        <v/>
      </c>
      <c r="L375">
        <f>SUBSTITUTE(SUBSTITUTE(SUBSTITUTE(D375,"年","-"),"組","-"),"番","")</f>
        <v/>
      </c>
      <c r="M375">
        <f>IF(D375="",0,IF(ISNUMBER(VALUE(SUBSTITUTE(L375,"-",""))),1,0))</f>
        <v/>
      </c>
      <c r="N375">
        <f>IF(M375=0,"",IFERROR(VALUE(TRIM(MID(SUBSTITUTE(L375,"-",REPT(" ",100)),101,100))),""))</f>
        <v/>
      </c>
      <c r="O375">
        <f>IF(M375=0,"",IFERROR(VALUE(TRIM(RIGHT(SUBSTITUTE(L375,"-",REPT(" ",100)),100))),""))</f>
        <v/>
      </c>
      <c r="P375">
        <f>IF(B375="","",TRIM(INDEX($D375:$K375,IF(M375=1,2,1))&amp;IF(AD375&gt;=2," "&amp;INDEX($D375:$K375,IF(M375=1,2,1)+1),"")&amp;IF(AD375&gt;=3," "&amp;INDEX($D375:$K375,IF(M375=1,2,1)+2),"")))</f>
        <v/>
      </c>
      <c r="Q375">
        <f>IF(C375&lt;2,"",TRIM(IF(AND(2&gt;=(IF(M375=1,2,1)+AD375),2&lt;=C375-IF(S375="",0,1)),E375&amp;" ","")&amp;IF(AND(3&gt;=(IF(M375=1,2,1)+AD375),3&lt;=C375-IF(S375="",0,1)),F375&amp;" ","")&amp;IF(AND(4&gt;=(IF(M375=1,2,1)+AD375),4&lt;=C375-IF(S375="",0,1)),G375&amp;" ","")&amp;IF(AND(5&gt;=(IF(M375=1,2,1)+AD375),5&lt;=C375-IF(S375="",0,1)),H375&amp;" ","")&amp;IF(AND(6&gt;=(IF(M375=1,2,1)+AD375),6&lt;=C375-IF(S375="",0,1)),I375&amp;" ","")&amp;IF(AND(7&gt;=(IF(M375=1,2,1)+AD375),7&lt;=C375-IF(S375="",0,1)),J375&amp;" ","")&amp;IF(AND(8&gt;=(IF(M375=1,2,1)+AD375),8&lt;=C375-IF(S375="",0,1)),K375&amp;" ","")))</f>
        <v/>
      </c>
      <c r="R375">
        <f>IF(Q375="","",IFERROR(INDEX(資格マスタ!$B:$B,MATCH(ASC(SUBSTITUTE(SUBSTITUTE(Q375," ",""),"　","")),資格マスタ!$D:$D,0)),Q375))</f>
        <v/>
      </c>
      <c r="S375" s="139">
        <f>IF(C375&lt;2,"",IFERROR(IF(OR(LEFT(INDEX(D375:K375,MIN(8,MAX(1,C375))),2)="令和",LEFT(INDEX(D375:K375,MIN(8,MAX(1,C375))),2)="平成",LEFT(INDEX(D375:K375,MIN(8,MAX(1,C375))),2)="昭和"),DATE(VALUE(MID(INDEX(D375:K375,MIN(8,MAX(1,C375))),3,FIND("年",INDEX(D375:K375,MIN(8,MAX(1,C375))))-3))+IF(LEFT(INDEX(D375:K375,MIN(8,MAX(1,C375))),2)="令和",2018,IF(LEFT(INDEX(D375:K375,MIN(8,MAX(1,C375))),2)="平成",1988,1925)),VALUE(MID(INDEX(D375:K375,MIN(8,MAX(1,C375))),FIND("年",INDEX(D375:K375,MIN(8,MAX(1,C375))))+1,FIND("月",INDEX(D375:K375,MIN(8,MAX(1,C375))))-FIND("年",INDEX(D375:K375,MIN(8,MAX(1,C375))))-1)),IFERROR(VALUE(SUBSTITUTE(MID(INDEX(D375:K375,MIN(8,MAX(1,C375))),FIND("月",INDEX(D375:K375,MIN(8,MAX(1,C375))))+1,10),"日","")),1)),DATE(VALUE(TRIM(MID(SUBSTITUTE(AA375,"/",REPT(" ",50)),1,50))),VALUE(TRIM(MID(SUBSTITUTE(AA375,"/",REPT(" ",50)),51,50))),IFERROR(VALUE(TRIM(MID(SUBSTITUTE(AA375,"/",REPT(" ",50)),101,50))),1))),IFERROR(DATEVALUE(INDEX(D375:K375,MIN(8,MAX(1,C375)))),"")))</f>
        <v/>
      </c>
      <c r="T375">
        <f>IF(B375="","",IF(AB375&lt;&gt;"",AB375,IFERROR(MATCH(SUBSTITUTE(SUBSTITUTE(P375," ",""),"　",""),入力!$AH$5:$AH$44,0),"")))</f>
        <v/>
      </c>
      <c r="U375">
        <f>IF(T375="","",INDEX(入力!$D$5:$D$44,T375))</f>
        <v/>
      </c>
      <c r="V375">
        <f>IF(B375="","",IF(T375="","要確認（名簿と照合できません）",IF(R375="","要確認（資格名がありません）",IF(S375="","要確認（取得日が読めません）",IF((IF(INDEX(入力!$N$5:$N$44,T375)=R375,1,0)+IF(INDEX(入力!$P$5:$P$44,T375)=R375,1,0)+IF(INDEX(入力!$R$5:$R$44,T375)=R375,1,0)+IF(INDEX(入力!$T$5:$T$44,T375)=R375,1,0)+IF(INDEX(入力!$V$5:$V$44,T375)=R375,1,0)+IF(INDEX(入力!$X$5:$X$44,T375)=R375,1,0))+(COUNTIFS($T$6:$T$405,T375,$R$6:$R$405,R375,$X$6:$X$405,"&lt;"&amp;X375))&gt;0,"重複","反映")))))</f>
        <v/>
      </c>
      <c r="W375">
        <f>IF(V375="反映",1,0)</f>
        <v/>
      </c>
      <c r="X375" t="n">
        <v>375</v>
      </c>
      <c r="Y375">
        <f>IF(W375=0,"",COUNTIFS($T$6:$T$405,T375,$W$6:$W$405,1,$S$6:$S$405,"&lt;"&amp;S375)+COUNTIFS($T$6:$T$405,T375,$W$6:$W$405,1,$S$6:$S$405,S375,$X$6:$X$405,"&lt;"&amp;X375)+1)</f>
        <v/>
      </c>
      <c r="Z375">
        <f>IF(Y375="","",T375&amp;"_"&amp;Y375)</f>
        <v/>
      </c>
      <c r="AA375">
        <f>SUBSTITUTE(SUBSTITUTE(SUBSTITUTE(SUBSTITUTE(SUBSTITUTE(INDEX(D375:K375,MIN(8,MAX(1,C375))),"年","/"),"月","/"),"日",""),"-","/"),".","/")</f>
        <v/>
      </c>
      <c r="AB375">
        <f>IFERROR(MATCH(O375,入力!$C$5:$C$44,0),"")</f>
        <v/>
      </c>
      <c r="AC375">
        <f>IF(AB375="","",INDEX(入力!$AH$5:$AH$44,AB375))</f>
        <v/>
      </c>
      <c r="AD375">
        <f>IF(INDEX($D375:$K375,IF(M375=1,2,1))=AC375,1,IF(INDEX($D375:$K375,IF(M375=1,2,1))&amp;INDEX($D375:$K375,IF(M375=1,2,1)+1)=AC375,2,IF(INDEX($D375:$K375,IF(M375=1,2,1))&amp;INDEX($D375:$K375,IF(M375=1,2,1)+1)&amp;INDEX($D375:$K375,IF(M375=1,2,1)+2)=AC375,3,IF(AB375&lt;&gt;"",2,IF(ISNUMBER(MATCH(INDEX($D375:$K375,IF(M375=1,2,1)),入力!$AH$5:$AH$44,0)),1,IF(ISNUMBER(MATCH(INDEX($D375:$K375,IF(M375=1,2,1))&amp;INDEX($D375:$K375,IF(M375=1,2,1)+1),入力!$AH$5:$AH$44,0)),2,IF(ISNUMBER(MATCH(INDEX($D375:$K375,IF(M375=1,2,1))&amp;INDEX($D375:$K375,IF(M375=1,2,1)+1)&amp;INDEX($D375:$K375,IF(M375=1,2,1)+2),入力!$AH$5:$AH$44,0)),3,2)))))))</f>
        <v/>
      </c>
      <c r="AE375">
        <f>IF(V375="","",IF(AND(V375="反映",N(Y375)&gt;20),"要確認（この生徒の取込が20件を超えました）",V375))</f>
        <v/>
      </c>
    </row>
    <row r="376">
      <c r="A376" s="138" t="n"/>
      <c r="B376">
        <f>TRIM(SUBSTITUTE(SUBSTITUTE(SUBSTITUTE(A376,CHAR(9)," "),"　"," "),CHAR(160)," "))</f>
        <v/>
      </c>
      <c r="C376">
        <f>IF(B376="",0,LEN(B376)-LEN(SUBSTITUTE(B376," ",""))+1)</f>
        <v/>
      </c>
      <c r="D376">
        <f>IF(C376&gt;=1,TRIM(MID(SUBSTITUTE(B376," ",REPT(" ",200)),1,200)),"")</f>
        <v/>
      </c>
      <c r="E376">
        <f>IF(C376&gt;=2,TRIM(MID(SUBSTITUTE(B376," ",REPT(" ",200)),201,200)),"")</f>
        <v/>
      </c>
      <c r="F376">
        <f>IF(C376&gt;=3,TRIM(MID(SUBSTITUTE(B376," ",REPT(" ",200)),401,200)),"")</f>
        <v/>
      </c>
      <c r="G376">
        <f>IF(C376&gt;=4,TRIM(MID(SUBSTITUTE(B376," ",REPT(" ",200)),601,200)),"")</f>
        <v/>
      </c>
      <c r="H376">
        <f>IF(C376&gt;=5,TRIM(MID(SUBSTITUTE(B376," ",REPT(" ",200)),801,200)),"")</f>
        <v/>
      </c>
      <c r="I376">
        <f>IF(C376&gt;=6,TRIM(MID(SUBSTITUTE(B376," ",REPT(" ",200)),1001,200)),"")</f>
        <v/>
      </c>
      <c r="J376">
        <f>IF(C376&gt;=7,TRIM(MID(SUBSTITUTE(B376," ",REPT(" ",200)),1201,200)),"")</f>
        <v/>
      </c>
      <c r="K376">
        <f>IF(C376&gt;=8,TRIM(MID(SUBSTITUTE(B376," ",REPT(" ",200)),1401,200)),"")</f>
        <v/>
      </c>
      <c r="L376">
        <f>SUBSTITUTE(SUBSTITUTE(SUBSTITUTE(D376,"年","-"),"組","-"),"番","")</f>
        <v/>
      </c>
      <c r="M376">
        <f>IF(D376="",0,IF(ISNUMBER(VALUE(SUBSTITUTE(L376,"-",""))),1,0))</f>
        <v/>
      </c>
      <c r="N376">
        <f>IF(M376=0,"",IFERROR(VALUE(TRIM(MID(SUBSTITUTE(L376,"-",REPT(" ",100)),101,100))),""))</f>
        <v/>
      </c>
      <c r="O376">
        <f>IF(M376=0,"",IFERROR(VALUE(TRIM(RIGHT(SUBSTITUTE(L376,"-",REPT(" ",100)),100))),""))</f>
        <v/>
      </c>
      <c r="P376">
        <f>IF(B376="","",TRIM(INDEX($D376:$K376,IF(M376=1,2,1))&amp;IF(AD376&gt;=2," "&amp;INDEX($D376:$K376,IF(M376=1,2,1)+1),"")&amp;IF(AD376&gt;=3," "&amp;INDEX($D376:$K376,IF(M376=1,2,1)+2),"")))</f>
        <v/>
      </c>
      <c r="Q376">
        <f>IF(C376&lt;2,"",TRIM(IF(AND(2&gt;=(IF(M376=1,2,1)+AD376),2&lt;=C376-IF(S376="",0,1)),E376&amp;" ","")&amp;IF(AND(3&gt;=(IF(M376=1,2,1)+AD376),3&lt;=C376-IF(S376="",0,1)),F376&amp;" ","")&amp;IF(AND(4&gt;=(IF(M376=1,2,1)+AD376),4&lt;=C376-IF(S376="",0,1)),G376&amp;" ","")&amp;IF(AND(5&gt;=(IF(M376=1,2,1)+AD376),5&lt;=C376-IF(S376="",0,1)),H376&amp;" ","")&amp;IF(AND(6&gt;=(IF(M376=1,2,1)+AD376),6&lt;=C376-IF(S376="",0,1)),I376&amp;" ","")&amp;IF(AND(7&gt;=(IF(M376=1,2,1)+AD376),7&lt;=C376-IF(S376="",0,1)),J376&amp;" ","")&amp;IF(AND(8&gt;=(IF(M376=1,2,1)+AD376),8&lt;=C376-IF(S376="",0,1)),K376&amp;" ","")))</f>
        <v/>
      </c>
      <c r="R376">
        <f>IF(Q376="","",IFERROR(INDEX(資格マスタ!$B:$B,MATCH(ASC(SUBSTITUTE(SUBSTITUTE(Q376," ",""),"　","")),資格マスタ!$D:$D,0)),Q376))</f>
        <v/>
      </c>
      <c r="S376" s="139">
        <f>IF(C376&lt;2,"",IFERROR(IF(OR(LEFT(INDEX(D376:K376,MIN(8,MAX(1,C376))),2)="令和",LEFT(INDEX(D376:K376,MIN(8,MAX(1,C376))),2)="平成",LEFT(INDEX(D376:K376,MIN(8,MAX(1,C376))),2)="昭和"),DATE(VALUE(MID(INDEX(D376:K376,MIN(8,MAX(1,C376))),3,FIND("年",INDEX(D376:K376,MIN(8,MAX(1,C376))))-3))+IF(LEFT(INDEX(D376:K376,MIN(8,MAX(1,C376))),2)="令和",2018,IF(LEFT(INDEX(D376:K376,MIN(8,MAX(1,C376))),2)="平成",1988,1925)),VALUE(MID(INDEX(D376:K376,MIN(8,MAX(1,C376))),FIND("年",INDEX(D376:K376,MIN(8,MAX(1,C376))))+1,FIND("月",INDEX(D376:K376,MIN(8,MAX(1,C376))))-FIND("年",INDEX(D376:K376,MIN(8,MAX(1,C376))))-1)),IFERROR(VALUE(SUBSTITUTE(MID(INDEX(D376:K376,MIN(8,MAX(1,C376))),FIND("月",INDEX(D376:K376,MIN(8,MAX(1,C376))))+1,10),"日","")),1)),DATE(VALUE(TRIM(MID(SUBSTITUTE(AA376,"/",REPT(" ",50)),1,50))),VALUE(TRIM(MID(SUBSTITUTE(AA376,"/",REPT(" ",50)),51,50))),IFERROR(VALUE(TRIM(MID(SUBSTITUTE(AA376,"/",REPT(" ",50)),101,50))),1))),IFERROR(DATEVALUE(INDEX(D376:K376,MIN(8,MAX(1,C376)))),"")))</f>
        <v/>
      </c>
      <c r="T376">
        <f>IF(B376="","",IF(AB376&lt;&gt;"",AB376,IFERROR(MATCH(SUBSTITUTE(SUBSTITUTE(P376," ",""),"　",""),入力!$AH$5:$AH$44,0),"")))</f>
        <v/>
      </c>
      <c r="U376">
        <f>IF(T376="","",INDEX(入力!$D$5:$D$44,T376))</f>
        <v/>
      </c>
      <c r="V376">
        <f>IF(B376="","",IF(T376="","要確認（名簿と照合できません）",IF(R376="","要確認（資格名がありません）",IF(S376="","要確認（取得日が読めません）",IF((IF(INDEX(入力!$N$5:$N$44,T376)=R376,1,0)+IF(INDEX(入力!$P$5:$P$44,T376)=R376,1,0)+IF(INDEX(入力!$R$5:$R$44,T376)=R376,1,0)+IF(INDEX(入力!$T$5:$T$44,T376)=R376,1,0)+IF(INDEX(入力!$V$5:$V$44,T376)=R376,1,0)+IF(INDEX(入力!$X$5:$X$44,T376)=R376,1,0))+(COUNTIFS($T$6:$T$405,T376,$R$6:$R$405,R376,$X$6:$X$405,"&lt;"&amp;X376))&gt;0,"重複","反映")))))</f>
        <v/>
      </c>
      <c r="W376">
        <f>IF(V376="反映",1,0)</f>
        <v/>
      </c>
      <c r="X376" t="n">
        <v>376</v>
      </c>
      <c r="Y376">
        <f>IF(W376=0,"",COUNTIFS($T$6:$T$405,T376,$W$6:$W$405,1,$S$6:$S$405,"&lt;"&amp;S376)+COUNTIFS($T$6:$T$405,T376,$W$6:$W$405,1,$S$6:$S$405,S376,$X$6:$X$405,"&lt;"&amp;X376)+1)</f>
        <v/>
      </c>
      <c r="Z376">
        <f>IF(Y376="","",T376&amp;"_"&amp;Y376)</f>
        <v/>
      </c>
      <c r="AA376">
        <f>SUBSTITUTE(SUBSTITUTE(SUBSTITUTE(SUBSTITUTE(SUBSTITUTE(INDEX(D376:K376,MIN(8,MAX(1,C376))),"年","/"),"月","/"),"日",""),"-","/"),".","/")</f>
        <v/>
      </c>
      <c r="AB376">
        <f>IFERROR(MATCH(O376,入力!$C$5:$C$44,0),"")</f>
        <v/>
      </c>
      <c r="AC376">
        <f>IF(AB376="","",INDEX(入力!$AH$5:$AH$44,AB376))</f>
        <v/>
      </c>
      <c r="AD376">
        <f>IF(INDEX($D376:$K376,IF(M376=1,2,1))=AC376,1,IF(INDEX($D376:$K376,IF(M376=1,2,1))&amp;INDEX($D376:$K376,IF(M376=1,2,1)+1)=AC376,2,IF(INDEX($D376:$K376,IF(M376=1,2,1))&amp;INDEX($D376:$K376,IF(M376=1,2,1)+1)&amp;INDEX($D376:$K376,IF(M376=1,2,1)+2)=AC376,3,IF(AB376&lt;&gt;"",2,IF(ISNUMBER(MATCH(INDEX($D376:$K376,IF(M376=1,2,1)),入力!$AH$5:$AH$44,0)),1,IF(ISNUMBER(MATCH(INDEX($D376:$K376,IF(M376=1,2,1))&amp;INDEX($D376:$K376,IF(M376=1,2,1)+1),入力!$AH$5:$AH$44,0)),2,IF(ISNUMBER(MATCH(INDEX($D376:$K376,IF(M376=1,2,1))&amp;INDEX($D376:$K376,IF(M376=1,2,1)+1)&amp;INDEX($D376:$K376,IF(M376=1,2,1)+2),入力!$AH$5:$AH$44,0)),3,2)))))))</f>
        <v/>
      </c>
      <c r="AE376">
        <f>IF(V376="","",IF(AND(V376="反映",N(Y376)&gt;20),"要確認（この生徒の取込が20件を超えました）",V376))</f>
        <v/>
      </c>
    </row>
    <row r="377">
      <c r="A377" s="138" t="n"/>
      <c r="B377">
        <f>TRIM(SUBSTITUTE(SUBSTITUTE(SUBSTITUTE(A377,CHAR(9)," "),"　"," "),CHAR(160)," "))</f>
        <v/>
      </c>
      <c r="C377">
        <f>IF(B377="",0,LEN(B377)-LEN(SUBSTITUTE(B377," ",""))+1)</f>
        <v/>
      </c>
      <c r="D377">
        <f>IF(C377&gt;=1,TRIM(MID(SUBSTITUTE(B377," ",REPT(" ",200)),1,200)),"")</f>
        <v/>
      </c>
      <c r="E377">
        <f>IF(C377&gt;=2,TRIM(MID(SUBSTITUTE(B377," ",REPT(" ",200)),201,200)),"")</f>
        <v/>
      </c>
      <c r="F377">
        <f>IF(C377&gt;=3,TRIM(MID(SUBSTITUTE(B377," ",REPT(" ",200)),401,200)),"")</f>
        <v/>
      </c>
      <c r="G377">
        <f>IF(C377&gt;=4,TRIM(MID(SUBSTITUTE(B377," ",REPT(" ",200)),601,200)),"")</f>
        <v/>
      </c>
      <c r="H377">
        <f>IF(C377&gt;=5,TRIM(MID(SUBSTITUTE(B377," ",REPT(" ",200)),801,200)),"")</f>
        <v/>
      </c>
      <c r="I377">
        <f>IF(C377&gt;=6,TRIM(MID(SUBSTITUTE(B377," ",REPT(" ",200)),1001,200)),"")</f>
        <v/>
      </c>
      <c r="J377">
        <f>IF(C377&gt;=7,TRIM(MID(SUBSTITUTE(B377," ",REPT(" ",200)),1201,200)),"")</f>
        <v/>
      </c>
      <c r="K377">
        <f>IF(C377&gt;=8,TRIM(MID(SUBSTITUTE(B377," ",REPT(" ",200)),1401,200)),"")</f>
        <v/>
      </c>
      <c r="L377">
        <f>SUBSTITUTE(SUBSTITUTE(SUBSTITUTE(D377,"年","-"),"組","-"),"番","")</f>
        <v/>
      </c>
      <c r="M377">
        <f>IF(D377="",0,IF(ISNUMBER(VALUE(SUBSTITUTE(L377,"-",""))),1,0))</f>
        <v/>
      </c>
      <c r="N377">
        <f>IF(M377=0,"",IFERROR(VALUE(TRIM(MID(SUBSTITUTE(L377,"-",REPT(" ",100)),101,100))),""))</f>
        <v/>
      </c>
      <c r="O377">
        <f>IF(M377=0,"",IFERROR(VALUE(TRIM(RIGHT(SUBSTITUTE(L377,"-",REPT(" ",100)),100))),""))</f>
        <v/>
      </c>
      <c r="P377">
        <f>IF(B377="","",TRIM(INDEX($D377:$K377,IF(M377=1,2,1))&amp;IF(AD377&gt;=2," "&amp;INDEX($D377:$K377,IF(M377=1,2,1)+1),"")&amp;IF(AD377&gt;=3," "&amp;INDEX($D377:$K377,IF(M377=1,2,1)+2),"")))</f>
        <v/>
      </c>
      <c r="Q377">
        <f>IF(C377&lt;2,"",TRIM(IF(AND(2&gt;=(IF(M377=1,2,1)+AD377),2&lt;=C377-IF(S377="",0,1)),E377&amp;" ","")&amp;IF(AND(3&gt;=(IF(M377=1,2,1)+AD377),3&lt;=C377-IF(S377="",0,1)),F377&amp;" ","")&amp;IF(AND(4&gt;=(IF(M377=1,2,1)+AD377),4&lt;=C377-IF(S377="",0,1)),G377&amp;" ","")&amp;IF(AND(5&gt;=(IF(M377=1,2,1)+AD377),5&lt;=C377-IF(S377="",0,1)),H377&amp;" ","")&amp;IF(AND(6&gt;=(IF(M377=1,2,1)+AD377),6&lt;=C377-IF(S377="",0,1)),I377&amp;" ","")&amp;IF(AND(7&gt;=(IF(M377=1,2,1)+AD377),7&lt;=C377-IF(S377="",0,1)),J377&amp;" ","")&amp;IF(AND(8&gt;=(IF(M377=1,2,1)+AD377),8&lt;=C377-IF(S377="",0,1)),K377&amp;" ","")))</f>
        <v/>
      </c>
      <c r="R377">
        <f>IF(Q377="","",IFERROR(INDEX(資格マスタ!$B:$B,MATCH(ASC(SUBSTITUTE(SUBSTITUTE(Q377," ",""),"　","")),資格マスタ!$D:$D,0)),Q377))</f>
        <v/>
      </c>
      <c r="S377" s="139">
        <f>IF(C377&lt;2,"",IFERROR(IF(OR(LEFT(INDEX(D377:K377,MIN(8,MAX(1,C377))),2)="令和",LEFT(INDEX(D377:K377,MIN(8,MAX(1,C377))),2)="平成",LEFT(INDEX(D377:K377,MIN(8,MAX(1,C377))),2)="昭和"),DATE(VALUE(MID(INDEX(D377:K377,MIN(8,MAX(1,C377))),3,FIND("年",INDEX(D377:K377,MIN(8,MAX(1,C377))))-3))+IF(LEFT(INDEX(D377:K377,MIN(8,MAX(1,C377))),2)="令和",2018,IF(LEFT(INDEX(D377:K377,MIN(8,MAX(1,C377))),2)="平成",1988,1925)),VALUE(MID(INDEX(D377:K377,MIN(8,MAX(1,C377))),FIND("年",INDEX(D377:K377,MIN(8,MAX(1,C377))))+1,FIND("月",INDEX(D377:K377,MIN(8,MAX(1,C377))))-FIND("年",INDEX(D377:K377,MIN(8,MAX(1,C377))))-1)),IFERROR(VALUE(SUBSTITUTE(MID(INDEX(D377:K377,MIN(8,MAX(1,C377))),FIND("月",INDEX(D377:K377,MIN(8,MAX(1,C377))))+1,10),"日","")),1)),DATE(VALUE(TRIM(MID(SUBSTITUTE(AA377,"/",REPT(" ",50)),1,50))),VALUE(TRIM(MID(SUBSTITUTE(AA377,"/",REPT(" ",50)),51,50))),IFERROR(VALUE(TRIM(MID(SUBSTITUTE(AA377,"/",REPT(" ",50)),101,50))),1))),IFERROR(DATEVALUE(INDEX(D377:K377,MIN(8,MAX(1,C377)))),"")))</f>
        <v/>
      </c>
      <c r="T377">
        <f>IF(B377="","",IF(AB377&lt;&gt;"",AB377,IFERROR(MATCH(SUBSTITUTE(SUBSTITUTE(P377," ",""),"　",""),入力!$AH$5:$AH$44,0),"")))</f>
        <v/>
      </c>
      <c r="U377">
        <f>IF(T377="","",INDEX(入力!$D$5:$D$44,T377))</f>
        <v/>
      </c>
      <c r="V377">
        <f>IF(B377="","",IF(T377="","要確認（名簿と照合できません）",IF(R377="","要確認（資格名がありません）",IF(S377="","要確認（取得日が読めません）",IF((IF(INDEX(入力!$N$5:$N$44,T377)=R377,1,0)+IF(INDEX(入力!$P$5:$P$44,T377)=R377,1,0)+IF(INDEX(入力!$R$5:$R$44,T377)=R377,1,0)+IF(INDEX(入力!$T$5:$T$44,T377)=R377,1,0)+IF(INDEX(入力!$V$5:$V$44,T377)=R377,1,0)+IF(INDEX(入力!$X$5:$X$44,T377)=R377,1,0))+(COUNTIFS($T$6:$T$405,T377,$R$6:$R$405,R377,$X$6:$X$405,"&lt;"&amp;X377))&gt;0,"重複","反映")))))</f>
        <v/>
      </c>
      <c r="W377">
        <f>IF(V377="反映",1,0)</f>
        <v/>
      </c>
      <c r="X377" t="n">
        <v>377</v>
      </c>
      <c r="Y377">
        <f>IF(W377=0,"",COUNTIFS($T$6:$T$405,T377,$W$6:$W$405,1,$S$6:$S$405,"&lt;"&amp;S377)+COUNTIFS($T$6:$T$405,T377,$W$6:$W$405,1,$S$6:$S$405,S377,$X$6:$X$405,"&lt;"&amp;X377)+1)</f>
        <v/>
      </c>
      <c r="Z377">
        <f>IF(Y377="","",T377&amp;"_"&amp;Y377)</f>
        <v/>
      </c>
      <c r="AA377">
        <f>SUBSTITUTE(SUBSTITUTE(SUBSTITUTE(SUBSTITUTE(SUBSTITUTE(INDEX(D377:K377,MIN(8,MAX(1,C377))),"年","/"),"月","/"),"日",""),"-","/"),".","/")</f>
        <v/>
      </c>
      <c r="AB377">
        <f>IFERROR(MATCH(O377,入力!$C$5:$C$44,0),"")</f>
        <v/>
      </c>
      <c r="AC377">
        <f>IF(AB377="","",INDEX(入力!$AH$5:$AH$44,AB377))</f>
        <v/>
      </c>
      <c r="AD377">
        <f>IF(INDEX($D377:$K377,IF(M377=1,2,1))=AC377,1,IF(INDEX($D377:$K377,IF(M377=1,2,1))&amp;INDEX($D377:$K377,IF(M377=1,2,1)+1)=AC377,2,IF(INDEX($D377:$K377,IF(M377=1,2,1))&amp;INDEX($D377:$K377,IF(M377=1,2,1)+1)&amp;INDEX($D377:$K377,IF(M377=1,2,1)+2)=AC377,3,IF(AB377&lt;&gt;"",2,IF(ISNUMBER(MATCH(INDEX($D377:$K377,IF(M377=1,2,1)),入力!$AH$5:$AH$44,0)),1,IF(ISNUMBER(MATCH(INDEX($D377:$K377,IF(M377=1,2,1))&amp;INDEX($D377:$K377,IF(M377=1,2,1)+1),入力!$AH$5:$AH$44,0)),2,IF(ISNUMBER(MATCH(INDEX($D377:$K377,IF(M377=1,2,1))&amp;INDEX($D377:$K377,IF(M377=1,2,1)+1)&amp;INDEX($D377:$K377,IF(M377=1,2,1)+2),入力!$AH$5:$AH$44,0)),3,2)))))))</f>
        <v/>
      </c>
      <c r="AE377">
        <f>IF(V377="","",IF(AND(V377="反映",N(Y377)&gt;20),"要確認（この生徒の取込が20件を超えました）",V377))</f>
        <v/>
      </c>
    </row>
    <row r="378">
      <c r="A378" s="138" t="n"/>
      <c r="B378">
        <f>TRIM(SUBSTITUTE(SUBSTITUTE(SUBSTITUTE(A378,CHAR(9)," "),"　"," "),CHAR(160)," "))</f>
        <v/>
      </c>
      <c r="C378">
        <f>IF(B378="",0,LEN(B378)-LEN(SUBSTITUTE(B378," ",""))+1)</f>
        <v/>
      </c>
      <c r="D378">
        <f>IF(C378&gt;=1,TRIM(MID(SUBSTITUTE(B378," ",REPT(" ",200)),1,200)),"")</f>
        <v/>
      </c>
      <c r="E378">
        <f>IF(C378&gt;=2,TRIM(MID(SUBSTITUTE(B378," ",REPT(" ",200)),201,200)),"")</f>
        <v/>
      </c>
      <c r="F378">
        <f>IF(C378&gt;=3,TRIM(MID(SUBSTITUTE(B378," ",REPT(" ",200)),401,200)),"")</f>
        <v/>
      </c>
      <c r="G378">
        <f>IF(C378&gt;=4,TRIM(MID(SUBSTITUTE(B378," ",REPT(" ",200)),601,200)),"")</f>
        <v/>
      </c>
      <c r="H378">
        <f>IF(C378&gt;=5,TRIM(MID(SUBSTITUTE(B378," ",REPT(" ",200)),801,200)),"")</f>
        <v/>
      </c>
      <c r="I378">
        <f>IF(C378&gt;=6,TRIM(MID(SUBSTITUTE(B378," ",REPT(" ",200)),1001,200)),"")</f>
        <v/>
      </c>
      <c r="J378">
        <f>IF(C378&gt;=7,TRIM(MID(SUBSTITUTE(B378," ",REPT(" ",200)),1201,200)),"")</f>
        <v/>
      </c>
      <c r="K378">
        <f>IF(C378&gt;=8,TRIM(MID(SUBSTITUTE(B378," ",REPT(" ",200)),1401,200)),"")</f>
        <v/>
      </c>
      <c r="L378">
        <f>SUBSTITUTE(SUBSTITUTE(SUBSTITUTE(D378,"年","-"),"組","-"),"番","")</f>
        <v/>
      </c>
      <c r="M378">
        <f>IF(D378="",0,IF(ISNUMBER(VALUE(SUBSTITUTE(L378,"-",""))),1,0))</f>
        <v/>
      </c>
      <c r="N378">
        <f>IF(M378=0,"",IFERROR(VALUE(TRIM(MID(SUBSTITUTE(L378,"-",REPT(" ",100)),101,100))),""))</f>
        <v/>
      </c>
      <c r="O378">
        <f>IF(M378=0,"",IFERROR(VALUE(TRIM(RIGHT(SUBSTITUTE(L378,"-",REPT(" ",100)),100))),""))</f>
        <v/>
      </c>
      <c r="P378">
        <f>IF(B378="","",TRIM(INDEX($D378:$K378,IF(M378=1,2,1))&amp;IF(AD378&gt;=2," "&amp;INDEX($D378:$K378,IF(M378=1,2,1)+1),"")&amp;IF(AD378&gt;=3," "&amp;INDEX($D378:$K378,IF(M378=1,2,1)+2),"")))</f>
        <v/>
      </c>
      <c r="Q378">
        <f>IF(C378&lt;2,"",TRIM(IF(AND(2&gt;=(IF(M378=1,2,1)+AD378),2&lt;=C378-IF(S378="",0,1)),E378&amp;" ","")&amp;IF(AND(3&gt;=(IF(M378=1,2,1)+AD378),3&lt;=C378-IF(S378="",0,1)),F378&amp;" ","")&amp;IF(AND(4&gt;=(IF(M378=1,2,1)+AD378),4&lt;=C378-IF(S378="",0,1)),G378&amp;" ","")&amp;IF(AND(5&gt;=(IF(M378=1,2,1)+AD378),5&lt;=C378-IF(S378="",0,1)),H378&amp;" ","")&amp;IF(AND(6&gt;=(IF(M378=1,2,1)+AD378),6&lt;=C378-IF(S378="",0,1)),I378&amp;" ","")&amp;IF(AND(7&gt;=(IF(M378=1,2,1)+AD378),7&lt;=C378-IF(S378="",0,1)),J378&amp;" ","")&amp;IF(AND(8&gt;=(IF(M378=1,2,1)+AD378),8&lt;=C378-IF(S378="",0,1)),K378&amp;" ","")))</f>
        <v/>
      </c>
      <c r="R378">
        <f>IF(Q378="","",IFERROR(INDEX(資格マスタ!$B:$B,MATCH(ASC(SUBSTITUTE(SUBSTITUTE(Q378," ",""),"　","")),資格マスタ!$D:$D,0)),Q378))</f>
        <v/>
      </c>
      <c r="S378" s="139">
        <f>IF(C378&lt;2,"",IFERROR(IF(OR(LEFT(INDEX(D378:K378,MIN(8,MAX(1,C378))),2)="令和",LEFT(INDEX(D378:K378,MIN(8,MAX(1,C378))),2)="平成",LEFT(INDEX(D378:K378,MIN(8,MAX(1,C378))),2)="昭和"),DATE(VALUE(MID(INDEX(D378:K378,MIN(8,MAX(1,C378))),3,FIND("年",INDEX(D378:K378,MIN(8,MAX(1,C378))))-3))+IF(LEFT(INDEX(D378:K378,MIN(8,MAX(1,C378))),2)="令和",2018,IF(LEFT(INDEX(D378:K378,MIN(8,MAX(1,C378))),2)="平成",1988,1925)),VALUE(MID(INDEX(D378:K378,MIN(8,MAX(1,C378))),FIND("年",INDEX(D378:K378,MIN(8,MAX(1,C378))))+1,FIND("月",INDEX(D378:K378,MIN(8,MAX(1,C378))))-FIND("年",INDEX(D378:K378,MIN(8,MAX(1,C378))))-1)),IFERROR(VALUE(SUBSTITUTE(MID(INDEX(D378:K378,MIN(8,MAX(1,C378))),FIND("月",INDEX(D378:K378,MIN(8,MAX(1,C378))))+1,10),"日","")),1)),DATE(VALUE(TRIM(MID(SUBSTITUTE(AA378,"/",REPT(" ",50)),1,50))),VALUE(TRIM(MID(SUBSTITUTE(AA378,"/",REPT(" ",50)),51,50))),IFERROR(VALUE(TRIM(MID(SUBSTITUTE(AA378,"/",REPT(" ",50)),101,50))),1))),IFERROR(DATEVALUE(INDEX(D378:K378,MIN(8,MAX(1,C378)))),"")))</f>
        <v/>
      </c>
      <c r="T378">
        <f>IF(B378="","",IF(AB378&lt;&gt;"",AB378,IFERROR(MATCH(SUBSTITUTE(SUBSTITUTE(P378," ",""),"　",""),入力!$AH$5:$AH$44,0),"")))</f>
        <v/>
      </c>
      <c r="U378">
        <f>IF(T378="","",INDEX(入力!$D$5:$D$44,T378))</f>
        <v/>
      </c>
      <c r="V378">
        <f>IF(B378="","",IF(T378="","要確認（名簿と照合できません）",IF(R378="","要確認（資格名がありません）",IF(S378="","要確認（取得日が読めません）",IF((IF(INDEX(入力!$N$5:$N$44,T378)=R378,1,0)+IF(INDEX(入力!$P$5:$P$44,T378)=R378,1,0)+IF(INDEX(入力!$R$5:$R$44,T378)=R378,1,0)+IF(INDEX(入力!$T$5:$T$44,T378)=R378,1,0)+IF(INDEX(入力!$V$5:$V$44,T378)=R378,1,0)+IF(INDEX(入力!$X$5:$X$44,T378)=R378,1,0))+(COUNTIFS($T$6:$T$405,T378,$R$6:$R$405,R378,$X$6:$X$405,"&lt;"&amp;X378))&gt;0,"重複","反映")))))</f>
        <v/>
      </c>
      <c r="W378">
        <f>IF(V378="反映",1,0)</f>
        <v/>
      </c>
      <c r="X378" t="n">
        <v>378</v>
      </c>
      <c r="Y378">
        <f>IF(W378=0,"",COUNTIFS($T$6:$T$405,T378,$W$6:$W$405,1,$S$6:$S$405,"&lt;"&amp;S378)+COUNTIFS($T$6:$T$405,T378,$W$6:$W$405,1,$S$6:$S$405,S378,$X$6:$X$405,"&lt;"&amp;X378)+1)</f>
        <v/>
      </c>
      <c r="Z378">
        <f>IF(Y378="","",T378&amp;"_"&amp;Y378)</f>
        <v/>
      </c>
      <c r="AA378">
        <f>SUBSTITUTE(SUBSTITUTE(SUBSTITUTE(SUBSTITUTE(SUBSTITUTE(INDEX(D378:K378,MIN(8,MAX(1,C378))),"年","/"),"月","/"),"日",""),"-","/"),".","/")</f>
        <v/>
      </c>
      <c r="AB378">
        <f>IFERROR(MATCH(O378,入力!$C$5:$C$44,0),"")</f>
        <v/>
      </c>
      <c r="AC378">
        <f>IF(AB378="","",INDEX(入力!$AH$5:$AH$44,AB378))</f>
        <v/>
      </c>
      <c r="AD378">
        <f>IF(INDEX($D378:$K378,IF(M378=1,2,1))=AC378,1,IF(INDEX($D378:$K378,IF(M378=1,2,1))&amp;INDEX($D378:$K378,IF(M378=1,2,1)+1)=AC378,2,IF(INDEX($D378:$K378,IF(M378=1,2,1))&amp;INDEX($D378:$K378,IF(M378=1,2,1)+1)&amp;INDEX($D378:$K378,IF(M378=1,2,1)+2)=AC378,3,IF(AB378&lt;&gt;"",2,IF(ISNUMBER(MATCH(INDEX($D378:$K378,IF(M378=1,2,1)),入力!$AH$5:$AH$44,0)),1,IF(ISNUMBER(MATCH(INDEX($D378:$K378,IF(M378=1,2,1))&amp;INDEX($D378:$K378,IF(M378=1,2,1)+1),入力!$AH$5:$AH$44,0)),2,IF(ISNUMBER(MATCH(INDEX($D378:$K378,IF(M378=1,2,1))&amp;INDEX($D378:$K378,IF(M378=1,2,1)+1)&amp;INDEX($D378:$K378,IF(M378=1,2,1)+2),入力!$AH$5:$AH$44,0)),3,2)))))))</f>
        <v/>
      </c>
      <c r="AE378">
        <f>IF(V378="","",IF(AND(V378="反映",N(Y378)&gt;20),"要確認（この生徒の取込が20件を超えました）",V378))</f>
        <v/>
      </c>
    </row>
    <row r="379">
      <c r="A379" s="138" t="n"/>
      <c r="B379">
        <f>TRIM(SUBSTITUTE(SUBSTITUTE(SUBSTITUTE(A379,CHAR(9)," "),"　"," "),CHAR(160)," "))</f>
        <v/>
      </c>
      <c r="C379">
        <f>IF(B379="",0,LEN(B379)-LEN(SUBSTITUTE(B379," ",""))+1)</f>
        <v/>
      </c>
      <c r="D379">
        <f>IF(C379&gt;=1,TRIM(MID(SUBSTITUTE(B379," ",REPT(" ",200)),1,200)),"")</f>
        <v/>
      </c>
      <c r="E379">
        <f>IF(C379&gt;=2,TRIM(MID(SUBSTITUTE(B379," ",REPT(" ",200)),201,200)),"")</f>
        <v/>
      </c>
      <c r="F379">
        <f>IF(C379&gt;=3,TRIM(MID(SUBSTITUTE(B379," ",REPT(" ",200)),401,200)),"")</f>
        <v/>
      </c>
      <c r="G379">
        <f>IF(C379&gt;=4,TRIM(MID(SUBSTITUTE(B379," ",REPT(" ",200)),601,200)),"")</f>
        <v/>
      </c>
      <c r="H379">
        <f>IF(C379&gt;=5,TRIM(MID(SUBSTITUTE(B379," ",REPT(" ",200)),801,200)),"")</f>
        <v/>
      </c>
      <c r="I379">
        <f>IF(C379&gt;=6,TRIM(MID(SUBSTITUTE(B379," ",REPT(" ",200)),1001,200)),"")</f>
        <v/>
      </c>
      <c r="J379">
        <f>IF(C379&gt;=7,TRIM(MID(SUBSTITUTE(B379," ",REPT(" ",200)),1201,200)),"")</f>
        <v/>
      </c>
      <c r="K379">
        <f>IF(C379&gt;=8,TRIM(MID(SUBSTITUTE(B379," ",REPT(" ",200)),1401,200)),"")</f>
        <v/>
      </c>
      <c r="L379">
        <f>SUBSTITUTE(SUBSTITUTE(SUBSTITUTE(D379,"年","-"),"組","-"),"番","")</f>
        <v/>
      </c>
      <c r="M379">
        <f>IF(D379="",0,IF(ISNUMBER(VALUE(SUBSTITUTE(L379,"-",""))),1,0))</f>
        <v/>
      </c>
      <c r="N379">
        <f>IF(M379=0,"",IFERROR(VALUE(TRIM(MID(SUBSTITUTE(L379,"-",REPT(" ",100)),101,100))),""))</f>
        <v/>
      </c>
      <c r="O379">
        <f>IF(M379=0,"",IFERROR(VALUE(TRIM(RIGHT(SUBSTITUTE(L379,"-",REPT(" ",100)),100))),""))</f>
        <v/>
      </c>
      <c r="P379">
        <f>IF(B379="","",TRIM(INDEX($D379:$K379,IF(M379=1,2,1))&amp;IF(AD379&gt;=2," "&amp;INDEX($D379:$K379,IF(M379=1,2,1)+1),"")&amp;IF(AD379&gt;=3," "&amp;INDEX($D379:$K379,IF(M379=1,2,1)+2),"")))</f>
        <v/>
      </c>
      <c r="Q379">
        <f>IF(C379&lt;2,"",TRIM(IF(AND(2&gt;=(IF(M379=1,2,1)+AD379),2&lt;=C379-IF(S379="",0,1)),E379&amp;" ","")&amp;IF(AND(3&gt;=(IF(M379=1,2,1)+AD379),3&lt;=C379-IF(S379="",0,1)),F379&amp;" ","")&amp;IF(AND(4&gt;=(IF(M379=1,2,1)+AD379),4&lt;=C379-IF(S379="",0,1)),G379&amp;" ","")&amp;IF(AND(5&gt;=(IF(M379=1,2,1)+AD379),5&lt;=C379-IF(S379="",0,1)),H379&amp;" ","")&amp;IF(AND(6&gt;=(IF(M379=1,2,1)+AD379),6&lt;=C379-IF(S379="",0,1)),I379&amp;" ","")&amp;IF(AND(7&gt;=(IF(M379=1,2,1)+AD379),7&lt;=C379-IF(S379="",0,1)),J379&amp;" ","")&amp;IF(AND(8&gt;=(IF(M379=1,2,1)+AD379),8&lt;=C379-IF(S379="",0,1)),K379&amp;" ","")))</f>
        <v/>
      </c>
      <c r="R379">
        <f>IF(Q379="","",IFERROR(INDEX(資格マスタ!$B:$B,MATCH(ASC(SUBSTITUTE(SUBSTITUTE(Q379," ",""),"　","")),資格マスタ!$D:$D,0)),Q379))</f>
        <v/>
      </c>
      <c r="S379" s="139">
        <f>IF(C379&lt;2,"",IFERROR(IF(OR(LEFT(INDEX(D379:K379,MIN(8,MAX(1,C379))),2)="令和",LEFT(INDEX(D379:K379,MIN(8,MAX(1,C379))),2)="平成",LEFT(INDEX(D379:K379,MIN(8,MAX(1,C379))),2)="昭和"),DATE(VALUE(MID(INDEX(D379:K379,MIN(8,MAX(1,C379))),3,FIND("年",INDEX(D379:K379,MIN(8,MAX(1,C379))))-3))+IF(LEFT(INDEX(D379:K379,MIN(8,MAX(1,C379))),2)="令和",2018,IF(LEFT(INDEX(D379:K379,MIN(8,MAX(1,C379))),2)="平成",1988,1925)),VALUE(MID(INDEX(D379:K379,MIN(8,MAX(1,C379))),FIND("年",INDEX(D379:K379,MIN(8,MAX(1,C379))))+1,FIND("月",INDEX(D379:K379,MIN(8,MAX(1,C379))))-FIND("年",INDEX(D379:K379,MIN(8,MAX(1,C379))))-1)),IFERROR(VALUE(SUBSTITUTE(MID(INDEX(D379:K379,MIN(8,MAX(1,C379))),FIND("月",INDEX(D379:K379,MIN(8,MAX(1,C379))))+1,10),"日","")),1)),DATE(VALUE(TRIM(MID(SUBSTITUTE(AA379,"/",REPT(" ",50)),1,50))),VALUE(TRIM(MID(SUBSTITUTE(AA379,"/",REPT(" ",50)),51,50))),IFERROR(VALUE(TRIM(MID(SUBSTITUTE(AA379,"/",REPT(" ",50)),101,50))),1))),IFERROR(DATEVALUE(INDEX(D379:K379,MIN(8,MAX(1,C379)))),"")))</f>
        <v/>
      </c>
      <c r="T379">
        <f>IF(B379="","",IF(AB379&lt;&gt;"",AB379,IFERROR(MATCH(SUBSTITUTE(SUBSTITUTE(P379," ",""),"　",""),入力!$AH$5:$AH$44,0),"")))</f>
        <v/>
      </c>
      <c r="U379">
        <f>IF(T379="","",INDEX(入力!$D$5:$D$44,T379))</f>
        <v/>
      </c>
      <c r="V379">
        <f>IF(B379="","",IF(T379="","要確認（名簿と照合できません）",IF(R379="","要確認（資格名がありません）",IF(S379="","要確認（取得日が読めません）",IF((IF(INDEX(入力!$N$5:$N$44,T379)=R379,1,0)+IF(INDEX(入力!$P$5:$P$44,T379)=R379,1,0)+IF(INDEX(入力!$R$5:$R$44,T379)=R379,1,0)+IF(INDEX(入力!$T$5:$T$44,T379)=R379,1,0)+IF(INDEX(入力!$V$5:$V$44,T379)=R379,1,0)+IF(INDEX(入力!$X$5:$X$44,T379)=R379,1,0))+(COUNTIFS($T$6:$T$405,T379,$R$6:$R$405,R379,$X$6:$X$405,"&lt;"&amp;X379))&gt;0,"重複","反映")))))</f>
        <v/>
      </c>
      <c r="W379">
        <f>IF(V379="反映",1,0)</f>
        <v/>
      </c>
      <c r="X379" t="n">
        <v>379</v>
      </c>
      <c r="Y379">
        <f>IF(W379=0,"",COUNTIFS($T$6:$T$405,T379,$W$6:$W$405,1,$S$6:$S$405,"&lt;"&amp;S379)+COUNTIFS($T$6:$T$405,T379,$W$6:$W$405,1,$S$6:$S$405,S379,$X$6:$X$405,"&lt;"&amp;X379)+1)</f>
        <v/>
      </c>
      <c r="Z379">
        <f>IF(Y379="","",T379&amp;"_"&amp;Y379)</f>
        <v/>
      </c>
      <c r="AA379">
        <f>SUBSTITUTE(SUBSTITUTE(SUBSTITUTE(SUBSTITUTE(SUBSTITUTE(INDEX(D379:K379,MIN(8,MAX(1,C379))),"年","/"),"月","/"),"日",""),"-","/"),".","/")</f>
        <v/>
      </c>
      <c r="AB379">
        <f>IFERROR(MATCH(O379,入力!$C$5:$C$44,0),"")</f>
        <v/>
      </c>
      <c r="AC379">
        <f>IF(AB379="","",INDEX(入力!$AH$5:$AH$44,AB379))</f>
        <v/>
      </c>
      <c r="AD379">
        <f>IF(INDEX($D379:$K379,IF(M379=1,2,1))=AC379,1,IF(INDEX($D379:$K379,IF(M379=1,2,1))&amp;INDEX($D379:$K379,IF(M379=1,2,1)+1)=AC379,2,IF(INDEX($D379:$K379,IF(M379=1,2,1))&amp;INDEX($D379:$K379,IF(M379=1,2,1)+1)&amp;INDEX($D379:$K379,IF(M379=1,2,1)+2)=AC379,3,IF(AB379&lt;&gt;"",2,IF(ISNUMBER(MATCH(INDEX($D379:$K379,IF(M379=1,2,1)),入力!$AH$5:$AH$44,0)),1,IF(ISNUMBER(MATCH(INDEX($D379:$K379,IF(M379=1,2,1))&amp;INDEX($D379:$K379,IF(M379=1,2,1)+1),入力!$AH$5:$AH$44,0)),2,IF(ISNUMBER(MATCH(INDEX($D379:$K379,IF(M379=1,2,1))&amp;INDEX($D379:$K379,IF(M379=1,2,1)+1)&amp;INDEX($D379:$K379,IF(M379=1,2,1)+2),入力!$AH$5:$AH$44,0)),3,2)))))))</f>
        <v/>
      </c>
      <c r="AE379">
        <f>IF(V379="","",IF(AND(V379="反映",N(Y379)&gt;20),"要確認（この生徒の取込が20件を超えました）",V379))</f>
        <v/>
      </c>
    </row>
    <row r="380">
      <c r="A380" s="138" t="n"/>
      <c r="B380">
        <f>TRIM(SUBSTITUTE(SUBSTITUTE(SUBSTITUTE(A380,CHAR(9)," "),"　"," "),CHAR(160)," "))</f>
        <v/>
      </c>
      <c r="C380">
        <f>IF(B380="",0,LEN(B380)-LEN(SUBSTITUTE(B380," ",""))+1)</f>
        <v/>
      </c>
      <c r="D380">
        <f>IF(C380&gt;=1,TRIM(MID(SUBSTITUTE(B380," ",REPT(" ",200)),1,200)),"")</f>
        <v/>
      </c>
      <c r="E380">
        <f>IF(C380&gt;=2,TRIM(MID(SUBSTITUTE(B380," ",REPT(" ",200)),201,200)),"")</f>
        <v/>
      </c>
      <c r="F380">
        <f>IF(C380&gt;=3,TRIM(MID(SUBSTITUTE(B380," ",REPT(" ",200)),401,200)),"")</f>
        <v/>
      </c>
      <c r="G380">
        <f>IF(C380&gt;=4,TRIM(MID(SUBSTITUTE(B380," ",REPT(" ",200)),601,200)),"")</f>
        <v/>
      </c>
      <c r="H380">
        <f>IF(C380&gt;=5,TRIM(MID(SUBSTITUTE(B380," ",REPT(" ",200)),801,200)),"")</f>
        <v/>
      </c>
      <c r="I380">
        <f>IF(C380&gt;=6,TRIM(MID(SUBSTITUTE(B380," ",REPT(" ",200)),1001,200)),"")</f>
        <v/>
      </c>
      <c r="J380">
        <f>IF(C380&gt;=7,TRIM(MID(SUBSTITUTE(B380," ",REPT(" ",200)),1201,200)),"")</f>
        <v/>
      </c>
      <c r="K380">
        <f>IF(C380&gt;=8,TRIM(MID(SUBSTITUTE(B380," ",REPT(" ",200)),1401,200)),"")</f>
        <v/>
      </c>
      <c r="L380">
        <f>SUBSTITUTE(SUBSTITUTE(SUBSTITUTE(D380,"年","-"),"組","-"),"番","")</f>
        <v/>
      </c>
      <c r="M380">
        <f>IF(D380="",0,IF(ISNUMBER(VALUE(SUBSTITUTE(L380,"-",""))),1,0))</f>
        <v/>
      </c>
      <c r="N380">
        <f>IF(M380=0,"",IFERROR(VALUE(TRIM(MID(SUBSTITUTE(L380,"-",REPT(" ",100)),101,100))),""))</f>
        <v/>
      </c>
      <c r="O380">
        <f>IF(M380=0,"",IFERROR(VALUE(TRIM(RIGHT(SUBSTITUTE(L380,"-",REPT(" ",100)),100))),""))</f>
        <v/>
      </c>
      <c r="P380">
        <f>IF(B380="","",TRIM(INDEX($D380:$K380,IF(M380=1,2,1))&amp;IF(AD380&gt;=2," "&amp;INDEX($D380:$K380,IF(M380=1,2,1)+1),"")&amp;IF(AD380&gt;=3," "&amp;INDEX($D380:$K380,IF(M380=1,2,1)+2),"")))</f>
        <v/>
      </c>
      <c r="Q380">
        <f>IF(C380&lt;2,"",TRIM(IF(AND(2&gt;=(IF(M380=1,2,1)+AD380),2&lt;=C380-IF(S380="",0,1)),E380&amp;" ","")&amp;IF(AND(3&gt;=(IF(M380=1,2,1)+AD380),3&lt;=C380-IF(S380="",0,1)),F380&amp;" ","")&amp;IF(AND(4&gt;=(IF(M380=1,2,1)+AD380),4&lt;=C380-IF(S380="",0,1)),G380&amp;" ","")&amp;IF(AND(5&gt;=(IF(M380=1,2,1)+AD380),5&lt;=C380-IF(S380="",0,1)),H380&amp;" ","")&amp;IF(AND(6&gt;=(IF(M380=1,2,1)+AD380),6&lt;=C380-IF(S380="",0,1)),I380&amp;" ","")&amp;IF(AND(7&gt;=(IF(M380=1,2,1)+AD380),7&lt;=C380-IF(S380="",0,1)),J380&amp;" ","")&amp;IF(AND(8&gt;=(IF(M380=1,2,1)+AD380),8&lt;=C380-IF(S380="",0,1)),K380&amp;" ","")))</f>
        <v/>
      </c>
      <c r="R380">
        <f>IF(Q380="","",IFERROR(INDEX(資格マスタ!$B:$B,MATCH(ASC(SUBSTITUTE(SUBSTITUTE(Q380," ",""),"　","")),資格マスタ!$D:$D,0)),Q380))</f>
        <v/>
      </c>
      <c r="S380" s="139">
        <f>IF(C380&lt;2,"",IFERROR(IF(OR(LEFT(INDEX(D380:K380,MIN(8,MAX(1,C380))),2)="令和",LEFT(INDEX(D380:K380,MIN(8,MAX(1,C380))),2)="平成",LEFT(INDEX(D380:K380,MIN(8,MAX(1,C380))),2)="昭和"),DATE(VALUE(MID(INDEX(D380:K380,MIN(8,MAX(1,C380))),3,FIND("年",INDEX(D380:K380,MIN(8,MAX(1,C380))))-3))+IF(LEFT(INDEX(D380:K380,MIN(8,MAX(1,C380))),2)="令和",2018,IF(LEFT(INDEX(D380:K380,MIN(8,MAX(1,C380))),2)="平成",1988,1925)),VALUE(MID(INDEX(D380:K380,MIN(8,MAX(1,C380))),FIND("年",INDEX(D380:K380,MIN(8,MAX(1,C380))))+1,FIND("月",INDEX(D380:K380,MIN(8,MAX(1,C380))))-FIND("年",INDEX(D380:K380,MIN(8,MAX(1,C380))))-1)),IFERROR(VALUE(SUBSTITUTE(MID(INDEX(D380:K380,MIN(8,MAX(1,C380))),FIND("月",INDEX(D380:K380,MIN(8,MAX(1,C380))))+1,10),"日","")),1)),DATE(VALUE(TRIM(MID(SUBSTITUTE(AA380,"/",REPT(" ",50)),1,50))),VALUE(TRIM(MID(SUBSTITUTE(AA380,"/",REPT(" ",50)),51,50))),IFERROR(VALUE(TRIM(MID(SUBSTITUTE(AA380,"/",REPT(" ",50)),101,50))),1))),IFERROR(DATEVALUE(INDEX(D380:K380,MIN(8,MAX(1,C380)))),"")))</f>
        <v/>
      </c>
      <c r="T380">
        <f>IF(B380="","",IF(AB380&lt;&gt;"",AB380,IFERROR(MATCH(SUBSTITUTE(SUBSTITUTE(P380," ",""),"　",""),入力!$AH$5:$AH$44,0),"")))</f>
        <v/>
      </c>
      <c r="U380">
        <f>IF(T380="","",INDEX(入力!$D$5:$D$44,T380))</f>
        <v/>
      </c>
      <c r="V380">
        <f>IF(B380="","",IF(T380="","要確認（名簿と照合できません）",IF(R380="","要確認（資格名がありません）",IF(S380="","要確認（取得日が読めません）",IF((IF(INDEX(入力!$N$5:$N$44,T380)=R380,1,0)+IF(INDEX(入力!$P$5:$P$44,T380)=R380,1,0)+IF(INDEX(入力!$R$5:$R$44,T380)=R380,1,0)+IF(INDEX(入力!$T$5:$T$44,T380)=R380,1,0)+IF(INDEX(入力!$V$5:$V$44,T380)=R380,1,0)+IF(INDEX(入力!$X$5:$X$44,T380)=R380,1,0))+(COUNTIFS($T$6:$T$405,T380,$R$6:$R$405,R380,$X$6:$X$405,"&lt;"&amp;X380))&gt;0,"重複","反映")))))</f>
        <v/>
      </c>
      <c r="W380">
        <f>IF(V380="反映",1,0)</f>
        <v/>
      </c>
      <c r="X380" t="n">
        <v>380</v>
      </c>
      <c r="Y380">
        <f>IF(W380=0,"",COUNTIFS($T$6:$T$405,T380,$W$6:$W$405,1,$S$6:$S$405,"&lt;"&amp;S380)+COUNTIFS($T$6:$T$405,T380,$W$6:$W$405,1,$S$6:$S$405,S380,$X$6:$X$405,"&lt;"&amp;X380)+1)</f>
        <v/>
      </c>
      <c r="Z380">
        <f>IF(Y380="","",T380&amp;"_"&amp;Y380)</f>
        <v/>
      </c>
      <c r="AA380">
        <f>SUBSTITUTE(SUBSTITUTE(SUBSTITUTE(SUBSTITUTE(SUBSTITUTE(INDEX(D380:K380,MIN(8,MAX(1,C380))),"年","/"),"月","/"),"日",""),"-","/"),".","/")</f>
        <v/>
      </c>
      <c r="AB380">
        <f>IFERROR(MATCH(O380,入力!$C$5:$C$44,0),"")</f>
        <v/>
      </c>
      <c r="AC380">
        <f>IF(AB380="","",INDEX(入力!$AH$5:$AH$44,AB380))</f>
        <v/>
      </c>
      <c r="AD380">
        <f>IF(INDEX($D380:$K380,IF(M380=1,2,1))=AC380,1,IF(INDEX($D380:$K380,IF(M380=1,2,1))&amp;INDEX($D380:$K380,IF(M380=1,2,1)+1)=AC380,2,IF(INDEX($D380:$K380,IF(M380=1,2,1))&amp;INDEX($D380:$K380,IF(M380=1,2,1)+1)&amp;INDEX($D380:$K380,IF(M380=1,2,1)+2)=AC380,3,IF(AB380&lt;&gt;"",2,IF(ISNUMBER(MATCH(INDEX($D380:$K380,IF(M380=1,2,1)),入力!$AH$5:$AH$44,0)),1,IF(ISNUMBER(MATCH(INDEX($D380:$K380,IF(M380=1,2,1))&amp;INDEX($D380:$K380,IF(M380=1,2,1)+1),入力!$AH$5:$AH$44,0)),2,IF(ISNUMBER(MATCH(INDEX($D380:$K380,IF(M380=1,2,1))&amp;INDEX($D380:$K380,IF(M380=1,2,1)+1)&amp;INDEX($D380:$K380,IF(M380=1,2,1)+2),入力!$AH$5:$AH$44,0)),3,2)))))))</f>
        <v/>
      </c>
      <c r="AE380">
        <f>IF(V380="","",IF(AND(V380="反映",N(Y380)&gt;20),"要確認（この生徒の取込が20件を超えました）",V380))</f>
        <v/>
      </c>
    </row>
    <row r="381">
      <c r="A381" s="138" t="n"/>
      <c r="B381">
        <f>TRIM(SUBSTITUTE(SUBSTITUTE(SUBSTITUTE(A381,CHAR(9)," "),"　"," "),CHAR(160)," "))</f>
        <v/>
      </c>
      <c r="C381">
        <f>IF(B381="",0,LEN(B381)-LEN(SUBSTITUTE(B381," ",""))+1)</f>
        <v/>
      </c>
      <c r="D381">
        <f>IF(C381&gt;=1,TRIM(MID(SUBSTITUTE(B381," ",REPT(" ",200)),1,200)),"")</f>
        <v/>
      </c>
      <c r="E381">
        <f>IF(C381&gt;=2,TRIM(MID(SUBSTITUTE(B381," ",REPT(" ",200)),201,200)),"")</f>
        <v/>
      </c>
      <c r="F381">
        <f>IF(C381&gt;=3,TRIM(MID(SUBSTITUTE(B381," ",REPT(" ",200)),401,200)),"")</f>
        <v/>
      </c>
      <c r="G381">
        <f>IF(C381&gt;=4,TRIM(MID(SUBSTITUTE(B381," ",REPT(" ",200)),601,200)),"")</f>
        <v/>
      </c>
      <c r="H381">
        <f>IF(C381&gt;=5,TRIM(MID(SUBSTITUTE(B381," ",REPT(" ",200)),801,200)),"")</f>
        <v/>
      </c>
      <c r="I381">
        <f>IF(C381&gt;=6,TRIM(MID(SUBSTITUTE(B381," ",REPT(" ",200)),1001,200)),"")</f>
        <v/>
      </c>
      <c r="J381">
        <f>IF(C381&gt;=7,TRIM(MID(SUBSTITUTE(B381," ",REPT(" ",200)),1201,200)),"")</f>
        <v/>
      </c>
      <c r="K381">
        <f>IF(C381&gt;=8,TRIM(MID(SUBSTITUTE(B381," ",REPT(" ",200)),1401,200)),"")</f>
        <v/>
      </c>
      <c r="L381">
        <f>SUBSTITUTE(SUBSTITUTE(SUBSTITUTE(D381,"年","-"),"組","-"),"番","")</f>
        <v/>
      </c>
      <c r="M381">
        <f>IF(D381="",0,IF(ISNUMBER(VALUE(SUBSTITUTE(L381,"-",""))),1,0))</f>
        <v/>
      </c>
      <c r="N381">
        <f>IF(M381=0,"",IFERROR(VALUE(TRIM(MID(SUBSTITUTE(L381,"-",REPT(" ",100)),101,100))),""))</f>
        <v/>
      </c>
      <c r="O381">
        <f>IF(M381=0,"",IFERROR(VALUE(TRIM(RIGHT(SUBSTITUTE(L381,"-",REPT(" ",100)),100))),""))</f>
        <v/>
      </c>
      <c r="P381">
        <f>IF(B381="","",TRIM(INDEX($D381:$K381,IF(M381=1,2,1))&amp;IF(AD381&gt;=2," "&amp;INDEX($D381:$K381,IF(M381=1,2,1)+1),"")&amp;IF(AD381&gt;=3," "&amp;INDEX($D381:$K381,IF(M381=1,2,1)+2),"")))</f>
        <v/>
      </c>
      <c r="Q381">
        <f>IF(C381&lt;2,"",TRIM(IF(AND(2&gt;=(IF(M381=1,2,1)+AD381),2&lt;=C381-IF(S381="",0,1)),E381&amp;" ","")&amp;IF(AND(3&gt;=(IF(M381=1,2,1)+AD381),3&lt;=C381-IF(S381="",0,1)),F381&amp;" ","")&amp;IF(AND(4&gt;=(IF(M381=1,2,1)+AD381),4&lt;=C381-IF(S381="",0,1)),G381&amp;" ","")&amp;IF(AND(5&gt;=(IF(M381=1,2,1)+AD381),5&lt;=C381-IF(S381="",0,1)),H381&amp;" ","")&amp;IF(AND(6&gt;=(IF(M381=1,2,1)+AD381),6&lt;=C381-IF(S381="",0,1)),I381&amp;" ","")&amp;IF(AND(7&gt;=(IF(M381=1,2,1)+AD381),7&lt;=C381-IF(S381="",0,1)),J381&amp;" ","")&amp;IF(AND(8&gt;=(IF(M381=1,2,1)+AD381),8&lt;=C381-IF(S381="",0,1)),K381&amp;" ","")))</f>
        <v/>
      </c>
      <c r="R381">
        <f>IF(Q381="","",IFERROR(INDEX(資格マスタ!$B:$B,MATCH(ASC(SUBSTITUTE(SUBSTITUTE(Q381," ",""),"　","")),資格マスタ!$D:$D,0)),Q381))</f>
        <v/>
      </c>
      <c r="S381" s="139">
        <f>IF(C381&lt;2,"",IFERROR(IF(OR(LEFT(INDEX(D381:K381,MIN(8,MAX(1,C381))),2)="令和",LEFT(INDEX(D381:K381,MIN(8,MAX(1,C381))),2)="平成",LEFT(INDEX(D381:K381,MIN(8,MAX(1,C381))),2)="昭和"),DATE(VALUE(MID(INDEX(D381:K381,MIN(8,MAX(1,C381))),3,FIND("年",INDEX(D381:K381,MIN(8,MAX(1,C381))))-3))+IF(LEFT(INDEX(D381:K381,MIN(8,MAX(1,C381))),2)="令和",2018,IF(LEFT(INDEX(D381:K381,MIN(8,MAX(1,C381))),2)="平成",1988,1925)),VALUE(MID(INDEX(D381:K381,MIN(8,MAX(1,C381))),FIND("年",INDEX(D381:K381,MIN(8,MAX(1,C381))))+1,FIND("月",INDEX(D381:K381,MIN(8,MAX(1,C381))))-FIND("年",INDEX(D381:K381,MIN(8,MAX(1,C381))))-1)),IFERROR(VALUE(SUBSTITUTE(MID(INDEX(D381:K381,MIN(8,MAX(1,C381))),FIND("月",INDEX(D381:K381,MIN(8,MAX(1,C381))))+1,10),"日","")),1)),DATE(VALUE(TRIM(MID(SUBSTITUTE(AA381,"/",REPT(" ",50)),1,50))),VALUE(TRIM(MID(SUBSTITUTE(AA381,"/",REPT(" ",50)),51,50))),IFERROR(VALUE(TRIM(MID(SUBSTITUTE(AA381,"/",REPT(" ",50)),101,50))),1))),IFERROR(DATEVALUE(INDEX(D381:K381,MIN(8,MAX(1,C381)))),"")))</f>
        <v/>
      </c>
      <c r="T381">
        <f>IF(B381="","",IF(AB381&lt;&gt;"",AB381,IFERROR(MATCH(SUBSTITUTE(SUBSTITUTE(P381," ",""),"　",""),入力!$AH$5:$AH$44,0),"")))</f>
        <v/>
      </c>
      <c r="U381">
        <f>IF(T381="","",INDEX(入力!$D$5:$D$44,T381))</f>
        <v/>
      </c>
      <c r="V381">
        <f>IF(B381="","",IF(T381="","要確認（名簿と照合できません）",IF(R381="","要確認（資格名がありません）",IF(S381="","要確認（取得日が読めません）",IF((IF(INDEX(入力!$N$5:$N$44,T381)=R381,1,0)+IF(INDEX(入力!$P$5:$P$44,T381)=R381,1,0)+IF(INDEX(入力!$R$5:$R$44,T381)=R381,1,0)+IF(INDEX(入力!$T$5:$T$44,T381)=R381,1,0)+IF(INDEX(入力!$V$5:$V$44,T381)=R381,1,0)+IF(INDEX(入力!$X$5:$X$44,T381)=R381,1,0))+(COUNTIFS($T$6:$T$405,T381,$R$6:$R$405,R381,$X$6:$X$405,"&lt;"&amp;X381))&gt;0,"重複","反映")))))</f>
        <v/>
      </c>
      <c r="W381">
        <f>IF(V381="反映",1,0)</f>
        <v/>
      </c>
      <c r="X381" t="n">
        <v>381</v>
      </c>
      <c r="Y381">
        <f>IF(W381=0,"",COUNTIFS($T$6:$T$405,T381,$W$6:$W$405,1,$S$6:$S$405,"&lt;"&amp;S381)+COUNTIFS($T$6:$T$405,T381,$W$6:$W$405,1,$S$6:$S$405,S381,$X$6:$X$405,"&lt;"&amp;X381)+1)</f>
        <v/>
      </c>
      <c r="Z381">
        <f>IF(Y381="","",T381&amp;"_"&amp;Y381)</f>
        <v/>
      </c>
      <c r="AA381">
        <f>SUBSTITUTE(SUBSTITUTE(SUBSTITUTE(SUBSTITUTE(SUBSTITUTE(INDEX(D381:K381,MIN(8,MAX(1,C381))),"年","/"),"月","/"),"日",""),"-","/"),".","/")</f>
        <v/>
      </c>
      <c r="AB381">
        <f>IFERROR(MATCH(O381,入力!$C$5:$C$44,0),"")</f>
        <v/>
      </c>
      <c r="AC381">
        <f>IF(AB381="","",INDEX(入力!$AH$5:$AH$44,AB381))</f>
        <v/>
      </c>
      <c r="AD381">
        <f>IF(INDEX($D381:$K381,IF(M381=1,2,1))=AC381,1,IF(INDEX($D381:$K381,IF(M381=1,2,1))&amp;INDEX($D381:$K381,IF(M381=1,2,1)+1)=AC381,2,IF(INDEX($D381:$K381,IF(M381=1,2,1))&amp;INDEX($D381:$K381,IF(M381=1,2,1)+1)&amp;INDEX($D381:$K381,IF(M381=1,2,1)+2)=AC381,3,IF(AB381&lt;&gt;"",2,IF(ISNUMBER(MATCH(INDEX($D381:$K381,IF(M381=1,2,1)),入力!$AH$5:$AH$44,0)),1,IF(ISNUMBER(MATCH(INDEX($D381:$K381,IF(M381=1,2,1))&amp;INDEX($D381:$K381,IF(M381=1,2,1)+1),入力!$AH$5:$AH$44,0)),2,IF(ISNUMBER(MATCH(INDEX($D381:$K381,IF(M381=1,2,1))&amp;INDEX($D381:$K381,IF(M381=1,2,1)+1)&amp;INDEX($D381:$K381,IF(M381=1,2,1)+2),入力!$AH$5:$AH$44,0)),3,2)))))))</f>
        <v/>
      </c>
      <c r="AE381">
        <f>IF(V381="","",IF(AND(V381="反映",N(Y381)&gt;20),"要確認（この生徒の取込が20件を超えました）",V381))</f>
        <v/>
      </c>
    </row>
    <row r="382">
      <c r="A382" s="138" t="n"/>
      <c r="B382">
        <f>TRIM(SUBSTITUTE(SUBSTITUTE(SUBSTITUTE(A382,CHAR(9)," "),"　"," "),CHAR(160)," "))</f>
        <v/>
      </c>
      <c r="C382">
        <f>IF(B382="",0,LEN(B382)-LEN(SUBSTITUTE(B382," ",""))+1)</f>
        <v/>
      </c>
      <c r="D382">
        <f>IF(C382&gt;=1,TRIM(MID(SUBSTITUTE(B382," ",REPT(" ",200)),1,200)),"")</f>
        <v/>
      </c>
      <c r="E382">
        <f>IF(C382&gt;=2,TRIM(MID(SUBSTITUTE(B382," ",REPT(" ",200)),201,200)),"")</f>
        <v/>
      </c>
      <c r="F382">
        <f>IF(C382&gt;=3,TRIM(MID(SUBSTITUTE(B382," ",REPT(" ",200)),401,200)),"")</f>
        <v/>
      </c>
      <c r="G382">
        <f>IF(C382&gt;=4,TRIM(MID(SUBSTITUTE(B382," ",REPT(" ",200)),601,200)),"")</f>
        <v/>
      </c>
      <c r="H382">
        <f>IF(C382&gt;=5,TRIM(MID(SUBSTITUTE(B382," ",REPT(" ",200)),801,200)),"")</f>
        <v/>
      </c>
      <c r="I382">
        <f>IF(C382&gt;=6,TRIM(MID(SUBSTITUTE(B382," ",REPT(" ",200)),1001,200)),"")</f>
        <v/>
      </c>
      <c r="J382">
        <f>IF(C382&gt;=7,TRIM(MID(SUBSTITUTE(B382," ",REPT(" ",200)),1201,200)),"")</f>
        <v/>
      </c>
      <c r="K382">
        <f>IF(C382&gt;=8,TRIM(MID(SUBSTITUTE(B382," ",REPT(" ",200)),1401,200)),"")</f>
        <v/>
      </c>
      <c r="L382">
        <f>SUBSTITUTE(SUBSTITUTE(SUBSTITUTE(D382,"年","-"),"組","-"),"番","")</f>
        <v/>
      </c>
      <c r="M382">
        <f>IF(D382="",0,IF(ISNUMBER(VALUE(SUBSTITUTE(L382,"-",""))),1,0))</f>
        <v/>
      </c>
      <c r="N382">
        <f>IF(M382=0,"",IFERROR(VALUE(TRIM(MID(SUBSTITUTE(L382,"-",REPT(" ",100)),101,100))),""))</f>
        <v/>
      </c>
      <c r="O382">
        <f>IF(M382=0,"",IFERROR(VALUE(TRIM(RIGHT(SUBSTITUTE(L382,"-",REPT(" ",100)),100))),""))</f>
        <v/>
      </c>
      <c r="P382">
        <f>IF(B382="","",TRIM(INDEX($D382:$K382,IF(M382=1,2,1))&amp;IF(AD382&gt;=2," "&amp;INDEX($D382:$K382,IF(M382=1,2,1)+1),"")&amp;IF(AD382&gt;=3," "&amp;INDEX($D382:$K382,IF(M382=1,2,1)+2),"")))</f>
        <v/>
      </c>
      <c r="Q382">
        <f>IF(C382&lt;2,"",TRIM(IF(AND(2&gt;=(IF(M382=1,2,1)+AD382),2&lt;=C382-IF(S382="",0,1)),E382&amp;" ","")&amp;IF(AND(3&gt;=(IF(M382=1,2,1)+AD382),3&lt;=C382-IF(S382="",0,1)),F382&amp;" ","")&amp;IF(AND(4&gt;=(IF(M382=1,2,1)+AD382),4&lt;=C382-IF(S382="",0,1)),G382&amp;" ","")&amp;IF(AND(5&gt;=(IF(M382=1,2,1)+AD382),5&lt;=C382-IF(S382="",0,1)),H382&amp;" ","")&amp;IF(AND(6&gt;=(IF(M382=1,2,1)+AD382),6&lt;=C382-IF(S382="",0,1)),I382&amp;" ","")&amp;IF(AND(7&gt;=(IF(M382=1,2,1)+AD382),7&lt;=C382-IF(S382="",0,1)),J382&amp;" ","")&amp;IF(AND(8&gt;=(IF(M382=1,2,1)+AD382),8&lt;=C382-IF(S382="",0,1)),K382&amp;" ","")))</f>
        <v/>
      </c>
      <c r="R382">
        <f>IF(Q382="","",IFERROR(INDEX(資格マスタ!$B:$B,MATCH(ASC(SUBSTITUTE(SUBSTITUTE(Q382," ",""),"　","")),資格マスタ!$D:$D,0)),Q382))</f>
        <v/>
      </c>
      <c r="S382" s="139">
        <f>IF(C382&lt;2,"",IFERROR(IF(OR(LEFT(INDEX(D382:K382,MIN(8,MAX(1,C382))),2)="令和",LEFT(INDEX(D382:K382,MIN(8,MAX(1,C382))),2)="平成",LEFT(INDEX(D382:K382,MIN(8,MAX(1,C382))),2)="昭和"),DATE(VALUE(MID(INDEX(D382:K382,MIN(8,MAX(1,C382))),3,FIND("年",INDEX(D382:K382,MIN(8,MAX(1,C382))))-3))+IF(LEFT(INDEX(D382:K382,MIN(8,MAX(1,C382))),2)="令和",2018,IF(LEFT(INDEX(D382:K382,MIN(8,MAX(1,C382))),2)="平成",1988,1925)),VALUE(MID(INDEX(D382:K382,MIN(8,MAX(1,C382))),FIND("年",INDEX(D382:K382,MIN(8,MAX(1,C382))))+1,FIND("月",INDEX(D382:K382,MIN(8,MAX(1,C382))))-FIND("年",INDEX(D382:K382,MIN(8,MAX(1,C382))))-1)),IFERROR(VALUE(SUBSTITUTE(MID(INDEX(D382:K382,MIN(8,MAX(1,C382))),FIND("月",INDEX(D382:K382,MIN(8,MAX(1,C382))))+1,10),"日","")),1)),DATE(VALUE(TRIM(MID(SUBSTITUTE(AA382,"/",REPT(" ",50)),1,50))),VALUE(TRIM(MID(SUBSTITUTE(AA382,"/",REPT(" ",50)),51,50))),IFERROR(VALUE(TRIM(MID(SUBSTITUTE(AA382,"/",REPT(" ",50)),101,50))),1))),IFERROR(DATEVALUE(INDEX(D382:K382,MIN(8,MAX(1,C382)))),"")))</f>
        <v/>
      </c>
      <c r="T382">
        <f>IF(B382="","",IF(AB382&lt;&gt;"",AB382,IFERROR(MATCH(SUBSTITUTE(SUBSTITUTE(P382," ",""),"　",""),入力!$AH$5:$AH$44,0),"")))</f>
        <v/>
      </c>
      <c r="U382">
        <f>IF(T382="","",INDEX(入力!$D$5:$D$44,T382))</f>
        <v/>
      </c>
      <c r="V382">
        <f>IF(B382="","",IF(T382="","要確認（名簿と照合できません）",IF(R382="","要確認（資格名がありません）",IF(S382="","要確認（取得日が読めません）",IF((IF(INDEX(入力!$N$5:$N$44,T382)=R382,1,0)+IF(INDEX(入力!$P$5:$P$44,T382)=R382,1,0)+IF(INDEX(入力!$R$5:$R$44,T382)=R382,1,0)+IF(INDEX(入力!$T$5:$T$44,T382)=R382,1,0)+IF(INDEX(入力!$V$5:$V$44,T382)=R382,1,0)+IF(INDEX(入力!$X$5:$X$44,T382)=R382,1,0))+(COUNTIFS($T$6:$T$405,T382,$R$6:$R$405,R382,$X$6:$X$405,"&lt;"&amp;X382))&gt;0,"重複","反映")))))</f>
        <v/>
      </c>
      <c r="W382">
        <f>IF(V382="反映",1,0)</f>
        <v/>
      </c>
      <c r="X382" t="n">
        <v>382</v>
      </c>
      <c r="Y382">
        <f>IF(W382=0,"",COUNTIFS($T$6:$T$405,T382,$W$6:$W$405,1,$S$6:$S$405,"&lt;"&amp;S382)+COUNTIFS($T$6:$T$405,T382,$W$6:$W$405,1,$S$6:$S$405,S382,$X$6:$X$405,"&lt;"&amp;X382)+1)</f>
        <v/>
      </c>
      <c r="Z382">
        <f>IF(Y382="","",T382&amp;"_"&amp;Y382)</f>
        <v/>
      </c>
      <c r="AA382">
        <f>SUBSTITUTE(SUBSTITUTE(SUBSTITUTE(SUBSTITUTE(SUBSTITUTE(INDEX(D382:K382,MIN(8,MAX(1,C382))),"年","/"),"月","/"),"日",""),"-","/"),".","/")</f>
        <v/>
      </c>
      <c r="AB382">
        <f>IFERROR(MATCH(O382,入力!$C$5:$C$44,0),"")</f>
        <v/>
      </c>
      <c r="AC382">
        <f>IF(AB382="","",INDEX(入力!$AH$5:$AH$44,AB382))</f>
        <v/>
      </c>
      <c r="AD382">
        <f>IF(INDEX($D382:$K382,IF(M382=1,2,1))=AC382,1,IF(INDEX($D382:$K382,IF(M382=1,2,1))&amp;INDEX($D382:$K382,IF(M382=1,2,1)+1)=AC382,2,IF(INDEX($D382:$K382,IF(M382=1,2,1))&amp;INDEX($D382:$K382,IF(M382=1,2,1)+1)&amp;INDEX($D382:$K382,IF(M382=1,2,1)+2)=AC382,3,IF(AB382&lt;&gt;"",2,IF(ISNUMBER(MATCH(INDEX($D382:$K382,IF(M382=1,2,1)),入力!$AH$5:$AH$44,0)),1,IF(ISNUMBER(MATCH(INDEX($D382:$K382,IF(M382=1,2,1))&amp;INDEX($D382:$K382,IF(M382=1,2,1)+1),入力!$AH$5:$AH$44,0)),2,IF(ISNUMBER(MATCH(INDEX($D382:$K382,IF(M382=1,2,1))&amp;INDEX($D382:$K382,IF(M382=1,2,1)+1)&amp;INDEX($D382:$K382,IF(M382=1,2,1)+2),入力!$AH$5:$AH$44,0)),3,2)))))))</f>
        <v/>
      </c>
      <c r="AE382">
        <f>IF(V382="","",IF(AND(V382="反映",N(Y382)&gt;20),"要確認（この生徒の取込が20件を超えました）",V382))</f>
        <v/>
      </c>
    </row>
    <row r="383">
      <c r="A383" s="138" t="n"/>
      <c r="B383">
        <f>TRIM(SUBSTITUTE(SUBSTITUTE(SUBSTITUTE(A383,CHAR(9)," "),"　"," "),CHAR(160)," "))</f>
        <v/>
      </c>
      <c r="C383">
        <f>IF(B383="",0,LEN(B383)-LEN(SUBSTITUTE(B383," ",""))+1)</f>
        <v/>
      </c>
      <c r="D383">
        <f>IF(C383&gt;=1,TRIM(MID(SUBSTITUTE(B383," ",REPT(" ",200)),1,200)),"")</f>
        <v/>
      </c>
      <c r="E383">
        <f>IF(C383&gt;=2,TRIM(MID(SUBSTITUTE(B383," ",REPT(" ",200)),201,200)),"")</f>
        <v/>
      </c>
      <c r="F383">
        <f>IF(C383&gt;=3,TRIM(MID(SUBSTITUTE(B383," ",REPT(" ",200)),401,200)),"")</f>
        <v/>
      </c>
      <c r="G383">
        <f>IF(C383&gt;=4,TRIM(MID(SUBSTITUTE(B383," ",REPT(" ",200)),601,200)),"")</f>
        <v/>
      </c>
      <c r="H383">
        <f>IF(C383&gt;=5,TRIM(MID(SUBSTITUTE(B383," ",REPT(" ",200)),801,200)),"")</f>
        <v/>
      </c>
      <c r="I383">
        <f>IF(C383&gt;=6,TRIM(MID(SUBSTITUTE(B383," ",REPT(" ",200)),1001,200)),"")</f>
        <v/>
      </c>
      <c r="J383">
        <f>IF(C383&gt;=7,TRIM(MID(SUBSTITUTE(B383," ",REPT(" ",200)),1201,200)),"")</f>
        <v/>
      </c>
      <c r="K383">
        <f>IF(C383&gt;=8,TRIM(MID(SUBSTITUTE(B383," ",REPT(" ",200)),1401,200)),"")</f>
        <v/>
      </c>
      <c r="L383">
        <f>SUBSTITUTE(SUBSTITUTE(SUBSTITUTE(D383,"年","-"),"組","-"),"番","")</f>
        <v/>
      </c>
      <c r="M383">
        <f>IF(D383="",0,IF(ISNUMBER(VALUE(SUBSTITUTE(L383,"-",""))),1,0))</f>
        <v/>
      </c>
      <c r="N383">
        <f>IF(M383=0,"",IFERROR(VALUE(TRIM(MID(SUBSTITUTE(L383,"-",REPT(" ",100)),101,100))),""))</f>
        <v/>
      </c>
      <c r="O383">
        <f>IF(M383=0,"",IFERROR(VALUE(TRIM(RIGHT(SUBSTITUTE(L383,"-",REPT(" ",100)),100))),""))</f>
        <v/>
      </c>
      <c r="P383">
        <f>IF(B383="","",TRIM(INDEX($D383:$K383,IF(M383=1,2,1))&amp;IF(AD383&gt;=2," "&amp;INDEX($D383:$K383,IF(M383=1,2,1)+1),"")&amp;IF(AD383&gt;=3," "&amp;INDEX($D383:$K383,IF(M383=1,2,1)+2),"")))</f>
        <v/>
      </c>
      <c r="Q383">
        <f>IF(C383&lt;2,"",TRIM(IF(AND(2&gt;=(IF(M383=1,2,1)+AD383),2&lt;=C383-IF(S383="",0,1)),E383&amp;" ","")&amp;IF(AND(3&gt;=(IF(M383=1,2,1)+AD383),3&lt;=C383-IF(S383="",0,1)),F383&amp;" ","")&amp;IF(AND(4&gt;=(IF(M383=1,2,1)+AD383),4&lt;=C383-IF(S383="",0,1)),G383&amp;" ","")&amp;IF(AND(5&gt;=(IF(M383=1,2,1)+AD383),5&lt;=C383-IF(S383="",0,1)),H383&amp;" ","")&amp;IF(AND(6&gt;=(IF(M383=1,2,1)+AD383),6&lt;=C383-IF(S383="",0,1)),I383&amp;" ","")&amp;IF(AND(7&gt;=(IF(M383=1,2,1)+AD383),7&lt;=C383-IF(S383="",0,1)),J383&amp;" ","")&amp;IF(AND(8&gt;=(IF(M383=1,2,1)+AD383),8&lt;=C383-IF(S383="",0,1)),K383&amp;" ","")))</f>
        <v/>
      </c>
      <c r="R383">
        <f>IF(Q383="","",IFERROR(INDEX(資格マスタ!$B:$B,MATCH(ASC(SUBSTITUTE(SUBSTITUTE(Q383," ",""),"　","")),資格マスタ!$D:$D,0)),Q383))</f>
        <v/>
      </c>
      <c r="S383" s="139">
        <f>IF(C383&lt;2,"",IFERROR(IF(OR(LEFT(INDEX(D383:K383,MIN(8,MAX(1,C383))),2)="令和",LEFT(INDEX(D383:K383,MIN(8,MAX(1,C383))),2)="平成",LEFT(INDEX(D383:K383,MIN(8,MAX(1,C383))),2)="昭和"),DATE(VALUE(MID(INDEX(D383:K383,MIN(8,MAX(1,C383))),3,FIND("年",INDEX(D383:K383,MIN(8,MAX(1,C383))))-3))+IF(LEFT(INDEX(D383:K383,MIN(8,MAX(1,C383))),2)="令和",2018,IF(LEFT(INDEX(D383:K383,MIN(8,MAX(1,C383))),2)="平成",1988,1925)),VALUE(MID(INDEX(D383:K383,MIN(8,MAX(1,C383))),FIND("年",INDEX(D383:K383,MIN(8,MAX(1,C383))))+1,FIND("月",INDEX(D383:K383,MIN(8,MAX(1,C383))))-FIND("年",INDEX(D383:K383,MIN(8,MAX(1,C383))))-1)),IFERROR(VALUE(SUBSTITUTE(MID(INDEX(D383:K383,MIN(8,MAX(1,C383))),FIND("月",INDEX(D383:K383,MIN(8,MAX(1,C383))))+1,10),"日","")),1)),DATE(VALUE(TRIM(MID(SUBSTITUTE(AA383,"/",REPT(" ",50)),1,50))),VALUE(TRIM(MID(SUBSTITUTE(AA383,"/",REPT(" ",50)),51,50))),IFERROR(VALUE(TRIM(MID(SUBSTITUTE(AA383,"/",REPT(" ",50)),101,50))),1))),IFERROR(DATEVALUE(INDEX(D383:K383,MIN(8,MAX(1,C383)))),"")))</f>
        <v/>
      </c>
      <c r="T383">
        <f>IF(B383="","",IF(AB383&lt;&gt;"",AB383,IFERROR(MATCH(SUBSTITUTE(SUBSTITUTE(P383," ",""),"　",""),入力!$AH$5:$AH$44,0),"")))</f>
        <v/>
      </c>
      <c r="U383">
        <f>IF(T383="","",INDEX(入力!$D$5:$D$44,T383))</f>
        <v/>
      </c>
      <c r="V383">
        <f>IF(B383="","",IF(T383="","要確認（名簿と照合できません）",IF(R383="","要確認（資格名がありません）",IF(S383="","要確認（取得日が読めません）",IF((IF(INDEX(入力!$N$5:$N$44,T383)=R383,1,0)+IF(INDEX(入力!$P$5:$P$44,T383)=R383,1,0)+IF(INDEX(入力!$R$5:$R$44,T383)=R383,1,0)+IF(INDEX(入力!$T$5:$T$44,T383)=R383,1,0)+IF(INDEX(入力!$V$5:$V$44,T383)=R383,1,0)+IF(INDEX(入力!$X$5:$X$44,T383)=R383,1,0))+(COUNTIFS($T$6:$T$405,T383,$R$6:$R$405,R383,$X$6:$X$405,"&lt;"&amp;X383))&gt;0,"重複","反映")))))</f>
        <v/>
      </c>
      <c r="W383">
        <f>IF(V383="反映",1,0)</f>
        <v/>
      </c>
      <c r="X383" t="n">
        <v>383</v>
      </c>
      <c r="Y383">
        <f>IF(W383=0,"",COUNTIFS($T$6:$T$405,T383,$W$6:$W$405,1,$S$6:$S$405,"&lt;"&amp;S383)+COUNTIFS($T$6:$T$405,T383,$W$6:$W$405,1,$S$6:$S$405,S383,$X$6:$X$405,"&lt;"&amp;X383)+1)</f>
        <v/>
      </c>
      <c r="Z383">
        <f>IF(Y383="","",T383&amp;"_"&amp;Y383)</f>
        <v/>
      </c>
      <c r="AA383">
        <f>SUBSTITUTE(SUBSTITUTE(SUBSTITUTE(SUBSTITUTE(SUBSTITUTE(INDEX(D383:K383,MIN(8,MAX(1,C383))),"年","/"),"月","/"),"日",""),"-","/"),".","/")</f>
        <v/>
      </c>
      <c r="AB383">
        <f>IFERROR(MATCH(O383,入力!$C$5:$C$44,0),"")</f>
        <v/>
      </c>
      <c r="AC383">
        <f>IF(AB383="","",INDEX(入力!$AH$5:$AH$44,AB383))</f>
        <v/>
      </c>
      <c r="AD383">
        <f>IF(INDEX($D383:$K383,IF(M383=1,2,1))=AC383,1,IF(INDEX($D383:$K383,IF(M383=1,2,1))&amp;INDEX($D383:$K383,IF(M383=1,2,1)+1)=AC383,2,IF(INDEX($D383:$K383,IF(M383=1,2,1))&amp;INDEX($D383:$K383,IF(M383=1,2,1)+1)&amp;INDEX($D383:$K383,IF(M383=1,2,1)+2)=AC383,3,IF(AB383&lt;&gt;"",2,IF(ISNUMBER(MATCH(INDEX($D383:$K383,IF(M383=1,2,1)),入力!$AH$5:$AH$44,0)),1,IF(ISNUMBER(MATCH(INDEX($D383:$K383,IF(M383=1,2,1))&amp;INDEX($D383:$K383,IF(M383=1,2,1)+1),入力!$AH$5:$AH$44,0)),2,IF(ISNUMBER(MATCH(INDEX($D383:$K383,IF(M383=1,2,1))&amp;INDEX($D383:$K383,IF(M383=1,2,1)+1)&amp;INDEX($D383:$K383,IF(M383=1,2,1)+2),入力!$AH$5:$AH$44,0)),3,2)))))))</f>
        <v/>
      </c>
      <c r="AE383">
        <f>IF(V383="","",IF(AND(V383="反映",N(Y383)&gt;20),"要確認（この生徒の取込が20件を超えました）",V383))</f>
        <v/>
      </c>
    </row>
    <row r="384">
      <c r="A384" s="138" t="n"/>
      <c r="B384">
        <f>TRIM(SUBSTITUTE(SUBSTITUTE(SUBSTITUTE(A384,CHAR(9)," "),"　"," "),CHAR(160)," "))</f>
        <v/>
      </c>
      <c r="C384">
        <f>IF(B384="",0,LEN(B384)-LEN(SUBSTITUTE(B384," ",""))+1)</f>
        <v/>
      </c>
      <c r="D384">
        <f>IF(C384&gt;=1,TRIM(MID(SUBSTITUTE(B384," ",REPT(" ",200)),1,200)),"")</f>
        <v/>
      </c>
      <c r="E384">
        <f>IF(C384&gt;=2,TRIM(MID(SUBSTITUTE(B384," ",REPT(" ",200)),201,200)),"")</f>
        <v/>
      </c>
      <c r="F384">
        <f>IF(C384&gt;=3,TRIM(MID(SUBSTITUTE(B384," ",REPT(" ",200)),401,200)),"")</f>
        <v/>
      </c>
      <c r="G384">
        <f>IF(C384&gt;=4,TRIM(MID(SUBSTITUTE(B384," ",REPT(" ",200)),601,200)),"")</f>
        <v/>
      </c>
      <c r="H384">
        <f>IF(C384&gt;=5,TRIM(MID(SUBSTITUTE(B384," ",REPT(" ",200)),801,200)),"")</f>
        <v/>
      </c>
      <c r="I384">
        <f>IF(C384&gt;=6,TRIM(MID(SUBSTITUTE(B384," ",REPT(" ",200)),1001,200)),"")</f>
        <v/>
      </c>
      <c r="J384">
        <f>IF(C384&gt;=7,TRIM(MID(SUBSTITUTE(B384," ",REPT(" ",200)),1201,200)),"")</f>
        <v/>
      </c>
      <c r="K384">
        <f>IF(C384&gt;=8,TRIM(MID(SUBSTITUTE(B384," ",REPT(" ",200)),1401,200)),"")</f>
        <v/>
      </c>
      <c r="L384">
        <f>SUBSTITUTE(SUBSTITUTE(SUBSTITUTE(D384,"年","-"),"組","-"),"番","")</f>
        <v/>
      </c>
      <c r="M384">
        <f>IF(D384="",0,IF(ISNUMBER(VALUE(SUBSTITUTE(L384,"-",""))),1,0))</f>
        <v/>
      </c>
      <c r="N384">
        <f>IF(M384=0,"",IFERROR(VALUE(TRIM(MID(SUBSTITUTE(L384,"-",REPT(" ",100)),101,100))),""))</f>
        <v/>
      </c>
      <c r="O384">
        <f>IF(M384=0,"",IFERROR(VALUE(TRIM(RIGHT(SUBSTITUTE(L384,"-",REPT(" ",100)),100))),""))</f>
        <v/>
      </c>
      <c r="P384">
        <f>IF(B384="","",TRIM(INDEX($D384:$K384,IF(M384=1,2,1))&amp;IF(AD384&gt;=2," "&amp;INDEX($D384:$K384,IF(M384=1,2,1)+1),"")&amp;IF(AD384&gt;=3," "&amp;INDEX($D384:$K384,IF(M384=1,2,1)+2),"")))</f>
        <v/>
      </c>
      <c r="Q384">
        <f>IF(C384&lt;2,"",TRIM(IF(AND(2&gt;=(IF(M384=1,2,1)+AD384),2&lt;=C384-IF(S384="",0,1)),E384&amp;" ","")&amp;IF(AND(3&gt;=(IF(M384=1,2,1)+AD384),3&lt;=C384-IF(S384="",0,1)),F384&amp;" ","")&amp;IF(AND(4&gt;=(IF(M384=1,2,1)+AD384),4&lt;=C384-IF(S384="",0,1)),G384&amp;" ","")&amp;IF(AND(5&gt;=(IF(M384=1,2,1)+AD384),5&lt;=C384-IF(S384="",0,1)),H384&amp;" ","")&amp;IF(AND(6&gt;=(IF(M384=1,2,1)+AD384),6&lt;=C384-IF(S384="",0,1)),I384&amp;" ","")&amp;IF(AND(7&gt;=(IF(M384=1,2,1)+AD384),7&lt;=C384-IF(S384="",0,1)),J384&amp;" ","")&amp;IF(AND(8&gt;=(IF(M384=1,2,1)+AD384),8&lt;=C384-IF(S384="",0,1)),K384&amp;" ","")))</f>
        <v/>
      </c>
      <c r="R384">
        <f>IF(Q384="","",IFERROR(INDEX(資格マスタ!$B:$B,MATCH(ASC(SUBSTITUTE(SUBSTITUTE(Q384," ",""),"　","")),資格マスタ!$D:$D,0)),Q384))</f>
        <v/>
      </c>
      <c r="S384" s="139">
        <f>IF(C384&lt;2,"",IFERROR(IF(OR(LEFT(INDEX(D384:K384,MIN(8,MAX(1,C384))),2)="令和",LEFT(INDEX(D384:K384,MIN(8,MAX(1,C384))),2)="平成",LEFT(INDEX(D384:K384,MIN(8,MAX(1,C384))),2)="昭和"),DATE(VALUE(MID(INDEX(D384:K384,MIN(8,MAX(1,C384))),3,FIND("年",INDEX(D384:K384,MIN(8,MAX(1,C384))))-3))+IF(LEFT(INDEX(D384:K384,MIN(8,MAX(1,C384))),2)="令和",2018,IF(LEFT(INDEX(D384:K384,MIN(8,MAX(1,C384))),2)="平成",1988,1925)),VALUE(MID(INDEX(D384:K384,MIN(8,MAX(1,C384))),FIND("年",INDEX(D384:K384,MIN(8,MAX(1,C384))))+1,FIND("月",INDEX(D384:K384,MIN(8,MAX(1,C384))))-FIND("年",INDEX(D384:K384,MIN(8,MAX(1,C384))))-1)),IFERROR(VALUE(SUBSTITUTE(MID(INDEX(D384:K384,MIN(8,MAX(1,C384))),FIND("月",INDEX(D384:K384,MIN(8,MAX(1,C384))))+1,10),"日","")),1)),DATE(VALUE(TRIM(MID(SUBSTITUTE(AA384,"/",REPT(" ",50)),1,50))),VALUE(TRIM(MID(SUBSTITUTE(AA384,"/",REPT(" ",50)),51,50))),IFERROR(VALUE(TRIM(MID(SUBSTITUTE(AA384,"/",REPT(" ",50)),101,50))),1))),IFERROR(DATEVALUE(INDEX(D384:K384,MIN(8,MAX(1,C384)))),"")))</f>
        <v/>
      </c>
      <c r="T384">
        <f>IF(B384="","",IF(AB384&lt;&gt;"",AB384,IFERROR(MATCH(SUBSTITUTE(SUBSTITUTE(P384," ",""),"　",""),入力!$AH$5:$AH$44,0),"")))</f>
        <v/>
      </c>
      <c r="U384">
        <f>IF(T384="","",INDEX(入力!$D$5:$D$44,T384))</f>
        <v/>
      </c>
      <c r="V384">
        <f>IF(B384="","",IF(T384="","要確認（名簿と照合できません）",IF(R384="","要確認（資格名がありません）",IF(S384="","要確認（取得日が読めません）",IF((IF(INDEX(入力!$N$5:$N$44,T384)=R384,1,0)+IF(INDEX(入力!$P$5:$P$44,T384)=R384,1,0)+IF(INDEX(入力!$R$5:$R$44,T384)=R384,1,0)+IF(INDEX(入力!$T$5:$T$44,T384)=R384,1,0)+IF(INDEX(入力!$V$5:$V$44,T384)=R384,1,0)+IF(INDEX(入力!$X$5:$X$44,T384)=R384,1,0))+(COUNTIFS($T$6:$T$405,T384,$R$6:$R$405,R384,$X$6:$X$405,"&lt;"&amp;X384))&gt;0,"重複","反映")))))</f>
        <v/>
      </c>
      <c r="W384">
        <f>IF(V384="反映",1,0)</f>
        <v/>
      </c>
      <c r="X384" t="n">
        <v>384</v>
      </c>
      <c r="Y384">
        <f>IF(W384=0,"",COUNTIFS($T$6:$T$405,T384,$W$6:$W$405,1,$S$6:$S$405,"&lt;"&amp;S384)+COUNTIFS($T$6:$T$405,T384,$W$6:$W$405,1,$S$6:$S$405,S384,$X$6:$X$405,"&lt;"&amp;X384)+1)</f>
        <v/>
      </c>
      <c r="Z384">
        <f>IF(Y384="","",T384&amp;"_"&amp;Y384)</f>
        <v/>
      </c>
      <c r="AA384">
        <f>SUBSTITUTE(SUBSTITUTE(SUBSTITUTE(SUBSTITUTE(SUBSTITUTE(INDEX(D384:K384,MIN(8,MAX(1,C384))),"年","/"),"月","/"),"日",""),"-","/"),".","/")</f>
        <v/>
      </c>
      <c r="AB384">
        <f>IFERROR(MATCH(O384,入力!$C$5:$C$44,0),"")</f>
        <v/>
      </c>
      <c r="AC384">
        <f>IF(AB384="","",INDEX(入力!$AH$5:$AH$44,AB384))</f>
        <v/>
      </c>
      <c r="AD384">
        <f>IF(INDEX($D384:$K384,IF(M384=1,2,1))=AC384,1,IF(INDEX($D384:$K384,IF(M384=1,2,1))&amp;INDEX($D384:$K384,IF(M384=1,2,1)+1)=AC384,2,IF(INDEX($D384:$K384,IF(M384=1,2,1))&amp;INDEX($D384:$K384,IF(M384=1,2,1)+1)&amp;INDEX($D384:$K384,IF(M384=1,2,1)+2)=AC384,3,IF(AB384&lt;&gt;"",2,IF(ISNUMBER(MATCH(INDEX($D384:$K384,IF(M384=1,2,1)),入力!$AH$5:$AH$44,0)),1,IF(ISNUMBER(MATCH(INDEX($D384:$K384,IF(M384=1,2,1))&amp;INDEX($D384:$K384,IF(M384=1,2,1)+1),入力!$AH$5:$AH$44,0)),2,IF(ISNUMBER(MATCH(INDEX($D384:$K384,IF(M384=1,2,1))&amp;INDEX($D384:$K384,IF(M384=1,2,1)+1)&amp;INDEX($D384:$K384,IF(M384=1,2,1)+2),入力!$AH$5:$AH$44,0)),3,2)))))))</f>
        <v/>
      </c>
      <c r="AE384">
        <f>IF(V384="","",IF(AND(V384="反映",N(Y384)&gt;20),"要確認（この生徒の取込が20件を超えました）",V384))</f>
        <v/>
      </c>
    </row>
    <row r="385">
      <c r="A385" s="138" t="n"/>
      <c r="B385">
        <f>TRIM(SUBSTITUTE(SUBSTITUTE(SUBSTITUTE(A385,CHAR(9)," "),"　"," "),CHAR(160)," "))</f>
        <v/>
      </c>
      <c r="C385">
        <f>IF(B385="",0,LEN(B385)-LEN(SUBSTITUTE(B385," ",""))+1)</f>
        <v/>
      </c>
      <c r="D385">
        <f>IF(C385&gt;=1,TRIM(MID(SUBSTITUTE(B385," ",REPT(" ",200)),1,200)),"")</f>
        <v/>
      </c>
      <c r="E385">
        <f>IF(C385&gt;=2,TRIM(MID(SUBSTITUTE(B385," ",REPT(" ",200)),201,200)),"")</f>
        <v/>
      </c>
      <c r="F385">
        <f>IF(C385&gt;=3,TRIM(MID(SUBSTITUTE(B385," ",REPT(" ",200)),401,200)),"")</f>
        <v/>
      </c>
      <c r="G385">
        <f>IF(C385&gt;=4,TRIM(MID(SUBSTITUTE(B385," ",REPT(" ",200)),601,200)),"")</f>
        <v/>
      </c>
      <c r="H385">
        <f>IF(C385&gt;=5,TRIM(MID(SUBSTITUTE(B385," ",REPT(" ",200)),801,200)),"")</f>
        <v/>
      </c>
      <c r="I385">
        <f>IF(C385&gt;=6,TRIM(MID(SUBSTITUTE(B385," ",REPT(" ",200)),1001,200)),"")</f>
        <v/>
      </c>
      <c r="J385">
        <f>IF(C385&gt;=7,TRIM(MID(SUBSTITUTE(B385," ",REPT(" ",200)),1201,200)),"")</f>
        <v/>
      </c>
      <c r="K385">
        <f>IF(C385&gt;=8,TRIM(MID(SUBSTITUTE(B385," ",REPT(" ",200)),1401,200)),"")</f>
        <v/>
      </c>
      <c r="L385">
        <f>SUBSTITUTE(SUBSTITUTE(SUBSTITUTE(D385,"年","-"),"組","-"),"番","")</f>
        <v/>
      </c>
      <c r="M385">
        <f>IF(D385="",0,IF(ISNUMBER(VALUE(SUBSTITUTE(L385,"-",""))),1,0))</f>
        <v/>
      </c>
      <c r="N385">
        <f>IF(M385=0,"",IFERROR(VALUE(TRIM(MID(SUBSTITUTE(L385,"-",REPT(" ",100)),101,100))),""))</f>
        <v/>
      </c>
      <c r="O385">
        <f>IF(M385=0,"",IFERROR(VALUE(TRIM(RIGHT(SUBSTITUTE(L385,"-",REPT(" ",100)),100))),""))</f>
        <v/>
      </c>
      <c r="P385">
        <f>IF(B385="","",TRIM(INDEX($D385:$K385,IF(M385=1,2,1))&amp;IF(AD385&gt;=2," "&amp;INDEX($D385:$K385,IF(M385=1,2,1)+1),"")&amp;IF(AD385&gt;=3," "&amp;INDEX($D385:$K385,IF(M385=1,2,1)+2),"")))</f>
        <v/>
      </c>
      <c r="Q385">
        <f>IF(C385&lt;2,"",TRIM(IF(AND(2&gt;=(IF(M385=1,2,1)+AD385),2&lt;=C385-IF(S385="",0,1)),E385&amp;" ","")&amp;IF(AND(3&gt;=(IF(M385=1,2,1)+AD385),3&lt;=C385-IF(S385="",0,1)),F385&amp;" ","")&amp;IF(AND(4&gt;=(IF(M385=1,2,1)+AD385),4&lt;=C385-IF(S385="",0,1)),G385&amp;" ","")&amp;IF(AND(5&gt;=(IF(M385=1,2,1)+AD385),5&lt;=C385-IF(S385="",0,1)),H385&amp;" ","")&amp;IF(AND(6&gt;=(IF(M385=1,2,1)+AD385),6&lt;=C385-IF(S385="",0,1)),I385&amp;" ","")&amp;IF(AND(7&gt;=(IF(M385=1,2,1)+AD385),7&lt;=C385-IF(S385="",0,1)),J385&amp;" ","")&amp;IF(AND(8&gt;=(IF(M385=1,2,1)+AD385),8&lt;=C385-IF(S385="",0,1)),K385&amp;" ","")))</f>
        <v/>
      </c>
      <c r="R385">
        <f>IF(Q385="","",IFERROR(INDEX(資格マスタ!$B:$B,MATCH(ASC(SUBSTITUTE(SUBSTITUTE(Q385," ",""),"　","")),資格マスタ!$D:$D,0)),Q385))</f>
        <v/>
      </c>
      <c r="S385" s="139">
        <f>IF(C385&lt;2,"",IFERROR(IF(OR(LEFT(INDEX(D385:K385,MIN(8,MAX(1,C385))),2)="令和",LEFT(INDEX(D385:K385,MIN(8,MAX(1,C385))),2)="平成",LEFT(INDEX(D385:K385,MIN(8,MAX(1,C385))),2)="昭和"),DATE(VALUE(MID(INDEX(D385:K385,MIN(8,MAX(1,C385))),3,FIND("年",INDEX(D385:K385,MIN(8,MAX(1,C385))))-3))+IF(LEFT(INDEX(D385:K385,MIN(8,MAX(1,C385))),2)="令和",2018,IF(LEFT(INDEX(D385:K385,MIN(8,MAX(1,C385))),2)="平成",1988,1925)),VALUE(MID(INDEX(D385:K385,MIN(8,MAX(1,C385))),FIND("年",INDEX(D385:K385,MIN(8,MAX(1,C385))))+1,FIND("月",INDEX(D385:K385,MIN(8,MAX(1,C385))))-FIND("年",INDEX(D385:K385,MIN(8,MAX(1,C385))))-1)),IFERROR(VALUE(SUBSTITUTE(MID(INDEX(D385:K385,MIN(8,MAX(1,C385))),FIND("月",INDEX(D385:K385,MIN(8,MAX(1,C385))))+1,10),"日","")),1)),DATE(VALUE(TRIM(MID(SUBSTITUTE(AA385,"/",REPT(" ",50)),1,50))),VALUE(TRIM(MID(SUBSTITUTE(AA385,"/",REPT(" ",50)),51,50))),IFERROR(VALUE(TRIM(MID(SUBSTITUTE(AA385,"/",REPT(" ",50)),101,50))),1))),IFERROR(DATEVALUE(INDEX(D385:K385,MIN(8,MAX(1,C385)))),"")))</f>
        <v/>
      </c>
      <c r="T385">
        <f>IF(B385="","",IF(AB385&lt;&gt;"",AB385,IFERROR(MATCH(SUBSTITUTE(SUBSTITUTE(P385," ",""),"　",""),入力!$AH$5:$AH$44,0),"")))</f>
        <v/>
      </c>
      <c r="U385">
        <f>IF(T385="","",INDEX(入力!$D$5:$D$44,T385))</f>
        <v/>
      </c>
      <c r="V385">
        <f>IF(B385="","",IF(T385="","要確認（名簿と照合できません）",IF(R385="","要確認（資格名がありません）",IF(S385="","要確認（取得日が読めません）",IF((IF(INDEX(入力!$N$5:$N$44,T385)=R385,1,0)+IF(INDEX(入力!$P$5:$P$44,T385)=R385,1,0)+IF(INDEX(入力!$R$5:$R$44,T385)=R385,1,0)+IF(INDEX(入力!$T$5:$T$44,T385)=R385,1,0)+IF(INDEX(入力!$V$5:$V$44,T385)=R385,1,0)+IF(INDEX(入力!$X$5:$X$44,T385)=R385,1,0))+(COUNTIFS($T$6:$T$405,T385,$R$6:$R$405,R385,$X$6:$X$405,"&lt;"&amp;X385))&gt;0,"重複","反映")))))</f>
        <v/>
      </c>
      <c r="W385">
        <f>IF(V385="反映",1,0)</f>
        <v/>
      </c>
      <c r="X385" t="n">
        <v>385</v>
      </c>
      <c r="Y385">
        <f>IF(W385=0,"",COUNTIFS($T$6:$T$405,T385,$W$6:$W$405,1,$S$6:$S$405,"&lt;"&amp;S385)+COUNTIFS($T$6:$T$405,T385,$W$6:$W$405,1,$S$6:$S$405,S385,$X$6:$X$405,"&lt;"&amp;X385)+1)</f>
        <v/>
      </c>
      <c r="Z385">
        <f>IF(Y385="","",T385&amp;"_"&amp;Y385)</f>
        <v/>
      </c>
      <c r="AA385">
        <f>SUBSTITUTE(SUBSTITUTE(SUBSTITUTE(SUBSTITUTE(SUBSTITUTE(INDEX(D385:K385,MIN(8,MAX(1,C385))),"年","/"),"月","/"),"日",""),"-","/"),".","/")</f>
        <v/>
      </c>
      <c r="AB385">
        <f>IFERROR(MATCH(O385,入力!$C$5:$C$44,0),"")</f>
        <v/>
      </c>
      <c r="AC385">
        <f>IF(AB385="","",INDEX(入力!$AH$5:$AH$44,AB385))</f>
        <v/>
      </c>
      <c r="AD385">
        <f>IF(INDEX($D385:$K385,IF(M385=1,2,1))=AC385,1,IF(INDEX($D385:$K385,IF(M385=1,2,1))&amp;INDEX($D385:$K385,IF(M385=1,2,1)+1)=AC385,2,IF(INDEX($D385:$K385,IF(M385=1,2,1))&amp;INDEX($D385:$K385,IF(M385=1,2,1)+1)&amp;INDEX($D385:$K385,IF(M385=1,2,1)+2)=AC385,3,IF(AB385&lt;&gt;"",2,IF(ISNUMBER(MATCH(INDEX($D385:$K385,IF(M385=1,2,1)),入力!$AH$5:$AH$44,0)),1,IF(ISNUMBER(MATCH(INDEX($D385:$K385,IF(M385=1,2,1))&amp;INDEX($D385:$K385,IF(M385=1,2,1)+1),入力!$AH$5:$AH$44,0)),2,IF(ISNUMBER(MATCH(INDEX($D385:$K385,IF(M385=1,2,1))&amp;INDEX($D385:$K385,IF(M385=1,2,1)+1)&amp;INDEX($D385:$K385,IF(M385=1,2,1)+2),入力!$AH$5:$AH$44,0)),3,2)))))))</f>
        <v/>
      </c>
      <c r="AE385">
        <f>IF(V385="","",IF(AND(V385="反映",N(Y385)&gt;20),"要確認（この生徒の取込が20件を超えました）",V385))</f>
        <v/>
      </c>
    </row>
    <row r="386">
      <c r="A386" s="138" t="n"/>
      <c r="B386">
        <f>TRIM(SUBSTITUTE(SUBSTITUTE(SUBSTITUTE(A386,CHAR(9)," "),"　"," "),CHAR(160)," "))</f>
        <v/>
      </c>
      <c r="C386">
        <f>IF(B386="",0,LEN(B386)-LEN(SUBSTITUTE(B386," ",""))+1)</f>
        <v/>
      </c>
      <c r="D386">
        <f>IF(C386&gt;=1,TRIM(MID(SUBSTITUTE(B386," ",REPT(" ",200)),1,200)),"")</f>
        <v/>
      </c>
      <c r="E386">
        <f>IF(C386&gt;=2,TRIM(MID(SUBSTITUTE(B386," ",REPT(" ",200)),201,200)),"")</f>
        <v/>
      </c>
      <c r="F386">
        <f>IF(C386&gt;=3,TRIM(MID(SUBSTITUTE(B386," ",REPT(" ",200)),401,200)),"")</f>
        <v/>
      </c>
      <c r="G386">
        <f>IF(C386&gt;=4,TRIM(MID(SUBSTITUTE(B386," ",REPT(" ",200)),601,200)),"")</f>
        <v/>
      </c>
      <c r="H386">
        <f>IF(C386&gt;=5,TRIM(MID(SUBSTITUTE(B386," ",REPT(" ",200)),801,200)),"")</f>
        <v/>
      </c>
      <c r="I386">
        <f>IF(C386&gt;=6,TRIM(MID(SUBSTITUTE(B386," ",REPT(" ",200)),1001,200)),"")</f>
        <v/>
      </c>
      <c r="J386">
        <f>IF(C386&gt;=7,TRIM(MID(SUBSTITUTE(B386," ",REPT(" ",200)),1201,200)),"")</f>
        <v/>
      </c>
      <c r="K386">
        <f>IF(C386&gt;=8,TRIM(MID(SUBSTITUTE(B386," ",REPT(" ",200)),1401,200)),"")</f>
        <v/>
      </c>
      <c r="L386">
        <f>SUBSTITUTE(SUBSTITUTE(SUBSTITUTE(D386,"年","-"),"組","-"),"番","")</f>
        <v/>
      </c>
      <c r="M386">
        <f>IF(D386="",0,IF(ISNUMBER(VALUE(SUBSTITUTE(L386,"-",""))),1,0))</f>
        <v/>
      </c>
      <c r="N386">
        <f>IF(M386=0,"",IFERROR(VALUE(TRIM(MID(SUBSTITUTE(L386,"-",REPT(" ",100)),101,100))),""))</f>
        <v/>
      </c>
      <c r="O386">
        <f>IF(M386=0,"",IFERROR(VALUE(TRIM(RIGHT(SUBSTITUTE(L386,"-",REPT(" ",100)),100))),""))</f>
        <v/>
      </c>
      <c r="P386">
        <f>IF(B386="","",TRIM(INDEX($D386:$K386,IF(M386=1,2,1))&amp;IF(AD386&gt;=2," "&amp;INDEX($D386:$K386,IF(M386=1,2,1)+1),"")&amp;IF(AD386&gt;=3," "&amp;INDEX($D386:$K386,IF(M386=1,2,1)+2),"")))</f>
        <v/>
      </c>
      <c r="Q386">
        <f>IF(C386&lt;2,"",TRIM(IF(AND(2&gt;=(IF(M386=1,2,1)+AD386),2&lt;=C386-IF(S386="",0,1)),E386&amp;" ","")&amp;IF(AND(3&gt;=(IF(M386=1,2,1)+AD386),3&lt;=C386-IF(S386="",0,1)),F386&amp;" ","")&amp;IF(AND(4&gt;=(IF(M386=1,2,1)+AD386),4&lt;=C386-IF(S386="",0,1)),G386&amp;" ","")&amp;IF(AND(5&gt;=(IF(M386=1,2,1)+AD386),5&lt;=C386-IF(S386="",0,1)),H386&amp;" ","")&amp;IF(AND(6&gt;=(IF(M386=1,2,1)+AD386),6&lt;=C386-IF(S386="",0,1)),I386&amp;" ","")&amp;IF(AND(7&gt;=(IF(M386=1,2,1)+AD386),7&lt;=C386-IF(S386="",0,1)),J386&amp;" ","")&amp;IF(AND(8&gt;=(IF(M386=1,2,1)+AD386),8&lt;=C386-IF(S386="",0,1)),K386&amp;" ","")))</f>
        <v/>
      </c>
      <c r="R386">
        <f>IF(Q386="","",IFERROR(INDEX(資格マスタ!$B:$B,MATCH(ASC(SUBSTITUTE(SUBSTITUTE(Q386," ",""),"　","")),資格マスタ!$D:$D,0)),Q386))</f>
        <v/>
      </c>
      <c r="S386" s="139">
        <f>IF(C386&lt;2,"",IFERROR(IF(OR(LEFT(INDEX(D386:K386,MIN(8,MAX(1,C386))),2)="令和",LEFT(INDEX(D386:K386,MIN(8,MAX(1,C386))),2)="平成",LEFT(INDEX(D386:K386,MIN(8,MAX(1,C386))),2)="昭和"),DATE(VALUE(MID(INDEX(D386:K386,MIN(8,MAX(1,C386))),3,FIND("年",INDEX(D386:K386,MIN(8,MAX(1,C386))))-3))+IF(LEFT(INDEX(D386:K386,MIN(8,MAX(1,C386))),2)="令和",2018,IF(LEFT(INDEX(D386:K386,MIN(8,MAX(1,C386))),2)="平成",1988,1925)),VALUE(MID(INDEX(D386:K386,MIN(8,MAX(1,C386))),FIND("年",INDEX(D386:K386,MIN(8,MAX(1,C386))))+1,FIND("月",INDEX(D386:K386,MIN(8,MAX(1,C386))))-FIND("年",INDEX(D386:K386,MIN(8,MAX(1,C386))))-1)),IFERROR(VALUE(SUBSTITUTE(MID(INDEX(D386:K386,MIN(8,MAX(1,C386))),FIND("月",INDEX(D386:K386,MIN(8,MAX(1,C386))))+1,10),"日","")),1)),DATE(VALUE(TRIM(MID(SUBSTITUTE(AA386,"/",REPT(" ",50)),1,50))),VALUE(TRIM(MID(SUBSTITUTE(AA386,"/",REPT(" ",50)),51,50))),IFERROR(VALUE(TRIM(MID(SUBSTITUTE(AA386,"/",REPT(" ",50)),101,50))),1))),IFERROR(DATEVALUE(INDEX(D386:K386,MIN(8,MAX(1,C386)))),"")))</f>
        <v/>
      </c>
      <c r="T386">
        <f>IF(B386="","",IF(AB386&lt;&gt;"",AB386,IFERROR(MATCH(SUBSTITUTE(SUBSTITUTE(P386," ",""),"　",""),入力!$AH$5:$AH$44,0),"")))</f>
        <v/>
      </c>
      <c r="U386">
        <f>IF(T386="","",INDEX(入力!$D$5:$D$44,T386))</f>
        <v/>
      </c>
      <c r="V386">
        <f>IF(B386="","",IF(T386="","要確認（名簿と照合できません）",IF(R386="","要確認（資格名がありません）",IF(S386="","要確認（取得日が読めません）",IF((IF(INDEX(入力!$N$5:$N$44,T386)=R386,1,0)+IF(INDEX(入力!$P$5:$P$44,T386)=R386,1,0)+IF(INDEX(入力!$R$5:$R$44,T386)=R386,1,0)+IF(INDEX(入力!$T$5:$T$44,T386)=R386,1,0)+IF(INDEX(入力!$V$5:$V$44,T386)=R386,1,0)+IF(INDEX(入力!$X$5:$X$44,T386)=R386,1,0))+(COUNTIFS($T$6:$T$405,T386,$R$6:$R$405,R386,$X$6:$X$405,"&lt;"&amp;X386))&gt;0,"重複","反映")))))</f>
        <v/>
      </c>
      <c r="W386">
        <f>IF(V386="反映",1,0)</f>
        <v/>
      </c>
      <c r="X386" t="n">
        <v>386</v>
      </c>
      <c r="Y386">
        <f>IF(W386=0,"",COUNTIFS($T$6:$T$405,T386,$W$6:$W$405,1,$S$6:$S$405,"&lt;"&amp;S386)+COUNTIFS($T$6:$T$405,T386,$W$6:$W$405,1,$S$6:$S$405,S386,$X$6:$X$405,"&lt;"&amp;X386)+1)</f>
        <v/>
      </c>
      <c r="Z386">
        <f>IF(Y386="","",T386&amp;"_"&amp;Y386)</f>
        <v/>
      </c>
      <c r="AA386">
        <f>SUBSTITUTE(SUBSTITUTE(SUBSTITUTE(SUBSTITUTE(SUBSTITUTE(INDEX(D386:K386,MIN(8,MAX(1,C386))),"年","/"),"月","/"),"日",""),"-","/"),".","/")</f>
        <v/>
      </c>
      <c r="AB386">
        <f>IFERROR(MATCH(O386,入力!$C$5:$C$44,0),"")</f>
        <v/>
      </c>
      <c r="AC386">
        <f>IF(AB386="","",INDEX(入力!$AH$5:$AH$44,AB386))</f>
        <v/>
      </c>
      <c r="AD386">
        <f>IF(INDEX($D386:$K386,IF(M386=1,2,1))=AC386,1,IF(INDEX($D386:$K386,IF(M386=1,2,1))&amp;INDEX($D386:$K386,IF(M386=1,2,1)+1)=AC386,2,IF(INDEX($D386:$K386,IF(M386=1,2,1))&amp;INDEX($D386:$K386,IF(M386=1,2,1)+1)&amp;INDEX($D386:$K386,IF(M386=1,2,1)+2)=AC386,3,IF(AB386&lt;&gt;"",2,IF(ISNUMBER(MATCH(INDEX($D386:$K386,IF(M386=1,2,1)),入力!$AH$5:$AH$44,0)),1,IF(ISNUMBER(MATCH(INDEX($D386:$K386,IF(M386=1,2,1))&amp;INDEX($D386:$K386,IF(M386=1,2,1)+1),入力!$AH$5:$AH$44,0)),2,IF(ISNUMBER(MATCH(INDEX($D386:$K386,IF(M386=1,2,1))&amp;INDEX($D386:$K386,IF(M386=1,2,1)+1)&amp;INDEX($D386:$K386,IF(M386=1,2,1)+2),入力!$AH$5:$AH$44,0)),3,2)))))))</f>
        <v/>
      </c>
      <c r="AE386">
        <f>IF(V386="","",IF(AND(V386="反映",N(Y386)&gt;20),"要確認（この生徒の取込が20件を超えました）",V386))</f>
        <v/>
      </c>
    </row>
    <row r="387">
      <c r="A387" s="138" t="n"/>
      <c r="B387">
        <f>TRIM(SUBSTITUTE(SUBSTITUTE(SUBSTITUTE(A387,CHAR(9)," "),"　"," "),CHAR(160)," "))</f>
        <v/>
      </c>
      <c r="C387">
        <f>IF(B387="",0,LEN(B387)-LEN(SUBSTITUTE(B387," ",""))+1)</f>
        <v/>
      </c>
      <c r="D387">
        <f>IF(C387&gt;=1,TRIM(MID(SUBSTITUTE(B387," ",REPT(" ",200)),1,200)),"")</f>
        <v/>
      </c>
      <c r="E387">
        <f>IF(C387&gt;=2,TRIM(MID(SUBSTITUTE(B387," ",REPT(" ",200)),201,200)),"")</f>
        <v/>
      </c>
      <c r="F387">
        <f>IF(C387&gt;=3,TRIM(MID(SUBSTITUTE(B387," ",REPT(" ",200)),401,200)),"")</f>
        <v/>
      </c>
      <c r="G387">
        <f>IF(C387&gt;=4,TRIM(MID(SUBSTITUTE(B387," ",REPT(" ",200)),601,200)),"")</f>
        <v/>
      </c>
      <c r="H387">
        <f>IF(C387&gt;=5,TRIM(MID(SUBSTITUTE(B387," ",REPT(" ",200)),801,200)),"")</f>
        <v/>
      </c>
      <c r="I387">
        <f>IF(C387&gt;=6,TRIM(MID(SUBSTITUTE(B387," ",REPT(" ",200)),1001,200)),"")</f>
        <v/>
      </c>
      <c r="J387">
        <f>IF(C387&gt;=7,TRIM(MID(SUBSTITUTE(B387," ",REPT(" ",200)),1201,200)),"")</f>
        <v/>
      </c>
      <c r="K387">
        <f>IF(C387&gt;=8,TRIM(MID(SUBSTITUTE(B387," ",REPT(" ",200)),1401,200)),"")</f>
        <v/>
      </c>
      <c r="L387">
        <f>SUBSTITUTE(SUBSTITUTE(SUBSTITUTE(D387,"年","-"),"組","-"),"番","")</f>
        <v/>
      </c>
      <c r="M387">
        <f>IF(D387="",0,IF(ISNUMBER(VALUE(SUBSTITUTE(L387,"-",""))),1,0))</f>
        <v/>
      </c>
      <c r="N387">
        <f>IF(M387=0,"",IFERROR(VALUE(TRIM(MID(SUBSTITUTE(L387,"-",REPT(" ",100)),101,100))),""))</f>
        <v/>
      </c>
      <c r="O387">
        <f>IF(M387=0,"",IFERROR(VALUE(TRIM(RIGHT(SUBSTITUTE(L387,"-",REPT(" ",100)),100))),""))</f>
        <v/>
      </c>
      <c r="P387">
        <f>IF(B387="","",TRIM(INDEX($D387:$K387,IF(M387=1,2,1))&amp;IF(AD387&gt;=2," "&amp;INDEX($D387:$K387,IF(M387=1,2,1)+1),"")&amp;IF(AD387&gt;=3," "&amp;INDEX($D387:$K387,IF(M387=1,2,1)+2),"")))</f>
        <v/>
      </c>
      <c r="Q387">
        <f>IF(C387&lt;2,"",TRIM(IF(AND(2&gt;=(IF(M387=1,2,1)+AD387),2&lt;=C387-IF(S387="",0,1)),E387&amp;" ","")&amp;IF(AND(3&gt;=(IF(M387=1,2,1)+AD387),3&lt;=C387-IF(S387="",0,1)),F387&amp;" ","")&amp;IF(AND(4&gt;=(IF(M387=1,2,1)+AD387),4&lt;=C387-IF(S387="",0,1)),G387&amp;" ","")&amp;IF(AND(5&gt;=(IF(M387=1,2,1)+AD387),5&lt;=C387-IF(S387="",0,1)),H387&amp;" ","")&amp;IF(AND(6&gt;=(IF(M387=1,2,1)+AD387),6&lt;=C387-IF(S387="",0,1)),I387&amp;" ","")&amp;IF(AND(7&gt;=(IF(M387=1,2,1)+AD387),7&lt;=C387-IF(S387="",0,1)),J387&amp;" ","")&amp;IF(AND(8&gt;=(IF(M387=1,2,1)+AD387),8&lt;=C387-IF(S387="",0,1)),K387&amp;" ","")))</f>
        <v/>
      </c>
      <c r="R387">
        <f>IF(Q387="","",IFERROR(INDEX(資格マスタ!$B:$B,MATCH(ASC(SUBSTITUTE(SUBSTITUTE(Q387," ",""),"　","")),資格マスタ!$D:$D,0)),Q387))</f>
        <v/>
      </c>
      <c r="S387" s="139">
        <f>IF(C387&lt;2,"",IFERROR(IF(OR(LEFT(INDEX(D387:K387,MIN(8,MAX(1,C387))),2)="令和",LEFT(INDEX(D387:K387,MIN(8,MAX(1,C387))),2)="平成",LEFT(INDEX(D387:K387,MIN(8,MAX(1,C387))),2)="昭和"),DATE(VALUE(MID(INDEX(D387:K387,MIN(8,MAX(1,C387))),3,FIND("年",INDEX(D387:K387,MIN(8,MAX(1,C387))))-3))+IF(LEFT(INDEX(D387:K387,MIN(8,MAX(1,C387))),2)="令和",2018,IF(LEFT(INDEX(D387:K387,MIN(8,MAX(1,C387))),2)="平成",1988,1925)),VALUE(MID(INDEX(D387:K387,MIN(8,MAX(1,C387))),FIND("年",INDEX(D387:K387,MIN(8,MAX(1,C387))))+1,FIND("月",INDEX(D387:K387,MIN(8,MAX(1,C387))))-FIND("年",INDEX(D387:K387,MIN(8,MAX(1,C387))))-1)),IFERROR(VALUE(SUBSTITUTE(MID(INDEX(D387:K387,MIN(8,MAX(1,C387))),FIND("月",INDEX(D387:K387,MIN(8,MAX(1,C387))))+1,10),"日","")),1)),DATE(VALUE(TRIM(MID(SUBSTITUTE(AA387,"/",REPT(" ",50)),1,50))),VALUE(TRIM(MID(SUBSTITUTE(AA387,"/",REPT(" ",50)),51,50))),IFERROR(VALUE(TRIM(MID(SUBSTITUTE(AA387,"/",REPT(" ",50)),101,50))),1))),IFERROR(DATEVALUE(INDEX(D387:K387,MIN(8,MAX(1,C387)))),"")))</f>
        <v/>
      </c>
      <c r="T387">
        <f>IF(B387="","",IF(AB387&lt;&gt;"",AB387,IFERROR(MATCH(SUBSTITUTE(SUBSTITUTE(P387," ",""),"　",""),入力!$AH$5:$AH$44,0),"")))</f>
        <v/>
      </c>
      <c r="U387">
        <f>IF(T387="","",INDEX(入力!$D$5:$D$44,T387))</f>
        <v/>
      </c>
      <c r="V387">
        <f>IF(B387="","",IF(T387="","要確認（名簿と照合できません）",IF(R387="","要確認（資格名がありません）",IF(S387="","要確認（取得日が読めません）",IF((IF(INDEX(入力!$N$5:$N$44,T387)=R387,1,0)+IF(INDEX(入力!$P$5:$P$44,T387)=R387,1,0)+IF(INDEX(入力!$R$5:$R$44,T387)=R387,1,0)+IF(INDEX(入力!$T$5:$T$44,T387)=R387,1,0)+IF(INDEX(入力!$V$5:$V$44,T387)=R387,1,0)+IF(INDEX(入力!$X$5:$X$44,T387)=R387,1,0))+(COUNTIFS($T$6:$T$405,T387,$R$6:$R$405,R387,$X$6:$X$405,"&lt;"&amp;X387))&gt;0,"重複","反映")))))</f>
        <v/>
      </c>
      <c r="W387">
        <f>IF(V387="反映",1,0)</f>
        <v/>
      </c>
      <c r="X387" t="n">
        <v>387</v>
      </c>
      <c r="Y387">
        <f>IF(W387=0,"",COUNTIFS($T$6:$T$405,T387,$W$6:$W$405,1,$S$6:$S$405,"&lt;"&amp;S387)+COUNTIFS($T$6:$T$405,T387,$W$6:$W$405,1,$S$6:$S$405,S387,$X$6:$X$405,"&lt;"&amp;X387)+1)</f>
        <v/>
      </c>
      <c r="Z387">
        <f>IF(Y387="","",T387&amp;"_"&amp;Y387)</f>
        <v/>
      </c>
      <c r="AA387">
        <f>SUBSTITUTE(SUBSTITUTE(SUBSTITUTE(SUBSTITUTE(SUBSTITUTE(INDEX(D387:K387,MIN(8,MAX(1,C387))),"年","/"),"月","/"),"日",""),"-","/"),".","/")</f>
        <v/>
      </c>
      <c r="AB387">
        <f>IFERROR(MATCH(O387,入力!$C$5:$C$44,0),"")</f>
        <v/>
      </c>
      <c r="AC387">
        <f>IF(AB387="","",INDEX(入力!$AH$5:$AH$44,AB387))</f>
        <v/>
      </c>
      <c r="AD387">
        <f>IF(INDEX($D387:$K387,IF(M387=1,2,1))=AC387,1,IF(INDEX($D387:$K387,IF(M387=1,2,1))&amp;INDEX($D387:$K387,IF(M387=1,2,1)+1)=AC387,2,IF(INDEX($D387:$K387,IF(M387=1,2,1))&amp;INDEX($D387:$K387,IF(M387=1,2,1)+1)&amp;INDEX($D387:$K387,IF(M387=1,2,1)+2)=AC387,3,IF(AB387&lt;&gt;"",2,IF(ISNUMBER(MATCH(INDEX($D387:$K387,IF(M387=1,2,1)),入力!$AH$5:$AH$44,0)),1,IF(ISNUMBER(MATCH(INDEX($D387:$K387,IF(M387=1,2,1))&amp;INDEX($D387:$K387,IF(M387=1,2,1)+1),入力!$AH$5:$AH$44,0)),2,IF(ISNUMBER(MATCH(INDEX($D387:$K387,IF(M387=1,2,1))&amp;INDEX($D387:$K387,IF(M387=1,2,1)+1)&amp;INDEX($D387:$K387,IF(M387=1,2,1)+2),入力!$AH$5:$AH$44,0)),3,2)))))))</f>
        <v/>
      </c>
      <c r="AE387">
        <f>IF(V387="","",IF(AND(V387="反映",N(Y387)&gt;20),"要確認（この生徒の取込が20件を超えました）",V387))</f>
        <v/>
      </c>
    </row>
    <row r="388">
      <c r="A388" s="138" t="n"/>
      <c r="B388">
        <f>TRIM(SUBSTITUTE(SUBSTITUTE(SUBSTITUTE(A388,CHAR(9)," "),"　"," "),CHAR(160)," "))</f>
        <v/>
      </c>
      <c r="C388">
        <f>IF(B388="",0,LEN(B388)-LEN(SUBSTITUTE(B388," ",""))+1)</f>
        <v/>
      </c>
      <c r="D388">
        <f>IF(C388&gt;=1,TRIM(MID(SUBSTITUTE(B388," ",REPT(" ",200)),1,200)),"")</f>
        <v/>
      </c>
      <c r="E388">
        <f>IF(C388&gt;=2,TRIM(MID(SUBSTITUTE(B388," ",REPT(" ",200)),201,200)),"")</f>
        <v/>
      </c>
      <c r="F388">
        <f>IF(C388&gt;=3,TRIM(MID(SUBSTITUTE(B388," ",REPT(" ",200)),401,200)),"")</f>
        <v/>
      </c>
      <c r="G388">
        <f>IF(C388&gt;=4,TRIM(MID(SUBSTITUTE(B388," ",REPT(" ",200)),601,200)),"")</f>
        <v/>
      </c>
      <c r="H388">
        <f>IF(C388&gt;=5,TRIM(MID(SUBSTITUTE(B388," ",REPT(" ",200)),801,200)),"")</f>
        <v/>
      </c>
      <c r="I388">
        <f>IF(C388&gt;=6,TRIM(MID(SUBSTITUTE(B388," ",REPT(" ",200)),1001,200)),"")</f>
        <v/>
      </c>
      <c r="J388">
        <f>IF(C388&gt;=7,TRIM(MID(SUBSTITUTE(B388," ",REPT(" ",200)),1201,200)),"")</f>
        <v/>
      </c>
      <c r="K388">
        <f>IF(C388&gt;=8,TRIM(MID(SUBSTITUTE(B388," ",REPT(" ",200)),1401,200)),"")</f>
        <v/>
      </c>
      <c r="L388">
        <f>SUBSTITUTE(SUBSTITUTE(SUBSTITUTE(D388,"年","-"),"組","-"),"番","")</f>
        <v/>
      </c>
      <c r="M388">
        <f>IF(D388="",0,IF(ISNUMBER(VALUE(SUBSTITUTE(L388,"-",""))),1,0))</f>
        <v/>
      </c>
      <c r="N388">
        <f>IF(M388=0,"",IFERROR(VALUE(TRIM(MID(SUBSTITUTE(L388,"-",REPT(" ",100)),101,100))),""))</f>
        <v/>
      </c>
      <c r="O388">
        <f>IF(M388=0,"",IFERROR(VALUE(TRIM(RIGHT(SUBSTITUTE(L388,"-",REPT(" ",100)),100))),""))</f>
        <v/>
      </c>
      <c r="P388">
        <f>IF(B388="","",TRIM(INDEX($D388:$K388,IF(M388=1,2,1))&amp;IF(AD388&gt;=2," "&amp;INDEX($D388:$K388,IF(M388=1,2,1)+1),"")&amp;IF(AD388&gt;=3," "&amp;INDEX($D388:$K388,IF(M388=1,2,1)+2),"")))</f>
        <v/>
      </c>
      <c r="Q388">
        <f>IF(C388&lt;2,"",TRIM(IF(AND(2&gt;=(IF(M388=1,2,1)+AD388),2&lt;=C388-IF(S388="",0,1)),E388&amp;" ","")&amp;IF(AND(3&gt;=(IF(M388=1,2,1)+AD388),3&lt;=C388-IF(S388="",0,1)),F388&amp;" ","")&amp;IF(AND(4&gt;=(IF(M388=1,2,1)+AD388),4&lt;=C388-IF(S388="",0,1)),G388&amp;" ","")&amp;IF(AND(5&gt;=(IF(M388=1,2,1)+AD388),5&lt;=C388-IF(S388="",0,1)),H388&amp;" ","")&amp;IF(AND(6&gt;=(IF(M388=1,2,1)+AD388),6&lt;=C388-IF(S388="",0,1)),I388&amp;" ","")&amp;IF(AND(7&gt;=(IF(M388=1,2,1)+AD388),7&lt;=C388-IF(S388="",0,1)),J388&amp;" ","")&amp;IF(AND(8&gt;=(IF(M388=1,2,1)+AD388),8&lt;=C388-IF(S388="",0,1)),K388&amp;" ","")))</f>
        <v/>
      </c>
      <c r="R388">
        <f>IF(Q388="","",IFERROR(INDEX(資格マスタ!$B:$B,MATCH(ASC(SUBSTITUTE(SUBSTITUTE(Q388," ",""),"　","")),資格マスタ!$D:$D,0)),Q388))</f>
        <v/>
      </c>
      <c r="S388" s="139">
        <f>IF(C388&lt;2,"",IFERROR(IF(OR(LEFT(INDEX(D388:K388,MIN(8,MAX(1,C388))),2)="令和",LEFT(INDEX(D388:K388,MIN(8,MAX(1,C388))),2)="平成",LEFT(INDEX(D388:K388,MIN(8,MAX(1,C388))),2)="昭和"),DATE(VALUE(MID(INDEX(D388:K388,MIN(8,MAX(1,C388))),3,FIND("年",INDEX(D388:K388,MIN(8,MAX(1,C388))))-3))+IF(LEFT(INDEX(D388:K388,MIN(8,MAX(1,C388))),2)="令和",2018,IF(LEFT(INDEX(D388:K388,MIN(8,MAX(1,C388))),2)="平成",1988,1925)),VALUE(MID(INDEX(D388:K388,MIN(8,MAX(1,C388))),FIND("年",INDEX(D388:K388,MIN(8,MAX(1,C388))))+1,FIND("月",INDEX(D388:K388,MIN(8,MAX(1,C388))))-FIND("年",INDEX(D388:K388,MIN(8,MAX(1,C388))))-1)),IFERROR(VALUE(SUBSTITUTE(MID(INDEX(D388:K388,MIN(8,MAX(1,C388))),FIND("月",INDEX(D388:K388,MIN(8,MAX(1,C388))))+1,10),"日","")),1)),DATE(VALUE(TRIM(MID(SUBSTITUTE(AA388,"/",REPT(" ",50)),1,50))),VALUE(TRIM(MID(SUBSTITUTE(AA388,"/",REPT(" ",50)),51,50))),IFERROR(VALUE(TRIM(MID(SUBSTITUTE(AA388,"/",REPT(" ",50)),101,50))),1))),IFERROR(DATEVALUE(INDEX(D388:K388,MIN(8,MAX(1,C388)))),"")))</f>
        <v/>
      </c>
      <c r="T388">
        <f>IF(B388="","",IF(AB388&lt;&gt;"",AB388,IFERROR(MATCH(SUBSTITUTE(SUBSTITUTE(P388," ",""),"　",""),入力!$AH$5:$AH$44,0),"")))</f>
        <v/>
      </c>
      <c r="U388">
        <f>IF(T388="","",INDEX(入力!$D$5:$D$44,T388))</f>
        <v/>
      </c>
      <c r="V388">
        <f>IF(B388="","",IF(T388="","要確認（名簿と照合できません）",IF(R388="","要確認（資格名がありません）",IF(S388="","要確認（取得日が読めません）",IF((IF(INDEX(入力!$N$5:$N$44,T388)=R388,1,0)+IF(INDEX(入力!$P$5:$P$44,T388)=R388,1,0)+IF(INDEX(入力!$R$5:$R$44,T388)=R388,1,0)+IF(INDEX(入力!$T$5:$T$44,T388)=R388,1,0)+IF(INDEX(入力!$V$5:$V$44,T388)=R388,1,0)+IF(INDEX(入力!$X$5:$X$44,T388)=R388,1,0))+(COUNTIFS($T$6:$T$405,T388,$R$6:$R$405,R388,$X$6:$X$405,"&lt;"&amp;X388))&gt;0,"重複","反映")))))</f>
        <v/>
      </c>
      <c r="W388">
        <f>IF(V388="反映",1,0)</f>
        <v/>
      </c>
      <c r="X388" t="n">
        <v>388</v>
      </c>
      <c r="Y388">
        <f>IF(W388=0,"",COUNTIFS($T$6:$T$405,T388,$W$6:$W$405,1,$S$6:$S$405,"&lt;"&amp;S388)+COUNTIFS($T$6:$T$405,T388,$W$6:$W$405,1,$S$6:$S$405,S388,$X$6:$X$405,"&lt;"&amp;X388)+1)</f>
        <v/>
      </c>
      <c r="Z388">
        <f>IF(Y388="","",T388&amp;"_"&amp;Y388)</f>
        <v/>
      </c>
      <c r="AA388">
        <f>SUBSTITUTE(SUBSTITUTE(SUBSTITUTE(SUBSTITUTE(SUBSTITUTE(INDEX(D388:K388,MIN(8,MAX(1,C388))),"年","/"),"月","/"),"日",""),"-","/"),".","/")</f>
        <v/>
      </c>
      <c r="AB388">
        <f>IFERROR(MATCH(O388,入力!$C$5:$C$44,0),"")</f>
        <v/>
      </c>
      <c r="AC388">
        <f>IF(AB388="","",INDEX(入力!$AH$5:$AH$44,AB388))</f>
        <v/>
      </c>
      <c r="AD388">
        <f>IF(INDEX($D388:$K388,IF(M388=1,2,1))=AC388,1,IF(INDEX($D388:$K388,IF(M388=1,2,1))&amp;INDEX($D388:$K388,IF(M388=1,2,1)+1)=AC388,2,IF(INDEX($D388:$K388,IF(M388=1,2,1))&amp;INDEX($D388:$K388,IF(M388=1,2,1)+1)&amp;INDEX($D388:$K388,IF(M388=1,2,1)+2)=AC388,3,IF(AB388&lt;&gt;"",2,IF(ISNUMBER(MATCH(INDEX($D388:$K388,IF(M388=1,2,1)),入力!$AH$5:$AH$44,0)),1,IF(ISNUMBER(MATCH(INDEX($D388:$K388,IF(M388=1,2,1))&amp;INDEX($D388:$K388,IF(M388=1,2,1)+1),入力!$AH$5:$AH$44,0)),2,IF(ISNUMBER(MATCH(INDEX($D388:$K388,IF(M388=1,2,1))&amp;INDEX($D388:$K388,IF(M388=1,2,1)+1)&amp;INDEX($D388:$K388,IF(M388=1,2,1)+2),入力!$AH$5:$AH$44,0)),3,2)))))))</f>
        <v/>
      </c>
      <c r="AE388">
        <f>IF(V388="","",IF(AND(V388="反映",N(Y388)&gt;20),"要確認（この生徒の取込が20件を超えました）",V388))</f>
        <v/>
      </c>
    </row>
    <row r="389">
      <c r="A389" s="138" t="n"/>
      <c r="B389">
        <f>TRIM(SUBSTITUTE(SUBSTITUTE(SUBSTITUTE(A389,CHAR(9)," "),"　"," "),CHAR(160)," "))</f>
        <v/>
      </c>
      <c r="C389">
        <f>IF(B389="",0,LEN(B389)-LEN(SUBSTITUTE(B389," ",""))+1)</f>
        <v/>
      </c>
      <c r="D389">
        <f>IF(C389&gt;=1,TRIM(MID(SUBSTITUTE(B389," ",REPT(" ",200)),1,200)),"")</f>
        <v/>
      </c>
      <c r="E389">
        <f>IF(C389&gt;=2,TRIM(MID(SUBSTITUTE(B389," ",REPT(" ",200)),201,200)),"")</f>
        <v/>
      </c>
      <c r="F389">
        <f>IF(C389&gt;=3,TRIM(MID(SUBSTITUTE(B389," ",REPT(" ",200)),401,200)),"")</f>
        <v/>
      </c>
      <c r="G389">
        <f>IF(C389&gt;=4,TRIM(MID(SUBSTITUTE(B389," ",REPT(" ",200)),601,200)),"")</f>
        <v/>
      </c>
      <c r="H389">
        <f>IF(C389&gt;=5,TRIM(MID(SUBSTITUTE(B389," ",REPT(" ",200)),801,200)),"")</f>
        <v/>
      </c>
      <c r="I389">
        <f>IF(C389&gt;=6,TRIM(MID(SUBSTITUTE(B389," ",REPT(" ",200)),1001,200)),"")</f>
        <v/>
      </c>
      <c r="J389">
        <f>IF(C389&gt;=7,TRIM(MID(SUBSTITUTE(B389," ",REPT(" ",200)),1201,200)),"")</f>
        <v/>
      </c>
      <c r="K389">
        <f>IF(C389&gt;=8,TRIM(MID(SUBSTITUTE(B389," ",REPT(" ",200)),1401,200)),"")</f>
        <v/>
      </c>
      <c r="L389">
        <f>SUBSTITUTE(SUBSTITUTE(SUBSTITUTE(D389,"年","-"),"組","-"),"番","")</f>
        <v/>
      </c>
      <c r="M389">
        <f>IF(D389="",0,IF(ISNUMBER(VALUE(SUBSTITUTE(L389,"-",""))),1,0))</f>
        <v/>
      </c>
      <c r="N389">
        <f>IF(M389=0,"",IFERROR(VALUE(TRIM(MID(SUBSTITUTE(L389,"-",REPT(" ",100)),101,100))),""))</f>
        <v/>
      </c>
      <c r="O389">
        <f>IF(M389=0,"",IFERROR(VALUE(TRIM(RIGHT(SUBSTITUTE(L389,"-",REPT(" ",100)),100))),""))</f>
        <v/>
      </c>
      <c r="P389">
        <f>IF(B389="","",TRIM(INDEX($D389:$K389,IF(M389=1,2,1))&amp;IF(AD389&gt;=2," "&amp;INDEX($D389:$K389,IF(M389=1,2,1)+1),"")&amp;IF(AD389&gt;=3," "&amp;INDEX($D389:$K389,IF(M389=1,2,1)+2),"")))</f>
        <v/>
      </c>
      <c r="Q389">
        <f>IF(C389&lt;2,"",TRIM(IF(AND(2&gt;=(IF(M389=1,2,1)+AD389),2&lt;=C389-IF(S389="",0,1)),E389&amp;" ","")&amp;IF(AND(3&gt;=(IF(M389=1,2,1)+AD389),3&lt;=C389-IF(S389="",0,1)),F389&amp;" ","")&amp;IF(AND(4&gt;=(IF(M389=1,2,1)+AD389),4&lt;=C389-IF(S389="",0,1)),G389&amp;" ","")&amp;IF(AND(5&gt;=(IF(M389=1,2,1)+AD389),5&lt;=C389-IF(S389="",0,1)),H389&amp;" ","")&amp;IF(AND(6&gt;=(IF(M389=1,2,1)+AD389),6&lt;=C389-IF(S389="",0,1)),I389&amp;" ","")&amp;IF(AND(7&gt;=(IF(M389=1,2,1)+AD389),7&lt;=C389-IF(S389="",0,1)),J389&amp;" ","")&amp;IF(AND(8&gt;=(IF(M389=1,2,1)+AD389),8&lt;=C389-IF(S389="",0,1)),K389&amp;" ","")))</f>
        <v/>
      </c>
      <c r="R389">
        <f>IF(Q389="","",IFERROR(INDEX(資格マスタ!$B:$B,MATCH(ASC(SUBSTITUTE(SUBSTITUTE(Q389," ",""),"　","")),資格マスタ!$D:$D,0)),Q389))</f>
        <v/>
      </c>
      <c r="S389" s="139">
        <f>IF(C389&lt;2,"",IFERROR(IF(OR(LEFT(INDEX(D389:K389,MIN(8,MAX(1,C389))),2)="令和",LEFT(INDEX(D389:K389,MIN(8,MAX(1,C389))),2)="平成",LEFT(INDEX(D389:K389,MIN(8,MAX(1,C389))),2)="昭和"),DATE(VALUE(MID(INDEX(D389:K389,MIN(8,MAX(1,C389))),3,FIND("年",INDEX(D389:K389,MIN(8,MAX(1,C389))))-3))+IF(LEFT(INDEX(D389:K389,MIN(8,MAX(1,C389))),2)="令和",2018,IF(LEFT(INDEX(D389:K389,MIN(8,MAX(1,C389))),2)="平成",1988,1925)),VALUE(MID(INDEX(D389:K389,MIN(8,MAX(1,C389))),FIND("年",INDEX(D389:K389,MIN(8,MAX(1,C389))))+1,FIND("月",INDEX(D389:K389,MIN(8,MAX(1,C389))))-FIND("年",INDEX(D389:K389,MIN(8,MAX(1,C389))))-1)),IFERROR(VALUE(SUBSTITUTE(MID(INDEX(D389:K389,MIN(8,MAX(1,C389))),FIND("月",INDEX(D389:K389,MIN(8,MAX(1,C389))))+1,10),"日","")),1)),DATE(VALUE(TRIM(MID(SUBSTITUTE(AA389,"/",REPT(" ",50)),1,50))),VALUE(TRIM(MID(SUBSTITUTE(AA389,"/",REPT(" ",50)),51,50))),IFERROR(VALUE(TRIM(MID(SUBSTITUTE(AA389,"/",REPT(" ",50)),101,50))),1))),IFERROR(DATEVALUE(INDEX(D389:K389,MIN(8,MAX(1,C389)))),"")))</f>
        <v/>
      </c>
      <c r="T389">
        <f>IF(B389="","",IF(AB389&lt;&gt;"",AB389,IFERROR(MATCH(SUBSTITUTE(SUBSTITUTE(P389," ",""),"　",""),入力!$AH$5:$AH$44,0),"")))</f>
        <v/>
      </c>
      <c r="U389">
        <f>IF(T389="","",INDEX(入力!$D$5:$D$44,T389))</f>
        <v/>
      </c>
      <c r="V389">
        <f>IF(B389="","",IF(T389="","要確認（名簿と照合できません）",IF(R389="","要確認（資格名がありません）",IF(S389="","要確認（取得日が読めません）",IF((IF(INDEX(入力!$N$5:$N$44,T389)=R389,1,0)+IF(INDEX(入力!$P$5:$P$44,T389)=R389,1,0)+IF(INDEX(入力!$R$5:$R$44,T389)=R389,1,0)+IF(INDEX(入力!$T$5:$T$44,T389)=R389,1,0)+IF(INDEX(入力!$V$5:$V$44,T389)=R389,1,0)+IF(INDEX(入力!$X$5:$X$44,T389)=R389,1,0))+(COUNTIFS($T$6:$T$405,T389,$R$6:$R$405,R389,$X$6:$X$405,"&lt;"&amp;X389))&gt;0,"重複","反映")))))</f>
        <v/>
      </c>
      <c r="W389">
        <f>IF(V389="反映",1,0)</f>
        <v/>
      </c>
      <c r="X389" t="n">
        <v>389</v>
      </c>
      <c r="Y389">
        <f>IF(W389=0,"",COUNTIFS($T$6:$T$405,T389,$W$6:$W$405,1,$S$6:$S$405,"&lt;"&amp;S389)+COUNTIFS($T$6:$T$405,T389,$W$6:$W$405,1,$S$6:$S$405,S389,$X$6:$X$405,"&lt;"&amp;X389)+1)</f>
        <v/>
      </c>
      <c r="Z389">
        <f>IF(Y389="","",T389&amp;"_"&amp;Y389)</f>
        <v/>
      </c>
      <c r="AA389">
        <f>SUBSTITUTE(SUBSTITUTE(SUBSTITUTE(SUBSTITUTE(SUBSTITUTE(INDEX(D389:K389,MIN(8,MAX(1,C389))),"年","/"),"月","/"),"日",""),"-","/"),".","/")</f>
        <v/>
      </c>
      <c r="AB389">
        <f>IFERROR(MATCH(O389,入力!$C$5:$C$44,0),"")</f>
        <v/>
      </c>
      <c r="AC389">
        <f>IF(AB389="","",INDEX(入力!$AH$5:$AH$44,AB389))</f>
        <v/>
      </c>
      <c r="AD389">
        <f>IF(INDEX($D389:$K389,IF(M389=1,2,1))=AC389,1,IF(INDEX($D389:$K389,IF(M389=1,2,1))&amp;INDEX($D389:$K389,IF(M389=1,2,1)+1)=AC389,2,IF(INDEX($D389:$K389,IF(M389=1,2,1))&amp;INDEX($D389:$K389,IF(M389=1,2,1)+1)&amp;INDEX($D389:$K389,IF(M389=1,2,1)+2)=AC389,3,IF(AB389&lt;&gt;"",2,IF(ISNUMBER(MATCH(INDEX($D389:$K389,IF(M389=1,2,1)),入力!$AH$5:$AH$44,0)),1,IF(ISNUMBER(MATCH(INDEX($D389:$K389,IF(M389=1,2,1))&amp;INDEX($D389:$K389,IF(M389=1,2,1)+1),入力!$AH$5:$AH$44,0)),2,IF(ISNUMBER(MATCH(INDEX($D389:$K389,IF(M389=1,2,1))&amp;INDEX($D389:$K389,IF(M389=1,2,1)+1)&amp;INDEX($D389:$K389,IF(M389=1,2,1)+2),入力!$AH$5:$AH$44,0)),3,2)))))))</f>
        <v/>
      </c>
      <c r="AE389">
        <f>IF(V389="","",IF(AND(V389="反映",N(Y389)&gt;20),"要確認（この生徒の取込が20件を超えました）",V389))</f>
        <v/>
      </c>
    </row>
    <row r="390">
      <c r="A390" s="138" t="n"/>
      <c r="B390">
        <f>TRIM(SUBSTITUTE(SUBSTITUTE(SUBSTITUTE(A390,CHAR(9)," "),"　"," "),CHAR(160)," "))</f>
        <v/>
      </c>
      <c r="C390">
        <f>IF(B390="",0,LEN(B390)-LEN(SUBSTITUTE(B390," ",""))+1)</f>
        <v/>
      </c>
      <c r="D390">
        <f>IF(C390&gt;=1,TRIM(MID(SUBSTITUTE(B390," ",REPT(" ",200)),1,200)),"")</f>
        <v/>
      </c>
      <c r="E390">
        <f>IF(C390&gt;=2,TRIM(MID(SUBSTITUTE(B390," ",REPT(" ",200)),201,200)),"")</f>
        <v/>
      </c>
      <c r="F390">
        <f>IF(C390&gt;=3,TRIM(MID(SUBSTITUTE(B390," ",REPT(" ",200)),401,200)),"")</f>
        <v/>
      </c>
      <c r="G390">
        <f>IF(C390&gt;=4,TRIM(MID(SUBSTITUTE(B390," ",REPT(" ",200)),601,200)),"")</f>
        <v/>
      </c>
      <c r="H390">
        <f>IF(C390&gt;=5,TRIM(MID(SUBSTITUTE(B390," ",REPT(" ",200)),801,200)),"")</f>
        <v/>
      </c>
      <c r="I390">
        <f>IF(C390&gt;=6,TRIM(MID(SUBSTITUTE(B390," ",REPT(" ",200)),1001,200)),"")</f>
        <v/>
      </c>
      <c r="J390">
        <f>IF(C390&gt;=7,TRIM(MID(SUBSTITUTE(B390," ",REPT(" ",200)),1201,200)),"")</f>
        <v/>
      </c>
      <c r="K390">
        <f>IF(C390&gt;=8,TRIM(MID(SUBSTITUTE(B390," ",REPT(" ",200)),1401,200)),"")</f>
        <v/>
      </c>
      <c r="L390">
        <f>SUBSTITUTE(SUBSTITUTE(SUBSTITUTE(D390,"年","-"),"組","-"),"番","")</f>
        <v/>
      </c>
      <c r="M390">
        <f>IF(D390="",0,IF(ISNUMBER(VALUE(SUBSTITUTE(L390,"-",""))),1,0))</f>
        <v/>
      </c>
      <c r="N390">
        <f>IF(M390=0,"",IFERROR(VALUE(TRIM(MID(SUBSTITUTE(L390,"-",REPT(" ",100)),101,100))),""))</f>
        <v/>
      </c>
      <c r="O390">
        <f>IF(M390=0,"",IFERROR(VALUE(TRIM(RIGHT(SUBSTITUTE(L390,"-",REPT(" ",100)),100))),""))</f>
        <v/>
      </c>
      <c r="P390">
        <f>IF(B390="","",TRIM(INDEX($D390:$K390,IF(M390=1,2,1))&amp;IF(AD390&gt;=2," "&amp;INDEX($D390:$K390,IF(M390=1,2,1)+1),"")&amp;IF(AD390&gt;=3," "&amp;INDEX($D390:$K390,IF(M390=1,2,1)+2),"")))</f>
        <v/>
      </c>
      <c r="Q390">
        <f>IF(C390&lt;2,"",TRIM(IF(AND(2&gt;=(IF(M390=1,2,1)+AD390),2&lt;=C390-IF(S390="",0,1)),E390&amp;" ","")&amp;IF(AND(3&gt;=(IF(M390=1,2,1)+AD390),3&lt;=C390-IF(S390="",0,1)),F390&amp;" ","")&amp;IF(AND(4&gt;=(IF(M390=1,2,1)+AD390),4&lt;=C390-IF(S390="",0,1)),G390&amp;" ","")&amp;IF(AND(5&gt;=(IF(M390=1,2,1)+AD390),5&lt;=C390-IF(S390="",0,1)),H390&amp;" ","")&amp;IF(AND(6&gt;=(IF(M390=1,2,1)+AD390),6&lt;=C390-IF(S390="",0,1)),I390&amp;" ","")&amp;IF(AND(7&gt;=(IF(M390=1,2,1)+AD390),7&lt;=C390-IF(S390="",0,1)),J390&amp;" ","")&amp;IF(AND(8&gt;=(IF(M390=1,2,1)+AD390),8&lt;=C390-IF(S390="",0,1)),K390&amp;" ","")))</f>
        <v/>
      </c>
      <c r="R390">
        <f>IF(Q390="","",IFERROR(INDEX(資格マスタ!$B:$B,MATCH(ASC(SUBSTITUTE(SUBSTITUTE(Q390," ",""),"　","")),資格マスタ!$D:$D,0)),Q390))</f>
        <v/>
      </c>
      <c r="S390" s="139">
        <f>IF(C390&lt;2,"",IFERROR(IF(OR(LEFT(INDEX(D390:K390,MIN(8,MAX(1,C390))),2)="令和",LEFT(INDEX(D390:K390,MIN(8,MAX(1,C390))),2)="平成",LEFT(INDEX(D390:K390,MIN(8,MAX(1,C390))),2)="昭和"),DATE(VALUE(MID(INDEX(D390:K390,MIN(8,MAX(1,C390))),3,FIND("年",INDEX(D390:K390,MIN(8,MAX(1,C390))))-3))+IF(LEFT(INDEX(D390:K390,MIN(8,MAX(1,C390))),2)="令和",2018,IF(LEFT(INDEX(D390:K390,MIN(8,MAX(1,C390))),2)="平成",1988,1925)),VALUE(MID(INDEX(D390:K390,MIN(8,MAX(1,C390))),FIND("年",INDEX(D390:K390,MIN(8,MAX(1,C390))))+1,FIND("月",INDEX(D390:K390,MIN(8,MAX(1,C390))))-FIND("年",INDEX(D390:K390,MIN(8,MAX(1,C390))))-1)),IFERROR(VALUE(SUBSTITUTE(MID(INDEX(D390:K390,MIN(8,MAX(1,C390))),FIND("月",INDEX(D390:K390,MIN(8,MAX(1,C390))))+1,10),"日","")),1)),DATE(VALUE(TRIM(MID(SUBSTITUTE(AA390,"/",REPT(" ",50)),1,50))),VALUE(TRIM(MID(SUBSTITUTE(AA390,"/",REPT(" ",50)),51,50))),IFERROR(VALUE(TRIM(MID(SUBSTITUTE(AA390,"/",REPT(" ",50)),101,50))),1))),IFERROR(DATEVALUE(INDEX(D390:K390,MIN(8,MAX(1,C390)))),"")))</f>
        <v/>
      </c>
      <c r="T390">
        <f>IF(B390="","",IF(AB390&lt;&gt;"",AB390,IFERROR(MATCH(SUBSTITUTE(SUBSTITUTE(P390," ",""),"　",""),入力!$AH$5:$AH$44,0),"")))</f>
        <v/>
      </c>
      <c r="U390">
        <f>IF(T390="","",INDEX(入力!$D$5:$D$44,T390))</f>
        <v/>
      </c>
      <c r="V390">
        <f>IF(B390="","",IF(T390="","要確認（名簿と照合できません）",IF(R390="","要確認（資格名がありません）",IF(S390="","要確認（取得日が読めません）",IF((IF(INDEX(入力!$N$5:$N$44,T390)=R390,1,0)+IF(INDEX(入力!$P$5:$P$44,T390)=R390,1,0)+IF(INDEX(入力!$R$5:$R$44,T390)=R390,1,0)+IF(INDEX(入力!$T$5:$T$44,T390)=R390,1,0)+IF(INDEX(入力!$V$5:$V$44,T390)=R390,1,0)+IF(INDEX(入力!$X$5:$X$44,T390)=R390,1,0))+(COUNTIFS($T$6:$T$405,T390,$R$6:$R$405,R390,$X$6:$X$405,"&lt;"&amp;X390))&gt;0,"重複","反映")))))</f>
        <v/>
      </c>
      <c r="W390">
        <f>IF(V390="反映",1,0)</f>
        <v/>
      </c>
      <c r="X390" t="n">
        <v>390</v>
      </c>
      <c r="Y390">
        <f>IF(W390=0,"",COUNTIFS($T$6:$T$405,T390,$W$6:$W$405,1,$S$6:$S$405,"&lt;"&amp;S390)+COUNTIFS($T$6:$T$405,T390,$W$6:$W$405,1,$S$6:$S$405,S390,$X$6:$X$405,"&lt;"&amp;X390)+1)</f>
        <v/>
      </c>
      <c r="Z390">
        <f>IF(Y390="","",T390&amp;"_"&amp;Y390)</f>
        <v/>
      </c>
      <c r="AA390">
        <f>SUBSTITUTE(SUBSTITUTE(SUBSTITUTE(SUBSTITUTE(SUBSTITUTE(INDEX(D390:K390,MIN(8,MAX(1,C390))),"年","/"),"月","/"),"日",""),"-","/"),".","/")</f>
        <v/>
      </c>
      <c r="AB390">
        <f>IFERROR(MATCH(O390,入力!$C$5:$C$44,0),"")</f>
        <v/>
      </c>
      <c r="AC390">
        <f>IF(AB390="","",INDEX(入力!$AH$5:$AH$44,AB390))</f>
        <v/>
      </c>
      <c r="AD390">
        <f>IF(INDEX($D390:$K390,IF(M390=1,2,1))=AC390,1,IF(INDEX($D390:$K390,IF(M390=1,2,1))&amp;INDEX($D390:$K390,IF(M390=1,2,1)+1)=AC390,2,IF(INDEX($D390:$K390,IF(M390=1,2,1))&amp;INDEX($D390:$K390,IF(M390=1,2,1)+1)&amp;INDEX($D390:$K390,IF(M390=1,2,1)+2)=AC390,3,IF(AB390&lt;&gt;"",2,IF(ISNUMBER(MATCH(INDEX($D390:$K390,IF(M390=1,2,1)),入力!$AH$5:$AH$44,0)),1,IF(ISNUMBER(MATCH(INDEX($D390:$K390,IF(M390=1,2,1))&amp;INDEX($D390:$K390,IF(M390=1,2,1)+1),入力!$AH$5:$AH$44,0)),2,IF(ISNUMBER(MATCH(INDEX($D390:$K390,IF(M390=1,2,1))&amp;INDEX($D390:$K390,IF(M390=1,2,1)+1)&amp;INDEX($D390:$K390,IF(M390=1,2,1)+2),入力!$AH$5:$AH$44,0)),3,2)))))))</f>
        <v/>
      </c>
      <c r="AE390">
        <f>IF(V390="","",IF(AND(V390="反映",N(Y390)&gt;20),"要確認（この生徒の取込が20件を超えました）",V390))</f>
        <v/>
      </c>
    </row>
    <row r="391">
      <c r="A391" s="138" t="n"/>
      <c r="B391">
        <f>TRIM(SUBSTITUTE(SUBSTITUTE(SUBSTITUTE(A391,CHAR(9)," "),"　"," "),CHAR(160)," "))</f>
        <v/>
      </c>
      <c r="C391">
        <f>IF(B391="",0,LEN(B391)-LEN(SUBSTITUTE(B391," ",""))+1)</f>
        <v/>
      </c>
      <c r="D391">
        <f>IF(C391&gt;=1,TRIM(MID(SUBSTITUTE(B391," ",REPT(" ",200)),1,200)),"")</f>
        <v/>
      </c>
      <c r="E391">
        <f>IF(C391&gt;=2,TRIM(MID(SUBSTITUTE(B391," ",REPT(" ",200)),201,200)),"")</f>
        <v/>
      </c>
      <c r="F391">
        <f>IF(C391&gt;=3,TRIM(MID(SUBSTITUTE(B391," ",REPT(" ",200)),401,200)),"")</f>
        <v/>
      </c>
      <c r="G391">
        <f>IF(C391&gt;=4,TRIM(MID(SUBSTITUTE(B391," ",REPT(" ",200)),601,200)),"")</f>
        <v/>
      </c>
      <c r="H391">
        <f>IF(C391&gt;=5,TRIM(MID(SUBSTITUTE(B391," ",REPT(" ",200)),801,200)),"")</f>
        <v/>
      </c>
      <c r="I391">
        <f>IF(C391&gt;=6,TRIM(MID(SUBSTITUTE(B391," ",REPT(" ",200)),1001,200)),"")</f>
        <v/>
      </c>
      <c r="J391">
        <f>IF(C391&gt;=7,TRIM(MID(SUBSTITUTE(B391," ",REPT(" ",200)),1201,200)),"")</f>
        <v/>
      </c>
      <c r="K391">
        <f>IF(C391&gt;=8,TRIM(MID(SUBSTITUTE(B391," ",REPT(" ",200)),1401,200)),"")</f>
        <v/>
      </c>
      <c r="L391">
        <f>SUBSTITUTE(SUBSTITUTE(SUBSTITUTE(D391,"年","-"),"組","-"),"番","")</f>
        <v/>
      </c>
      <c r="M391">
        <f>IF(D391="",0,IF(ISNUMBER(VALUE(SUBSTITUTE(L391,"-",""))),1,0))</f>
        <v/>
      </c>
      <c r="N391">
        <f>IF(M391=0,"",IFERROR(VALUE(TRIM(MID(SUBSTITUTE(L391,"-",REPT(" ",100)),101,100))),""))</f>
        <v/>
      </c>
      <c r="O391">
        <f>IF(M391=0,"",IFERROR(VALUE(TRIM(RIGHT(SUBSTITUTE(L391,"-",REPT(" ",100)),100))),""))</f>
        <v/>
      </c>
      <c r="P391">
        <f>IF(B391="","",TRIM(INDEX($D391:$K391,IF(M391=1,2,1))&amp;IF(AD391&gt;=2," "&amp;INDEX($D391:$K391,IF(M391=1,2,1)+1),"")&amp;IF(AD391&gt;=3," "&amp;INDEX($D391:$K391,IF(M391=1,2,1)+2),"")))</f>
        <v/>
      </c>
      <c r="Q391">
        <f>IF(C391&lt;2,"",TRIM(IF(AND(2&gt;=(IF(M391=1,2,1)+AD391),2&lt;=C391-IF(S391="",0,1)),E391&amp;" ","")&amp;IF(AND(3&gt;=(IF(M391=1,2,1)+AD391),3&lt;=C391-IF(S391="",0,1)),F391&amp;" ","")&amp;IF(AND(4&gt;=(IF(M391=1,2,1)+AD391),4&lt;=C391-IF(S391="",0,1)),G391&amp;" ","")&amp;IF(AND(5&gt;=(IF(M391=1,2,1)+AD391),5&lt;=C391-IF(S391="",0,1)),H391&amp;" ","")&amp;IF(AND(6&gt;=(IF(M391=1,2,1)+AD391),6&lt;=C391-IF(S391="",0,1)),I391&amp;" ","")&amp;IF(AND(7&gt;=(IF(M391=1,2,1)+AD391),7&lt;=C391-IF(S391="",0,1)),J391&amp;" ","")&amp;IF(AND(8&gt;=(IF(M391=1,2,1)+AD391),8&lt;=C391-IF(S391="",0,1)),K391&amp;" ","")))</f>
        <v/>
      </c>
      <c r="R391">
        <f>IF(Q391="","",IFERROR(INDEX(資格マスタ!$B:$B,MATCH(ASC(SUBSTITUTE(SUBSTITUTE(Q391," ",""),"　","")),資格マスタ!$D:$D,0)),Q391))</f>
        <v/>
      </c>
      <c r="S391" s="139">
        <f>IF(C391&lt;2,"",IFERROR(IF(OR(LEFT(INDEX(D391:K391,MIN(8,MAX(1,C391))),2)="令和",LEFT(INDEX(D391:K391,MIN(8,MAX(1,C391))),2)="平成",LEFT(INDEX(D391:K391,MIN(8,MAX(1,C391))),2)="昭和"),DATE(VALUE(MID(INDEX(D391:K391,MIN(8,MAX(1,C391))),3,FIND("年",INDEX(D391:K391,MIN(8,MAX(1,C391))))-3))+IF(LEFT(INDEX(D391:K391,MIN(8,MAX(1,C391))),2)="令和",2018,IF(LEFT(INDEX(D391:K391,MIN(8,MAX(1,C391))),2)="平成",1988,1925)),VALUE(MID(INDEX(D391:K391,MIN(8,MAX(1,C391))),FIND("年",INDEX(D391:K391,MIN(8,MAX(1,C391))))+1,FIND("月",INDEX(D391:K391,MIN(8,MAX(1,C391))))-FIND("年",INDEX(D391:K391,MIN(8,MAX(1,C391))))-1)),IFERROR(VALUE(SUBSTITUTE(MID(INDEX(D391:K391,MIN(8,MAX(1,C391))),FIND("月",INDEX(D391:K391,MIN(8,MAX(1,C391))))+1,10),"日","")),1)),DATE(VALUE(TRIM(MID(SUBSTITUTE(AA391,"/",REPT(" ",50)),1,50))),VALUE(TRIM(MID(SUBSTITUTE(AA391,"/",REPT(" ",50)),51,50))),IFERROR(VALUE(TRIM(MID(SUBSTITUTE(AA391,"/",REPT(" ",50)),101,50))),1))),IFERROR(DATEVALUE(INDEX(D391:K391,MIN(8,MAX(1,C391)))),"")))</f>
        <v/>
      </c>
      <c r="T391">
        <f>IF(B391="","",IF(AB391&lt;&gt;"",AB391,IFERROR(MATCH(SUBSTITUTE(SUBSTITUTE(P391," ",""),"　",""),入力!$AH$5:$AH$44,0),"")))</f>
        <v/>
      </c>
      <c r="U391">
        <f>IF(T391="","",INDEX(入力!$D$5:$D$44,T391))</f>
        <v/>
      </c>
      <c r="V391">
        <f>IF(B391="","",IF(T391="","要確認（名簿と照合できません）",IF(R391="","要確認（資格名がありません）",IF(S391="","要確認（取得日が読めません）",IF((IF(INDEX(入力!$N$5:$N$44,T391)=R391,1,0)+IF(INDEX(入力!$P$5:$P$44,T391)=R391,1,0)+IF(INDEX(入力!$R$5:$R$44,T391)=R391,1,0)+IF(INDEX(入力!$T$5:$T$44,T391)=R391,1,0)+IF(INDEX(入力!$V$5:$V$44,T391)=R391,1,0)+IF(INDEX(入力!$X$5:$X$44,T391)=R391,1,0))+(COUNTIFS($T$6:$T$405,T391,$R$6:$R$405,R391,$X$6:$X$405,"&lt;"&amp;X391))&gt;0,"重複","反映")))))</f>
        <v/>
      </c>
      <c r="W391">
        <f>IF(V391="反映",1,0)</f>
        <v/>
      </c>
      <c r="X391" t="n">
        <v>391</v>
      </c>
      <c r="Y391">
        <f>IF(W391=0,"",COUNTIFS($T$6:$T$405,T391,$W$6:$W$405,1,$S$6:$S$405,"&lt;"&amp;S391)+COUNTIFS($T$6:$T$405,T391,$W$6:$W$405,1,$S$6:$S$405,S391,$X$6:$X$405,"&lt;"&amp;X391)+1)</f>
        <v/>
      </c>
      <c r="Z391">
        <f>IF(Y391="","",T391&amp;"_"&amp;Y391)</f>
        <v/>
      </c>
      <c r="AA391">
        <f>SUBSTITUTE(SUBSTITUTE(SUBSTITUTE(SUBSTITUTE(SUBSTITUTE(INDEX(D391:K391,MIN(8,MAX(1,C391))),"年","/"),"月","/"),"日",""),"-","/"),".","/")</f>
        <v/>
      </c>
      <c r="AB391">
        <f>IFERROR(MATCH(O391,入力!$C$5:$C$44,0),"")</f>
        <v/>
      </c>
      <c r="AC391">
        <f>IF(AB391="","",INDEX(入力!$AH$5:$AH$44,AB391))</f>
        <v/>
      </c>
      <c r="AD391">
        <f>IF(INDEX($D391:$K391,IF(M391=1,2,1))=AC391,1,IF(INDEX($D391:$K391,IF(M391=1,2,1))&amp;INDEX($D391:$K391,IF(M391=1,2,1)+1)=AC391,2,IF(INDEX($D391:$K391,IF(M391=1,2,1))&amp;INDEX($D391:$K391,IF(M391=1,2,1)+1)&amp;INDEX($D391:$K391,IF(M391=1,2,1)+2)=AC391,3,IF(AB391&lt;&gt;"",2,IF(ISNUMBER(MATCH(INDEX($D391:$K391,IF(M391=1,2,1)),入力!$AH$5:$AH$44,0)),1,IF(ISNUMBER(MATCH(INDEX($D391:$K391,IF(M391=1,2,1))&amp;INDEX($D391:$K391,IF(M391=1,2,1)+1),入力!$AH$5:$AH$44,0)),2,IF(ISNUMBER(MATCH(INDEX($D391:$K391,IF(M391=1,2,1))&amp;INDEX($D391:$K391,IF(M391=1,2,1)+1)&amp;INDEX($D391:$K391,IF(M391=1,2,1)+2),入力!$AH$5:$AH$44,0)),3,2)))))))</f>
        <v/>
      </c>
      <c r="AE391">
        <f>IF(V391="","",IF(AND(V391="反映",N(Y391)&gt;20),"要確認（この生徒の取込が20件を超えました）",V391))</f>
        <v/>
      </c>
    </row>
    <row r="392">
      <c r="A392" s="138" t="n"/>
      <c r="B392">
        <f>TRIM(SUBSTITUTE(SUBSTITUTE(SUBSTITUTE(A392,CHAR(9)," "),"　"," "),CHAR(160)," "))</f>
        <v/>
      </c>
      <c r="C392">
        <f>IF(B392="",0,LEN(B392)-LEN(SUBSTITUTE(B392," ",""))+1)</f>
        <v/>
      </c>
      <c r="D392">
        <f>IF(C392&gt;=1,TRIM(MID(SUBSTITUTE(B392," ",REPT(" ",200)),1,200)),"")</f>
        <v/>
      </c>
      <c r="E392">
        <f>IF(C392&gt;=2,TRIM(MID(SUBSTITUTE(B392," ",REPT(" ",200)),201,200)),"")</f>
        <v/>
      </c>
      <c r="F392">
        <f>IF(C392&gt;=3,TRIM(MID(SUBSTITUTE(B392," ",REPT(" ",200)),401,200)),"")</f>
        <v/>
      </c>
      <c r="G392">
        <f>IF(C392&gt;=4,TRIM(MID(SUBSTITUTE(B392," ",REPT(" ",200)),601,200)),"")</f>
        <v/>
      </c>
      <c r="H392">
        <f>IF(C392&gt;=5,TRIM(MID(SUBSTITUTE(B392," ",REPT(" ",200)),801,200)),"")</f>
        <v/>
      </c>
      <c r="I392">
        <f>IF(C392&gt;=6,TRIM(MID(SUBSTITUTE(B392," ",REPT(" ",200)),1001,200)),"")</f>
        <v/>
      </c>
      <c r="J392">
        <f>IF(C392&gt;=7,TRIM(MID(SUBSTITUTE(B392," ",REPT(" ",200)),1201,200)),"")</f>
        <v/>
      </c>
      <c r="K392">
        <f>IF(C392&gt;=8,TRIM(MID(SUBSTITUTE(B392," ",REPT(" ",200)),1401,200)),"")</f>
        <v/>
      </c>
      <c r="L392">
        <f>SUBSTITUTE(SUBSTITUTE(SUBSTITUTE(D392,"年","-"),"組","-"),"番","")</f>
        <v/>
      </c>
      <c r="M392">
        <f>IF(D392="",0,IF(ISNUMBER(VALUE(SUBSTITUTE(L392,"-",""))),1,0))</f>
        <v/>
      </c>
      <c r="N392">
        <f>IF(M392=0,"",IFERROR(VALUE(TRIM(MID(SUBSTITUTE(L392,"-",REPT(" ",100)),101,100))),""))</f>
        <v/>
      </c>
      <c r="O392">
        <f>IF(M392=0,"",IFERROR(VALUE(TRIM(RIGHT(SUBSTITUTE(L392,"-",REPT(" ",100)),100))),""))</f>
        <v/>
      </c>
      <c r="P392">
        <f>IF(B392="","",TRIM(INDEX($D392:$K392,IF(M392=1,2,1))&amp;IF(AD392&gt;=2," "&amp;INDEX($D392:$K392,IF(M392=1,2,1)+1),"")&amp;IF(AD392&gt;=3," "&amp;INDEX($D392:$K392,IF(M392=1,2,1)+2),"")))</f>
        <v/>
      </c>
      <c r="Q392">
        <f>IF(C392&lt;2,"",TRIM(IF(AND(2&gt;=(IF(M392=1,2,1)+AD392),2&lt;=C392-IF(S392="",0,1)),E392&amp;" ","")&amp;IF(AND(3&gt;=(IF(M392=1,2,1)+AD392),3&lt;=C392-IF(S392="",0,1)),F392&amp;" ","")&amp;IF(AND(4&gt;=(IF(M392=1,2,1)+AD392),4&lt;=C392-IF(S392="",0,1)),G392&amp;" ","")&amp;IF(AND(5&gt;=(IF(M392=1,2,1)+AD392),5&lt;=C392-IF(S392="",0,1)),H392&amp;" ","")&amp;IF(AND(6&gt;=(IF(M392=1,2,1)+AD392),6&lt;=C392-IF(S392="",0,1)),I392&amp;" ","")&amp;IF(AND(7&gt;=(IF(M392=1,2,1)+AD392),7&lt;=C392-IF(S392="",0,1)),J392&amp;" ","")&amp;IF(AND(8&gt;=(IF(M392=1,2,1)+AD392),8&lt;=C392-IF(S392="",0,1)),K392&amp;" ","")))</f>
        <v/>
      </c>
      <c r="R392">
        <f>IF(Q392="","",IFERROR(INDEX(資格マスタ!$B:$B,MATCH(ASC(SUBSTITUTE(SUBSTITUTE(Q392," ",""),"　","")),資格マスタ!$D:$D,0)),Q392))</f>
        <v/>
      </c>
      <c r="S392" s="139">
        <f>IF(C392&lt;2,"",IFERROR(IF(OR(LEFT(INDEX(D392:K392,MIN(8,MAX(1,C392))),2)="令和",LEFT(INDEX(D392:K392,MIN(8,MAX(1,C392))),2)="平成",LEFT(INDEX(D392:K392,MIN(8,MAX(1,C392))),2)="昭和"),DATE(VALUE(MID(INDEX(D392:K392,MIN(8,MAX(1,C392))),3,FIND("年",INDEX(D392:K392,MIN(8,MAX(1,C392))))-3))+IF(LEFT(INDEX(D392:K392,MIN(8,MAX(1,C392))),2)="令和",2018,IF(LEFT(INDEX(D392:K392,MIN(8,MAX(1,C392))),2)="平成",1988,1925)),VALUE(MID(INDEX(D392:K392,MIN(8,MAX(1,C392))),FIND("年",INDEX(D392:K392,MIN(8,MAX(1,C392))))+1,FIND("月",INDEX(D392:K392,MIN(8,MAX(1,C392))))-FIND("年",INDEX(D392:K392,MIN(8,MAX(1,C392))))-1)),IFERROR(VALUE(SUBSTITUTE(MID(INDEX(D392:K392,MIN(8,MAX(1,C392))),FIND("月",INDEX(D392:K392,MIN(8,MAX(1,C392))))+1,10),"日","")),1)),DATE(VALUE(TRIM(MID(SUBSTITUTE(AA392,"/",REPT(" ",50)),1,50))),VALUE(TRIM(MID(SUBSTITUTE(AA392,"/",REPT(" ",50)),51,50))),IFERROR(VALUE(TRIM(MID(SUBSTITUTE(AA392,"/",REPT(" ",50)),101,50))),1))),IFERROR(DATEVALUE(INDEX(D392:K392,MIN(8,MAX(1,C392)))),"")))</f>
        <v/>
      </c>
      <c r="T392">
        <f>IF(B392="","",IF(AB392&lt;&gt;"",AB392,IFERROR(MATCH(SUBSTITUTE(SUBSTITUTE(P392," ",""),"　",""),入力!$AH$5:$AH$44,0),"")))</f>
        <v/>
      </c>
      <c r="U392">
        <f>IF(T392="","",INDEX(入力!$D$5:$D$44,T392))</f>
        <v/>
      </c>
      <c r="V392">
        <f>IF(B392="","",IF(T392="","要確認（名簿と照合できません）",IF(R392="","要確認（資格名がありません）",IF(S392="","要確認（取得日が読めません）",IF((IF(INDEX(入力!$N$5:$N$44,T392)=R392,1,0)+IF(INDEX(入力!$P$5:$P$44,T392)=R392,1,0)+IF(INDEX(入力!$R$5:$R$44,T392)=R392,1,0)+IF(INDEX(入力!$T$5:$T$44,T392)=R392,1,0)+IF(INDEX(入力!$V$5:$V$44,T392)=R392,1,0)+IF(INDEX(入力!$X$5:$X$44,T392)=R392,1,0))+(COUNTIFS($T$6:$T$405,T392,$R$6:$R$405,R392,$X$6:$X$405,"&lt;"&amp;X392))&gt;0,"重複","反映")))))</f>
        <v/>
      </c>
      <c r="W392">
        <f>IF(V392="反映",1,0)</f>
        <v/>
      </c>
      <c r="X392" t="n">
        <v>392</v>
      </c>
      <c r="Y392">
        <f>IF(W392=0,"",COUNTIFS($T$6:$T$405,T392,$W$6:$W$405,1,$S$6:$S$405,"&lt;"&amp;S392)+COUNTIFS($T$6:$T$405,T392,$W$6:$W$405,1,$S$6:$S$405,S392,$X$6:$X$405,"&lt;"&amp;X392)+1)</f>
        <v/>
      </c>
      <c r="Z392">
        <f>IF(Y392="","",T392&amp;"_"&amp;Y392)</f>
        <v/>
      </c>
      <c r="AA392">
        <f>SUBSTITUTE(SUBSTITUTE(SUBSTITUTE(SUBSTITUTE(SUBSTITUTE(INDEX(D392:K392,MIN(8,MAX(1,C392))),"年","/"),"月","/"),"日",""),"-","/"),".","/")</f>
        <v/>
      </c>
      <c r="AB392">
        <f>IFERROR(MATCH(O392,入力!$C$5:$C$44,0),"")</f>
        <v/>
      </c>
      <c r="AC392">
        <f>IF(AB392="","",INDEX(入力!$AH$5:$AH$44,AB392))</f>
        <v/>
      </c>
      <c r="AD392">
        <f>IF(INDEX($D392:$K392,IF(M392=1,2,1))=AC392,1,IF(INDEX($D392:$K392,IF(M392=1,2,1))&amp;INDEX($D392:$K392,IF(M392=1,2,1)+1)=AC392,2,IF(INDEX($D392:$K392,IF(M392=1,2,1))&amp;INDEX($D392:$K392,IF(M392=1,2,1)+1)&amp;INDEX($D392:$K392,IF(M392=1,2,1)+2)=AC392,3,IF(AB392&lt;&gt;"",2,IF(ISNUMBER(MATCH(INDEX($D392:$K392,IF(M392=1,2,1)),入力!$AH$5:$AH$44,0)),1,IF(ISNUMBER(MATCH(INDEX($D392:$K392,IF(M392=1,2,1))&amp;INDEX($D392:$K392,IF(M392=1,2,1)+1),入力!$AH$5:$AH$44,0)),2,IF(ISNUMBER(MATCH(INDEX($D392:$K392,IF(M392=1,2,1))&amp;INDEX($D392:$K392,IF(M392=1,2,1)+1)&amp;INDEX($D392:$K392,IF(M392=1,2,1)+2),入力!$AH$5:$AH$44,0)),3,2)))))))</f>
        <v/>
      </c>
      <c r="AE392">
        <f>IF(V392="","",IF(AND(V392="反映",N(Y392)&gt;20),"要確認（この生徒の取込が20件を超えました）",V392))</f>
        <v/>
      </c>
    </row>
    <row r="393">
      <c r="A393" s="138" t="n"/>
      <c r="B393">
        <f>TRIM(SUBSTITUTE(SUBSTITUTE(SUBSTITUTE(A393,CHAR(9)," "),"　"," "),CHAR(160)," "))</f>
        <v/>
      </c>
      <c r="C393">
        <f>IF(B393="",0,LEN(B393)-LEN(SUBSTITUTE(B393," ",""))+1)</f>
        <v/>
      </c>
      <c r="D393">
        <f>IF(C393&gt;=1,TRIM(MID(SUBSTITUTE(B393," ",REPT(" ",200)),1,200)),"")</f>
        <v/>
      </c>
      <c r="E393">
        <f>IF(C393&gt;=2,TRIM(MID(SUBSTITUTE(B393," ",REPT(" ",200)),201,200)),"")</f>
        <v/>
      </c>
      <c r="F393">
        <f>IF(C393&gt;=3,TRIM(MID(SUBSTITUTE(B393," ",REPT(" ",200)),401,200)),"")</f>
        <v/>
      </c>
      <c r="G393">
        <f>IF(C393&gt;=4,TRIM(MID(SUBSTITUTE(B393," ",REPT(" ",200)),601,200)),"")</f>
        <v/>
      </c>
      <c r="H393">
        <f>IF(C393&gt;=5,TRIM(MID(SUBSTITUTE(B393," ",REPT(" ",200)),801,200)),"")</f>
        <v/>
      </c>
      <c r="I393">
        <f>IF(C393&gt;=6,TRIM(MID(SUBSTITUTE(B393," ",REPT(" ",200)),1001,200)),"")</f>
        <v/>
      </c>
      <c r="J393">
        <f>IF(C393&gt;=7,TRIM(MID(SUBSTITUTE(B393," ",REPT(" ",200)),1201,200)),"")</f>
        <v/>
      </c>
      <c r="K393">
        <f>IF(C393&gt;=8,TRIM(MID(SUBSTITUTE(B393," ",REPT(" ",200)),1401,200)),"")</f>
        <v/>
      </c>
      <c r="L393">
        <f>SUBSTITUTE(SUBSTITUTE(SUBSTITUTE(D393,"年","-"),"組","-"),"番","")</f>
        <v/>
      </c>
      <c r="M393">
        <f>IF(D393="",0,IF(ISNUMBER(VALUE(SUBSTITUTE(L393,"-",""))),1,0))</f>
        <v/>
      </c>
      <c r="N393">
        <f>IF(M393=0,"",IFERROR(VALUE(TRIM(MID(SUBSTITUTE(L393,"-",REPT(" ",100)),101,100))),""))</f>
        <v/>
      </c>
      <c r="O393">
        <f>IF(M393=0,"",IFERROR(VALUE(TRIM(RIGHT(SUBSTITUTE(L393,"-",REPT(" ",100)),100))),""))</f>
        <v/>
      </c>
      <c r="P393">
        <f>IF(B393="","",TRIM(INDEX($D393:$K393,IF(M393=1,2,1))&amp;IF(AD393&gt;=2," "&amp;INDEX($D393:$K393,IF(M393=1,2,1)+1),"")&amp;IF(AD393&gt;=3," "&amp;INDEX($D393:$K393,IF(M393=1,2,1)+2),"")))</f>
        <v/>
      </c>
      <c r="Q393">
        <f>IF(C393&lt;2,"",TRIM(IF(AND(2&gt;=(IF(M393=1,2,1)+AD393),2&lt;=C393-IF(S393="",0,1)),E393&amp;" ","")&amp;IF(AND(3&gt;=(IF(M393=1,2,1)+AD393),3&lt;=C393-IF(S393="",0,1)),F393&amp;" ","")&amp;IF(AND(4&gt;=(IF(M393=1,2,1)+AD393),4&lt;=C393-IF(S393="",0,1)),G393&amp;" ","")&amp;IF(AND(5&gt;=(IF(M393=1,2,1)+AD393),5&lt;=C393-IF(S393="",0,1)),H393&amp;" ","")&amp;IF(AND(6&gt;=(IF(M393=1,2,1)+AD393),6&lt;=C393-IF(S393="",0,1)),I393&amp;" ","")&amp;IF(AND(7&gt;=(IF(M393=1,2,1)+AD393),7&lt;=C393-IF(S393="",0,1)),J393&amp;" ","")&amp;IF(AND(8&gt;=(IF(M393=1,2,1)+AD393),8&lt;=C393-IF(S393="",0,1)),K393&amp;" ","")))</f>
        <v/>
      </c>
      <c r="R393">
        <f>IF(Q393="","",IFERROR(INDEX(資格マスタ!$B:$B,MATCH(ASC(SUBSTITUTE(SUBSTITUTE(Q393," ",""),"　","")),資格マスタ!$D:$D,0)),Q393))</f>
        <v/>
      </c>
      <c r="S393" s="139">
        <f>IF(C393&lt;2,"",IFERROR(IF(OR(LEFT(INDEX(D393:K393,MIN(8,MAX(1,C393))),2)="令和",LEFT(INDEX(D393:K393,MIN(8,MAX(1,C393))),2)="平成",LEFT(INDEX(D393:K393,MIN(8,MAX(1,C393))),2)="昭和"),DATE(VALUE(MID(INDEX(D393:K393,MIN(8,MAX(1,C393))),3,FIND("年",INDEX(D393:K393,MIN(8,MAX(1,C393))))-3))+IF(LEFT(INDEX(D393:K393,MIN(8,MAX(1,C393))),2)="令和",2018,IF(LEFT(INDEX(D393:K393,MIN(8,MAX(1,C393))),2)="平成",1988,1925)),VALUE(MID(INDEX(D393:K393,MIN(8,MAX(1,C393))),FIND("年",INDEX(D393:K393,MIN(8,MAX(1,C393))))+1,FIND("月",INDEX(D393:K393,MIN(8,MAX(1,C393))))-FIND("年",INDEX(D393:K393,MIN(8,MAX(1,C393))))-1)),IFERROR(VALUE(SUBSTITUTE(MID(INDEX(D393:K393,MIN(8,MAX(1,C393))),FIND("月",INDEX(D393:K393,MIN(8,MAX(1,C393))))+1,10),"日","")),1)),DATE(VALUE(TRIM(MID(SUBSTITUTE(AA393,"/",REPT(" ",50)),1,50))),VALUE(TRIM(MID(SUBSTITUTE(AA393,"/",REPT(" ",50)),51,50))),IFERROR(VALUE(TRIM(MID(SUBSTITUTE(AA393,"/",REPT(" ",50)),101,50))),1))),IFERROR(DATEVALUE(INDEX(D393:K393,MIN(8,MAX(1,C393)))),"")))</f>
        <v/>
      </c>
      <c r="T393">
        <f>IF(B393="","",IF(AB393&lt;&gt;"",AB393,IFERROR(MATCH(SUBSTITUTE(SUBSTITUTE(P393," ",""),"　",""),入力!$AH$5:$AH$44,0),"")))</f>
        <v/>
      </c>
      <c r="U393">
        <f>IF(T393="","",INDEX(入力!$D$5:$D$44,T393))</f>
        <v/>
      </c>
      <c r="V393">
        <f>IF(B393="","",IF(T393="","要確認（名簿と照合できません）",IF(R393="","要確認（資格名がありません）",IF(S393="","要確認（取得日が読めません）",IF((IF(INDEX(入力!$N$5:$N$44,T393)=R393,1,0)+IF(INDEX(入力!$P$5:$P$44,T393)=R393,1,0)+IF(INDEX(入力!$R$5:$R$44,T393)=R393,1,0)+IF(INDEX(入力!$T$5:$T$44,T393)=R393,1,0)+IF(INDEX(入力!$V$5:$V$44,T393)=R393,1,0)+IF(INDEX(入力!$X$5:$X$44,T393)=R393,1,0))+(COUNTIFS($T$6:$T$405,T393,$R$6:$R$405,R393,$X$6:$X$405,"&lt;"&amp;X393))&gt;0,"重複","反映")))))</f>
        <v/>
      </c>
      <c r="W393">
        <f>IF(V393="反映",1,0)</f>
        <v/>
      </c>
      <c r="X393" t="n">
        <v>393</v>
      </c>
      <c r="Y393">
        <f>IF(W393=0,"",COUNTIFS($T$6:$T$405,T393,$W$6:$W$405,1,$S$6:$S$405,"&lt;"&amp;S393)+COUNTIFS($T$6:$T$405,T393,$W$6:$W$405,1,$S$6:$S$405,S393,$X$6:$X$405,"&lt;"&amp;X393)+1)</f>
        <v/>
      </c>
      <c r="Z393">
        <f>IF(Y393="","",T393&amp;"_"&amp;Y393)</f>
        <v/>
      </c>
      <c r="AA393">
        <f>SUBSTITUTE(SUBSTITUTE(SUBSTITUTE(SUBSTITUTE(SUBSTITUTE(INDEX(D393:K393,MIN(8,MAX(1,C393))),"年","/"),"月","/"),"日",""),"-","/"),".","/")</f>
        <v/>
      </c>
      <c r="AB393">
        <f>IFERROR(MATCH(O393,入力!$C$5:$C$44,0),"")</f>
        <v/>
      </c>
      <c r="AC393">
        <f>IF(AB393="","",INDEX(入力!$AH$5:$AH$44,AB393))</f>
        <v/>
      </c>
      <c r="AD393">
        <f>IF(INDEX($D393:$K393,IF(M393=1,2,1))=AC393,1,IF(INDEX($D393:$K393,IF(M393=1,2,1))&amp;INDEX($D393:$K393,IF(M393=1,2,1)+1)=AC393,2,IF(INDEX($D393:$K393,IF(M393=1,2,1))&amp;INDEX($D393:$K393,IF(M393=1,2,1)+1)&amp;INDEX($D393:$K393,IF(M393=1,2,1)+2)=AC393,3,IF(AB393&lt;&gt;"",2,IF(ISNUMBER(MATCH(INDEX($D393:$K393,IF(M393=1,2,1)),入力!$AH$5:$AH$44,0)),1,IF(ISNUMBER(MATCH(INDEX($D393:$K393,IF(M393=1,2,1))&amp;INDEX($D393:$K393,IF(M393=1,2,1)+1),入力!$AH$5:$AH$44,0)),2,IF(ISNUMBER(MATCH(INDEX($D393:$K393,IF(M393=1,2,1))&amp;INDEX($D393:$K393,IF(M393=1,2,1)+1)&amp;INDEX($D393:$K393,IF(M393=1,2,1)+2),入力!$AH$5:$AH$44,0)),3,2)))))))</f>
        <v/>
      </c>
      <c r="AE393">
        <f>IF(V393="","",IF(AND(V393="反映",N(Y393)&gt;20),"要確認（この生徒の取込が20件を超えました）",V393))</f>
        <v/>
      </c>
    </row>
    <row r="394">
      <c r="A394" s="138" t="n"/>
      <c r="B394">
        <f>TRIM(SUBSTITUTE(SUBSTITUTE(SUBSTITUTE(A394,CHAR(9)," "),"　"," "),CHAR(160)," "))</f>
        <v/>
      </c>
      <c r="C394">
        <f>IF(B394="",0,LEN(B394)-LEN(SUBSTITUTE(B394," ",""))+1)</f>
        <v/>
      </c>
      <c r="D394">
        <f>IF(C394&gt;=1,TRIM(MID(SUBSTITUTE(B394," ",REPT(" ",200)),1,200)),"")</f>
        <v/>
      </c>
      <c r="E394">
        <f>IF(C394&gt;=2,TRIM(MID(SUBSTITUTE(B394," ",REPT(" ",200)),201,200)),"")</f>
        <v/>
      </c>
      <c r="F394">
        <f>IF(C394&gt;=3,TRIM(MID(SUBSTITUTE(B394," ",REPT(" ",200)),401,200)),"")</f>
        <v/>
      </c>
      <c r="G394">
        <f>IF(C394&gt;=4,TRIM(MID(SUBSTITUTE(B394," ",REPT(" ",200)),601,200)),"")</f>
        <v/>
      </c>
      <c r="H394">
        <f>IF(C394&gt;=5,TRIM(MID(SUBSTITUTE(B394," ",REPT(" ",200)),801,200)),"")</f>
        <v/>
      </c>
      <c r="I394">
        <f>IF(C394&gt;=6,TRIM(MID(SUBSTITUTE(B394," ",REPT(" ",200)),1001,200)),"")</f>
        <v/>
      </c>
      <c r="J394">
        <f>IF(C394&gt;=7,TRIM(MID(SUBSTITUTE(B394," ",REPT(" ",200)),1201,200)),"")</f>
        <v/>
      </c>
      <c r="K394">
        <f>IF(C394&gt;=8,TRIM(MID(SUBSTITUTE(B394," ",REPT(" ",200)),1401,200)),"")</f>
        <v/>
      </c>
      <c r="L394">
        <f>SUBSTITUTE(SUBSTITUTE(SUBSTITUTE(D394,"年","-"),"組","-"),"番","")</f>
        <v/>
      </c>
      <c r="M394">
        <f>IF(D394="",0,IF(ISNUMBER(VALUE(SUBSTITUTE(L394,"-",""))),1,0))</f>
        <v/>
      </c>
      <c r="N394">
        <f>IF(M394=0,"",IFERROR(VALUE(TRIM(MID(SUBSTITUTE(L394,"-",REPT(" ",100)),101,100))),""))</f>
        <v/>
      </c>
      <c r="O394">
        <f>IF(M394=0,"",IFERROR(VALUE(TRIM(RIGHT(SUBSTITUTE(L394,"-",REPT(" ",100)),100))),""))</f>
        <v/>
      </c>
      <c r="P394">
        <f>IF(B394="","",TRIM(INDEX($D394:$K394,IF(M394=1,2,1))&amp;IF(AD394&gt;=2," "&amp;INDEX($D394:$K394,IF(M394=1,2,1)+1),"")&amp;IF(AD394&gt;=3," "&amp;INDEX($D394:$K394,IF(M394=1,2,1)+2),"")))</f>
        <v/>
      </c>
      <c r="Q394">
        <f>IF(C394&lt;2,"",TRIM(IF(AND(2&gt;=(IF(M394=1,2,1)+AD394),2&lt;=C394-IF(S394="",0,1)),E394&amp;" ","")&amp;IF(AND(3&gt;=(IF(M394=1,2,1)+AD394),3&lt;=C394-IF(S394="",0,1)),F394&amp;" ","")&amp;IF(AND(4&gt;=(IF(M394=1,2,1)+AD394),4&lt;=C394-IF(S394="",0,1)),G394&amp;" ","")&amp;IF(AND(5&gt;=(IF(M394=1,2,1)+AD394),5&lt;=C394-IF(S394="",0,1)),H394&amp;" ","")&amp;IF(AND(6&gt;=(IF(M394=1,2,1)+AD394),6&lt;=C394-IF(S394="",0,1)),I394&amp;" ","")&amp;IF(AND(7&gt;=(IF(M394=1,2,1)+AD394),7&lt;=C394-IF(S394="",0,1)),J394&amp;" ","")&amp;IF(AND(8&gt;=(IF(M394=1,2,1)+AD394),8&lt;=C394-IF(S394="",0,1)),K394&amp;" ","")))</f>
        <v/>
      </c>
      <c r="R394">
        <f>IF(Q394="","",IFERROR(INDEX(資格マスタ!$B:$B,MATCH(ASC(SUBSTITUTE(SUBSTITUTE(Q394," ",""),"　","")),資格マスタ!$D:$D,0)),Q394))</f>
        <v/>
      </c>
      <c r="S394" s="139">
        <f>IF(C394&lt;2,"",IFERROR(IF(OR(LEFT(INDEX(D394:K394,MIN(8,MAX(1,C394))),2)="令和",LEFT(INDEX(D394:K394,MIN(8,MAX(1,C394))),2)="平成",LEFT(INDEX(D394:K394,MIN(8,MAX(1,C394))),2)="昭和"),DATE(VALUE(MID(INDEX(D394:K394,MIN(8,MAX(1,C394))),3,FIND("年",INDEX(D394:K394,MIN(8,MAX(1,C394))))-3))+IF(LEFT(INDEX(D394:K394,MIN(8,MAX(1,C394))),2)="令和",2018,IF(LEFT(INDEX(D394:K394,MIN(8,MAX(1,C394))),2)="平成",1988,1925)),VALUE(MID(INDEX(D394:K394,MIN(8,MAX(1,C394))),FIND("年",INDEX(D394:K394,MIN(8,MAX(1,C394))))+1,FIND("月",INDEX(D394:K394,MIN(8,MAX(1,C394))))-FIND("年",INDEX(D394:K394,MIN(8,MAX(1,C394))))-1)),IFERROR(VALUE(SUBSTITUTE(MID(INDEX(D394:K394,MIN(8,MAX(1,C394))),FIND("月",INDEX(D394:K394,MIN(8,MAX(1,C394))))+1,10),"日","")),1)),DATE(VALUE(TRIM(MID(SUBSTITUTE(AA394,"/",REPT(" ",50)),1,50))),VALUE(TRIM(MID(SUBSTITUTE(AA394,"/",REPT(" ",50)),51,50))),IFERROR(VALUE(TRIM(MID(SUBSTITUTE(AA394,"/",REPT(" ",50)),101,50))),1))),IFERROR(DATEVALUE(INDEX(D394:K394,MIN(8,MAX(1,C394)))),"")))</f>
        <v/>
      </c>
      <c r="T394">
        <f>IF(B394="","",IF(AB394&lt;&gt;"",AB394,IFERROR(MATCH(SUBSTITUTE(SUBSTITUTE(P394," ",""),"　",""),入力!$AH$5:$AH$44,0),"")))</f>
        <v/>
      </c>
      <c r="U394">
        <f>IF(T394="","",INDEX(入力!$D$5:$D$44,T394))</f>
        <v/>
      </c>
      <c r="V394">
        <f>IF(B394="","",IF(T394="","要確認（名簿と照合できません）",IF(R394="","要確認（資格名がありません）",IF(S394="","要確認（取得日が読めません）",IF((IF(INDEX(入力!$N$5:$N$44,T394)=R394,1,0)+IF(INDEX(入力!$P$5:$P$44,T394)=R394,1,0)+IF(INDEX(入力!$R$5:$R$44,T394)=R394,1,0)+IF(INDEX(入力!$T$5:$T$44,T394)=R394,1,0)+IF(INDEX(入力!$V$5:$V$44,T394)=R394,1,0)+IF(INDEX(入力!$X$5:$X$44,T394)=R394,1,0))+(COUNTIFS($T$6:$T$405,T394,$R$6:$R$405,R394,$X$6:$X$405,"&lt;"&amp;X394))&gt;0,"重複","反映")))))</f>
        <v/>
      </c>
      <c r="W394">
        <f>IF(V394="反映",1,0)</f>
        <v/>
      </c>
      <c r="X394" t="n">
        <v>394</v>
      </c>
      <c r="Y394">
        <f>IF(W394=0,"",COUNTIFS($T$6:$T$405,T394,$W$6:$W$405,1,$S$6:$S$405,"&lt;"&amp;S394)+COUNTIFS($T$6:$T$405,T394,$W$6:$W$405,1,$S$6:$S$405,S394,$X$6:$X$405,"&lt;"&amp;X394)+1)</f>
        <v/>
      </c>
      <c r="Z394">
        <f>IF(Y394="","",T394&amp;"_"&amp;Y394)</f>
        <v/>
      </c>
      <c r="AA394">
        <f>SUBSTITUTE(SUBSTITUTE(SUBSTITUTE(SUBSTITUTE(SUBSTITUTE(INDEX(D394:K394,MIN(8,MAX(1,C394))),"年","/"),"月","/"),"日",""),"-","/"),".","/")</f>
        <v/>
      </c>
      <c r="AB394">
        <f>IFERROR(MATCH(O394,入力!$C$5:$C$44,0),"")</f>
        <v/>
      </c>
      <c r="AC394">
        <f>IF(AB394="","",INDEX(入力!$AH$5:$AH$44,AB394))</f>
        <v/>
      </c>
      <c r="AD394">
        <f>IF(INDEX($D394:$K394,IF(M394=1,2,1))=AC394,1,IF(INDEX($D394:$K394,IF(M394=1,2,1))&amp;INDEX($D394:$K394,IF(M394=1,2,1)+1)=AC394,2,IF(INDEX($D394:$K394,IF(M394=1,2,1))&amp;INDEX($D394:$K394,IF(M394=1,2,1)+1)&amp;INDEX($D394:$K394,IF(M394=1,2,1)+2)=AC394,3,IF(AB394&lt;&gt;"",2,IF(ISNUMBER(MATCH(INDEX($D394:$K394,IF(M394=1,2,1)),入力!$AH$5:$AH$44,0)),1,IF(ISNUMBER(MATCH(INDEX($D394:$K394,IF(M394=1,2,1))&amp;INDEX($D394:$K394,IF(M394=1,2,1)+1),入力!$AH$5:$AH$44,0)),2,IF(ISNUMBER(MATCH(INDEX($D394:$K394,IF(M394=1,2,1))&amp;INDEX($D394:$K394,IF(M394=1,2,1)+1)&amp;INDEX($D394:$K394,IF(M394=1,2,1)+2),入力!$AH$5:$AH$44,0)),3,2)))))))</f>
        <v/>
      </c>
      <c r="AE394">
        <f>IF(V394="","",IF(AND(V394="反映",N(Y394)&gt;20),"要確認（この生徒の取込が20件を超えました）",V394))</f>
        <v/>
      </c>
    </row>
    <row r="395">
      <c r="A395" s="138" t="n"/>
      <c r="B395">
        <f>TRIM(SUBSTITUTE(SUBSTITUTE(SUBSTITUTE(A395,CHAR(9)," "),"　"," "),CHAR(160)," "))</f>
        <v/>
      </c>
      <c r="C395">
        <f>IF(B395="",0,LEN(B395)-LEN(SUBSTITUTE(B395," ",""))+1)</f>
        <v/>
      </c>
      <c r="D395">
        <f>IF(C395&gt;=1,TRIM(MID(SUBSTITUTE(B395," ",REPT(" ",200)),1,200)),"")</f>
        <v/>
      </c>
      <c r="E395">
        <f>IF(C395&gt;=2,TRIM(MID(SUBSTITUTE(B395," ",REPT(" ",200)),201,200)),"")</f>
        <v/>
      </c>
      <c r="F395">
        <f>IF(C395&gt;=3,TRIM(MID(SUBSTITUTE(B395," ",REPT(" ",200)),401,200)),"")</f>
        <v/>
      </c>
      <c r="G395">
        <f>IF(C395&gt;=4,TRIM(MID(SUBSTITUTE(B395," ",REPT(" ",200)),601,200)),"")</f>
        <v/>
      </c>
      <c r="H395">
        <f>IF(C395&gt;=5,TRIM(MID(SUBSTITUTE(B395," ",REPT(" ",200)),801,200)),"")</f>
        <v/>
      </c>
      <c r="I395">
        <f>IF(C395&gt;=6,TRIM(MID(SUBSTITUTE(B395," ",REPT(" ",200)),1001,200)),"")</f>
        <v/>
      </c>
      <c r="J395">
        <f>IF(C395&gt;=7,TRIM(MID(SUBSTITUTE(B395," ",REPT(" ",200)),1201,200)),"")</f>
        <v/>
      </c>
      <c r="K395">
        <f>IF(C395&gt;=8,TRIM(MID(SUBSTITUTE(B395," ",REPT(" ",200)),1401,200)),"")</f>
        <v/>
      </c>
      <c r="L395">
        <f>SUBSTITUTE(SUBSTITUTE(SUBSTITUTE(D395,"年","-"),"組","-"),"番","")</f>
        <v/>
      </c>
      <c r="M395">
        <f>IF(D395="",0,IF(ISNUMBER(VALUE(SUBSTITUTE(L395,"-",""))),1,0))</f>
        <v/>
      </c>
      <c r="N395">
        <f>IF(M395=0,"",IFERROR(VALUE(TRIM(MID(SUBSTITUTE(L395,"-",REPT(" ",100)),101,100))),""))</f>
        <v/>
      </c>
      <c r="O395">
        <f>IF(M395=0,"",IFERROR(VALUE(TRIM(RIGHT(SUBSTITUTE(L395,"-",REPT(" ",100)),100))),""))</f>
        <v/>
      </c>
      <c r="P395">
        <f>IF(B395="","",TRIM(INDEX($D395:$K395,IF(M395=1,2,1))&amp;IF(AD395&gt;=2," "&amp;INDEX($D395:$K395,IF(M395=1,2,1)+1),"")&amp;IF(AD395&gt;=3," "&amp;INDEX($D395:$K395,IF(M395=1,2,1)+2),"")))</f>
        <v/>
      </c>
      <c r="Q395">
        <f>IF(C395&lt;2,"",TRIM(IF(AND(2&gt;=(IF(M395=1,2,1)+AD395),2&lt;=C395-IF(S395="",0,1)),E395&amp;" ","")&amp;IF(AND(3&gt;=(IF(M395=1,2,1)+AD395),3&lt;=C395-IF(S395="",0,1)),F395&amp;" ","")&amp;IF(AND(4&gt;=(IF(M395=1,2,1)+AD395),4&lt;=C395-IF(S395="",0,1)),G395&amp;" ","")&amp;IF(AND(5&gt;=(IF(M395=1,2,1)+AD395),5&lt;=C395-IF(S395="",0,1)),H395&amp;" ","")&amp;IF(AND(6&gt;=(IF(M395=1,2,1)+AD395),6&lt;=C395-IF(S395="",0,1)),I395&amp;" ","")&amp;IF(AND(7&gt;=(IF(M395=1,2,1)+AD395),7&lt;=C395-IF(S395="",0,1)),J395&amp;" ","")&amp;IF(AND(8&gt;=(IF(M395=1,2,1)+AD395),8&lt;=C395-IF(S395="",0,1)),K395&amp;" ","")))</f>
        <v/>
      </c>
      <c r="R395">
        <f>IF(Q395="","",IFERROR(INDEX(資格マスタ!$B:$B,MATCH(ASC(SUBSTITUTE(SUBSTITUTE(Q395," ",""),"　","")),資格マスタ!$D:$D,0)),Q395))</f>
        <v/>
      </c>
      <c r="S395" s="139">
        <f>IF(C395&lt;2,"",IFERROR(IF(OR(LEFT(INDEX(D395:K395,MIN(8,MAX(1,C395))),2)="令和",LEFT(INDEX(D395:K395,MIN(8,MAX(1,C395))),2)="平成",LEFT(INDEX(D395:K395,MIN(8,MAX(1,C395))),2)="昭和"),DATE(VALUE(MID(INDEX(D395:K395,MIN(8,MAX(1,C395))),3,FIND("年",INDEX(D395:K395,MIN(8,MAX(1,C395))))-3))+IF(LEFT(INDEX(D395:K395,MIN(8,MAX(1,C395))),2)="令和",2018,IF(LEFT(INDEX(D395:K395,MIN(8,MAX(1,C395))),2)="平成",1988,1925)),VALUE(MID(INDEX(D395:K395,MIN(8,MAX(1,C395))),FIND("年",INDEX(D395:K395,MIN(8,MAX(1,C395))))+1,FIND("月",INDEX(D395:K395,MIN(8,MAX(1,C395))))-FIND("年",INDEX(D395:K395,MIN(8,MAX(1,C395))))-1)),IFERROR(VALUE(SUBSTITUTE(MID(INDEX(D395:K395,MIN(8,MAX(1,C395))),FIND("月",INDEX(D395:K395,MIN(8,MAX(1,C395))))+1,10),"日","")),1)),DATE(VALUE(TRIM(MID(SUBSTITUTE(AA395,"/",REPT(" ",50)),1,50))),VALUE(TRIM(MID(SUBSTITUTE(AA395,"/",REPT(" ",50)),51,50))),IFERROR(VALUE(TRIM(MID(SUBSTITUTE(AA395,"/",REPT(" ",50)),101,50))),1))),IFERROR(DATEVALUE(INDEX(D395:K395,MIN(8,MAX(1,C395)))),"")))</f>
        <v/>
      </c>
      <c r="T395">
        <f>IF(B395="","",IF(AB395&lt;&gt;"",AB395,IFERROR(MATCH(SUBSTITUTE(SUBSTITUTE(P395," ",""),"　",""),入力!$AH$5:$AH$44,0),"")))</f>
        <v/>
      </c>
      <c r="U395">
        <f>IF(T395="","",INDEX(入力!$D$5:$D$44,T395))</f>
        <v/>
      </c>
      <c r="V395">
        <f>IF(B395="","",IF(T395="","要確認（名簿と照合できません）",IF(R395="","要確認（資格名がありません）",IF(S395="","要確認（取得日が読めません）",IF((IF(INDEX(入力!$N$5:$N$44,T395)=R395,1,0)+IF(INDEX(入力!$P$5:$P$44,T395)=R395,1,0)+IF(INDEX(入力!$R$5:$R$44,T395)=R395,1,0)+IF(INDEX(入力!$T$5:$T$44,T395)=R395,1,0)+IF(INDEX(入力!$V$5:$V$44,T395)=R395,1,0)+IF(INDEX(入力!$X$5:$X$44,T395)=R395,1,0))+(COUNTIFS($T$6:$T$405,T395,$R$6:$R$405,R395,$X$6:$X$405,"&lt;"&amp;X395))&gt;0,"重複","反映")))))</f>
        <v/>
      </c>
      <c r="W395">
        <f>IF(V395="反映",1,0)</f>
        <v/>
      </c>
      <c r="X395" t="n">
        <v>395</v>
      </c>
      <c r="Y395">
        <f>IF(W395=0,"",COUNTIFS($T$6:$T$405,T395,$W$6:$W$405,1,$S$6:$S$405,"&lt;"&amp;S395)+COUNTIFS($T$6:$T$405,T395,$W$6:$W$405,1,$S$6:$S$405,S395,$X$6:$X$405,"&lt;"&amp;X395)+1)</f>
        <v/>
      </c>
      <c r="Z395">
        <f>IF(Y395="","",T395&amp;"_"&amp;Y395)</f>
        <v/>
      </c>
      <c r="AA395">
        <f>SUBSTITUTE(SUBSTITUTE(SUBSTITUTE(SUBSTITUTE(SUBSTITUTE(INDEX(D395:K395,MIN(8,MAX(1,C395))),"年","/"),"月","/"),"日",""),"-","/"),".","/")</f>
        <v/>
      </c>
      <c r="AB395">
        <f>IFERROR(MATCH(O395,入力!$C$5:$C$44,0),"")</f>
        <v/>
      </c>
      <c r="AC395">
        <f>IF(AB395="","",INDEX(入力!$AH$5:$AH$44,AB395))</f>
        <v/>
      </c>
      <c r="AD395">
        <f>IF(INDEX($D395:$K395,IF(M395=1,2,1))=AC395,1,IF(INDEX($D395:$K395,IF(M395=1,2,1))&amp;INDEX($D395:$K395,IF(M395=1,2,1)+1)=AC395,2,IF(INDEX($D395:$K395,IF(M395=1,2,1))&amp;INDEX($D395:$K395,IF(M395=1,2,1)+1)&amp;INDEX($D395:$K395,IF(M395=1,2,1)+2)=AC395,3,IF(AB395&lt;&gt;"",2,IF(ISNUMBER(MATCH(INDEX($D395:$K395,IF(M395=1,2,1)),入力!$AH$5:$AH$44,0)),1,IF(ISNUMBER(MATCH(INDEX($D395:$K395,IF(M395=1,2,1))&amp;INDEX($D395:$K395,IF(M395=1,2,1)+1),入力!$AH$5:$AH$44,0)),2,IF(ISNUMBER(MATCH(INDEX($D395:$K395,IF(M395=1,2,1))&amp;INDEX($D395:$K395,IF(M395=1,2,1)+1)&amp;INDEX($D395:$K395,IF(M395=1,2,1)+2),入力!$AH$5:$AH$44,0)),3,2)))))))</f>
        <v/>
      </c>
      <c r="AE395">
        <f>IF(V395="","",IF(AND(V395="反映",N(Y395)&gt;20),"要確認（この生徒の取込が20件を超えました）",V395))</f>
        <v/>
      </c>
    </row>
    <row r="396">
      <c r="A396" s="138" t="n"/>
      <c r="B396">
        <f>TRIM(SUBSTITUTE(SUBSTITUTE(SUBSTITUTE(A396,CHAR(9)," "),"　"," "),CHAR(160)," "))</f>
        <v/>
      </c>
      <c r="C396">
        <f>IF(B396="",0,LEN(B396)-LEN(SUBSTITUTE(B396," ",""))+1)</f>
        <v/>
      </c>
      <c r="D396">
        <f>IF(C396&gt;=1,TRIM(MID(SUBSTITUTE(B396," ",REPT(" ",200)),1,200)),"")</f>
        <v/>
      </c>
      <c r="E396">
        <f>IF(C396&gt;=2,TRIM(MID(SUBSTITUTE(B396," ",REPT(" ",200)),201,200)),"")</f>
        <v/>
      </c>
      <c r="F396">
        <f>IF(C396&gt;=3,TRIM(MID(SUBSTITUTE(B396," ",REPT(" ",200)),401,200)),"")</f>
        <v/>
      </c>
      <c r="G396">
        <f>IF(C396&gt;=4,TRIM(MID(SUBSTITUTE(B396," ",REPT(" ",200)),601,200)),"")</f>
        <v/>
      </c>
      <c r="H396">
        <f>IF(C396&gt;=5,TRIM(MID(SUBSTITUTE(B396," ",REPT(" ",200)),801,200)),"")</f>
        <v/>
      </c>
      <c r="I396">
        <f>IF(C396&gt;=6,TRIM(MID(SUBSTITUTE(B396," ",REPT(" ",200)),1001,200)),"")</f>
        <v/>
      </c>
      <c r="J396">
        <f>IF(C396&gt;=7,TRIM(MID(SUBSTITUTE(B396," ",REPT(" ",200)),1201,200)),"")</f>
        <v/>
      </c>
      <c r="K396">
        <f>IF(C396&gt;=8,TRIM(MID(SUBSTITUTE(B396," ",REPT(" ",200)),1401,200)),"")</f>
        <v/>
      </c>
      <c r="L396">
        <f>SUBSTITUTE(SUBSTITUTE(SUBSTITUTE(D396,"年","-"),"組","-"),"番","")</f>
        <v/>
      </c>
      <c r="M396">
        <f>IF(D396="",0,IF(ISNUMBER(VALUE(SUBSTITUTE(L396,"-",""))),1,0))</f>
        <v/>
      </c>
      <c r="N396">
        <f>IF(M396=0,"",IFERROR(VALUE(TRIM(MID(SUBSTITUTE(L396,"-",REPT(" ",100)),101,100))),""))</f>
        <v/>
      </c>
      <c r="O396">
        <f>IF(M396=0,"",IFERROR(VALUE(TRIM(RIGHT(SUBSTITUTE(L396,"-",REPT(" ",100)),100))),""))</f>
        <v/>
      </c>
      <c r="P396">
        <f>IF(B396="","",TRIM(INDEX($D396:$K396,IF(M396=1,2,1))&amp;IF(AD396&gt;=2," "&amp;INDEX($D396:$K396,IF(M396=1,2,1)+1),"")&amp;IF(AD396&gt;=3," "&amp;INDEX($D396:$K396,IF(M396=1,2,1)+2),"")))</f>
        <v/>
      </c>
      <c r="Q396">
        <f>IF(C396&lt;2,"",TRIM(IF(AND(2&gt;=(IF(M396=1,2,1)+AD396),2&lt;=C396-IF(S396="",0,1)),E396&amp;" ","")&amp;IF(AND(3&gt;=(IF(M396=1,2,1)+AD396),3&lt;=C396-IF(S396="",0,1)),F396&amp;" ","")&amp;IF(AND(4&gt;=(IF(M396=1,2,1)+AD396),4&lt;=C396-IF(S396="",0,1)),G396&amp;" ","")&amp;IF(AND(5&gt;=(IF(M396=1,2,1)+AD396),5&lt;=C396-IF(S396="",0,1)),H396&amp;" ","")&amp;IF(AND(6&gt;=(IF(M396=1,2,1)+AD396),6&lt;=C396-IF(S396="",0,1)),I396&amp;" ","")&amp;IF(AND(7&gt;=(IF(M396=1,2,1)+AD396),7&lt;=C396-IF(S396="",0,1)),J396&amp;" ","")&amp;IF(AND(8&gt;=(IF(M396=1,2,1)+AD396),8&lt;=C396-IF(S396="",0,1)),K396&amp;" ","")))</f>
        <v/>
      </c>
      <c r="R396">
        <f>IF(Q396="","",IFERROR(INDEX(資格マスタ!$B:$B,MATCH(ASC(SUBSTITUTE(SUBSTITUTE(Q396," ",""),"　","")),資格マスタ!$D:$D,0)),Q396))</f>
        <v/>
      </c>
      <c r="S396" s="139">
        <f>IF(C396&lt;2,"",IFERROR(IF(OR(LEFT(INDEX(D396:K396,MIN(8,MAX(1,C396))),2)="令和",LEFT(INDEX(D396:K396,MIN(8,MAX(1,C396))),2)="平成",LEFT(INDEX(D396:K396,MIN(8,MAX(1,C396))),2)="昭和"),DATE(VALUE(MID(INDEX(D396:K396,MIN(8,MAX(1,C396))),3,FIND("年",INDEX(D396:K396,MIN(8,MAX(1,C396))))-3))+IF(LEFT(INDEX(D396:K396,MIN(8,MAX(1,C396))),2)="令和",2018,IF(LEFT(INDEX(D396:K396,MIN(8,MAX(1,C396))),2)="平成",1988,1925)),VALUE(MID(INDEX(D396:K396,MIN(8,MAX(1,C396))),FIND("年",INDEX(D396:K396,MIN(8,MAX(1,C396))))+1,FIND("月",INDEX(D396:K396,MIN(8,MAX(1,C396))))-FIND("年",INDEX(D396:K396,MIN(8,MAX(1,C396))))-1)),IFERROR(VALUE(SUBSTITUTE(MID(INDEX(D396:K396,MIN(8,MAX(1,C396))),FIND("月",INDEX(D396:K396,MIN(8,MAX(1,C396))))+1,10),"日","")),1)),DATE(VALUE(TRIM(MID(SUBSTITUTE(AA396,"/",REPT(" ",50)),1,50))),VALUE(TRIM(MID(SUBSTITUTE(AA396,"/",REPT(" ",50)),51,50))),IFERROR(VALUE(TRIM(MID(SUBSTITUTE(AA396,"/",REPT(" ",50)),101,50))),1))),IFERROR(DATEVALUE(INDEX(D396:K396,MIN(8,MAX(1,C396)))),"")))</f>
        <v/>
      </c>
      <c r="T396">
        <f>IF(B396="","",IF(AB396&lt;&gt;"",AB396,IFERROR(MATCH(SUBSTITUTE(SUBSTITUTE(P396," ",""),"　",""),入力!$AH$5:$AH$44,0),"")))</f>
        <v/>
      </c>
      <c r="U396">
        <f>IF(T396="","",INDEX(入力!$D$5:$D$44,T396))</f>
        <v/>
      </c>
      <c r="V396">
        <f>IF(B396="","",IF(T396="","要確認（名簿と照合できません）",IF(R396="","要確認（資格名がありません）",IF(S396="","要確認（取得日が読めません）",IF((IF(INDEX(入力!$N$5:$N$44,T396)=R396,1,0)+IF(INDEX(入力!$P$5:$P$44,T396)=R396,1,0)+IF(INDEX(入力!$R$5:$R$44,T396)=R396,1,0)+IF(INDEX(入力!$T$5:$T$44,T396)=R396,1,0)+IF(INDEX(入力!$V$5:$V$44,T396)=R396,1,0)+IF(INDEX(入力!$X$5:$X$44,T396)=R396,1,0))+(COUNTIFS($T$6:$T$405,T396,$R$6:$R$405,R396,$X$6:$X$405,"&lt;"&amp;X396))&gt;0,"重複","反映")))))</f>
        <v/>
      </c>
      <c r="W396">
        <f>IF(V396="反映",1,0)</f>
        <v/>
      </c>
      <c r="X396" t="n">
        <v>396</v>
      </c>
      <c r="Y396">
        <f>IF(W396=0,"",COUNTIFS($T$6:$T$405,T396,$W$6:$W$405,1,$S$6:$S$405,"&lt;"&amp;S396)+COUNTIFS($T$6:$T$405,T396,$W$6:$W$405,1,$S$6:$S$405,S396,$X$6:$X$405,"&lt;"&amp;X396)+1)</f>
        <v/>
      </c>
      <c r="Z396">
        <f>IF(Y396="","",T396&amp;"_"&amp;Y396)</f>
        <v/>
      </c>
      <c r="AA396">
        <f>SUBSTITUTE(SUBSTITUTE(SUBSTITUTE(SUBSTITUTE(SUBSTITUTE(INDEX(D396:K396,MIN(8,MAX(1,C396))),"年","/"),"月","/"),"日",""),"-","/"),".","/")</f>
        <v/>
      </c>
      <c r="AB396">
        <f>IFERROR(MATCH(O396,入力!$C$5:$C$44,0),"")</f>
        <v/>
      </c>
      <c r="AC396">
        <f>IF(AB396="","",INDEX(入力!$AH$5:$AH$44,AB396))</f>
        <v/>
      </c>
      <c r="AD396">
        <f>IF(INDEX($D396:$K396,IF(M396=1,2,1))=AC396,1,IF(INDEX($D396:$K396,IF(M396=1,2,1))&amp;INDEX($D396:$K396,IF(M396=1,2,1)+1)=AC396,2,IF(INDEX($D396:$K396,IF(M396=1,2,1))&amp;INDEX($D396:$K396,IF(M396=1,2,1)+1)&amp;INDEX($D396:$K396,IF(M396=1,2,1)+2)=AC396,3,IF(AB396&lt;&gt;"",2,IF(ISNUMBER(MATCH(INDEX($D396:$K396,IF(M396=1,2,1)),入力!$AH$5:$AH$44,0)),1,IF(ISNUMBER(MATCH(INDEX($D396:$K396,IF(M396=1,2,1))&amp;INDEX($D396:$K396,IF(M396=1,2,1)+1),入力!$AH$5:$AH$44,0)),2,IF(ISNUMBER(MATCH(INDEX($D396:$K396,IF(M396=1,2,1))&amp;INDEX($D396:$K396,IF(M396=1,2,1)+1)&amp;INDEX($D396:$K396,IF(M396=1,2,1)+2),入力!$AH$5:$AH$44,0)),3,2)))))))</f>
        <v/>
      </c>
      <c r="AE396">
        <f>IF(V396="","",IF(AND(V396="反映",N(Y396)&gt;20),"要確認（この生徒の取込が20件を超えました）",V396))</f>
        <v/>
      </c>
    </row>
    <row r="397">
      <c r="A397" s="138" t="n"/>
      <c r="B397">
        <f>TRIM(SUBSTITUTE(SUBSTITUTE(SUBSTITUTE(A397,CHAR(9)," "),"　"," "),CHAR(160)," "))</f>
        <v/>
      </c>
      <c r="C397">
        <f>IF(B397="",0,LEN(B397)-LEN(SUBSTITUTE(B397," ",""))+1)</f>
        <v/>
      </c>
      <c r="D397">
        <f>IF(C397&gt;=1,TRIM(MID(SUBSTITUTE(B397," ",REPT(" ",200)),1,200)),"")</f>
        <v/>
      </c>
      <c r="E397">
        <f>IF(C397&gt;=2,TRIM(MID(SUBSTITUTE(B397," ",REPT(" ",200)),201,200)),"")</f>
        <v/>
      </c>
      <c r="F397">
        <f>IF(C397&gt;=3,TRIM(MID(SUBSTITUTE(B397," ",REPT(" ",200)),401,200)),"")</f>
        <v/>
      </c>
      <c r="G397">
        <f>IF(C397&gt;=4,TRIM(MID(SUBSTITUTE(B397," ",REPT(" ",200)),601,200)),"")</f>
        <v/>
      </c>
      <c r="H397">
        <f>IF(C397&gt;=5,TRIM(MID(SUBSTITUTE(B397," ",REPT(" ",200)),801,200)),"")</f>
        <v/>
      </c>
      <c r="I397">
        <f>IF(C397&gt;=6,TRIM(MID(SUBSTITUTE(B397," ",REPT(" ",200)),1001,200)),"")</f>
        <v/>
      </c>
      <c r="J397">
        <f>IF(C397&gt;=7,TRIM(MID(SUBSTITUTE(B397," ",REPT(" ",200)),1201,200)),"")</f>
        <v/>
      </c>
      <c r="K397">
        <f>IF(C397&gt;=8,TRIM(MID(SUBSTITUTE(B397," ",REPT(" ",200)),1401,200)),"")</f>
        <v/>
      </c>
      <c r="L397">
        <f>SUBSTITUTE(SUBSTITUTE(SUBSTITUTE(D397,"年","-"),"組","-"),"番","")</f>
        <v/>
      </c>
      <c r="M397">
        <f>IF(D397="",0,IF(ISNUMBER(VALUE(SUBSTITUTE(L397,"-",""))),1,0))</f>
        <v/>
      </c>
      <c r="N397">
        <f>IF(M397=0,"",IFERROR(VALUE(TRIM(MID(SUBSTITUTE(L397,"-",REPT(" ",100)),101,100))),""))</f>
        <v/>
      </c>
      <c r="O397">
        <f>IF(M397=0,"",IFERROR(VALUE(TRIM(RIGHT(SUBSTITUTE(L397,"-",REPT(" ",100)),100))),""))</f>
        <v/>
      </c>
      <c r="P397">
        <f>IF(B397="","",TRIM(INDEX($D397:$K397,IF(M397=1,2,1))&amp;IF(AD397&gt;=2," "&amp;INDEX($D397:$K397,IF(M397=1,2,1)+1),"")&amp;IF(AD397&gt;=3," "&amp;INDEX($D397:$K397,IF(M397=1,2,1)+2),"")))</f>
        <v/>
      </c>
      <c r="Q397">
        <f>IF(C397&lt;2,"",TRIM(IF(AND(2&gt;=(IF(M397=1,2,1)+AD397),2&lt;=C397-IF(S397="",0,1)),E397&amp;" ","")&amp;IF(AND(3&gt;=(IF(M397=1,2,1)+AD397),3&lt;=C397-IF(S397="",0,1)),F397&amp;" ","")&amp;IF(AND(4&gt;=(IF(M397=1,2,1)+AD397),4&lt;=C397-IF(S397="",0,1)),G397&amp;" ","")&amp;IF(AND(5&gt;=(IF(M397=1,2,1)+AD397),5&lt;=C397-IF(S397="",0,1)),H397&amp;" ","")&amp;IF(AND(6&gt;=(IF(M397=1,2,1)+AD397),6&lt;=C397-IF(S397="",0,1)),I397&amp;" ","")&amp;IF(AND(7&gt;=(IF(M397=1,2,1)+AD397),7&lt;=C397-IF(S397="",0,1)),J397&amp;" ","")&amp;IF(AND(8&gt;=(IF(M397=1,2,1)+AD397),8&lt;=C397-IF(S397="",0,1)),K397&amp;" ","")))</f>
        <v/>
      </c>
      <c r="R397">
        <f>IF(Q397="","",IFERROR(INDEX(資格マスタ!$B:$B,MATCH(ASC(SUBSTITUTE(SUBSTITUTE(Q397," ",""),"　","")),資格マスタ!$D:$D,0)),Q397))</f>
        <v/>
      </c>
      <c r="S397" s="139">
        <f>IF(C397&lt;2,"",IFERROR(IF(OR(LEFT(INDEX(D397:K397,MIN(8,MAX(1,C397))),2)="令和",LEFT(INDEX(D397:K397,MIN(8,MAX(1,C397))),2)="平成",LEFT(INDEX(D397:K397,MIN(8,MAX(1,C397))),2)="昭和"),DATE(VALUE(MID(INDEX(D397:K397,MIN(8,MAX(1,C397))),3,FIND("年",INDEX(D397:K397,MIN(8,MAX(1,C397))))-3))+IF(LEFT(INDEX(D397:K397,MIN(8,MAX(1,C397))),2)="令和",2018,IF(LEFT(INDEX(D397:K397,MIN(8,MAX(1,C397))),2)="平成",1988,1925)),VALUE(MID(INDEX(D397:K397,MIN(8,MAX(1,C397))),FIND("年",INDEX(D397:K397,MIN(8,MAX(1,C397))))+1,FIND("月",INDEX(D397:K397,MIN(8,MAX(1,C397))))-FIND("年",INDEX(D397:K397,MIN(8,MAX(1,C397))))-1)),IFERROR(VALUE(SUBSTITUTE(MID(INDEX(D397:K397,MIN(8,MAX(1,C397))),FIND("月",INDEX(D397:K397,MIN(8,MAX(1,C397))))+1,10),"日","")),1)),DATE(VALUE(TRIM(MID(SUBSTITUTE(AA397,"/",REPT(" ",50)),1,50))),VALUE(TRIM(MID(SUBSTITUTE(AA397,"/",REPT(" ",50)),51,50))),IFERROR(VALUE(TRIM(MID(SUBSTITUTE(AA397,"/",REPT(" ",50)),101,50))),1))),IFERROR(DATEVALUE(INDEX(D397:K397,MIN(8,MAX(1,C397)))),"")))</f>
        <v/>
      </c>
      <c r="T397">
        <f>IF(B397="","",IF(AB397&lt;&gt;"",AB397,IFERROR(MATCH(SUBSTITUTE(SUBSTITUTE(P397," ",""),"　",""),入力!$AH$5:$AH$44,0),"")))</f>
        <v/>
      </c>
      <c r="U397">
        <f>IF(T397="","",INDEX(入力!$D$5:$D$44,T397))</f>
        <v/>
      </c>
      <c r="V397">
        <f>IF(B397="","",IF(T397="","要確認（名簿と照合できません）",IF(R397="","要確認（資格名がありません）",IF(S397="","要確認（取得日が読めません）",IF((IF(INDEX(入力!$N$5:$N$44,T397)=R397,1,0)+IF(INDEX(入力!$P$5:$P$44,T397)=R397,1,0)+IF(INDEX(入力!$R$5:$R$44,T397)=R397,1,0)+IF(INDEX(入力!$T$5:$T$44,T397)=R397,1,0)+IF(INDEX(入力!$V$5:$V$44,T397)=R397,1,0)+IF(INDEX(入力!$X$5:$X$44,T397)=R397,1,0))+(COUNTIFS($T$6:$T$405,T397,$R$6:$R$405,R397,$X$6:$X$405,"&lt;"&amp;X397))&gt;0,"重複","反映")))))</f>
        <v/>
      </c>
      <c r="W397">
        <f>IF(V397="反映",1,0)</f>
        <v/>
      </c>
      <c r="X397" t="n">
        <v>397</v>
      </c>
      <c r="Y397">
        <f>IF(W397=0,"",COUNTIFS($T$6:$T$405,T397,$W$6:$W$405,1,$S$6:$S$405,"&lt;"&amp;S397)+COUNTIFS($T$6:$T$405,T397,$W$6:$W$405,1,$S$6:$S$405,S397,$X$6:$X$405,"&lt;"&amp;X397)+1)</f>
        <v/>
      </c>
      <c r="Z397">
        <f>IF(Y397="","",T397&amp;"_"&amp;Y397)</f>
        <v/>
      </c>
      <c r="AA397">
        <f>SUBSTITUTE(SUBSTITUTE(SUBSTITUTE(SUBSTITUTE(SUBSTITUTE(INDEX(D397:K397,MIN(8,MAX(1,C397))),"年","/"),"月","/"),"日",""),"-","/"),".","/")</f>
        <v/>
      </c>
      <c r="AB397">
        <f>IFERROR(MATCH(O397,入力!$C$5:$C$44,0),"")</f>
        <v/>
      </c>
      <c r="AC397">
        <f>IF(AB397="","",INDEX(入力!$AH$5:$AH$44,AB397))</f>
        <v/>
      </c>
      <c r="AD397">
        <f>IF(INDEX($D397:$K397,IF(M397=1,2,1))=AC397,1,IF(INDEX($D397:$K397,IF(M397=1,2,1))&amp;INDEX($D397:$K397,IF(M397=1,2,1)+1)=AC397,2,IF(INDEX($D397:$K397,IF(M397=1,2,1))&amp;INDEX($D397:$K397,IF(M397=1,2,1)+1)&amp;INDEX($D397:$K397,IF(M397=1,2,1)+2)=AC397,3,IF(AB397&lt;&gt;"",2,IF(ISNUMBER(MATCH(INDEX($D397:$K397,IF(M397=1,2,1)),入力!$AH$5:$AH$44,0)),1,IF(ISNUMBER(MATCH(INDEX($D397:$K397,IF(M397=1,2,1))&amp;INDEX($D397:$K397,IF(M397=1,2,1)+1),入力!$AH$5:$AH$44,0)),2,IF(ISNUMBER(MATCH(INDEX($D397:$K397,IF(M397=1,2,1))&amp;INDEX($D397:$K397,IF(M397=1,2,1)+1)&amp;INDEX($D397:$K397,IF(M397=1,2,1)+2),入力!$AH$5:$AH$44,0)),3,2)))))))</f>
        <v/>
      </c>
      <c r="AE397">
        <f>IF(V397="","",IF(AND(V397="反映",N(Y397)&gt;20),"要確認（この生徒の取込が20件を超えました）",V397))</f>
        <v/>
      </c>
    </row>
    <row r="398">
      <c r="A398" s="138" t="n"/>
      <c r="B398">
        <f>TRIM(SUBSTITUTE(SUBSTITUTE(SUBSTITUTE(A398,CHAR(9)," "),"　"," "),CHAR(160)," "))</f>
        <v/>
      </c>
      <c r="C398">
        <f>IF(B398="",0,LEN(B398)-LEN(SUBSTITUTE(B398," ",""))+1)</f>
        <v/>
      </c>
      <c r="D398">
        <f>IF(C398&gt;=1,TRIM(MID(SUBSTITUTE(B398," ",REPT(" ",200)),1,200)),"")</f>
        <v/>
      </c>
      <c r="E398">
        <f>IF(C398&gt;=2,TRIM(MID(SUBSTITUTE(B398," ",REPT(" ",200)),201,200)),"")</f>
        <v/>
      </c>
      <c r="F398">
        <f>IF(C398&gt;=3,TRIM(MID(SUBSTITUTE(B398," ",REPT(" ",200)),401,200)),"")</f>
        <v/>
      </c>
      <c r="G398">
        <f>IF(C398&gt;=4,TRIM(MID(SUBSTITUTE(B398," ",REPT(" ",200)),601,200)),"")</f>
        <v/>
      </c>
      <c r="H398">
        <f>IF(C398&gt;=5,TRIM(MID(SUBSTITUTE(B398," ",REPT(" ",200)),801,200)),"")</f>
        <v/>
      </c>
      <c r="I398">
        <f>IF(C398&gt;=6,TRIM(MID(SUBSTITUTE(B398," ",REPT(" ",200)),1001,200)),"")</f>
        <v/>
      </c>
      <c r="J398">
        <f>IF(C398&gt;=7,TRIM(MID(SUBSTITUTE(B398," ",REPT(" ",200)),1201,200)),"")</f>
        <v/>
      </c>
      <c r="K398">
        <f>IF(C398&gt;=8,TRIM(MID(SUBSTITUTE(B398," ",REPT(" ",200)),1401,200)),"")</f>
        <v/>
      </c>
      <c r="L398">
        <f>SUBSTITUTE(SUBSTITUTE(SUBSTITUTE(D398,"年","-"),"組","-"),"番","")</f>
        <v/>
      </c>
      <c r="M398">
        <f>IF(D398="",0,IF(ISNUMBER(VALUE(SUBSTITUTE(L398,"-",""))),1,0))</f>
        <v/>
      </c>
      <c r="N398">
        <f>IF(M398=0,"",IFERROR(VALUE(TRIM(MID(SUBSTITUTE(L398,"-",REPT(" ",100)),101,100))),""))</f>
        <v/>
      </c>
      <c r="O398">
        <f>IF(M398=0,"",IFERROR(VALUE(TRIM(RIGHT(SUBSTITUTE(L398,"-",REPT(" ",100)),100))),""))</f>
        <v/>
      </c>
      <c r="P398">
        <f>IF(B398="","",TRIM(INDEX($D398:$K398,IF(M398=1,2,1))&amp;IF(AD398&gt;=2," "&amp;INDEX($D398:$K398,IF(M398=1,2,1)+1),"")&amp;IF(AD398&gt;=3," "&amp;INDEX($D398:$K398,IF(M398=1,2,1)+2),"")))</f>
        <v/>
      </c>
      <c r="Q398">
        <f>IF(C398&lt;2,"",TRIM(IF(AND(2&gt;=(IF(M398=1,2,1)+AD398),2&lt;=C398-IF(S398="",0,1)),E398&amp;" ","")&amp;IF(AND(3&gt;=(IF(M398=1,2,1)+AD398),3&lt;=C398-IF(S398="",0,1)),F398&amp;" ","")&amp;IF(AND(4&gt;=(IF(M398=1,2,1)+AD398),4&lt;=C398-IF(S398="",0,1)),G398&amp;" ","")&amp;IF(AND(5&gt;=(IF(M398=1,2,1)+AD398),5&lt;=C398-IF(S398="",0,1)),H398&amp;" ","")&amp;IF(AND(6&gt;=(IF(M398=1,2,1)+AD398),6&lt;=C398-IF(S398="",0,1)),I398&amp;" ","")&amp;IF(AND(7&gt;=(IF(M398=1,2,1)+AD398),7&lt;=C398-IF(S398="",0,1)),J398&amp;" ","")&amp;IF(AND(8&gt;=(IF(M398=1,2,1)+AD398),8&lt;=C398-IF(S398="",0,1)),K398&amp;" ","")))</f>
        <v/>
      </c>
      <c r="R398">
        <f>IF(Q398="","",IFERROR(INDEX(資格マスタ!$B:$B,MATCH(ASC(SUBSTITUTE(SUBSTITUTE(Q398," ",""),"　","")),資格マスタ!$D:$D,0)),Q398))</f>
        <v/>
      </c>
      <c r="S398" s="139">
        <f>IF(C398&lt;2,"",IFERROR(IF(OR(LEFT(INDEX(D398:K398,MIN(8,MAX(1,C398))),2)="令和",LEFT(INDEX(D398:K398,MIN(8,MAX(1,C398))),2)="平成",LEFT(INDEX(D398:K398,MIN(8,MAX(1,C398))),2)="昭和"),DATE(VALUE(MID(INDEX(D398:K398,MIN(8,MAX(1,C398))),3,FIND("年",INDEX(D398:K398,MIN(8,MAX(1,C398))))-3))+IF(LEFT(INDEX(D398:K398,MIN(8,MAX(1,C398))),2)="令和",2018,IF(LEFT(INDEX(D398:K398,MIN(8,MAX(1,C398))),2)="平成",1988,1925)),VALUE(MID(INDEX(D398:K398,MIN(8,MAX(1,C398))),FIND("年",INDEX(D398:K398,MIN(8,MAX(1,C398))))+1,FIND("月",INDEX(D398:K398,MIN(8,MAX(1,C398))))-FIND("年",INDEX(D398:K398,MIN(8,MAX(1,C398))))-1)),IFERROR(VALUE(SUBSTITUTE(MID(INDEX(D398:K398,MIN(8,MAX(1,C398))),FIND("月",INDEX(D398:K398,MIN(8,MAX(1,C398))))+1,10),"日","")),1)),DATE(VALUE(TRIM(MID(SUBSTITUTE(AA398,"/",REPT(" ",50)),1,50))),VALUE(TRIM(MID(SUBSTITUTE(AA398,"/",REPT(" ",50)),51,50))),IFERROR(VALUE(TRIM(MID(SUBSTITUTE(AA398,"/",REPT(" ",50)),101,50))),1))),IFERROR(DATEVALUE(INDEX(D398:K398,MIN(8,MAX(1,C398)))),"")))</f>
        <v/>
      </c>
      <c r="T398">
        <f>IF(B398="","",IF(AB398&lt;&gt;"",AB398,IFERROR(MATCH(SUBSTITUTE(SUBSTITUTE(P398," ",""),"　",""),入力!$AH$5:$AH$44,0),"")))</f>
        <v/>
      </c>
      <c r="U398">
        <f>IF(T398="","",INDEX(入力!$D$5:$D$44,T398))</f>
        <v/>
      </c>
      <c r="V398">
        <f>IF(B398="","",IF(T398="","要確認（名簿と照合できません）",IF(R398="","要確認（資格名がありません）",IF(S398="","要確認（取得日が読めません）",IF((IF(INDEX(入力!$N$5:$N$44,T398)=R398,1,0)+IF(INDEX(入力!$P$5:$P$44,T398)=R398,1,0)+IF(INDEX(入力!$R$5:$R$44,T398)=R398,1,0)+IF(INDEX(入力!$T$5:$T$44,T398)=R398,1,0)+IF(INDEX(入力!$V$5:$V$44,T398)=R398,1,0)+IF(INDEX(入力!$X$5:$X$44,T398)=R398,1,0))+(COUNTIFS($T$6:$T$405,T398,$R$6:$R$405,R398,$X$6:$X$405,"&lt;"&amp;X398))&gt;0,"重複","反映")))))</f>
        <v/>
      </c>
      <c r="W398">
        <f>IF(V398="反映",1,0)</f>
        <v/>
      </c>
      <c r="X398" t="n">
        <v>398</v>
      </c>
      <c r="Y398">
        <f>IF(W398=0,"",COUNTIFS($T$6:$T$405,T398,$W$6:$W$405,1,$S$6:$S$405,"&lt;"&amp;S398)+COUNTIFS($T$6:$T$405,T398,$W$6:$W$405,1,$S$6:$S$405,S398,$X$6:$X$405,"&lt;"&amp;X398)+1)</f>
        <v/>
      </c>
      <c r="Z398">
        <f>IF(Y398="","",T398&amp;"_"&amp;Y398)</f>
        <v/>
      </c>
      <c r="AA398">
        <f>SUBSTITUTE(SUBSTITUTE(SUBSTITUTE(SUBSTITUTE(SUBSTITUTE(INDEX(D398:K398,MIN(8,MAX(1,C398))),"年","/"),"月","/"),"日",""),"-","/"),".","/")</f>
        <v/>
      </c>
      <c r="AB398">
        <f>IFERROR(MATCH(O398,入力!$C$5:$C$44,0),"")</f>
        <v/>
      </c>
      <c r="AC398">
        <f>IF(AB398="","",INDEX(入力!$AH$5:$AH$44,AB398))</f>
        <v/>
      </c>
      <c r="AD398">
        <f>IF(INDEX($D398:$K398,IF(M398=1,2,1))=AC398,1,IF(INDEX($D398:$K398,IF(M398=1,2,1))&amp;INDEX($D398:$K398,IF(M398=1,2,1)+1)=AC398,2,IF(INDEX($D398:$K398,IF(M398=1,2,1))&amp;INDEX($D398:$K398,IF(M398=1,2,1)+1)&amp;INDEX($D398:$K398,IF(M398=1,2,1)+2)=AC398,3,IF(AB398&lt;&gt;"",2,IF(ISNUMBER(MATCH(INDEX($D398:$K398,IF(M398=1,2,1)),入力!$AH$5:$AH$44,0)),1,IF(ISNUMBER(MATCH(INDEX($D398:$K398,IF(M398=1,2,1))&amp;INDEX($D398:$K398,IF(M398=1,2,1)+1),入力!$AH$5:$AH$44,0)),2,IF(ISNUMBER(MATCH(INDEX($D398:$K398,IF(M398=1,2,1))&amp;INDEX($D398:$K398,IF(M398=1,2,1)+1)&amp;INDEX($D398:$K398,IF(M398=1,2,1)+2),入力!$AH$5:$AH$44,0)),3,2)))))))</f>
        <v/>
      </c>
      <c r="AE398">
        <f>IF(V398="","",IF(AND(V398="反映",N(Y398)&gt;20),"要確認（この生徒の取込が20件を超えました）",V398))</f>
        <v/>
      </c>
    </row>
    <row r="399">
      <c r="A399" s="138" t="n"/>
      <c r="B399">
        <f>TRIM(SUBSTITUTE(SUBSTITUTE(SUBSTITUTE(A399,CHAR(9)," "),"　"," "),CHAR(160)," "))</f>
        <v/>
      </c>
      <c r="C399">
        <f>IF(B399="",0,LEN(B399)-LEN(SUBSTITUTE(B399," ",""))+1)</f>
        <v/>
      </c>
      <c r="D399">
        <f>IF(C399&gt;=1,TRIM(MID(SUBSTITUTE(B399," ",REPT(" ",200)),1,200)),"")</f>
        <v/>
      </c>
      <c r="E399">
        <f>IF(C399&gt;=2,TRIM(MID(SUBSTITUTE(B399," ",REPT(" ",200)),201,200)),"")</f>
        <v/>
      </c>
      <c r="F399">
        <f>IF(C399&gt;=3,TRIM(MID(SUBSTITUTE(B399," ",REPT(" ",200)),401,200)),"")</f>
        <v/>
      </c>
      <c r="G399">
        <f>IF(C399&gt;=4,TRIM(MID(SUBSTITUTE(B399," ",REPT(" ",200)),601,200)),"")</f>
        <v/>
      </c>
      <c r="H399">
        <f>IF(C399&gt;=5,TRIM(MID(SUBSTITUTE(B399," ",REPT(" ",200)),801,200)),"")</f>
        <v/>
      </c>
      <c r="I399">
        <f>IF(C399&gt;=6,TRIM(MID(SUBSTITUTE(B399," ",REPT(" ",200)),1001,200)),"")</f>
        <v/>
      </c>
      <c r="J399">
        <f>IF(C399&gt;=7,TRIM(MID(SUBSTITUTE(B399," ",REPT(" ",200)),1201,200)),"")</f>
        <v/>
      </c>
      <c r="K399">
        <f>IF(C399&gt;=8,TRIM(MID(SUBSTITUTE(B399," ",REPT(" ",200)),1401,200)),"")</f>
        <v/>
      </c>
      <c r="L399">
        <f>SUBSTITUTE(SUBSTITUTE(SUBSTITUTE(D399,"年","-"),"組","-"),"番","")</f>
        <v/>
      </c>
      <c r="M399">
        <f>IF(D399="",0,IF(ISNUMBER(VALUE(SUBSTITUTE(L399,"-",""))),1,0))</f>
        <v/>
      </c>
      <c r="N399">
        <f>IF(M399=0,"",IFERROR(VALUE(TRIM(MID(SUBSTITUTE(L399,"-",REPT(" ",100)),101,100))),""))</f>
        <v/>
      </c>
      <c r="O399">
        <f>IF(M399=0,"",IFERROR(VALUE(TRIM(RIGHT(SUBSTITUTE(L399,"-",REPT(" ",100)),100))),""))</f>
        <v/>
      </c>
      <c r="P399">
        <f>IF(B399="","",TRIM(INDEX($D399:$K399,IF(M399=1,2,1))&amp;IF(AD399&gt;=2," "&amp;INDEX($D399:$K399,IF(M399=1,2,1)+1),"")&amp;IF(AD399&gt;=3," "&amp;INDEX($D399:$K399,IF(M399=1,2,1)+2),"")))</f>
        <v/>
      </c>
      <c r="Q399">
        <f>IF(C399&lt;2,"",TRIM(IF(AND(2&gt;=(IF(M399=1,2,1)+AD399),2&lt;=C399-IF(S399="",0,1)),E399&amp;" ","")&amp;IF(AND(3&gt;=(IF(M399=1,2,1)+AD399),3&lt;=C399-IF(S399="",0,1)),F399&amp;" ","")&amp;IF(AND(4&gt;=(IF(M399=1,2,1)+AD399),4&lt;=C399-IF(S399="",0,1)),G399&amp;" ","")&amp;IF(AND(5&gt;=(IF(M399=1,2,1)+AD399),5&lt;=C399-IF(S399="",0,1)),H399&amp;" ","")&amp;IF(AND(6&gt;=(IF(M399=1,2,1)+AD399),6&lt;=C399-IF(S399="",0,1)),I399&amp;" ","")&amp;IF(AND(7&gt;=(IF(M399=1,2,1)+AD399),7&lt;=C399-IF(S399="",0,1)),J399&amp;" ","")&amp;IF(AND(8&gt;=(IF(M399=1,2,1)+AD399),8&lt;=C399-IF(S399="",0,1)),K399&amp;" ","")))</f>
        <v/>
      </c>
      <c r="R399">
        <f>IF(Q399="","",IFERROR(INDEX(資格マスタ!$B:$B,MATCH(ASC(SUBSTITUTE(SUBSTITUTE(Q399," ",""),"　","")),資格マスタ!$D:$D,0)),Q399))</f>
        <v/>
      </c>
      <c r="S399" s="139">
        <f>IF(C399&lt;2,"",IFERROR(IF(OR(LEFT(INDEX(D399:K399,MIN(8,MAX(1,C399))),2)="令和",LEFT(INDEX(D399:K399,MIN(8,MAX(1,C399))),2)="平成",LEFT(INDEX(D399:K399,MIN(8,MAX(1,C399))),2)="昭和"),DATE(VALUE(MID(INDEX(D399:K399,MIN(8,MAX(1,C399))),3,FIND("年",INDEX(D399:K399,MIN(8,MAX(1,C399))))-3))+IF(LEFT(INDEX(D399:K399,MIN(8,MAX(1,C399))),2)="令和",2018,IF(LEFT(INDEX(D399:K399,MIN(8,MAX(1,C399))),2)="平成",1988,1925)),VALUE(MID(INDEX(D399:K399,MIN(8,MAX(1,C399))),FIND("年",INDEX(D399:K399,MIN(8,MAX(1,C399))))+1,FIND("月",INDEX(D399:K399,MIN(8,MAX(1,C399))))-FIND("年",INDEX(D399:K399,MIN(8,MAX(1,C399))))-1)),IFERROR(VALUE(SUBSTITUTE(MID(INDEX(D399:K399,MIN(8,MAX(1,C399))),FIND("月",INDEX(D399:K399,MIN(8,MAX(1,C399))))+1,10),"日","")),1)),DATE(VALUE(TRIM(MID(SUBSTITUTE(AA399,"/",REPT(" ",50)),1,50))),VALUE(TRIM(MID(SUBSTITUTE(AA399,"/",REPT(" ",50)),51,50))),IFERROR(VALUE(TRIM(MID(SUBSTITUTE(AA399,"/",REPT(" ",50)),101,50))),1))),IFERROR(DATEVALUE(INDEX(D399:K399,MIN(8,MAX(1,C399)))),"")))</f>
        <v/>
      </c>
      <c r="T399">
        <f>IF(B399="","",IF(AB399&lt;&gt;"",AB399,IFERROR(MATCH(SUBSTITUTE(SUBSTITUTE(P399," ",""),"　",""),入力!$AH$5:$AH$44,0),"")))</f>
        <v/>
      </c>
      <c r="U399">
        <f>IF(T399="","",INDEX(入力!$D$5:$D$44,T399))</f>
        <v/>
      </c>
      <c r="V399">
        <f>IF(B399="","",IF(T399="","要確認（名簿と照合できません）",IF(R399="","要確認（資格名がありません）",IF(S399="","要確認（取得日が読めません）",IF((IF(INDEX(入力!$N$5:$N$44,T399)=R399,1,0)+IF(INDEX(入力!$P$5:$P$44,T399)=R399,1,0)+IF(INDEX(入力!$R$5:$R$44,T399)=R399,1,0)+IF(INDEX(入力!$T$5:$T$44,T399)=R399,1,0)+IF(INDEX(入力!$V$5:$V$44,T399)=R399,1,0)+IF(INDEX(入力!$X$5:$X$44,T399)=R399,1,0))+(COUNTIFS($T$6:$T$405,T399,$R$6:$R$405,R399,$X$6:$X$405,"&lt;"&amp;X399))&gt;0,"重複","反映")))))</f>
        <v/>
      </c>
      <c r="W399">
        <f>IF(V399="反映",1,0)</f>
        <v/>
      </c>
      <c r="X399" t="n">
        <v>399</v>
      </c>
      <c r="Y399">
        <f>IF(W399=0,"",COUNTIFS($T$6:$T$405,T399,$W$6:$W$405,1,$S$6:$S$405,"&lt;"&amp;S399)+COUNTIFS($T$6:$T$405,T399,$W$6:$W$405,1,$S$6:$S$405,S399,$X$6:$X$405,"&lt;"&amp;X399)+1)</f>
        <v/>
      </c>
      <c r="Z399">
        <f>IF(Y399="","",T399&amp;"_"&amp;Y399)</f>
        <v/>
      </c>
      <c r="AA399">
        <f>SUBSTITUTE(SUBSTITUTE(SUBSTITUTE(SUBSTITUTE(SUBSTITUTE(INDEX(D399:K399,MIN(8,MAX(1,C399))),"年","/"),"月","/"),"日",""),"-","/"),".","/")</f>
        <v/>
      </c>
      <c r="AB399">
        <f>IFERROR(MATCH(O399,入力!$C$5:$C$44,0),"")</f>
        <v/>
      </c>
      <c r="AC399">
        <f>IF(AB399="","",INDEX(入力!$AH$5:$AH$44,AB399))</f>
        <v/>
      </c>
      <c r="AD399">
        <f>IF(INDEX($D399:$K399,IF(M399=1,2,1))=AC399,1,IF(INDEX($D399:$K399,IF(M399=1,2,1))&amp;INDEX($D399:$K399,IF(M399=1,2,1)+1)=AC399,2,IF(INDEX($D399:$K399,IF(M399=1,2,1))&amp;INDEX($D399:$K399,IF(M399=1,2,1)+1)&amp;INDEX($D399:$K399,IF(M399=1,2,1)+2)=AC399,3,IF(AB399&lt;&gt;"",2,IF(ISNUMBER(MATCH(INDEX($D399:$K399,IF(M399=1,2,1)),入力!$AH$5:$AH$44,0)),1,IF(ISNUMBER(MATCH(INDEX($D399:$K399,IF(M399=1,2,1))&amp;INDEX($D399:$K399,IF(M399=1,2,1)+1),入力!$AH$5:$AH$44,0)),2,IF(ISNUMBER(MATCH(INDEX($D399:$K399,IF(M399=1,2,1))&amp;INDEX($D399:$K399,IF(M399=1,2,1)+1)&amp;INDEX($D399:$K399,IF(M399=1,2,1)+2),入力!$AH$5:$AH$44,0)),3,2)))))))</f>
        <v/>
      </c>
      <c r="AE399">
        <f>IF(V399="","",IF(AND(V399="反映",N(Y399)&gt;20),"要確認（この生徒の取込が20件を超えました）",V399))</f>
        <v/>
      </c>
    </row>
    <row r="400">
      <c r="A400" s="138" t="n"/>
      <c r="B400">
        <f>TRIM(SUBSTITUTE(SUBSTITUTE(SUBSTITUTE(A400,CHAR(9)," "),"　"," "),CHAR(160)," "))</f>
        <v/>
      </c>
      <c r="C400">
        <f>IF(B400="",0,LEN(B400)-LEN(SUBSTITUTE(B400," ",""))+1)</f>
        <v/>
      </c>
      <c r="D400">
        <f>IF(C400&gt;=1,TRIM(MID(SUBSTITUTE(B400," ",REPT(" ",200)),1,200)),"")</f>
        <v/>
      </c>
      <c r="E400">
        <f>IF(C400&gt;=2,TRIM(MID(SUBSTITUTE(B400," ",REPT(" ",200)),201,200)),"")</f>
        <v/>
      </c>
      <c r="F400">
        <f>IF(C400&gt;=3,TRIM(MID(SUBSTITUTE(B400," ",REPT(" ",200)),401,200)),"")</f>
        <v/>
      </c>
      <c r="G400">
        <f>IF(C400&gt;=4,TRIM(MID(SUBSTITUTE(B400," ",REPT(" ",200)),601,200)),"")</f>
        <v/>
      </c>
      <c r="H400">
        <f>IF(C400&gt;=5,TRIM(MID(SUBSTITUTE(B400," ",REPT(" ",200)),801,200)),"")</f>
        <v/>
      </c>
      <c r="I400">
        <f>IF(C400&gt;=6,TRIM(MID(SUBSTITUTE(B400," ",REPT(" ",200)),1001,200)),"")</f>
        <v/>
      </c>
      <c r="J400">
        <f>IF(C400&gt;=7,TRIM(MID(SUBSTITUTE(B400," ",REPT(" ",200)),1201,200)),"")</f>
        <v/>
      </c>
      <c r="K400">
        <f>IF(C400&gt;=8,TRIM(MID(SUBSTITUTE(B400," ",REPT(" ",200)),1401,200)),"")</f>
        <v/>
      </c>
      <c r="L400">
        <f>SUBSTITUTE(SUBSTITUTE(SUBSTITUTE(D400,"年","-"),"組","-"),"番","")</f>
        <v/>
      </c>
      <c r="M400">
        <f>IF(D400="",0,IF(ISNUMBER(VALUE(SUBSTITUTE(L400,"-",""))),1,0))</f>
        <v/>
      </c>
      <c r="N400">
        <f>IF(M400=0,"",IFERROR(VALUE(TRIM(MID(SUBSTITUTE(L400,"-",REPT(" ",100)),101,100))),""))</f>
        <v/>
      </c>
      <c r="O400">
        <f>IF(M400=0,"",IFERROR(VALUE(TRIM(RIGHT(SUBSTITUTE(L400,"-",REPT(" ",100)),100))),""))</f>
        <v/>
      </c>
      <c r="P400">
        <f>IF(B400="","",TRIM(INDEX($D400:$K400,IF(M400=1,2,1))&amp;IF(AD400&gt;=2," "&amp;INDEX($D400:$K400,IF(M400=1,2,1)+1),"")&amp;IF(AD400&gt;=3," "&amp;INDEX($D400:$K400,IF(M400=1,2,1)+2),"")))</f>
        <v/>
      </c>
      <c r="Q400">
        <f>IF(C400&lt;2,"",TRIM(IF(AND(2&gt;=(IF(M400=1,2,1)+AD400),2&lt;=C400-IF(S400="",0,1)),E400&amp;" ","")&amp;IF(AND(3&gt;=(IF(M400=1,2,1)+AD400),3&lt;=C400-IF(S400="",0,1)),F400&amp;" ","")&amp;IF(AND(4&gt;=(IF(M400=1,2,1)+AD400),4&lt;=C400-IF(S400="",0,1)),G400&amp;" ","")&amp;IF(AND(5&gt;=(IF(M400=1,2,1)+AD400),5&lt;=C400-IF(S400="",0,1)),H400&amp;" ","")&amp;IF(AND(6&gt;=(IF(M400=1,2,1)+AD400),6&lt;=C400-IF(S400="",0,1)),I400&amp;" ","")&amp;IF(AND(7&gt;=(IF(M400=1,2,1)+AD400),7&lt;=C400-IF(S400="",0,1)),J400&amp;" ","")&amp;IF(AND(8&gt;=(IF(M400=1,2,1)+AD400),8&lt;=C400-IF(S400="",0,1)),K400&amp;" ","")))</f>
        <v/>
      </c>
      <c r="R400">
        <f>IF(Q400="","",IFERROR(INDEX(資格マスタ!$B:$B,MATCH(ASC(SUBSTITUTE(SUBSTITUTE(Q400," ",""),"　","")),資格マスタ!$D:$D,0)),Q400))</f>
        <v/>
      </c>
      <c r="S400" s="139">
        <f>IF(C400&lt;2,"",IFERROR(IF(OR(LEFT(INDEX(D400:K400,MIN(8,MAX(1,C400))),2)="令和",LEFT(INDEX(D400:K400,MIN(8,MAX(1,C400))),2)="平成",LEFT(INDEX(D400:K400,MIN(8,MAX(1,C400))),2)="昭和"),DATE(VALUE(MID(INDEX(D400:K400,MIN(8,MAX(1,C400))),3,FIND("年",INDEX(D400:K400,MIN(8,MAX(1,C400))))-3))+IF(LEFT(INDEX(D400:K400,MIN(8,MAX(1,C400))),2)="令和",2018,IF(LEFT(INDEX(D400:K400,MIN(8,MAX(1,C400))),2)="平成",1988,1925)),VALUE(MID(INDEX(D400:K400,MIN(8,MAX(1,C400))),FIND("年",INDEX(D400:K400,MIN(8,MAX(1,C400))))+1,FIND("月",INDEX(D400:K400,MIN(8,MAX(1,C400))))-FIND("年",INDEX(D400:K400,MIN(8,MAX(1,C400))))-1)),IFERROR(VALUE(SUBSTITUTE(MID(INDEX(D400:K400,MIN(8,MAX(1,C400))),FIND("月",INDEX(D400:K400,MIN(8,MAX(1,C400))))+1,10),"日","")),1)),DATE(VALUE(TRIM(MID(SUBSTITUTE(AA400,"/",REPT(" ",50)),1,50))),VALUE(TRIM(MID(SUBSTITUTE(AA400,"/",REPT(" ",50)),51,50))),IFERROR(VALUE(TRIM(MID(SUBSTITUTE(AA400,"/",REPT(" ",50)),101,50))),1))),IFERROR(DATEVALUE(INDEX(D400:K400,MIN(8,MAX(1,C400)))),"")))</f>
        <v/>
      </c>
      <c r="T400">
        <f>IF(B400="","",IF(AB400&lt;&gt;"",AB400,IFERROR(MATCH(SUBSTITUTE(SUBSTITUTE(P400," ",""),"　",""),入力!$AH$5:$AH$44,0),"")))</f>
        <v/>
      </c>
      <c r="U400">
        <f>IF(T400="","",INDEX(入力!$D$5:$D$44,T400))</f>
        <v/>
      </c>
      <c r="V400">
        <f>IF(B400="","",IF(T400="","要確認（名簿と照合できません）",IF(R400="","要確認（資格名がありません）",IF(S400="","要確認（取得日が読めません）",IF((IF(INDEX(入力!$N$5:$N$44,T400)=R400,1,0)+IF(INDEX(入力!$P$5:$P$44,T400)=R400,1,0)+IF(INDEX(入力!$R$5:$R$44,T400)=R400,1,0)+IF(INDEX(入力!$T$5:$T$44,T400)=R400,1,0)+IF(INDEX(入力!$V$5:$V$44,T400)=R400,1,0)+IF(INDEX(入力!$X$5:$X$44,T400)=R400,1,0))+(COUNTIFS($T$6:$T$405,T400,$R$6:$R$405,R400,$X$6:$X$405,"&lt;"&amp;X400))&gt;0,"重複","反映")))))</f>
        <v/>
      </c>
      <c r="W400">
        <f>IF(V400="反映",1,0)</f>
        <v/>
      </c>
      <c r="X400" t="n">
        <v>400</v>
      </c>
      <c r="Y400">
        <f>IF(W400=0,"",COUNTIFS($T$6:$T$405,T400,$W$6:$W$405,1,$S$6:$S$405,"&lt;"&amp;S400)+COUNTIFS($T$6:$T$405,T400,$W$6:$W$405,1,$S$6:$S$405,S400,$X$6:$X$405,"&lt;"&amp;X400)+1)</f>
        <v/>
      </c>
      <c r="Z400">
        <f>IF(Y400="","",T400&amp;"_"&amp;Y400)</f>
        <v/>
      </c>
      <c r="AA400">
        <f>SUBSTITUTE(SUBSTITUTE(SUBSTITUTE(SUBSTITUTE(SUBSTITUTE(INDEX(D400:K400,MIN(8,MAX(1,C400))),"年","/"),"月","/"),"日",""),"-","/"),".","/")</f>
        <v/>
      </c>
      <c r="AB400">
        <f>IFERROR(MATCH(O400,入力!$C$5:$C$44,0),"")</f>
        <v/>
      </c>
      <c r="AC400">
        <f>IF(AB400="","",INDEX(入力!$AH$5:$AH$44,AB400))</f>
        <v/>
      </c>
      <c r="AD400">
        <f>IF(INDEX($D400:$K400,IF(M400=1,2,1))=AC400,1,IF(INDEX($D400:$K400,IF(M400=1,2,1))&amp;INDEX($D400:$K400,IF(M400=1,2,1)+1)=AC400,2,IF(INDEX($D400:$K400,IF(M400=1,2,1))&amp;INDEX($D400:$K400,IF(M400=1,2,1)+1)&amp;INDEX($D400:$K400,IF(M400=1,2,1)+2)=AC400,3,IF(AB400&lt;&gt;"",2,IF(ISNUMBER(MATCH(INDEX($D400:$K400,IF(M400=1,2,1)),入力!$AH$5:$AH$44,0)),1,IF(ISNUMBER(MATCH(INDEX($D400:$K400,IF(M400=1,2,1))&amp;INDEX($D400:$K400,IF(M400=1,2,1)+1),入力!$AH$5:$AH$44,0)),2,IF(ISNUMBER(MATCH(INDEX($D400:$K400,IF(M400=1,2,1))&amp;INDEX($D400:$K400,IF(M400=1,2,1)+1)&amp;INDEX($D400:$K400,IF(M400=1,2,1)+2),入力!$AH$5:$AH$44,0)),3,2)))))))</f>
        <v/>
      </c>
      <c r="AE400">
        <f>IF(V400="","",IF(AND(V400="反映",N(Y400)&gt;20),"要確認（この生徒の取込が20件を超えました）",V400))</f>
        <v/>
      </c>
    </row>
    <row r="401">
      <c r="A401" s="138" t="n"/>
      <c r="B401">
        <f>TRIM(SUBSTITUTE(SUBSTITUTE(SUBSTITUTE(A401,CHAR(9)," "),"　"," "),CHAR(160)," "))</f>
        <v/>
      </c>
      <c r="C401">
        <f>IF(B401="",0,LEN(B401)-LEN(SUBSTITUTE(B401," ",""))+1)</f>
        <v/>
      </c>
      <c r="D401">
        <f>IF(C401&gt;=1,TRIM(MID(SUBSTITUTE(B401," ",REPT(" ",200)),1,200)),"")</f>
        <v/>
      </c>
      <c r="E401">
        <f>IF(C401&gt;=2,TRIM(MID(SUBSTITUTE(B401," ",REPT(" ",200)),201,200)),"")</f>
        <v/>
      </c>
      <c r="F401">
        <f>IF(C401&gt;=3,TRIM(MID(SUBSTITUTE(B401," ",REPT(" ",200)),401,200)),"")</f>
        <v/>
      </c>
      <c r="G401">
        <f>IF(C401&gt;=4,TRIM(MID(SUBSTITUTE(B401," ",REPT(" ",200)),601,200)),"")</f>
        <v/>
      </c>
      <c r="H401">
        <f>IF(C401&gt;=5,TRIM(MID(SUBSTITUTE(B401," ",REPT(" ",200)),801,200)),"")</f>
        <v/>
      </c>
      <c r="I401">
        <f>IF(C401&gt;=6,TRIM(MID(SUBSTITUTE(B401," ",REPT(" ",200)),1001,200)),"")</f>
        <v/>
      </c>
      <c r="J401">
        <f>IF(C401&gt;=7,TRIM(MID(SUBSTITUTE(B401," ",REPT(" ",200)),1201,200)),"")</f>
        <v/>
      </c>
      <c r="K401">
        <f>IF(C401&gt;=8,TRIM(MID(SUBSTITUTE(B401," ",REPT(" ",200)),1401,200)),"")</f>
        <v/>
      </c>
      <c r="L401">
        <f>SUBSTITUTE(SUBSTITUTE(SUBSTITUTE(D401,"年","-"),"組","-"),"番","")</f>
        <v/>
      </c>
      <c r="M401">
        <f>IF(D401="",0,IF(ISNUMBER(VALUE(SUBSTITUTE(L401,"-",""))),1,0))</f>
        <v/>
      </c>
      <c r="N401">
        <f>IF(M401=0,"",IFERROR(VALUE(TRIM(MID(SUBSTITUTE(L401,"-",REPT(" ",100)),101,100))),""))</f>
        <v/>
      </c>
      <c r="O401">
        <f>IF(M401=0,"",IFERROR(VALUE(TRIM(RIGHT(SUBSTITUTE(L401,"-",REPT(" ",100)),100))),""))</f>
        <v/>
      </c>
      <c r="P401">
        <f>IF(B401="","",TRIM(INDEX($D401:$K401,IF(M401=1,2,1))&amp;IF(AD401&gt;=2," "&amp;INDEX($D401:$K401,IF(M401=1,2,1)+1),"")&amp;IF(AD401&gt;=3," "&amp;INDEX($D401:$K401,IF(M401=1,2,1)+2),"")))</f>
        <v/>
      </c>
      <c r="Q401">
        <f>IF(C401&lt;2,"",TRIM(IF(AND(2&gt;=(IF(M401=1,2,1)+AD401),2&lt;=C401-IF(S401="",0,1)),E401&amp;" ","")&amp;IF(AND(3&gt;=(IF(M401=1,2,1)+AD401),3&lt;=C401-IF(S401="",0,1)),F401&amp;" ","")&amp;IF(AND(4&gt;=(IF(M401=1,2,1)+AD401),4&lt;=C401-IF(S401="",0,1)),G401&amp;" ","")&amp;IF(AND(5&gt;=(IF(M401=1,2,1)+AD401),5&lt;=C401-IF(S401="",0,1)),H401&amp;" ","")&amp;IF(AND(6&gt;=(IF(M401=1,2,1)+AD401),6&lt;=C401-IF(S401="",0,1)),I401&amp;" ","")&amp;IF(AND(7&gt;=(IF(M401=1,2,1)+AD401),7&lt;=C401-IF(S401="",0,1)),J401&amp;" ","")&amp;IF(AND(8&gt;=(IF(M401=1,2,1)+AD401),8&lt;=C401-IF(S401="",0,1)),K401&amp;" ","")))</f>
        <v/>
      </c>
      <c r="R401">
        <f>IF(Q401="","",IFERROR(INDEX(資格マスタ!$B:$B,MATCH(ASC(SUBSTITUTE(SUBSTITUTE(Q401," ",""),"　","")),資格マスタ!$D:$D,0)),Q401))</f>
        <v/>
      </c>
      <c r="S401" s="139">
        <f>IF(C401&lt;2,"",IFERROR(IF(OR(LEFT(INDEX(D401:K401,MIN(8,MAX(1,C401))),2)="令和",LEFT(INDEX(D401:K401,MIN(8,MAX(1,C401))),2)="平成",LEFT(INDEX(D401:K401,MIN(8,MAX(1,C401))),2)="昭和"),DATE(VALUE(MID(INDEX(D401:K401,MIN(8,MAX(1,C401))),3,FIND("年",INDEX(D401:K401,MIN(8,MAX(1,C401))))-3))+IF(LEFT(INDEX(D401:K401,MIN(8,MAX(1,C401))),2)="令和",2018,IF(LEFT(INDEX(D401:K401,MIN(8,MAX(1,C401))),2)="平成",1988,1925)),VALUE(MID(INDEX(D401:K401,MIN(8,MAX(1,C401))),FIND("年",INDEX(D401:K401,MIN(8,MAX(1,C401))))+1,FIND("月",INDEX(D401:K401,MIN(8,MAX(1,C401))))-FIND("年",INDEX(D401:K401,MIN(8,MAX(1,C401))))-1)),IFERROR(VALUE(SUBSTITUTE(MID(INDEX(D401:K401,MIN(8,MAX(1,C401))),FIND("月",INDEX(D401:K401,MIN(8,MAX(1,C401))))+1,10),"日","")),1)),DATE(VALUE(TRIM(MID(SUBSTITUTE(AA401,"/",REPT(" ",50)),1,50))),VALUE(TRIM(MID(SUBSTITUTE(AA401,"/",REPT(" ",50)),51,50))),IFERROR(VALUE(TRIM(MID(SUBSTITUTE(AA401,"/",REPT(" ",50)),101,50))),1))),IFERROR(DATEVALUE(INDEX(D401:K401,MIN(8,MAX(1,C401)))),"")))</f>
        <v/>
      </c>
      <c r="T401">
        <f>IF(B401="","",IF(AB401&lt;&gt;"",AB401,IFERROR(MATCH(SUBSTITUTE(SUBSTITUTE(P401," ",""),"　",""),入力!$AH$5:$AH$44,0),"")))</f>
        <v/>
      </c>
      <c r="U401">
        <f>IF(T401="","",INDEX(入力!$D$5:$D$44,T401))</f>
        <v/>
      </c>
      <c r="V401">
        <f>IF(B401="","",IF(T401="","要確認（名簿と照合できません）",IF(R401="","要確認（資格名がありません）",IF(S401="","要確認（取得日が読めません）",IF((IF(INDEX(入力!$N$5:$N$44,T401)=R401,1,0)+IF(INDEX(入力!$P$5:$P$44,T401)=R401,1,0)+IF(INDEX(入力!$R$5:$R$44,T401)=R401,1,0)+IF(INDEX(入力!$T$5:$T$44,T401)=R401,1,0)+IF(INDEX(入力!$V$5:$V$44,T401)=R401,1,0)+IF(INDEX(入力!$X$5:$X$44,T401)=R401,1,0))+(COUNTIFS($T$6:$T$405,T401,$R$6:$R$405,R401,$X$6:$X$405,"&lt;"&amp;X401))&gt;0,"重複","反映")))))</f>
        <v/>
      </c>
      <c r="W401">
        <f>IF(V401="反映",1,0)</f>
        <v/>
      </c>
      <c r="X401" t="n">
        <v>401</v>
      </c>
      <c r="Y401">
        <f>IF(W401=0,"",COUNTIFS($T$6:$T$405,T401,$W$6:$W$405,1,$S$6:$S$405,"&lt;"&amp;S401)+COUNTIFS($T$6:$T$405,T401,$W$6:$W$405,1,$S$6:$S$405,S401,$X$6:$X$405,"&lt;"&amp;X401)+1)</f>
        <v/>
      </c>
      <c r="Z401">
        <f>IF(Y401="","",T401&amp;"_"&amp;Y401)</f>
        <v/>
      </c>
      <c r="AA401">
        <f>SUBSTITUTE(SUBSTITUTE(SUBSTITUTE(SUBSTITUTE(SUBSTITUTE(INDEX(D401:K401,MIN(8,MAX(1,C401))),"年","/"),"月","/"),"日",""),"-","/"),".","/")</f>
        <v/>
      </c>
      <c r="AB401">
        <f>IFERROR(MATCH(O401,入力!$C$5:$C$44,0),"")</f>
        <v/>
      </c>
      <c r="AC401">
        <f>IF(AB401="","",INDEX(入力!$AH$5:$AH$44,AB401))</f>
        <v/>
      </c>
      <c r="AD401">
        <f>IF(INDEX($D401:$K401,IF(M401=1,2,1))=AC401,1,IF(INDEX($D401:$K401,IF(M401=1,2,1))&amp;INDEX($D401:$K401,IF(M401=1,2,1)+1)=AC401,2,IF(INDEX($D401:$K401,IF(M401=1,2,1))&amp;INDEX($D401:$K401,IF(M401=1,2,1)+1)&amp;INDEX($D401:$K401,IF(M401=1,2,1)+2)=AC401,3,IF(AB401&lt;&gt;"",2,IF(ISNUMBER(MATCH(INDEX($D401:$K401,IF(M401=1,2,1)),入力!$AH$5:$AH$44,0)),1,IF(ISNUMBER(MATCH(INDEX($D401:$K401,IF(M401=1,2,1))&amp;INDEX($D401:$K401,IF(M401=1,2,1)+1),入力!$AH$5:$AH$44,0)),2,IF(ISNUMBER(MATCH(INDEX($D401:$K401,IF(M401=1,2,1))&amp;INDEX($D401:$K401,IF(M401=1,2,1)+1)&amp;INDEX($D401:$K401,IF(M401=1,2,1)+2),入力!$AH$5:$AH$44,0)),3,2)))))))</f>
        <v/>
      </c>
      <c r="AE401">
        <f>IF(V401="","",IF(AND(V401="反映",N(Y401)&gt;20),"要確認（この生徒の取込が20件を超えました）",V401))</f>
        <v/>
      </c>
    </row>
    <row r="402">
      <c r="A402" s="138" t="n"/>
      <c r="B402">
        <f>TRIM(SUBSTITUTE(SUBSTITUTE(SUBSTITUTE(A402,CHAR(9)," "),"　"," "),CHAR(160)," "))</f>
        <v/>
      </c>
      <c r="C402">
        <f>IF(B402="",0,LEN(B402)-LEN(SUBSTITUTE(B402," ",""))+1)</f>
        <v/>
      </c>
      <c r="D402">
        <f>IF(C402&gt;=1,TRIM(MID(SUBSTITUTE(B402," ",REPT(" ",200)),1,200)),"")</f>
        <v/>
      </c>
      <c r="E402">
        <f>IF(C402&gt;=2,TRIM(MID(SUBSTITUTE(B402," ",REPT(" ",200)),201,200)),"")</f>
        <v/>
      </c>
      <c r="F402">
        <f>IF(C402&gt;=3,TRIM(MID(SUBSTITUTE(B402," ",REPT(" ",200)),401,200)),"")</f>
        <v/>
      </c>
      <c r="G402">
        <f>IF(C402&gt;=4,TRIM(MID(SUBSTITUTE(B402," ",REPT(" ",200)),601,200)),"")</f>
        <v/>
      </c>
      <c r="H402">
        <f>IF(C402&gt;=5,TRIM(MID(SUBSTITUTE(B402," ",REPT(" ",200)),801,200)),"")</f>
        <v/>
      </c>
      <c r="I402">
        <f>IF(C402&gt;=6,TRIM(MID(SUBSTITUTE(B402," ",REPT(" ",200)),1001,200)),"")</f>
        <v/>
      </c>
      <c r="J402">
        <f>IF(C402&gt;=7,TRIM(MID(SUBSTITUTE(B402," ",REPT(" ",200)),1201,200)),"")</f>
        <v/>
      </c>
      <c r="K402">
        <f>IF(C402&gt;=8,TRIM(MID(SUBSTITUTE(B402," ",REPT(" ",200)),1401,200)),"")</f>
        <v/>
      </c>
      <c r="L402">
        <f>SUBSTITUTE(SUBSTITUTE(SUBSTITUTE(D402,"年","-"),"組","-"),"番","")</f>
        <v/>
      </c>
      <c r="M402">
        <f>IF(D402="",0,IF(ISNUMBER(VALUE(SUBSTITUTE(L402,"-",""))),1,0))</f>
        <v/>
      </c>
      <c r="N402">
        <f>IF(M402=0,"",IFERROR(VALUE(TRIM(MID(SUBSTITUTE(L402,"-",REPT(" ",100)),101,100))),""))</f>
        <v/>
      </c>
      <c r="O402">
        <f>IF(M402=0,"",IFERROR(VALUE(TRIM(RIGHT(SUBSTITUTE(L402,"-",REPT(" ",100)),100))),""))</f>
        <v/>
      </c>
      <c r="P402">
        <f>IF(B402="","",TRIM(INDEX($D402:$K402,IF(M402=1,2,1))&amp;IF(AD402&gt;=2," "&amp;INDEX($D402:$K402,IF(M402=1,2,1)+1),"")&amp;IF(AD402&gt;=3," "&amp;INDEX($D402:$K402,IF(M402=1,2,1)+2),"")))</f>
        <v/>
      </c>
      <c r="Q402">
        <f>IF(C402&lt;2,"",TRIM(IF(AND(2&gt;=(IF(M402=1,2,1)+AD402),2&lt;=C402-IF(S402="",0,1)),E402&amp;" ","")&amp;IF(AND(3&gt;=(IF(M402=1,2,1)+AD402),3&lt;=C402-IF(S402="",0,1)),F402&amp;" ","")&amp;IF(AND(4&gt;=(IF(M402=1,2,1)+AD402),4&lt;=C402-IF(S402="",0,1)),G402&amp;" ","")&amp;IF(AND(5&gt;=(IF(M402=1,2,1)+AD402),5&lt;=C402-IF(S402="",0,1)),H402&amp;" ","")&amp;IF(AND(6&gt;=(IF(M402=1,2,1)+AD402),6&lt;=C402-IF(S402="",0,1)),I402&amp;" ","")&amp;IF(AND(7&gt;=(IF(M402=1,2,1)+AD402),7&lt;=C402-IF(S402="",0,1)),J402&amp;" ","")&amp;IF(AND(8&gt;=(IF(M402=1,2,1)+AD402),8&lt;=C402-IF(S402="",0,1)),K402&amp;" ","")))</f>
        <v/>
      </c>
      <c r="R402">
        <f>IF(Q402="","",IFERROR(INDEX(資格マスタ!$B:$B,MATCH(ASC(SUBSTITUTE(SUBSTITUTE(Q402," ",""),"　","")),資格マスタ!$D:$D,0)),Q402))</f>
        <v/>
      </c>
      <c r="S402" s="139">
        <f>IF(C402&lt;2,"",IFERROR(IF(OR(LEFT(INDEX(D402:K402,MIN(8,MAX(1,C402))),2)="令和",LEFT(INDEX(D402:K402,MIN(8,MAX(1,C402))),2)="平成",LEFT(INDEX(D402:K402,MIN(8,MAX(1,C402))),2)="昭和"),DATE(VALUE(MID(INDEX(D402:K402,MIN(8,MAX(1,C402))),3,FIND("年",INDEX(D402:K402,MIN(8,MAX(1,C402))))-3))+IF(LEFT(INDEX(D402:K402,MIN(8,MAX(1,C402))),2)="令和",2018,IF(LEFT(INDEX(D402:K402,MIN(8,MAX(1,C402))),2)="平成",1988,1925)),VALUE(MID(INDEX(D402:K402,MIN(8,MAX(1,C402))),FIND("年",INDEX(D402:K402,MIN(8,MAX(1,C402))))+1,FIND("月",INDEX(D402:K402,MIN(8,MAX(1,C402))))-FIND("年",INDEX(D402:K402,MIN(8,MAX(1,C402))))-1)),IFERROR(VALUE(SUBSTITUTE(MID(INDEX(D402:K402,MIN(8,MAX(1,C402))),FIND("月",INDEX(D402:K402,MIN(8,MAX(1,C402))))+1,10),"日","")),1)),DATE(VALUE(TRIM(MID(SUBSTITUTE(AA402,"/",REPT(" ",50)),1,50))),VALUE(TRIM(MID(SUBSTITUTE(AA402,"/",REPT(" ",50)),51,50))),IFERROR(VALUE(TRIM(MID(SUBSTITUTE(AA402,"/",REPT(" ",50)),101,50))),1))),IFERROR(DATEVALUE(INDEX(D402:K402,MIN(8,MAX(1,C402)))),"")))</f>
        <v/>
      </c>
      <c r="T402">
        <f>IF(B402="","",IF(AB402&lt;&gt;"",AB402,IFERROR(MATCH(SUBSTITUTE(SUBSTITUTE(P402," ",""),"　",""),入力!$AH$5:$AH$44,0),"")))</f>
        <v/>
      </c>
      <c r="U402">
        <f>IF(T402="","",INDEX(入力!$D$5:$D$44,T402))</f>
        <v/>
      </c>
      <c r="V402">
        <f>IF(B402="","",IF(T402="","要確認（名簿と照合できません）",IF(R402="","要確認（資格名がありません）",IF(S402="","要確認（取得日が読めません）",IF((IF(INDEX(入力!$N$5:$N$44,T402)=R402,1,0)+IF(INDEX(入力!$P$5:$P$44,T402)=R402,1,0)+IF(INDEX(入力!$R$5:$R$44,T402)=R402,1,0)+IF(INDEX(入力!$T$5:$T$44,T402)=R402,1,0)+IF(INDEX(入力!$V$5:$V$44,T402)=R402,1,0)+IF(INDEX(入力!$X$5:$X$44,T402)=R402,1,0))+(COUNTIFS($T$6:$T$405,T402,$R$6:$R$405,R402,$X$6:$X$405,"&lt;"&amp;X402))&gt;0,"重複","反映")))))</f>
        <v/>
      </c>
      <c r="W402">
        <f>IF(V402="反映",1,0)</f>
        <v/>
      </c>
      <c r="X402" t="n">
        <v>402</v>
      </c>
      <c r="Y402">
        <f>IF(W402=0,"",COUNTIFS($T$6:$T$405,T402,$W$6:$W$405,1,$S$6:$S$405,"&lt;"&amp;S402)+COUNTIFS($T$6:$T$405,T402,$W$6:$W$405,1,$S$6:$S$405,S402,$X$6:$X$405,"&lt;"&amp;X402)+1)</f>
        <v/>
      </c>
      <c r="Z402">
        <f>IF(Y402="","",T402&amp;"_"&amp;Y402)</f>
        <v/>
      </c>
      <c r="AA402">
        <f>SUBSTITUTE(SUBSTITUTE(SUBSTITUTE(SUBSTITUTE(SUBSTITUTE(INDEX(D402:K402,MIN(8,MAX(1,C402))),"年","/"),"月","/"),"日",""),"-","/"),".","/")</f>
        <v/>
      </c>
      <c r="AB402">
        <f>IFERROR(MATCH(O402,入力!$C$5:$C$44,0),"")</f>
        <v/>
      </c>
      <c r="AC402">
        <f>IF(AB402="","",INDEX(入力!$AH$5:$AH$44,AB402))</f>
        <v/>
      </c>
      <c r="AD402">
        <f>IF(INDEX($D402:$K402,IF(M402=1,2,1))=AC402,1,IF(INDEX($D402:$K402,IF(M402=1,2,1))&amp;INDEX($D402:$K402,IF(M402=1,2,1)+1)=AC402,2,IF(INDEX($D402:$K402,IF(M402=1,2,1))&amp;INDEX($D402:$K402,IF(M402=1,2,1)+1)&amp;INDEX($D402:$K402,IF(M402=1,2,1)+2)=AC402,3,IF(AB402&lt;&gt;"",2,IF(ISNUMBER(MATCH(INDEX($D402:$K402,IF(M402=1,2,1)),入力!$AH$5:$AH$44,0)),1,IF(ISNUMBER(MATCH(INDEX($D402:$K402,IF(M402=1,2,1))&amp;INDEX($D402:$K402,IF(M402=1,2,1)+1),入力!$AH$5:$AH$44,0)),2,IF(ISNUMBER(MATCH(INDEX($D402:$K402,IF(M402=1,2,1))&amp;INDEX($D402:$K402,IF(M402=1,2,1)+1)&amp;INDEX($D402:$K402,IF(M402=1,2,1)+2),入力!$AH$5:$AH$44,0)),3,2)))))))</f>
        <v/>
      </c>
      <c r="AE402">
        <f>IF(V402="","",IF(AND(V402="反映",N(Y402)&gt;20),"要確認（この生徒の取込が20件を超えました）",V402))</f>
        <v/>
      </c>
    </row>
    <row r="403">
      <c r="A403" s="138" t="n"/>
      <c r="B403">
        <f>TRIM(SUBSTITUTE(SUBSTITUTE(SUBSTITUTE(A403,CHAR(9)," "),"　"," "),CHAR(160)," "))</f>
        <v/>
      </c>
      <c r="C403">
        <f>IF(B403="",0,LEN(B403)-LEN(SUBSTITUTE(B403," ",""))+1)</f>
        <v/>
      </c>
      <c r="D403">
        <f>IF(C403&gt;=1,TRIM(MID(SUBSTITUTE(B403," ",REPT(" ",200)),1,200)),"")</f>
        <v/>
      </c>
      <c r="E403">
        <f>IF(C403&gt;=2,TRIM(MID(SUBSTITUTE(B403," ",REPT(" ",200)),201,200)),"")</f>
        <v/>
      </c>
      <c r="F403">
        <f>IF(C403&gt;=3,TRIM(MID(SUBSTITUTE(B403," ",REPT(" ",200)),401,200)),"")</f>
        <v/>
      </c>
      <c r="G403">
        <f>IF(C403&gt;=4,TRIM(MID(SUBSTITUTE(B403," ",REPT(" ",200)),601,200)),"")</f>
        <v/>
      </c>
      <c r="H403">
        <f>IF(C403&gt;=5,TRIM(MID(SUBSTITUTE(B403," ",REPT(" ",200)),801,200)),"")</f>
        <v/>
      </c>
      <c r="I403">
        <f>IF(C403&gt;=6,TRIM(MID(SUBSTITUTE(B403," ",REPT(" ",200)),1001,200)),"")</f>
        <v/>
      </c>
      <c r="J403">
        <f>IF(C403&gt;=7,TRIM(MID(SUBSTITUTE(B403," ",REPT(" ",200)),1201,200)),"")</f>
        <v/>
      </c>
      <c r="K403">
        <f>IF(C403&gt;=8,TRIM(MID(SUBSTITUTE(B403," ",REPT(" ",200)),1401,200)),"")</f>
        <v/>
      </c>
      <c r="L403">
        <f>SUBSTITUTE(SUBSTITUTE(SUBSTITUTE(D403,"年","-"),"組","-"),"番","")</f>
        <v/>
      </c>
      <c r="M403">
        <f>IF(D403="",0,IF(ISNUMBER(VALUE(SUBSTITUTE(L403,"-",""))),1,0))</f>
        <v/>
      </c>
      <c r="N403">
        <f>IF(M403=0,"",IFERROR(VALUE(TRIM(MID(SUBSTITUTE(L403,"-",REPT(" ",100)),101,100))),""))</f>
        <v/>
      </c>
      <c r="O403">
        <f>IF(M403=0,"",IFERROR(VALUE(TRIM(RIGHT(SUBSTITUTE(L403,"-",REPT(" ",100)),100))),""))</f>
        <v/>
      </c>
      <c r="P403">
        <f>IF(B403="","",TRIM(INDEX($D403:$K403,IF(M403=1,2,1))&amp;IF(AD403&gt;=2," "&amp;INDEX($D403:$K403,IF(M403=1,2,1)+1),"")&amp;IF(AD403&gt;=3," "&amp;INDEX($D403:$K403,IF(M403=1,2,1)+2),"")))</f>
        <v/>
      </c>
      <c r="Q403">
        <f>IF(C403&lt;2,"",TRIM(IF(AND(2&gt;=(IF(M403=1,2,1)+AD403),2&lt;=C403-IF(S403="",0,1)),E403&amp;" ","")&amp;IF(AND(3&gt;=(IF(M403=1,2,1)+AD403),3&lt;=C403-IF(S403="",0,1)),F403&amp;" ","")&amp;IF(AND(4&gt;=(IF(M403=1,2,1)+AD403),4&lt;=C403-IF(S403="",0,1)),G403&amp;" ","")&amp;IF(AND(5&gt;=(IF(M403=1,2,1)+AD403),5&lt;=C403-IF(S403="",0,1)),H403&amp;" ","")&amp;IF(AND(6&gt;=(IF(M403=1,2,1)+AD403),6&lt;=C403-IF(S403="",0,1)),I403&amp;" ","")&amp;IF(AND(7&gt;=(IF(M403=1,2,1)+AD403),7&lt;=C403-IF(S403="",0,1)),J403&amp;" ","")&amp;IF(AND(8&gt;=(IF(M403=1,2,1)+AD403),8&lt;=C403-IF(S403="",0,1)),K403&amp;" ","")))</f>
        <v/>
      </c>
      <c r="R403">
        <f>IF(Q403="","",IFERROR(INDEX(資格マスタ!$B:$B,MATCH(ASC(SUBSTITUTE(SUBSTITUTE(Q403," ",""),"　","")),資格マスタ!$D:$D,0)),Q403))</f>
        <v/>
      </c>
      <c r="S403" s="139">
        <f>IF(C403&lt;2,"",IFERROR(IF(OR(LEFT(INDEX(D403:K403,MIN(8,MAX(1,C403))),2)="令和",LEFT(INDEX(D403:K403,MIN(8,MAX(1,C403))),2)="平成",LEFT(INDEX(D403:K403,MIN(8,MAX(1,C403))),2)="昭和"),DATE(VALUE(MID(INDEX(D403:K403,MIN(8,MAX(1,C403))),3,FIND("年",INDEX(D403:K403,MIN(8,MAX(1,C403))))-3))+IF(LEFT(INDEX(D403:K403,MIN(8,MAX(1,C403))),2)="令和",2018,IF(LEFT(INDEX(D403:K403,MIN(8,MAX(1,C403))),2)="平成",1988,1925)),VALUE(MID(INDEX(D403:K403,MIN(8,MAX(1,C403))),FIND("年",INDEX(D403:K403,MIN(8,MAX(1,C403))))+1,FIND("月",INDEX(D403:K403,MIN(8,MAX(1,C403))))-FIND("年",INDEX(D403:K403,MIN(8,MAX(1,C403))))-1)),IFERROR(VALUE(SUBSTITUTE(MID(INDEX(D403:K403,MIN(8,MAX(1,C403))),FIND("月",INDEX(D403:K403,MIN(8,MAX(1,C403))))+1,10),"日","")),1)),DATE(VALUE(TRIM(MID(SUBSTITUTE(AA403,"/",REPT(" ",50)),1,50))),VALUE(TRIM(MID(SUBSTITUTE(AA403,"/",REPT(" ",50)),51,50))),IFERROR(VALUE(TRIM(MID(SUBSTITUTE(AA403,"/",REPT(" ",50)),101,50))),1))),IFERROR(DATEVALUE(INDEX(D403:K403,MIN(8,MAX(1,C403)))),"")))</f>
        <v/>
      </c>
      <c r="T403">
        <f>IF(B403="","",IF(AB403&lt;&gt;"",AB403,IFERROR(MATCH(SUBSTITUTE(SUBSTITUTE(P403," ",""),"　",""),入力!$AH$5:$AH$44,0),"")))</f>
        <v/>
      </c>
      <c r="U403">
        <f>IF(T403="","",INDEX(入力!$D$5:$D$44,T403))</f>
        <v/>
      </c>
      <c r="V403">
        <f>IF(B403="","",IF(T403="","要確認（名簿と照合できません）",IF(R403="","要確認（資格名がありません）",IF(S403="","要確認（取得日が読めません）",IF((IF(INDEX(入力!$N$5:$N$44,T403)=R403,1,0)+IF(INDEX(入力!$P$5:$P$44,T403)=R403,1,0)+IF(INDEX(入力!$R$5:$R$44,T403)=R403,1,0)+IF(INDEX(入力!$T$5:$T$44,T403)=R403,1,0)+IF(INDEX(入力!$V$5:$V$44,T403)=R403,1,0)+IF(INDEX(入力!$X$5:$X$44,T403)=R403,1,0))+(COUNTIFS($T$6:$T$405,T403,$R$6:$R$405,R403,$X$6:$X$405,"&lt;"&amp;X403))&gt;0,"重複","反映")))))</f>
        <v/>
      </c>
      <c r="W403">
        <f>IF(V403="反映",1,0)</f>
        <v/>
      </c>
      <c r="X403" t="n">
        <v>403</v>
      </c>
      <c r="Y403">
        <f>IF(W403=0,"",COUNTIFS($T$6:$T$405,T403,$W$6:$W$405,1,$S$6:$S$405,"&lt;"&amp;S403)+COUNTIFS($T$6:$T$405,T403,$W$6:$W$405,1,$S$6:$S$405,S403,$X$6:$X$405,"&lt;"&amp;X403)+1)</f>
        <v/>
      </c>
      <c r="Z403">
        <f>IF(Y403="","",T403&amp;"_"&amp;Y403)</f>
        <v/>
      </c>
      <c r="AA403">
        <f>SUBSTITUTE(SUBSTITUTE(SUBSTITUTE(SUBSTITUTE(SUBSTITUTE(INDEX(D403:K403,MIN(8,MAX(1,C403))),"年","/"),"月","/"),"日",""),"-","/"),".","/")</f>
        <v/>
      </c>
      <c r="AB403">
        <f>IFERROR(MATCH(O403,入力!$C$5:$C$44,0),"")</f>
        <v/>
      </c>
      <c r="AC403">
        <f>IF(AB403="","",INDEX(入力!$AH$5:$AH$44,AB403))</f>
        <v/>
      </c>
      <c r="AD403">
        <f>IF(INDEX($D403:$K403,IF(M403=1,2,1))=AC403,1,IF(INDEX($D403:$K403,IF(M403=1,2,1))&amp;INDEX($D403:$K403,IF(M403=1,2,1)+1)=AC403,2,IF(INDEX($D403:$K403,IF(M403=1,2,1))&amp;INDEX($D403:$K403,IF(M403=1,2,1)+1)&amp;INDEX($D403:$K403,IF(M403=1,2,1)+2)=AC403,3,IF(AB403&lt;&gt;"",2,IF(ISNUMBER(MATCH(INDEX($D403:$K403,IF(M403=1,2,1)),入力!$AH$5:$AH$44,0)),1,IF(ISNUMBER(MATCH(INDEX($D403:$K403,IF(M403=1,2,1))&amp;INDEX($D403:$K403,IF(M403=1,2,1)+1),入力!$AH$5:$AH$44,0)),2,IF(ISNUMBER(MATCH(INDEX($D403:$K403,IF(M403=1,2,1))&amp;INDEX($D403:$K403,IF(M403=1,2,1)+1)&amp;INDEX($D403:$K403,IF(M403=1,2,1)+2),入力!$AH$5:$AH$44,0)),3,2)))))))</f>
        <v/>
      </c>
      <c r="AE403">
        <f>IF(V403="","",IF(AND(V403="反映",N(Y403)&gt;20),"要確認（この生徒の取込が20件を超えました）",V403))</f>
        <v/>
      </c>
    </row>
    <row r="404">
      <c r="A404" s="138" t="n"/>
      <c r="B404">
        <f>TRIM(SUBSTITUTE(SUBSTITUTE(SUBSTITUTE(A404,CHAR(9)," "),"　"," "),CHAR(160)," "))</f>
        <v/>
      </c>
      <c r="C404">
        <f>IF(B404="",0,LEN(B404)-LEN(SUBSTITUTE(B404," ",""))+1)</f>
        <v/>
      </c>
      <c r="D404">
        <f>IF(C404&gt;=1,TRIM(MID(SUBSTITUTE(B404," ",REPT(" ",200)),1,200)),"")</f>
        <v/>
      </c>
      <c r="E404">
        <f>IF(C404&gt;=2,TRIM(MID(SUBSTITUTE(B404," ",REPT(" ",200)),201,200)),"")</f>
        <v/>
      </c>
      <c r="F404">
        <f>IF(C404&gt;=3,TRIM(MID(SUBSTITUTE(B404," ",REPT(" ",200)),401,200)),"")</f>
        <v/>
      </c>
      <c r="G404">
        <f>IF(C404&gt;=4,TRIM(MID(SUBSTITUTE(B404," ",REPT(" ",200)),601,200)),"")</f>
        <v/>
      </c>
      <c r="H404">
        <f>IF(C404&gt;=5,TRIM(MID(SUBSTITUTE(B404," ",REPT(" ",200)),801,200)),"")</f>
        <v/>
      </c>
      <c r="I404">
        <f>IF(C404&gt;=6,TRIM(MID(SUBSTITUTE(B404," ",REPT(" ",200)),1001,200)),"")</f>
        <v/>
      </c>
      <c r="J404">
        <f>IF(C404&gt;=7,TRIM(MID(SUBSTITUTE(B404," ",REPT(" ",200)),1201,200)),"")</f>
        <v/>
      </c>
      <c r="K404">
        <f>IF(C404&gt;=8,TRIM(MID(SUBSTITUTE(B404," ",REPT(" ",200)),1401,200)),"")</f>
        <v/>
      </c>
      <c r="L404">
        <f>SUBSTITUTE(SUBSTITUTE(SUBSTITUTE(D404,"年","-"),"組","-"),"番","")</f>
        <v/>
      </c>
      <c r="M404">
        <f>IF(D404="",0,IF(ISNUMBER(VALUE(SUBSTITUTE(L404,"-",""))),1,0))</f>
        <v/>
      </c>
      <c r="N404">
        <f>IF(M404=0,"",IFERROR(VALUE(TRIM(MID(SUBSTITUTE(L404,"-",REPT(" ",100)),101,100))),""))</f>
        <v/>
      </c>
      <c r="O404">
        <f>IF(M404=0,"",IFERROR(VALUE(TRIM(RIGHT(SUBSTITUTE(L404,"-",REPT(" ",100)),100))),""))</f>
        <v/>
      </c>
      <c r="P404">
        <f>IF(B404="","",TRIM(INDEX($D404:$K404,IF(M404=1,2,1))&amp;IF(AD404&gt;=2," "&amp;INDEX($D404:$K404,IF(M404=1,2,1)+1),"")&amp;IF(AD404&gt;=3," "&amp;INDEX($D404:$K404,IF(M404=1,2,1)+2),"")))</f>
        <v/>
      </c>
      <c r="Q404">
        <f>IF(C404&lt;2,"",TRIM(IF(AND(2&gt;=(IF(M404=1,2,1)+AD404),2&lt;=C404-IF(S404="",0,1)),E404&amp;" ","")&amp;IF(AND(3&gt;=(IF(M404=1,2,1)+AD404),3&lt;=C404-IF(S404="",0,1)),F404&amp;" ","")&amp;IF(AND(4&gt;=(IF(M404=1,2,1)+AD404),4&lt;=C404-IF(S404="",0,1)),G404&amp;" ","")&amp;IF(AND(5&gt;=(IF(M404=1,2,1)+AD404),5&lt;=C404-IF(S404="",0,1)),H404&amp;" ","")&amp;IF(AND(6&gt;=(IF(M404=1,2,1)+AD404),6&lt;=C404-IF(S404="",0,1)),I404&amp;" ","")&amp;IF(AND(7&gt;=(IF(M404=1,2,1)+AD404),7&lt;=C404-IF(S404="",0,1)),J404&amp;" ","")&amp;IF(AND(8&gt;=(IF(M404=1,2,1)+AD404),8&lt;=C404-IF(S404="",0,1)),K404&amp;" ","")))</f>
        <v/>
      </c>
      <c r="R404">
        <f>IF(Q404="","",IFERROR(INDEX(資格マスタ!$B:$B,MATCH(ASC(SUBSTITUTE(SUBSTITUTE(Q404," ",""),"　","")),資格マスタ!$D:$D,0)),Q404))</f>
        <v/>
      </c>
      <c r="S404" s="139">
        <f>IF(C404&lt;2,"",IFERROR(IF(OR(LEFT(INDEX(D404:K404,MIN(8,MAX(1,C404))),2)="令和",LEFT(INDEX(D404:K404,MIN(8,MAX(1,C404))),2)="平成",LEFT(INDEX(D404:K404,MIN(8,MAX(1,C404))),2)="昭和"),DATE(VALUE(MID(INDEX(D404:K404,MIN(8,MAX(1,C404))),3,FIND("年",INDEX(D404:K404,MIN(8,MAX(1,C404))))-3))+IF(LEFT(INDEX(D404:K404,MIN(8,MAX(1,C404))),2)="令和",2018,IF(LEFT(INDEX(D404:K404,MIN(8,MAX(1,C404))),2)="平成",1988,1925)),VALUE(MID(INDEX(D404:K404,MIN(8,MAX(1,C404))),FIND("年",INDEX(D404:K404,MIN(8,MAX(1,C404))))+1,FIND("月",INDEX(D404:K404,MIN(8,MAX(1,C404))))-FIND("年",INDEX(D404:K404,MIN(8,MAX(1,C404))))-1)),IFERROR(VALUE(SUBSTITUTE(MID(INDEX(D404:K404,MIN(8,MAX(1,C404))),FIND("月",INDEX(D404:K404,MIN(8,MAX(1,C404))))+1,10),"日","")),1)),DATE(VALUE(TRIM(MID(SUBSTITUTE(AA404,"/",REPT(" ",50)),1,50))),VALUE(TRIM(MID(SUBSTITUTE(AA404,"/",REPT(" ",50)),51,50))),IFERROR(VALUE(TRIM(MID(SUBSTITUTE(AA404,"/",REPT(" ",50)),101,50))),1))),IFERROR(DATEVALUE(INDEX(D404:K404,MIN(8,MAX(1,C404)))),"")))</f>
        <v/>
      </c>
      <c r="T404">
        <f>IF(B404="","",IF(AB404&lt;&gt;"",AB404,IFERROR(MATCH(SUBSTITUTE(SUBSTITUTE(P404," ",""),"　",""),入力!$AH$5:$AH$44,0),"")))</f>
        <v/>
      </c>
      <c r="U404">
        <f>IF(T404="","",INDEX(入力!$D$5:$D$44,T404))</f>
        <v/>
      </c>
      <c r="V404">
        <f>IF(B404="","",IF(T404="","要確認（名簿と照合できません）",IF(R404="","要確認（資格名がありません）",IF(S404="","要確認（取得日が読めません）",IF((IF(INDEX(入力!$N$5:$N$44,T404)=R404,1,0)+IF(INDEX(入力!$P$5:$P$44,T404)=R404,1,0)+IF(INDEX(入力!$R$5:$R$44,T404)=R404,1,0)+IF(INDEX(入力!$T$5:$T$44,T404)=R404,1,0)+IF(INDEX(入力!$V$5:$V$44,T404)=R404,1,0)+IF(INDEX(入力!$X$5:$X$44,T404)=R404,1,0))+(COUNTIFS($T$6:$T$405,T404,$R$6:$R$405,R404,$X$6:$X$405,"&lt;"&amp;X404))&gt;0,"重複","反映")))))</f>
        <v/>
      </c>
      <c r="W404">
        <f>IF(V404="反映",1,0)</f>
        <v/>
      </c>
      <c r="X404" t="n">
        <v>404</v>
      </c>
      <c r="Y404">
        <f>IF(W404=0,"",COUNTIFS($T$6:$T$405,T404,$W$6:$W$405,1,$S$6:$S$405,"&lt;"&amp;S404)+COUNTIFS($T$6:$T$405,T404,$W$6:$W$405,1,$S$6:$S$405,S404,$X$6:$X$405,"&lt;"&amp;X404)+1)</f>
        <v/>
      </c>
      <c r="Z404">
        <f>IF(Y404="","",T404&amp;"_"&amp;Y404)</f>
        <v/>
      </c>
      <c r="AA404">
        <f>SUBSTITUTE(SUBSTITUTE(SUBSTITUTE(SUBSTITUTE(SUBSTITUTE(INDEX(D404:K404,MIN(8,MAX(1,C404))),"年","/"),"月","/"),"日",""),"-","/"),".","/")</f>
        <v/>
      </c>
      <c r="AB404">
        <f>IFERROR(MATCH(O404,入力!$C$5:$C$44,0),"")</f>
        <v/>
      </c>
      <c r="AC404">
        <f>IF(AB404="","",INDEX(入力!$AH$5:$AH$44,AB404))</f>
        <v/>
      </c>
      <c r="AD404">
        <f>IF(INDEX($D404:$K404,IF(M404=1,2,1))=AC404,1,IF(INDEX($D404:$K404,IF(M404=1,2,1))&amp;INDEX($D404:$K404,IF(M404=1,2,1)+1)=AC404,2,IF(INDEX($D404:$K404,IF(M404=1,2,1))&amp;INDEX($D404:$K404,IF(M404=1,2,1)+1)&amp;INDEX($D404:$K404,IF(M404=1,2,1)+2)=AC404,3,IF(AB404&lt;&gt;"",2,IF(ISNUMBER(MATCH(INDEX($D404:$K404,IF(M404=1,2,1)),入力!$AH$5:$AH$44,0)),1,IF(ISNUMBER(MATCH(INDEX($D404:$K404,IF(M404=1,2,1))&amp;INDEX($D404:$K404,IF(M404=1,2,1)+1),入力!$AH$5:$AH$44,0)),2,IF(ISNUMBER(MATCH(INDEX($D404:$K404,IF(M404=1,2,1))&amp;INDEX($D404:$K404,IF(M404=1,2,1)+1)&amp;INDEX($D404:$K404,IF(M404=1,2,1)+2),入力!$AH$5:$AH$44,0)),3,2)))))))</f>
        <v/>
      </c>
      <c r="AE404">
        <f>IF(V404="","",IF(AND(V404="反映",N(Y404)&gt;20),"要確認（この生徒の取込が20件を超えました）",V404))</f>
        <v/>
      </c>
    </row>
    <row r="405">
      <c r="A405" s="138" t="n"/>
      <c r="B405">
        <f>TRIM(SUBSTITUTE(SUBSTITUTE(SUBSTITUTE(A405,CHAR(9)," "),"　"," "),CHAR(160)," "))</f>
        <v/>
      </c>
      <c r="C405">
        <f>IF(B405="",0,LEN(B405)-LEN(SUBSTITUTE(B405," ",""))+1)</f>
        <v/>
      </c>
      <c r="D405">
        <f>IF(C405&gt;=1,TRIM(MID(SUBSTITUTE(B405," ",REPT(" ",200)),1,200)),"")</f>
        <v/>
      </c>
      <c r="E405">
        <f>IF(C405&gt;=2,TRIM(MID(SUBSTITUTE(B405," ",REPT(" ",200)),201,200)),"")</f>
        <v/>
      </c>
      <c r="F405">
        <f>IF(C405&gt;=3,TRIM(MID(SUBSTITUTE(B405," ",REPT(" ",200)),401,200)),"")</f>
        <v/>
      </c>
      <c r="G405">
        <f>IF(C405&gt;=4,TRIM(MID(SUBSTITUTE(B405," ",REPT(" ",200)),601,200)),"")</f>
        <v/>
      </c>
      <c r="H405">
        <f>IF(C405&gt;=5,TRIM(MID(SUBSTITUTE(B405," ",REPT(" ",200)),801,200)),"")</f>
        <v/>
      </c>
      <c r="I405">
        <f>IF(C405&gt;=6,TRIM(MID(SUBSTITUTE(B405," ",REPT(" ",200)),1001,200)),"")</f>
        <v/>
      </c>
      <c r="J405">
        <f>IF(C405&gt;=7,TRIM(MID(SUBSTITUTE(B405," ",REPT(" ",200)),1201,200)),"")</f>
        <v/>
      </c>
      <c r="K405">
        <f>IF(C405&gt;=8,TRIM(MID(SUBSTITUTE(B405," ",REPT(" ",200)),1401,200)),"")</f>
        <v/>
      </c>
      <c r="L405">
        <f>SUBSTITUTE(SUBSTITUTE(SUBSTITUTE(D405,"年","-"),"組","-"),"番","")</f>
        <v/>
      </c>
      <c r="M405">
        <f>IF(D405="",0,IF(ISNUMBER(VALUE(SUBSTITUTE(L405,"-",""))),1,0))</f>
        <v/>
      </c>
      <c r="N405">
        <f>IF(M405=0,"",IFERROR(VALUE(TRIM(MID(SUBSTITUTE(L405,"-",REPT(" ",100)),101,100))),""))</f>
        <v/>
      </c>
      <c r="O405">
        <f>IF(M405=0,"",IFERROR(VALUE(TRIM(RIGHT(SUBSTITUTE(L405,"-",REPT(" ",100)),100))),""))</f>
        <v/>
      </c>
      <c r="P405">
        <f>IF(B405="","",TRIM(INDEX($D405:$K405,IF(M405=1,2,1))&amp;IF(AD405&gt;=2," "&amp;INDEX($D405:$K405,IF(M405=1,2,1)+1),"")&amp;IF(AD405&gt;=3," "&amp;INDEX($D405:$K405,IF(M405=1,2,1)+2),"")))</f>
        <v/>
      </c>
      <c r="Q405">
        <f>IF(C405&lt;2,"",TRIM(IF(AND(2&gt;=(IF(M405=1,2,1)+AD405),2&lt;=C405-IF(S405="",0,1)),E405&amp;" ","")&amp;IF(AND(3&gt;=(IF(M405=1,2,1)+AD405),3&lt;=C405-IF(S405="",0,1)),F405&amp;" ","")&amp;IF(AND(4&gt;=(IF(M405=1,2,1)+AD405),4&lt;=C405-IF(S405="",0,1)),G405&amp;" ","")&amp;IF(AND(5&gt;=(IF(M405=1,2,1)+AD405),5&lt;=C405-IF(S405="",0,1)),H405&amp;" ","")&amp;IF(AND(6&gt;=(IF(M405=1,2,1)+AD405),6&lt;=C405-IF(S405="",0,1)),I405&amp;" ","")&amp;IF(AND(7&gt;=(IF(M405=1,2,1)+AD405),7&lt;=C405-IF(S405="",0,1)),J405&amp;" ","")&amp;IF(AND(8&gt;=(IF(M405=1,2,1)+AD405),8&lt;=C405-IF(S405="",0,1)),K405&amp;" ","")))</f>
        <v/>
      </c>
      <c r="R405">
        <f>IF(Q405="","",IFERROR(INDEX(資格マスタ!$B:$B,MATCH(ASC(SUBSTITUTE(SUBSTITUTE(Q405," ",""),"　","")),資格マスタ!$D:$D,0)),Q405))</f>
        <v/>
      </c>
      <c r="S405" s="139">
        <f>IF(C405&lt;2,"",IFERROR(IF(OR(LEFT(INDEX(D405:K405,MIN(8,MAX(1,C405))),2)="令和",LEFT(INDEX(D405:K405,MIN(8,MAX(1,C405))),2)="平成",LEFT(INDEX(D405:K405,MIN(8,MAX(1,C405))),2)="昭和"),DATE(VALUE(MID(INDEX(D405:K405,MIN(8,MAX(1,C405))),3,FIND("年",INDEX(D405:K405,MIN(8,MAX(1,C405))))-3))+IF(LEFT(INDEX(D405:K405,MIN(8,MAX(1,C405))),2)="令和",2018,IF(LEFT(INDEX(D405:K405,MIN(8,MAX(1,C405))),2)="平成",1988,1925)),VALUE(MID(INDEX(D405:K405,MIN(8,MAX(1,C405))),FIND("年",INDEX(D405:K405,MIN(8,MAX(1,C405))))+1,FIND("月",INDEX(D405:K405,MIN(8,MAX(1,C405))))-FIND("年",INDEX(D405:K405,MIN(8,MAX(1,C405))))-1)),IFERROR(VALUE(SUBSTITUTE(MID(INDEX(D405:K405,MIN(8,MAX(1,C405))),FIND("月",INDEX(D405:K405,MIN(8,MAX(1,C405))))+1,10),"日","")),1)),DATE(VALUE(TRIM(MID(SUBSTITUTE(AA405,"/",REPT(" ",50)),1,50))),VALUE(TRIM(MID(SUBSTITUTE(AA405,"/",REPT(" ",50)),51,50))),IFERROR(VALUE(TRIM(MID(SUBSTITUTE(AA405,"/",REPT(" ",50)),101,50))),1))),IFERROR(DATEVALUE(INDEX(D405:K405,MIN(8,MAX(1,C405)))),"")))</f>
        <v/>
      </c>
      <c r="T405">
        <f>IF(B405="","",IF(AB405&lt;&gt;"",AB405,IFERROR(MATCH(SUBSTITUTE(SUBSTITUTE(P405," ",""),"　",""),入力!$AH$5:$AH$44,0),"")))</f>
        <v/>
      </c>
      <c r="U405">
        <f>IF(T405="","",INDEX(入力!$D$5:$D$44,T405))</f>
        <v/>
      </c>
      <c r="V405">
        <f>IF(B405="","",IF(T405="","要確認（名簿と照合できません）",IF(R405="","要確認（資格名がありません）",IF(S405="","要確認（取得日が読めません）",IF((IF(INDEX(入力!$N$5:$N$44,T405)=R405,1,0)+IF(INDEX(入力!$P$5:$P$44,T405)=R405,1,0)+IF(INDEX(入力!$R$5:$R$44,T405)=R405,1,0)+IF(INDEX(入力!$T$5:$T$44,T405)=R405,1,0)+IF(INDEX(入力!$V$5:$V$44,T405)=R405,1,0)+IF(INDEX(入力!$X$5:$X$44,T405)=R405,1,0))+(COUNTIFS($T$6:$T$405,T405,$R$6:$R$405,R405,$X$6:$X$405,"&lt;"&amp;X405))&gt;0,"重複","反映")))))</f>
        <v/>
      </c>
      <c r="W405">
        <f>IF(V405="反映",1,0)</f>
        <v/>
      </c>
      <c r="X405" t="n">
        <v>405</v>
      </c>
      <c r="Y405">
        <f>IF(W405=0,"",COUNTIFS($T$6:$T$405,T405,$W$6:$W$405,1,$S$6:$S$405,"&lt;"&amp;S405)+COUNTIFS($T$6:$T$405,T405,$W$6:$W$405,1,$S$6:$S$405,S405,$X$6:$X$405,"&lt;"&amp;X405)+1)</f>
        <v/>
      </c>
      <c r="Z405">
        <f>IF(Y405="","",T405&amp;"_"&amp;Y405)</f>
        <v/>
      </c>
      <c r="AA405">
        <f>SUBSTITUTE(SUBSTITUTE(SUBSTITUTE(SUBSTITUTE(SUBSTITUTE(INDEX(D405:K405,MIN(8,MAX(1,C405))),"年","/"),"月","/"),"日",""),"-","/"),".","/")</f>
        <v/>
      </c>
      <c r="AB405">
        <f>IFERROR(MATCH(O405,入力!$C$5:$C$44,0),"")</f>
        <v/>
      </c>
      <c r="AC405">
        <f>IF(AB405="","",INDEX(入力!$AH$5:$AH$44,AB405))</f>
        <v/>
      </c>
      <c r="AD405">
        <f>IF(INDEX($D405:$K405,IF(M405=1,2,1))=AC405,1,IF(INDEX($D405:$K405,IF(M405=1,2,1))&amp;INDEX($D405:$K405,IF(M405=1,2,1)+1)=AC405,2,IF(INDEX($D405:$K405,IF(M405=1,2,1))&amp;INDEX($D405:$K405,IF(M405=1,2,1)+1)&amp;INDEX($D405:$K405,IF(M405=1,2,1)+2)=AC405,3,IF(AB405&lt;&gt;"",2,IF(ISNUMBER(MATCH(INDEX($D405:$K405,IF(M405=1,2,1)),入力!$AH$5:$AH$44,0)),1,IF(ISNUMBER(MATCH(INDEX($D405:$K405,IF(M405=1,2,1))&amp;INDEX($D405:$K405,IF(M405=1,2,1)+1),入力!$AH$5:$AH$44,0)),2,IF(ISNUMBER(MATCH(INDEX($D405:$K405,IF(M405=1,2,1))&amp;INDEX($D405:$K405,IF(M405=1,2,1)+1)&amp;INDEX($D405:$K405,IF(M405=1,2,1)+2),入力!$AH$5:$AH$44,0)),3,2)))))))</f>
        <v/>
      </c>
      <c r="AE405">
        <f>IF(V405="","",IF(AND(V405="反映",N(Y405)&gt;20),"要確認（この生徒の取込が20件を超えました）",V405))</f>
        <v/>
      </c>
    </row>
  </sheetData>
  <conditionalFormatting sqref="AE6:AE405">
    <cfRule type="expression" priority="1" dxfId="1" stopIfTrue="1">
      <formula>$AE6="反映"</formula>
    </cfRule>
    <cfRule type="expression" priority="2" dxfId="2" stopIfTrue="1">
      <formula>$AE6="重複"</formula>
    </cfRule>
    <cfRule type="expression" priority="3" dxfId="3" stopIfTrue="1">
      <formula>LEFT($AE6,3)="要確認"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5"/>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志望の動機・希望の職種・アピールポイント</t>
        </is>
      </c>
      <c r="B13" s="146" t="inlineStr">
        <is>
          <t>○</t>
        </is>
      </c>
      <c r="C13" t="inlineStr">
        <is>
          <t>motivation</t>
        </is>
      </c>
    </row>
    <row r="14">
      <c r="A14" t="inlineStr">
        <is>
          <t>職歴</t>
        </is>
      </c>
      <c r="B14" s="146" t="inlineStr">
        <is>
          <t>○</t>
        </is>
      </c>
      <c r="C14" t="inlineStr">
        <is>
          <t>jobs</t>
        </is>
      </c>
    </row>
    <row r="15">
      <c r="A15" t="inlineStr">
        <is>
          <t>備考</t>
        </is>
      </c>
      <c r="B15" s="146" t="inlineStr">
        <is>
          <t>○</t>
        </is>
      </c>
      <c r="C15" t="inlineStr">
        <is>
          <t>remarks</t>
        </is>
      </c>
    </row>
  </sheetData>
  <dataValidations count="1">
    <dataValidation sqref="B4 B5 B6 B7 B8 B9 B10 B11 B12 B13 B14 B15"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fitToPage="0"/>
  </sheetPr>
  <dimension ref="A1:EC3640"/>
  <sheetViews>
    <sheetView showGridLines="0" workbookViewId="0">
      <selection activeCell="A1" sqref="A1"/>
    </sheetView>
  </sheetViews>
  <sheetFormatPr baseColWidth="8" defaultColWidth="1.140625" defaultRowHeight="6.75" customHeight="1"/>
  <cols>
    <col width="1.140625" customWidth="1" style="1" min="1" max="23"/>
    <col width="1.42578125" customWidth="1" style="1" min="24" max="24"/>
    <col width="1.140625" customWidth="1" style="1" min="25" max="46"/>
    <col width="0.5703125" customWidth="1" style="1" min="47" max="48"/>
    <col width="1.140625" customWidth="1" style="1" min="49" max="66"/>
    <col width="0.5703125" customWidth="1" style="1" min="67" max="67"/>
    <col width="1.140625" customWidth="1" style="1" min="68" max="93"/>
    <col width="1.140625" customWidth="1" style="1" min="94" max="94"/>
    <col width="0.42578125" customWidth="1" style="1" min="95" max="95"/>
    <col width="1.140625" customWidth="1" style="1" min="96" max="99"/>
    <col width="0.7109375" customWidth="1" style="1" min="100" max="100"/>
    <col width="1.140625" customWidth="1" style="1" min="101" max="123"/>
    <col width="1.140625" customWidth="1" style="1" min="124" max="124"/>
    <col width="0.7109375" customWidth="1" style="1" min="125" max="125"/>
    <col width="1.140625" customWidth="1" style="1" min="126" max="16384"/>
  </cols>
  <sheetData>
    <row r="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47"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64" t="inlineStr">
        <is>
          <t>令和</t>
        </is>
      </c>
      <c r="AD8" s="154">
        <f>IF(入力!$D$5="","",IF(N(設定!$B$3)=0,"",YEAR(設定!$B$3)-2018))&amp;""</f>
        <v/>
      </c>
      <c r="AG8" s="64" t="inlineStr">
        <is>
          <t>年</t>
        </is>
      </c>
      <c r="AI8" s="154">
        <f>IF(入力!$D$5="","",IF(N(設定!$B$3)=0,"",MONTH(設定!$B$3)))&amp;""</f>
        <v/>
      </c>
      <c r="AL8" s="64" t="inlineStr">
        <is>
          <t>月</t>
        </is>
      </c>
      <c r="AN8" s="154">
        <f>IF(入力!$D$5="","",IF(N(設定!$B$3)=0,"",DAY(設定!$B$3)))&amp;""</f>
        <v/>
      </c>
      <c r="AP8" s="64"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5" t="n"/>
      <c r="BX8" s="156" t="n"/>
      <c r="BY8" s="156" t="n"/>
      <c r="BZ8" s="156" t="n"/>
      <c r="CA8" s="156" t="n"/>
      <c r="CB8" s="156" t="n"/>
      <c r="CC8" s="156" t="n"/>
      <c r="CD8" s="156" t="n"/>
      <c r="CE8" s="156" t="n"/>
      <c r="CF8" s="156" t="n"/>
      <c r="CG8" s="157" t="n"/>
      <c r="CH8" s="155" t="n"/>
      <c r="CI8" s="156" t="n"/>
      <c r="CJ8" s="156" t="n"/>
      <c r="CK8" s="156" t="n"/>
      <c r="CL8" s="156" t="n"/>
      <c r="CM8" s="156" t="n"/>
      <c r="CN8" s="156" t="n"/>
      <c r="CO8" s="156" t="n"/>
      <c r="CP8" s="156" t="n"/>
      <c r="CQ8" s="156" t="n"/>
      <c r="CR8" s="156" t="n"/>
      <c r="CS8" s="156" t="n"/>
      <c r="CT8" s="156" t="n"/>
      <c r="CU8" s="156" t="n"/>
      <c r="CV8" s="156" t="n"/>
      <c r="CW8" s="156" t="n"/>
      <c r="CX8" s="156" t="n"/>
      <c r="CY8" s="156" t="n"/>
      <c r="CZ8" s="156" t="n"/>
      <c r="DA8" s="156" t="n"/>
      <c r="DB8" s="156" t="n"/>
      <c r="DC8" s="156" t="n"/>
      <c r="DD8" s="156" t="n"/>
      <c r="DE8" s="156" t="n"/>
      <c r="DF8" s="156" t="n"/>
      <c r="DG8" s="156" t="n"/>
      <c r="DH8" s="156" t="n"/>
      <c r="DI8" s="156" t="n"/>
      <c r="DJ8" s="156" t="n"/>
      <c r="DK8" s="156" t="n"/>
      <c r="DL8" s="156" t="n"/>
      <c r="DM8" s="156" t="n"/>
      <c r="DN8" s="156" t="n"/>
      <c r="DO8" s="156" t="n"/>
      <c r="DP8" s="156" t="n"/>
      <c r="DQ8" s="156" t="n"/>
      <c r="DR8" s="156" t="n"/>
      <c r="DS8" s="156" t="n"/>
      <c r="DT8" s="156" t="n"/>
      <c r="DU8" s="157"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68" t="inlineStr">
        <is>
          <t>写真をはる位置</t>
        </is>
      </c>
      <c r="BI9" s="8" t="n"/>
      <c r="BJ9" s="7" t="n"/>
      <c r="BK9" s="2" t="n"/>
      <c r="BL9" s="2" t="n"/>
      <c r="BM9" s="2" t="n"/>
      <c r="BN9" s="2" t="n"/>
      <c r="BO9" s="2" t="n"/>
      <c r="BP9" s="152" t="n"/>
      <c r="BV9" s="153" t="n"/>
      <c r="BW9" s="158">
        <f>計算!$CB$3</f>
        <v/>
      </c>
      <c r="CG9" s="153" t="n"/>
      <c r="CH9" s="159">
        <f>計算!$CC$3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6" t="n"/>
      <c r="AA10" s="156" t="n"/>
      <c r="AB10" s="156" t="n"/>
      <c r="AC10" s="156" t="n"/>
      <c r="AD10" s="156" t="n"/>
      <c r="AE10" s="156" t="n"/>
      <c r="AF10" s="156" t="n"/>
      <c r="AG10" s="156" t="n"/>
      <c r="AH10" s="156" t="n"/>
      <c r="AI10" s="156" t="n"/>
      <c r="AJ10" s="156" t="n"/>
      <c r="AK10" s="156" t="n"/>
      <c r="AL10" s="156" t="n"/>
      <c r="AM10" s="156" t="n"/>
      <c r="AN10" s="156" t="n"/>
      <c r="AO10" s="156" t="n"/>
      <c r="AP10" s="156" t="n"/>
      <c r="AQ10" s="156" t="n"/>
      <c r="AR10" s="156" t="n"/>
      <c r="AS10" s="156" t="n"/>
      <c r="AT10" s="156"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0">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5" t="n"/>
      <c r="F14" s="156" t="n"/>
      <c r="G14" s="156" t="n"/>
      <c r="H14" s="156" t="n"/>
      <c r="I14" s="156" t="n"/>
      <c r="J14" s="156" t="n"/>
      <c r="K14" s="157" t="n"/>
      <c r="L14" s="156" t="n"/>
      <c r="M14" s="156" t="n"/>
      <c r="N14" s="156" t="n"/>
      <c r="O14" s="156" t="n"/>
      <c r="P14" s="156" t="n"/>
      <c r="Q14" s="156" t="n"/>
      <c r="R14" s="156" t="n"/>
      <c r="S14" s="156" t="n"/>
      <c r="T14" s="156" t="n"/>
      <c r="U14" s="156" t="n"/>
      <c r="V14" s="156" t="n"/>
      <c r="W14" s="156" t="n"/>
      <c r="X14" s="156" t="n"/>
      <c r="Y14" s="156" t="n"/>
      <c r="Z14" s="156" t="n"/>
      <c r="AA14" s="156" t="n"/>
      <c r="AB14" s="156" t="n"/>
      <c r="AC14" s="156" t="n"/>
      <c r="AD14" s="156" t="n"/>
      <c r="AE14" s="156" t="n"/>
      <c r="AF14" s="156" t="n"/>
      <c r="AG14" s="156" t="n"/>
      <c r="AH14" s="156" t="n"/>
      <c r="AI14" s="156" t="n"/>
      <c r="AJ14" s="156" t="n"/>
      <c r="AK14" s="156" t="n"/>
      <c r="AL14" s="156" t="n"/>
      <c r="AM14" s="156" t="n"/>
      <c r="AN14" s="156" t="n"/>
      <c r="AO14" s="156" t="n"/>
      <c r="AP14" s="156" t="n"/>
      <c r="AQ14" s="156" t="n"/>
      <c r="AR14" s="156" t="n"/>
      <c r="AS14" s="156" t="n"/>
      <c r="AT14" s="157"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1" t="inlineStr">
        <is>
          <t>名　前</t>
        </is>
      </c>
      <c r="F15" s="149" t="n"/>
      <c r="G15" s="149" t="n"/>
      <c r="H15" s="149" t="n"/>
      <c r="I15" s="149" t="n"/>
      <c r="J15" s="149" t="n"/>
      <c r="K15" s="150" t="n"/>
      <c r="L15" s="162">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61"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5" t="n"/>
      <c r="F20" s="156" t="n"/>
      <c r="G20" s="156" t="n"/>
      <c r="H20" s="156" t="n"/>
      <c r="I20" s="156" t="n"/>
      <c r="J20" s="156" t="n"/>
      <c r="K20" s="157" t="n"/>
      <c r="L20" s="155" t="n"/>
      <c r="M20" s="156" t="n"/>
      <c r="N20" s="156" t="n"/>
      <c r="O20" s="156" t="n"/>
      <c r="P20" s="156" t="n"/>
      <c r="Q20" s="156" t="n"/>
      <c r="R20" s="156" t="n"/>
      <c r="S20" s="156" t="n"/>
      <c r="T20" s="156" t="n"/>
      <c r="U20" s="156" t="n"/>
      <c r="V20" s="156" t="n"/>
      <c r="W20" s="156" t="n"/>
      <c r="X20" s="156" t="n"/>
      <c r="Y20" s="156" t="n"/>
      <c r="Z20" s="156" t="n"/>
      <c r="AA20" s="156" t="n"/>
      <c r="AB20" s="156" t="n"/>
      <c r="AC20" s="156" t="n"/>
      <c r="AD20" s="156" t="n"/>
      <c r="AE20" s="156" t="n"/>
      <c r="AF20" s="156" t="n"/>
      <c r="AG20" s="156" t="n"/>
      <c r="AH20" s="156" t="n"/>
      <c r="AI20" s="156" t="n"/>
      <c r="AJ20" s="156" t="n"/>
      <c r="AK20" s="156" t="n"/>
      <c r="AL20" s="156" t="n"/>
      <c r="AM20" s="156" t="n"/>
      <c r="AN20" s="156" t="n"/>
      <c r="AO20" s="156" t="n"/>
      <c r="AP20" s="156" t="n"/>
      <c r="AQ20" s="156" t="n"/>
      <c r="AR20" s="156" t="n"/>
      <c r="AS20" s="156" t="n"/>
      <c r="AT20" s="157"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1" t="inlineStr">
        <is>
          <t>生年月日</t>
        </is>
      </c>
      <c r="F21" s="149" t="n"/>
      <c r="G21" s="149" t="n"/>
      <c r="H21" s="149" t="n"/>
      <c r="I21" s="149" t="n"/>
      <c r="J21" s="149" t="n"/>
      <c r="K21" s="150" t="n"/>
      <c r="L21" s="163" t="inlineStr">
        <is>
          <t>昭和 ・ 平成</t>
        </is>
      </c>
      <c r="M21" s="149" t="n"/>
      <c r="N21" s="149" t="n"/>
      <c r="O21" s="149" t="n"/>
      <c r="P21" s="149" t="n"/>
      <c r="Q21" s="149" t="n"/>
      <c r="R21" s="149" t="n"/>
      <c r="S21" s="149" t="n"/>
      <c r="T21" s="149" t="n"/>
      <c r="U21" s="149" t="n"/>
      <c r="V21" s="164">
        <f>計算!$D$3</f>
        <v/>
      </c>
      <c r="W21" s="149" t="n"/>
      <c r="X21" s="165" t="inlineStr">
        <is>
          <t>年</t>
        </is>
      </c>
      <c r="Y21" s="149" t="n"/>
      <c r="Z21" s="166">
        <f>計算!$E$3</f>
        <v/>
      </c>
      <c r="AA21" s="149" t="n"/>
      <c r="AB21" s="149" t="n"/>
      <c r="AC21" s="165" t="inlineStr">
        <is>
          <t>月</t>
        </is>
      </c>
      <c r="AD21" s="149" t="n"/>
      <c r="AE21" s="166">
        <f>計算!$F$3</f>
        <v/>
      </c>
      <c r="AF21" s="149" t="n"/>
      <c r="AG21" s="149" t="n"/>
      <c r="AH21" s="165" t="inlineStr">
        <is>
          <t>日　生 （満</t>
        </is>
      </c>
      <c r="AI21" s="149" t="n"/>
      <c r="AJ21" s="149" t="n"/>
      <c r="AK21" s="149" t="n"/>
      <c r="AL21" s="149" t="n"/>
      <c r="AM21" s="149" t="n"/>
      <c r="AN21" s="149" t="n"/>
      <c r="AO21" s="149" t="n"/>
      <c r="AP21" s="167">
        <f>計算!$G$3</f>
        <v/>
      </c>
      <c r="AQ21" s="149" t="n"/>
      <c r="AR21" s="168"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5" t="n"/>
      <c r="F24" s="156" t="n"/>
      <c r="G24" s="156" t="n"/>
      <c r="H24" s="156" t="n"/>
      <c r="I24" s="156" t="n"/>
      <c r="J24" s="156" t="n"/>
      <c r="K24" s="157" t="n"/>
      <c r="L24" s="155" t="n"/>
      <c r="M24" s="156" t="n"/>
      <c r="N24" s="156" t="n"/>
      <c r="O24" s="156" t="n"/>
      <c r="P24" s="156" t="n"/>
      <c r="Q24" s="156" t="n"/>
      <c r="R24" s="156" t="n"/>
      <c r="S24" s="156" t="n"/>
      <c r="T24" s="156" t="n"/>
      <c r="U24" s="156" t="n"/>
      <c r="X24" s="156" t="n"/>
      <c r="Y24" s="156" t="n"/>
      <c r="AC24" s="156" t="n"/>
      <c r="AD24" s="156" t="n"/>
      <c r="AH24" s="156" t="n"/>
      <c r="AI24" s="156" t="n"/>
      <c r="AJ24" s="156" t="n"/>
      <c r="AK24" s="156" t="n"/>
      <c r="AL24" s="156" t="n"/>
      <c r="AM24" s="156" t="n"/>
      <c r="AN24" s="156" t="n"/>
      <c r="AO24" s="156" t="n"/>
      <c r="AP24" s="156" t="n"/>
      <c r="AQ24" s="156" t="n"/>
      <c r="AR24" s="156" t="n"/>
      <c r="AS24" s="156" t="n"/>
      <c r="AT24" s="157"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69" t="inlineStr">
        <is>
          <t>ふ り が な</t>
        </is>
      </c>
      <c r="F25" s="149" t="n"/>
      <c r="G25" s="149" t="n"/>
      <c r="H25" s="149" t="n"/>
      <c r="I25" s="149" t="n"/>
      <c r="J25" s="149" t="n"/>
      <c r="K25" s="150" t="n"/>
      <c r="L25" s="170">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1" t="n"/>
      <c r="F27" s="172" t="n"/>
      <c r="G27" s="172" t="n"/>
      <c r="H27" s="172" t="n"/>
      <c r="I27" s="172" t="n"/>
      <c r="J27" s="172" t="n"/>
      <c r="K27" s="173" t="n"/>
      <c r="L27" s="172" t="n"/>
      <c r="M27" s="172" t="n"/>
      <c r="N27" s="172" t="n"/>
      <c r="O27" s="172" t="n"/>
      <c r="P27" s="172" t="n"/>
      <c r="Q27" s="172" t="n"/>
      <c r="R27" s="172" t="n"/>
      <c r="S27" s="172" t="n"/>
      <c r="T27" s="172" t="n"/>
      <c r="U27" s="172" t="n"/>
      <c r="V27" s="172" t="n"/>
      <c r="W27" s="172" t="n"/>
      <c r="X27" s="172" t="n"/>
      <c r="Y27" s="172" t="n"/>
      <c r="Z27" s="172" t="n"/>
      <c r="AA27" s="172" t="n"/>
      <c r="AB27" s="172" t="n"/>
      <c r="AC27" s="172" t="n"/>
      <c r="AD27" s="172" t="n"/>
      <c r="AE27" s="172" t="n"/>
      <c r="AF27" s="172" t="n"/>
      <c r="AG27" s="172" t="n"/>
      <c r="AH27" s="172" t="n"/>
      <c r="AI27" s="172" t="n"/>
      <c r="AJ27" s="172" t="n"/>
      <c r="AK27" s="172" t="n"/>
      <c r="AL27" s="172" t="n"/>
      <c r="AM27" s="172" t="n"/>
      <c r="AN27" s="172" t="n"/>
      <c r="AO27" s="172" t="n"/>
      <c r="AP27" s="172" t="n"/>
      <c r="AQ27" s="172" t="n"/>
      <c r="AR27" s="172" t="n"/>
      <c r="AS27" s="172" t="n"/>
      <c r="AT27" s="172" t="n"/>
      <c r="AU27" s="172" t="n"/>
      <c r="AV27" s="172" t="n"/>
      <c r="AW27" s="172" t="n"/>
      <c r="AX27" s="172" t="n"/>
      <c r="AY27" s="172" t="n"/>
      <c r="AZ27" s="172" t="n"/>
      <c r="BA27" s="172" t="n"/>
      <c r="BB27" s="172" t="n"/>
      <c r="BC27" s="172" t="n"/>
      <c r="BD27" s="172" t="n"/>
      <c r="BE27" s="172" t="n"/>
      <c r="BF27" s="172" t="n"/>
      <c r="BG27" s="172" t="n"/>
      <c r="BH27" s="172" t="n"/>
      <c r="BI27" s="173"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4" t="inlineStr">
        <is>
          <t>現住所</t>
        </is>
      </c>
      <c r="F28" s="175" t="n"/>
      <c r="G28" s="175" t="n"/>
      <c r="H28" s="175" t="n"/>
      <c r="I28" s="175" t="n"/>
      <c r="J28" s="175" t="n"/>
      <c r="K28" s="176" t="n"/>
      <c r="L28" s="83" t="inlineStr">
        <is>
          <t>〒</t>
        </is>
      </c>
      <c r="M28" s="175" t="n"/>
      <c r="N28" s="175" t="n"/>
      <c r="O28" s="175" t="n"/>
      <c r="P28" s="177">
        <f>計算!$H$3</f>
        <v/>
      </c>
      <c r="Q28" s="175" t="n"/>
      <c r="R28" s="175" t="n"/>
      <c r="S28" s="175" t="n"/>
      <c r="T28" s="175" t="n"/>
      <c r="U28" s="175" t="n"/>
      <c r="V28" s="175" t="n"/>
      <c r="W28" s="175" t="n"/>
      <c r="X28" s="175" t="n"/>
      <c r="Y28" s="175" t="n"/>
      <c r="Z28" s="175" t="n"/>
      <c r="AA28" s="175" t="n"/>
      <c r="AB28" s="175" t="n"/>
      <c r="AC28" s="175" t="n"/>
      <c r="AD28" s="175" t="n"/>
      <c r="AE28" s="175" t="n"/>
      <c r="AF28" s="175" t="n"/>
      <c r="AG28" s="175" t="n"/>
      <c r="AH28" s="175" t="n"/>
      <c r="AI28" s="175" t="n"/>
      <c r="AJ28" s="175"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5" t="n"/>
      <c r="BQ29" s="156" t="n"/>
      <c r="BR29" s="156" t="n"/>
      <c r="BS29" s="156" t="n"/>
      <c r="BT29" s="156" t="n"/>
      <c r="BU29" s="156" t="n"/>
      <c r="BV29" s="157" t="n"/>
      <c r="BW29" s="155" t="n"/>
      <c r="BX29" s="156" t="n"/>
      <c r="BY29" s="156" t="n"/>
      <c r="BZ29" s="156" t="n"/>
      <c r="CA29" s="156" t="n"/>
      <c r="CB29" s="156" t="n"/>
      <c r="CC29" s="156" t="n"/>
      <c r="CD29" s="156" t="n"/>
      <c r="CE29" s="156" t="n"/>
      <c r="CF29" s="156" t="n"/>
      <c r="CG29" s="157"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8" t="inlineStr">
        <is>
          <t>校内外の諸活動</t>
        </is>
      </c>
      <c r="BQ30" s="149" t="n"/>
      <c r="BR30" s="149" t="n"/>
      <c r="BS30" s="149" t="n"/>
      <c r="BT30" s="149" t="n"/>
      <c r="BU30" s="149" t="n"/>
      <c r="BV30" s="150" t="n"/>
      <c r="BW30" s="179">
        <f>計算!$BO$3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0">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5" t="n"/>
      <c r="F33" s="156" t="n"/>
      <c r="G33" s="156" t="n"/>
      <c r="H33" s="156" t="n"/>
      <c r="I33" s="156" t="n"/>
      <c r="J33" s="156" t="n"/>
      <c r="K33" s="157" t="n"/>
      <c r="L33" s="155" t="n"/>
      <c r="M33" s="156" t="n"/>
      <c r="N33" s="156" t="n"/>
      <c r="O33" s="156" t="n"/>
      <c r="P33" s="156" t="n"/>
      <c r="Q33" s="156" t="n"/>
      <c r="R33" s="156" t="n"/>
      <c r="S33" s="156" t="n"/>
      <c r="T33" s="156" t="n"/>
      <c r="U33" s="156" t="n"/>
      <c r="V33" s="156" t="n"/>
      <c r="W33" s="156" t="n"/>
      <c r="X33" s="156" t="n"/>
      <c r="Y33" s="156" t="n"/>
      <c r="Z33" s="156" t="n"/>
      <c r="AA33" s="156" t="n"/>
      <c r="AB33" s="156" t="n"/>
      <c r="AC33" s="156" t="n"/>
      <c r="AD33" s="156" t="n"/>
      <c r="AE33" s="156" t="n"/>
      <c r="AF33" s="156" t="n"/>
      <c r="AG33" s="156" t="n"/>
      <c r="AH33" s="156" t="n"/>
      <c r="AI33" s="156" t="n"/>
      <c r="AJ33" s="156" t="n"/>
      <c r="AK33" s="156" t="n"/>
      <c r="AL33" s="156" t="n"/>
      <c r="AM33" s="156" t="n"/>
      <c r="AN33" s="156" t="n"/>
      <c r="AO33" s="156" t="n"/>
      <c r="AP33" s="156" t="n"/>
      <c r="AQ33" s="156" t="n"/>
      <c r="AR33" s="156" t="n"/>
      <c r="AS33" s="156" t="n"/>
      <c r="AT33" s="156" t="n"/>
      <c r="AU33" s="156" t="n"/>
      <c r="AV33" s="156" t="n"/>
      <c r="AW33" s="156" t="n"/>
      <c r="AX33" s="156" t="n"/>
      <c r="AY33" s="156" t="n"/>
      <c r="AZ33" s="156" t="n"/>
      <c r="BA33" s="156" t="n"/>
      <c r="BB33" s="156" t="n"/>
      <c r="BC33" s="156" t="n"/>
      <c r="BD33" s="156" t="n"/>
      <c r="BE33" s="156" t="n"/>
      <c r="BF33" s="156" t="n"/>
      <c r="BG33" s="156" t="n"/>
      <c r="BH33" s="156" t="n"/>
      <c r="BI33" s="157"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69" t="inlineStr">
        <is>
          <t>ふ り が な</t>
        </is>
      </c>
      <c r="F34" s="149" t="n"/>
      <c r="G34" s="149" t="n"/>
      <c r="H34" s="149" t="n"/>
      <c r="I34" s="149" t="n"/>
      <c r="J34" s="149" t="n"/>
      <c r="K34" s="150" t="n"/>
      <c r="L34" s="170">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1" t="n"/>
      <c r="F36" s="172" t="n"/>
      <c r="G36" s="172" t="n"/>
      <c r="H36" s="172" t="n"/>
      <c r="I36" s="172" t="n"/>
      <c r="J36" s="172" t="n"/>
      <c r="K36" s="173" t="n"/>
      <c r="L36" s="172" t="n"/>
      <c r="M36" s="172" t="n"/>
      <c r="N36" s="172" t="n"/>
      <c r="O36" s="172" t="n"/>
      <c r="P36" s="172" t="n"/>
      <c r="Q36" s="172" t="n"/>
      <c r="R36" s="172" t="n"/>
      <c r="S36" s="172" t="n"/>
      <c r="T36" s="172" t="n"/>
      <c r="U36" s="172" t="n"/>
      <c r="V36" s="172" t="n"/>
      <c r="W36" s="172" t="n"/>
      <c r="X36" s="172" t="n"/>
      <c r="Y36" s="172" t="n"/>
      <c r="Z36" s="172" t="n"/>
      <c r="AA36" s="172" t="n"/>
      <c r="AB36" s="172" t="n"/>
      <c r="AC36" s="172" t="n"/>
      <c r="AD36" s="172" t="n"/>
      <c r="AE36" s="172" t="n"/>
      <c r="AF36" s="172" t="n"/>
      <c r="AG36" s="172" t="n"/>
      <c r="AH36" s="172" t="n"/>
      <c r="AI36" s="172" t="n"/>
      <c r="AJ36" s="172" t="n"/>
      <c r="AK36" s="172" t="n"/>
      <c r="AL36" s="172" t="n"/>
      <c r="AM36" s="172" t="n"/>
      <c r="AN36" s="172" t="n"/>
      <c r="AO36" s="172" t="n"/>
      <c r="AP36" s="172" t="n"/>
      <c r="AQ36" s="172" t="n"/>
      <c r="AR36" s="172" t="n"/>
      <c r="AS36" s="172" t="n"/>
      <c r="AT36" s="172" t="n"/>
      <c r="AU36" s="172" t="n"/>
      <c r="AV36" s="172" t="n"/>
      <c r="AW36" s="172" t="n"/>
      <c r="AX36" s="172" t="n"/>
      <c r="AY36" s="172" t="n"/>
      <c r="AZ36" s="172" t="n"/>
      <c r="BA36" s="172" t="n"/>
      <c r="BB36" s="172" t="n"/>
      <c r="BC36" s="172" t="n"/>
      <c r="BD36" s="172" t="n"/>
      <c r="BE36" s="172" t="n"/>
      <c r="BF36" s="172" t="n"/>
      <c r="BG36" s="172" t="n"/>
      <c r="BH36" s="172" t="n"/>
      <c r="BI36" s="173"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4" t="inlineStr">
        <is>
          <t>連絡先</t>
        </is>
      </c>
      <c r="F37" s="175" t="n"/>
      <c r="G37" s="175" t="n"/>
      <c r="H37" s="175" t="n"/>
      <c r="I37" s="175" t="n"/>
      <c r="J37" s="175" t="n"/>
      <c r="K37" s="176" t="n"/>
      <c r="L37" s="83" t="inlineStr">
        <is>
          <t>〒</t>
        </is>
      </c>
      <c r="M37" s="175" t="n"/>
      <c r="N37" s="175" t="n"/>
      <c r="O37" s="175" t="n"/>
      <c r="P37" s="181">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2">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5" t="n"/>
      <c r="F41" s="156" t="n"/>
      <c r="G41" s="156" t="n"/>
      <c r="H41" s="156" t="n"/>
      <c r="I41" s="156" t="n"/>
      <c r="J41" s="156" t="n"/>
      <c r="K41" s="157" t="n"/>
      <c r="L41" s="156" t="n"/>
      <c r="M41" s="156" t="n"/>
      <c r="N41" s="156" t="n"/>
      <c r="O41" s="156" t="n"/>
      <c r="P41" s="156" t="n"/>
      <c r="Q41" s="156" t="n"/>
      <c r="R41" s="156" t="n"/>
      <c r="S41" s="156" t="n"/>
      <c r="T41" s="156" t="n"/>
      <c r="U41" s="156" t="n"/>
      <c r="V41" s="156" t="n"/>
      <c r="W41" s="156" t="n"/>
      <c r="X41" s="156" t="n"/>
      <c r="Y41" s="156" t="n"/>
      <c r="Z41" s="156" t="n"/>
      <c r="AA41" s="156" t="n"/>
      <c r="AB41" s="156" t="n"/>
      <c r="AC41" s="156" t="n"/>
      <c r="AD41" s="156" t="n"/>
      <c r="AE41" s="156" t="n"/>
      <c r="AF41" s="156" t="n"/>
      <c r="AG41" s="156" t="n"/>
      <c r="AH41" s="156" t="n"/>
      <c r="AI41" s="156" t="n"/>
      <c r="AJ41" s="156" t="n"/>
      <c r="AK41" s="156" t="n"/>
      <c r="AL41" s="156" t="n"/>
      <c r="AM41" s="156" t="n"/>
      <c r="AN41" s="156" t="n"/>
      <c r="AO41" s="156" t="n"/>
      <c r="AP41" s="156" t="n"/>
      <c r="AQ41" s="156" t="n"/>
      <c r="AR41" s="156" t="n"/>
      <c r="AS41" s="156" t="n"/>
      <c r="AT41" s="156" t="n"/>
      <c r="AU41" s="156" t="n"/>
      <c r="AV41" s="156" t="n"/>
      <c r="AW41" s="156" t="n"/>
      <c r="AX41" s="156" t="n"/>
      <c r="AY41" s="156" t="n"/>
      <c r="AZ41" s="156" t="n"/>
      <c r="BA41" s="156" t="n"/>
      <c r="BB41" s="156" t="n"/>
      <c r="BC41" s="156" t="n"/>
      <c r="BD41" s="156" t="n"/>
      <c r="BE41" s="156" t="n"/>
      <c r="BF41" s="156" t="n"/>
      <c r="BG41" s="156" t="n"/>
      <c r="BH41" s="156" t="n"/>
      <c r="BI41" s="157"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86"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3" t="n"/>
      <c r="BQ47" s="149" t="n"/>
      <c r="BR47" s="184" t="n"/>
      <c r="BS47" s="149" t="n"/>
      <c r="BT47" s="149" t="n"/>
      <c r="BU47" s="28" t="n"/>
      <c r="BV47" s="29" t="n"/>
      <c r="BW47" s="185">
        <f>計算!$BP$3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115"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6"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107"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7">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188">
        <f>IF(入力!$D$5="","",設定!$B$6)&amp;""</f>
        <v/>
      </c>
      <c r="S55" s="11" t="n"/>
      <c r="T55" s="11" t="n"/>
      <c r="U55" s="188">
        <f>IF(入力!$D$5="","",設定!$B$7)&amp;""</f>
        <v/>
      </c>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110" t="inlineStr">
        <is>
          <t>令和</t>
        </is>
      </c>
      <c r="S56" s="61" t="inlineStr">
        <is>
          <t>年</t>
        </is>
      </c>
      <c r="W56" s="62"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90"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5" t="n"/>
      <c r="F60" s="156" t="n"/>
      <c r="G60" s="156" t="n"/>
      <c r="H60" s="156" t="n"/>
      <c r="I60" s="156" t="n"/>
      <c r="J60" s="156" t="n"/>
      <c r="K60" s="157"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6" t="n"/>
      <c r="AX60" s="156" t="n"/>
      <c r="AY60" s="156" t="n"/>
      <c r="AZ60" s="156" t="n"/>
      <c r="BA60" s="156" t="n"/>
      <c r="BB60" s="156" t="n"/>
      <c r="BC60" s="156" t="n"/>
      <c r="BD60" s="156" t="n"/>
      <c r="BE60" s="156" t="n"/>
      <c r="BF60" s="156" t="n"/>
      <c r="BG60" s="156" t="n"/>
      <c r="BH60" s="156" t="n"/>
      <c r="BI60" s="157"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58" t="n"/>
      <c r="T61" s="149" t="n"/>
      <c r="U61" s="17" t="n"/>
      <c r="V61" s="17" t="n"/>
      <c r="W61" s="58"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89" t="inlineStr">
        <is>
          <t>職　歴</t>
        </is>
      </c>
      <c r="K64" s="153" t="n"/>
      <c r="L64" s="69" t="inlineStr">
        <is>
          <t>平成</t>
        </is>
      </c>
      <c r="M64" s="149" t="n"/>
      <c r="N64" s="149" t="n"/>
      <c r="O64" s="149" t="n"/>
      <c r="P64" s="19" t="n"/>
      <c r="Q64" s="19" t="n"/>
      <c r="R64" s="19" t="n"/>
      <c r="S64" s="19" t="n"/>
      <c r="T64" s="19" t="n"/>
      <c r="U64" s="19" t="n"/>
      <c r="V64" s="19" t="n"/>
      <c r="W64" s="19" t="n"/>
      <c r="X64" s="37" t="n"/>
      <c r="Y64" s="180">
        <f>計算!$BT$3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8">
        <f>計算!$BR$3</f>
        <v/>
      </c>
      <c r="S66" s="61" t="inlineStr">
        <is>
          <t>年</t>
        </is>
      </c>
      <c r="U66" s="190">
        <f>計算!$BS$3</f>
        <v/>
      </c>
      <c r="W66" s="62"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74"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5" t="n"/>
      <c r="M69" s="156" t="n"/>
      <c r="N69" s="156" t="n"/>
      <c r="O69" s="156" t="n"/>
      <c r="P69" s="20" t="n"/>
      <c r="Q69" s="20" t="n"/>
      <c r="R69" s="20" t="n"/>
      <c r="S69" s="20" t="n"/>
      <c r="T69" s="20" t="n"/>
      <c r="U69" s="20" t="n"/>
      <c r="V69" s="20" t="n"/>
      <c r="W69" s="20" t="n"/>
      <c r="X69" s="39" t="n"/>
      <c r="Y69" s="155" t="n"/>
      <c r="Z69" s="156" t="n"/>
      <c r="AA69" s="156" t="n"/>
      <c r="AB69" s="156" t="n"/>
      <c r="AC69" s="156" t="n"/>
      <c r="AD69" s="156" t="n"/>
      <c r="AE69" s="156" t="n"/>
      <c r="AF69" s="156" t="n"/>
      <c r="AG69" s="156" t="n"/>
      <c r="AH69" s="156" t="n"/>
      <c r="AI69" s="156" t="n"/>
      <c r="AJ69" s="156" t="n"/>
      <c r="AK69" s="156" t="n"/>
      <c r="AL69" s="156" t="n"/>
      <c r="AM69" s="156" t="n"/>
      <c r="AN69" s="156" t="n"/>
      <c r="AO69" s="156" t="n"/>
      <c r="AP69" s="156" t="n"/>
      <c r="AQ69" s="156" t="n"/>
      <c r="AR69" s="156" t="n"/>
      <c r="AS69" s="156" t="n"/>
      <c r="AT69" s="156" t="n"/>
      <c r="AU69" s="156" t="n"/>
      <c r="AV69" s="156" t="n"/>
      <c r="AW69" s="156" t="n"/>
      <c r="AX69" s="156" t="n"/>
      <c r="AY69" s="156" t="n"/>
      <c r="AZ69" s="156" t="n"/>
      <c r="BA69" s="156" t="n"/>
      <c r="BB69" s="156" t="n"/>
      <c r="BC69" s="156" t="n"/>
      <c r="BD69" s="156" t="n"/>
      <c r="BE69" s="156" t="n"/>
      <c r="BF69" s="156" t="n"/>
      <c r="BG69" s="156" t="n"/>
      <c r="BH69" s="156" t="n"/>
      <c r="BI69" s="157"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69" t="inlineStr">
        <is>
          <t>平成</t>
        </is>
      </c>
      <c r="M70" s="149" t="n"/>
      <c r="N70" s="149" t="n"/>
      <c r="O70" s="149" t="n"/>
      <c r="P70" s="18" t="n"/>
      <c r="Q70" s="18" t="n"/>
      <c r="R70" s="18" t="n"/>
      <c r="S70" s="18" t="n"/>
      <c r="T70" s="18" t="n"/>
      <c r="U70" s="18" t="n"/>
      <c r="V70" s="18" t="n"/>
      <c r="W70" s="18" t="n"/>
      <c r="X70" s="35" t="n"/>
      <c r="Y70" s="180">
        <f>計算!$BW$3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8">
        <f>計算!$BU$3</f>
        <v/>
      </c>
      <c r="S72" s="61" t="inlineStr">
        <is>
          <t>年</t>
        </is>
      </c>
      <c r="U72" s="190">
        <f>計算!$BV$3</f>
        <v/>
      </c>
      <c r="W72" s="62"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74"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5" t="n"/>
      <c r="M75" s="156" t="n"/>
      <c r="N75" s="156" t="n"/>
      <c r="O75" s="156" t="n"/>
      <c r="P75" s="20" t="n"/>
      <c r="Q75" s="20" t="n"/>
      <c r="R75" s="20" t="n"/>
      <c r="S75" s="20" t="n"/>
      <c r="T75" s="20" t="n"/>
      <c r="U75" s="20" t="n"/>
      <c r="V75" s="20" t="n"/>
      <c r="W75" s="20" t="n"/>
      <c r="X75" s="39" t="n"/>
      <c r="Y75" s="155" t="n"/>
      <c r="Z75" s="156" t="n"/>
      <c r="AA75" s="156" t="n"/>
      <c r="AB75" s="156" t="n"/>
      <c r="AC75" s="156" t="n"/>
      <c r="AD75" s="156" t="n"/>
      <c r="AE75" s="156" t="n"/>
      <c r="AF75" s="156" t="n"/>
      <c r="AG75" s="156" t="n"/>
      <c r="AH75" s="156" t="n"/>
      <c r="AI75" s="156" t="n"/>
      <c r="AJ75" s="156" t="n"/>
      <c r="AK75" s="156" t="n"/>
      <c r="AL75" s="156" t="n"/>
      <c r="AM75" s="156" t="n"/>
      <c r="AN75" s="156" t="n"/>
      <c r="AO75" s="156" t="n"/>
      <c r="AP75" s="156" t="n"/>
      <c r="AQ75" s="156" t="n"/>
      <c r="AR75" s="156" t="n"/>
      <c r="AS75" s="156" t="n"/>
      <c r="AT75" s="156" t="n"/>
      <c r="AU75" s="156" t="n"/>
      <c r="AV75" s="156" t="n"/>
      <c r="AW75" s="156" t="n"/>
      <c r="AX75" s="156" t="n"/>
      <c r="AY75" s="156" t="n"/>
      <c r="AZ75" s="156" t="n"/>
      <c r="BA75" s="156" t="n"/>
      <c r="BB75" s="156" t="n"/>
      <c r="BC75" s="156" t="n"/>
      <c r="BD75" s="156" t="n"/>
      <c r="BE75" s="156" t="n"/>
      <c r="BF75" s="156" t="n"/>
      <c r="BG75" s="156" t="n"/>
      <c r="BH75" s="156" t="n"/>
      <c r="BI75" s="157" t="n"/>
      <c r="BJ75" s="2" t="n"/>
      <c r="BK75" s="2" t="n"/>
      <c r="BL75" s="2" t="n"/>
      <c r="BM75" s="2" t="n"/>
      <c r="BN75" s="2" t="n"/>
      <c r="BO75" s="2" t="n"/>
      <c r="BP75" s="155" t="n"/>
      <c r="BQ75" s="156" t="n"/>
      <c r="BR75" s="156" t="n"/>
      <c r="BS75" s="156" t="n"/>
      <c r="BT75" s="156" t="n"/>
      <c r="BU75" s="42" t="n"/>
      <c r="BV75" s="45" t="n"/>
      <c r="BW75" s="156" t="n"/>
      <c r="BX75" s="156" t="n"/>
      <c r="BY75" s="156" t="n"/>
      <c r="BZ75" s="156" t="n"/>
      <c r="CA75" s="156" t="n"/>
      <c r="CB75" s="156" t="n"/>
      <c r="CC75" s="156" t="n"/>
      <c r="CD75" s="156" t="n"/>
      <c r="CE75" s="156" t="n"/>
      <c r="CF75" s="156" t="n"/>
      <c r="CG75" s="156" t="n"/>
      <c r="CH75" s="156" t="n"/>
      <c r="CI75" s="156" t="n"/>
      <c r="CJ75" s="156" t="n"/>
      <c r="CK75" s="156" t="n"/>
      <c r="CL75" s="156" t="n"/>
      <c r="CM75" s="156" t="n"/>
      <c r="CN75" s="156" t="n"/>
      <c r="CO75" s="156" t="n"/>
      <c r="CP75" s="156" t="n"/>
      <c r="CQ75" s="156" t="n"/>
      <c r="CR75" s="156" t="n"/>
      <c r="CS75" s="156" t="n"/>
      <c r="CT75" s="156" t="n"/>
      <c r="CU75" s="156" t="n"/>
      <c r="CV75" s="156" t="n"/>
      <c r="CW75" s="156" t="n"/>
      <c r="CX75" s="156" t="n"/>
      <c r="CY75" s="156" t="n"/>
      <c r="CZ75" s="156" t="n"/>
      <c r="DA75" s="156" t="n"/>
      <c r="DB75" s="156" t="n"/>
      <c r="DC75" s="156" t="n"/>
      <c r="DD75" s="156" t="n"/>
      <c r="DE75" s="156" t="n"/>
      <c r="DF75" s="156" t="n"/>
      <c r="DG75" s="156" t="n"/>
      <c r="DH75" s="156" t="n"/>
      <c r="DI75" s="156" t="n"/>
      <c r="DJ75" s="156" t="n"/>
      <c r="DK75" s="156" t="n"/>
      <c r="DL75" s="156" t="n"/>
      <c r="DM75" s="156" t="n"/>
      <c r="DN75" s="156" t="n"/>
      <c r="DO75" s="156" t="n"/>
      <c r="DP75" s="156" t="n"/>
      <c r="DQ75" s="156" t="n"/>
      <c r="DR75" s="156" t="n"/>
      <c r="DS75" s="156" t="n"/>
      <c r="DT75" s="156" t="n"/>
      <c r="DU75" s="157" t="n"/>
      <c r="DV75" s="2" t="n"/>
      <c r="DW75" s="2" t="n"/>
      <c r="DX75" s="2" t="n"/>
      <c r="DY75" s="2" t="n"/>
      <c r="DZ75" s="2" t="n"/>
      <c r="EA75" s="2" t="n"/>
      <c r="EB75" s="2" t="n"/>
      <c r="EC75" s="2" t="n"/>
    </row>
    <row r="76" ht="6.75" customHeight="1" s="118">
      <c r="A76" s="2" t="n"/>
      <c r="B76" s="2" t="n"/>
      <c r="C76" s="2" t="n"/>
      <c r="D76" s="2" t="n"/>
      <c r="E76" s="152" t="n"/>
      <c r="K76" s="153" t="n"/>
      <c r="L76" s="69"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5">
        <f>計算!$BQ$3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61" t="inlineStr">
        <is>
          <t>年</t>
        </is>
      </c>
      <c r="U78" s="11" t="n"/>
      <c r="V78" s="11" t="n"/>
      <c r="W78" s="62"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74"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5" t="n"/>
      <c r="M81" s="156" t="n"/>
      <c r="N81" s="156" t="n"/>
      <c r="O81" s="156"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69"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61" t="inlineStr">
        <is>
          <t>年</t>
        </is>
      </c>
      <c r="U84" s="11" t="n"/>
      <c r="V84" s="11" t="n"/>
      <c r="W84" s="62"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74"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61" t="n"/>
      <c r="T86" s="61" t="n"/>
      <c r="U86" s="11" t="n"/>
      <c r="V86" s="11" t="n"/>
      <c r="W86" s="61" t="n"/>
      <c r="X86" s="62"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5" t="n"/>
      <c r="F87" s="156" t="n"/>
      <c r="G87" s="156" t="n"/>
      <c r="H87" s="156" t="n"/>
      <c r="I87" s="156" t="n"/>
      <c r="J87" s="156" t="n"/>
      <c r="K87" s="157" t="n"/>
      <c r="L87" s="155" t="n"/>
      <c r="M87" s="156" t="n"/>
      <c r="N87" s="156" t="n"/>
      <c r="O87" s="156"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5" t="n"/>
      <c r="BQ87" s="156" t="n"/>
      <c r="BR87" s="156" t="n"/>
      <c r="BS87" s="156" t="n"/>
      <c r="BT87" s="156" t="n"/>
      <c r="BU87" s="156" t="n"/>
      <c r="BV87" s="157" t="n"/>
      <c r="BW87" s="156" t="n"/>
      <c r="BX87" s="156" t="n"/>
      <c r="BY87" s="156" t="n"/>
      <c r="BZ87" s="156" t="n"/>
      <c r="CA87" s="156" t="n"/>
      <c r="CB87" s="156" t="n"/>
      <c r="CC87" s="156" t="n"/>
      <c r="CD87" s="156" t="n"/>
      <c r="CE87" s="156" t="n"/>
      <c r="CF87" s="156" t="n"/>
      <c r="CG87" s="156" t="n"/>
      <c r="CH87" s="156" t="n"/>
      <c r="CI87" s="156" t="n"/>
      <c r="CJ87" s="156" t="n"/>
      <c r="CK87" s="156" t="n"/>
      <c r="CL87" s="156" t="n"/>
      <c r="CM87" s="156" t="n"/>
      <c r="CN87" s="156" t="n"/>
      <c r="CO87" s="156" t="n"/>
      <c r="CP87" s="156" t="n"/>
      <c r="CQ87" s="156" t="n"/>
      <c r="CR87" s="156" t="n"/>
      <c r="CS87" s="156" t="n"/>
      <c r="CT87" s="156" t="n"/>
      <c r="CU87" s="156" t="n"/>
      <c r="CV87" s="156" t="n"/>
      <c r="CW87" s="156" t="n"/>
      <c r="CX87" s="156" t="n"/>
      <c r="CY87" s="156" t="n"/>
      <c r="CZ87" s="156" t="n"/>
      <c r="DA87" s="156" t="n"/>
      <c r="DB87" s="156" t="n"/>
      <c r="DC87" s="156" t="n"/>
      <c r="DD87" s="156" t="n"/>
      <c r="DE87" s="156" t="n"/>
      <c r="DF87" s="156" t="n"/>
      <c r="DG87" s="156" t="n"/>
      <c r="DH87" s="156" t="n"/>
      <c r="DI87" s="156" t="n"/>
      <c r="DJ87" s="156" t="n"/>
      <c r="DK87" s="156" t="n"/>
      <c r="DL87" s="156" t="n"/>
      <c r="DM87" s="156" t="n"/>
      <c r="DN87" s="156" t="n"/>
      <c r="DO87" s="156" t="n"/>
      <c r="DP87" s="156" t="n"/>
      <c r="DQ87" s="156" t="n"/>
      <c r="DR87" s="156" t="n"/>
      <c r="DS87" s="156" t="n"/>
      <c r="DT87" s="156" t="n"/>
      <c r="DU87" s="157"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87" t="inlineStr">
        <is>
          <t xml:space="preserve">    (近畿高等学校統一用紙　  その２ 　  令和７年度改定)　</t>
        </is>
      </c>
      <c r="DV89" s="2" t="n"/>
      <c r="DW89" s="2" t="n"/>
      <c r="DX89" s="2" t="n"/>
      <c r="DY89" s="2" t="n"/>
      <c r="DZ89" s="2" t="n"/>
      <c r="EA89" s="2" t="n"/>
      <c r="EB89" s="2" t="n"/>
      <c r="EC89" s="2" t="n"/>
    </row>
    <row r="90" hidden="1"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idden="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47"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64" t="inlineStr">
        <is>
          <t>令和</t>
        </is>
      </c>
      <c r="AD99" s="154">
        <f>IF(入力!$D$6="","",IF(N(設定!$B$3)=0,"",YEAR(設定!$B$3)-2018))&amp;""</f>
        <v/>
      </c>
      <c r="AG99" s="64" t="inlineStr">
        <is>
          <t>年</t>
        </is>
      </c>
      <c r="AI99" s="154">
        <f>IF(入力!$D$6="","",IF(N(設定!$B$3)=0,"",MONTH(設定!$B$3)))&amp;""</f>
        <v/>
      </c>
      <c r="AL99" s="64" t="inlineStr">
        <is>
          <t>月</t>
        </is>
      </c>
      <c r="AN99" s="154">
        <f>IF(入力!$D$6="","",IF(N(設定!$B$3)=0,"",DAY(設定!$B$3)))&amp;""</f>
        <v/>
      </c>
      <c r="AP99" s="64"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5" t="n"/>
      <c r="BX99" s="156" t="n"/>
      <c r="BY99" s="156" t="n"/>
      <c r="BZ99" s="156" t="n"/>
      <c r="CA99" s="156" t="n"/>
      <c r="CB99" s="156" t="n"/>
      <c r="CC99" s="156" t="n"/>
      <c r="CD99" s="156" t="n"/>
      <c r="CE99" s="156" t="n"/>
      <c r="CF99" s="156" t="n"/>
      <c r="CG99" s="157" t="n"/>
      <c r="CH99" s="155" t="n"/>
      <c r="CI99" s="156" t="n"/>
      <c r="CJ99" s="156" t="n"/>
      <c r="CK99" s="156" t="n"/>
      <c r="CL99" s="156" t="n"/>
      <c r="CM99" s="156" t="n"/>
      <c r="CN99" s="156" t="n"/>
      <c r="CO99" s="156" t="n"/>
      <c r="CP99" s="156" t="n"/>
      <c r="CQ99" s="156" t="n"/>
      <c r="CR99" s="156" t="n"/>
      <c r="CS99" s="156" t="n"/>
      <c r="CT99" s="156" t="n"/>
      <c r="CU99" s="156" t="n"/>
      <c r="CV99" s="156" t="n"/>
      <c r="CW99" s="156" t="n"/>
      <c r="CX99" s="156" t="n"/>
      <c r="CY99" s="156" t="n"/>
      <c r="CZ99" s="156" t="n"/>
      <c r="DA99" s="156" t="n"/>
      <c r="DB99" s="156" t="n"/>
      <c r="DC99" s="156" t="n"/>
      <c r="DD99" s="156" t="n"/>
      <c r="DE99" s="156" t="n"/>
      <c r="DF99" s="156" t="n"/>
      <c r="DG99" s="156" t="n"/>
      <c r="DH99" s="156" t="n"/>
      <c r="DI99" s="156" t="n"/>
      <c r="DJ99" s="156" t="n"/>
      <c r="DK99" s="156" t="n"/>
      <c r="DL99" s="156" t="n"/>
      <c r="DM99" s="156" t="n"/>
      <c r="DN99" s="156" t="n"/>
      <c r="DO99" s="156" t="n"/>
      <c r="DP99" s="156" t="n"/>
      <c r="DQ99" s="156" t="n"/>
      <c r="DR99" s="156" t="n"/>
      <c r="DS99" s="156" t="n"/>
      <c r="DT99" s="156" t="n"/>
      <c r="DU99" s="157"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68" t="inlineStr">
        <is>
          <t>写真をはる位置</t>
        </is>
      </c>
      <c r="BI100" s="8" t="n"/>
      <c r="BJ100" s="7" t="n"/>
      <c r="BK100" s="2" t="n"/>
      <c r="BL100" s="2" t="n"/>
      <c r="BM100" s="2" t="n"/>
      <c r="BN100" s="2" t="n"/>
      <c r="BO100" s="2" t="n"/>
      <c r="BP100" s="152" t="n"/>
      <c r="BV100" s="153" t="n"/>
      <c r="BW100" s="158">
        <f>計算!$CB$4</f>
        <v/>
      </c>
      <c r="CG100" s="153" t="n"/>
      <c r="CH100" s="159">
        <f>計算!$CC$4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6" t="n"/>
      <c r="AA101" s="156" t="n"/>
      <c r="AB101" s="156" t="n"/>
      <c r="AC101" s="156" t="n"/>
      <c r="AD101" s="156" t="n"/>
      <c r="AE101" s="156" t="n"/>
      <c r="AF101" s="156" t="n"/>
      <c r="AG101" s="156" t="n"/>
      <c r="AH101" s="156" t="n"/>
      <c r="AI101" s="156" t="n"/>
      <c r="AJ101" s="156" t="n"/>
      <c r="AK101" s="156" t="n"/>
      <c r="AL101" s="156" t="n"/>
      <c r="AM101" s="156" t="n"/>
      <c r="AN101" s="156" t="n"/>
      <c r="AO101" s="156" t="n"/>
      <c r="AP101" s="156" t="n"/>
      <c r="AQ101" s="156" t="n"/>
      <c r="AR101" s="156" t="n"/>
      <c r="AS101" s="156" t="n"/>
      <c r="AT101" s="156"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0">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5" t="n"/>
      <c r="F105" s="156" t="n"/>
      <c r="G105" s="156" t="n"/>
      <c r="H105" s="156" t="n"/>
      <c r="I105" s="156" t="n"/>
      <c r="J105" s="156" t="n"/>
      <c r="K105" s="157" t="n"/>
      <c r="L105" s="156" t="n"/>
      <c r="M105" s="156" t="n"/>
      <c r="N105" s="156" t="n"/>
      <c r="O105" s="156" t="n"/>
      <c r="P105" s="156" t="n"/>
      <c r="Q105" s="156" t="n"/>
      <c r="R105" s="156" t="n"/>
      <c r="S105" s="156" t="n"/>
      <c r="T105" s="156" t="n"/>
      <c r="U105" s="156" t="n"/>
      <c r="V105" s="156" t="n"/>
      <c r="W105" s="156" t="n"/>
      <c r="X105" s="156" t="n"/>
      <c r="Y105" s="156" t="n"/>
      <c r="Z105" s="156" t="n"/>
      <c r="AA105" s="156" t="n"/>
      <c r="AB105" s="156" t="n"/>
      <c r="AC105" s="156" t="n"/>
      <c r="AD105" s="156" t="n"/>
      <c r="AE105" s="156" t="n"/>
      <c r="AF105" s="156" t="n"/>
      <c r="AG105" s="156" t="n"/>
      <c r="AH105" s="156" t="n"/>
      <c r="AI105" s="156" t="n"/>
      <c r="AJ105" s="156" t="n"/>
      <c r="AK105" s="156" t="n"/>
      <c r="AL105" s="156" t="n"/>
      <c r="AM105" s="156" t="n"/>
      <c r="AN105" s="156" t="n"/>
      <c r="AO105" s="156" t="n"/>
      <c r="AP105" s="156" t="n"/>
      <c r="AQ105" s="156" t="n"/>
      <c r="AR105" s="156" t="n"/>
      <c r="AS105" s="156" t="n"/>
      <c r="AT105" s="157"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1" t="inlineStr">
        <is>
          <t>名　前</t>
        </is>
      </c>
      <c r="F106" s="149" t="n"/>
      <c r="G106" s="149" t="n"/>
      <c r="H106" s="149" t="n"/>
      <c r="I106" s="149" t="n"/>
      <c r="J106" s="149" t="n"/>
      <c r="K106" s="150" t="n"/>
      <c r="L106" s="162">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61"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5" t="n"/>
      <c r="F111" s="156" t="n"/>
      <c r="G111" s="156" t="n"/>
      <c r="H111" s="156" t="n"/>
      <c r="I111" s="156" t="n"/>
      <c r="J111" s="156" t="n"/>
      <c r="K111" s="157" t="n"/>
      <c r="L111" s="155" t="n"/>
      <c r="M111" s="156" t="n"/>
      <c r="N111" s="156" t="n"/>
      <c r="O111" s="156" t="n"/>
      <c r="P111" s="156" t="n"/>
      <c r="Q111" s="156" t="n"/>
      <c r="R111" s="156" t="n"/>
      <c r="S111" s="156" t="n"/>
      <c r="T111" s="156" t="n"/>
      <c r="U111" s="156" t="n"/>
      <c r="V111" s="156" t="n"/>
      <c r="W111" s="156" t="n"/>
      <c r="X111" s="156" t="n"/>
      <c r="Y111" s="156" t="n"/>
      <c r="Z111" s="156" t="n"/>
      <c r="AA111" s="156" t="n"/>
      <c r="AB111" s="156" t="n"/>
      <c r="AC111" s="156" t="n"/>
      <c r="AD111" s="156" t="n"/>
      <c r="AE111" s="156" t="n"/>
      <c r="AF111" s="156" t="n"/>
      <c r="AG111" s="156" t="n"/>
      <c r="AH111" s="156" t="n"/>
      <c r="AI111" s="156" t="n"/>
      <c r="AJ111" s="156" t="n"/>
      <c r="AK111" s="156" t="n"/>
      <c r="AL111" s="156" t="n"/>
      <c r="AM111" s="156" t="n"/>
      <c r="AN111" s="156" t="n"/>
      <c r="AO111" s="156" t="n"/>
      <c r="AP111" s="156" t="n"/>
      <c r="AQ111" s="156" t="n"/>
      <c r="AR111" s="156" t="n"/>
      <c r="AS111" s="156" t="n"/>
      <c r="AT111" s="157"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1" t="inlineStr">
        <is>
          <t>生年月日</t>
        </is>
      </c>
      <c r="F112" s="149" t="n"/>
      <c r="G112" s="149" t="n"/>
      <c r="H112" s="149" t="n"/>
      <c r="I112" s="149" t="n"/>
      <c r="J112" s="149" t="n"/>
      <c r="K112" s="150" t="n"/>
      <c r="L112" s="163" t="inlineStr">
        <is>
          <t>昭和 ・ 平成</t>
        </is>
      </c>
      <c r="M112" s="149" t="n"/>
      <c r="N112" s="149" t="n"/>
      <c r="O112" s="149" t="n"/>
      <c r="P112" s="149" t="n"/>
      <c r="Q112" s="149" t="n"/>
      <c r="R112" s="149" t="n"/>
      <c r="S112" s="149" t="n"/>
      <c r="T112" s="149" t="n"/>
      <c r="U112" s="149" t="n"/>
      <c r="V112" s="164">
        <f>計算!$D$4</f>
        <v/>
      </c>
      <c r="W112" s="149" t="n"/>
      <c r="X112" s="165" t="inlineStr">
        <is>
          <t>年</t>
        </is>
      </c>
      <c r="Y112" s="149" t="n"/>
      <c r="Z112" s="166">
        <f>計算!$E$4</f>
        <v/>
      </c>
      <c r="AA112" s="149" t="n"/>
      <c r="AB112" s="149" t="n"/>
      <c r="AC112" s="165" t="inlineStr">
        <is>
          <t>月</t>
        </is>
      </c>
      <c r="AD112" s="149" t="n"/>
      <c r="AE112" s="166">
        <f>計算!$F$4</f>
        <v/>
      </c>
      <c r="AF112" s="149" t="n"/>
      <c r="AG112" s="149" t="n"/>
      <c r="AH112" s="165" t="inlineStr">
        <is>
          <t>日　生 （満</t>
        </is>
      </c>
      <c r="AI112" s="149" t="n"/>
      <c r="AJ112" s="149" t="n"/>
      <c r="AK112" s="149" t="n"/>
      <c r="AL112" s="149" t="n"/>
      <c r="AM112" s="149" t="n"/>
      <c r="AN112" s="149" t="n"/>
      <c r="AO112" s="149" t="n"/>
      <c r="AP112" s="167">
        <f>計算!$G$4</f>
        <v/>
      </c>
      <c r="AQ112" s="149" t="n"/>
      <c r="AR112" s="168"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5" t="n"/>
      <c r="F115" s="156" t="n"/>
      <c r="G115" s="156" t="n"/>
      <c r="H115" s="156" t="n"/>
      <c r="I115" s="156" t="n"/>
      <c r="J115" s="156" t="n"/>
      <c r="K115" s="157" t="n"/>
      <c r="L115" s="155" t="n"/>
      <c r="M115" s="156" t="n"/>
      <c r="N115" s="156" t="n"/>
      <c r="O115" s="156" t="n"/>
      <c r="P115" s="156" t="n"/>
      <c r="Q115" s="156" t="n"/>
      <c r="R115" s="156" t="n"/>
      <c r="S115" s="156" t="n"/>
      <c r="T115" s="156" t="n"/>
      <c r="U115" s="156" t="n"/>
      <c r="X115" s="156" t="n"/>
      <c r="Y115" s="156" t="n"/>
      <c r="AC115" s="156" t="n"/>
      <c r="AD115" s="156" t="n"/>
      <c r="AH115" s="156" t="n"/>
      <c r="AI115" s="156" t="n"/>
      <c r="AJ115" s="156" t="n"/>
      <c r="AK115" s="156" t="n"/>
      <c r="AL115" s="156" t="n"/>
      <c r="AM115" s="156" t="n"/>
      <c r="AN115" s="156" t="n"/>
      <c r="AO115" s="156" t="n"/>
      <c r="AP115" s="156" t="n"/>
      <c r="AQ115" s="156" t="n"/>
      <c r="AR115" s="156" t="n"/>
      <c r="AS115" s="156" t="n"/>
      <c r="AT115" s="157"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69" t="inlineStr">
        <is>
          <t>ふ り が な</t>
        </is>
      </c>
      <c r="F116" s="149" t="n"/>
      <c r="G116" s="149" t="n"/>
      <c r="H116" s="149" t="n"/>
      <c r="I116" s="149" t="n"/>
      <c r="J116" s="149" t="n"/>
      <c r="K116" s="150" t="n"/>
      <c r="L116" s="170">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1" t="n"/>
      <c r="F118" s="172" t="n"/>
      <c r="G118" s="172" t="n"/>
      <c r="H118" s="172" t="n"/>
      <c r="I118" s="172" t="n"/>
      <c r="J118" s="172" t="n"/>
      <c r="K118" s="173" t="n"/>
      <c r="L118" s="172" t="n"/>
      <c r="M118" s="172" t="n"/>
      <c r="N118" s="172" t="n"/>
      <c r="O118" s="172" t="n"/>
      <c r="P118" s="172" t="n"/>
      <c r="Q118" s="172" t="n"/>
      <c r="R118" s="172" t="n"/>
      <c r="S118" s="172" t="n"/>
      <c r="T118" s="172" t="n"/>
      <c r="U118" s="172" t="n"/>
      <c r="V118" s="172" t="n"/>
      <c r="W118" s="172" t="n"/>
      <c r="X118" s="172" t="n"/>
      <c r="Y118" s="172" t="n"/>
      <c r="Z118" s="172" t="n"/>
      <c r="AA118" s="172" t="n"/>
      <c r="AB118" s="172" t="n"/>
      <c r="AC118" s="172" t="n"/>
      <c r="AD118" s="172" t="n"/>
      <c r="AE118" s="172" t="n"/>
      <c r="AF118" s="172" t="n"/>
      <c r="AG118" s="172" t="n"/>
      <c r="AH118" s="172" t="n"/>
      <c r="AI118" s="172" t="n"/>
      <c r="AJ118" s="172" t="n"/>
      <c r="AK118" s="172" t="n"/>
      <c r="AL118" s="172" t="n"/>
      <c r="AM118" s="172" t="n"/>
      <c r="AN118" s="172" t="n"/>
      <c r="AO118" s="172" t="n"/>
      <c r="AP118" s="172" t="n"/>
      <c r="AQ118" s="172" t="n"/>
      <c r="AR118" s="172" t="n"/>
      <c r="AS118" s="172" t="n"/>
      <c r="AT118" s="172" t="n"/>
      <c r="AU118" s="172" t="n"/>
      <c r="AV118" s="172" t="n"/>
      <c r="AW118" s="172" t="n"/>
      <c r="AX118" s="172" t="n"/>
      <c r="AY118" s="172" t="n"/>
      <c r="AZ118" s="172" t="n"/>
      <c r="BA118" s="172" t="n"/>
      <c r="BB118" s="172" t="n"/>
      <c r="BC118" s="172" t="n"/>
      <c r="BD118" s="172" t="n"/>
      <c r="BE118" s="172" t="n"/>
      <c r="BF118" s="172" t="n"/>
      <c r="BG118" s="172" t="n"/>
      <c r="BH118" s="172" t="n"/>
      <c r="BI118" s="173"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4" t="inlineStr">
        <is>
          <t>現住所</t>
        </is>
      </c>
      <c r="F119" s="175" t="n"/>
      <c r="G119" s="175" t="n"/>
      <c r="H119" s="175" t="n"/>
      <c r="I119" s="175" t="n"/>
      <c r="J119" s="175" t="n"/>
      <c r="K119" s="176" t="n"/>
      <c r="L119" s="83" t="inlineStr">
        <is>
          <t>〒</t>
        </is>
      </c>
      <c r="M119" s="175" t="n"/>
      <c r="N119" s="175" t="n"/>
      <c r="O119" s="175" t="n"/>
      <c r="P119" s="177">
        <f>計算!$H$4</f>
        <v/>
      </c>
      <c r="Q119" s="175" t="n"/>
      <c r="R119" s="175" t="n"/>
      <c r="S119" s="175" t="n"/>
      <c r="T119" s="175" t="n"/>
      <c r="U119" s="175" t="n"/>
      <c r="V119" s="175" t="n"/>
      <c r="W119" s="175" t="n"/>
      <c r="X119" s="175" t="n"/>
      <c r="Y119" s="175" t="n"/>
      <c r="Z119" s="175" t="n"/>
      <c r="AA119" s="175" t="n"/>
      <c r="AB119" s="175" t="n"/>
      <c r="AC119" s="175" t="n"/>
      <c r="AD119" s="175" t="n"/>
      <c r="AE119" s="175" t="n"/>
      <c r="AF119" s="175" t="n"/>
      <c r="AG119" s="175" t="n"/>
      <c r="AH119" s="175" t="n"/>
      <c r="AI119" s="175" t="n"/>
      <c r="AJ119" s="175"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5" t="n"/>
      <c r="BQ120" s="156" t="n"/>
      <c r="BR120" s="156" t="n"/>
      <c r="BS120" s="156" t="n"/>
      <c r="BT120" s="156" t="n"/>
      <c r="BU120" s="156" t="n"/>
      <c r="BV120" s="157" t="n"/>
      <c r="BW120" s="155" t="n"/>
      <c r="BX120" s="156" t="n"/>
      <c r="BY120" s="156" t="n"/>
      <c r="BZ120" s="156" t="n"/>
      <c r="CA120" s="156" t="n"/>
      <c r="CB120" s="156" t="n"/>
      <c r="CC120" s="156" t="n"/>
      <c r="CD120" s="156" t="n"/>
      <c r="CE120" s="156" t="n"/>
      <c r="CF120" s="156" t="n"/>
      <c r="CG120" s="157"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8" t="inlineStr">
        <is>
          <t>校内外の諸活動</t>
        </is>
      </c>
      <c r="BQ121" s="149" t="n"/>
      <c r="BR121" s="149" t="n"/>
      <c r="BS121" s="149" t="n"/>
      <c r="BT121" s="149" t="n"/>
      <c r="BU121" s="149" t="n"/>
      <c r="BV121" s="150" t="n"/>
      <c r="BW121" s="179">
        <f>計算!$BO$4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0">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5" t="n"/>
      <c r="F124" s="156" t="n"/>
      <c r="G124" s="156" t="n"/>
      <c r="H124" s="156" t="n"/>
      <c r="I124" s="156" t="n"/>
      <c r="J124" s="156" t="n"/>
      <c r="K124" s="157" t="n"/>
      <c r="L124" s="155" t="n"/>
      <c r="M124" s="156" t="n"/>
      <c r="N124" s="156" t="n"/>
      <c r="O124" s="156" t="n"/>
      <c r="P124" s="156" t="n"/>
      <c r="Q124" s="156" t="n"/>
      <c r="R124" s="156" t="n"/>
      <c r="S124" s="156" t="n"/>
      <c r="T124" s="156" t="n"/>
      <c r="U124" s="156" t="n"/>
      <c r="V124" s="156" t="n"/>
      <c r="W124" s="156" t="n"/>
      <c r="X124" s="156" t="n"/>
      <c r="Y124" s="156" t="n"/>
      <c r="Z124" s="156" t="n"/>
      <c r="AA124" s="156" t="n"/>
      <c r="AB124" s="156" t="n"/>
      <c r="AC124" s="156" t="n"/>
      <c r="AD124" s="156" t="n"/>
      <c r="AE124" s="156" t="n"/>
      <c r="AF124" s="156" t="n"/>
      <c r="AG124" s="156" t="n"/>
      <c r="AH124" s="156" t="n"/>
      <c r="AI124" s="156" t="n"/>
      <c r="AJ124" s="156" t="n"/>
      <c r="AK124" s="156" t="n"/>
      <c r="AL124" s="156" t="n"/>
      <c r="AM124" s="156" t="n"/>
      <c r="AN124" s="156" t="n"/>
      <c r="AO124" s="156" t="n"/>
      <c r="AP124" s="156" t="n"/>
      <c r="AQ124" s="156" t="n"/>
      <c r="AR124" s="156" t="n"/>
      <c r="AS124" s="156" t="n"/>
      <c r="AT124" s="156" t="n"/>
      <c r="AU124" s="156" t="n"/>
      <c r="AV124" s="156" t="n"/>
      <c r="AW124" s="156" t="n"/>
      <c r="AX124" s="156" t="n"/>
      <c r="AY124" s="156" t="n"/>
      <c r="AZ124" s="156" t="n"/>
      <c r="BA124" s="156" t="n"/>
      <c r="BB124" s="156" t="n"/>
      <c r="BC124" s="156" t="n"/>
      <c r="BD124" s="156" t="n"/>
      <c r="BE124" s="156" t="n"/>
      <c r="BF124" s="156" t="n"/>
      <c r="BG124" s="156" t="n"/>
      <c r="BH124" s="156" t="n"/>
      <c r="BI124" s="157"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69" t="inlineStr">
        <is>
          <t>ふ り が な</t>
        </is>
      </c>
      <c r="F125" s="149" t="n"/>
      <c r="G125" s="149" t="n"/>
      <c r="H125" s="149" t="n"/>
      <c r="I125" s="149" t="n"/>
      <c r="J125" s="149" t="n"/>
      <c r="K125" s="150" t="n"/>
      <c r="L125" s="170">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1" t="n"/>
      <c r="F127" s="172" t="n"/>
      <c r="G127" s="172" t="n"/>
      <c r="H127" s="172" t="n"/>
      <c r="I127" s="172" t="n"/>
      <c r="J127" s="172" t="n"/>
      <c r="K127" s="173" t="n"/>
      <c r="L127" s="172" t="n"/>
      <c r="M127" s="172" t="n"/>
      <c r="N127" s="172" t="n"/>
      <c r="O127" s="172" t="n"/>
      <c r="P127" s="172" t="n"/>
      <c r="Q127" s="172" t="n"/>
      <c r="R127" s="172" t="n"/>
      <c r="S127" s="172" t="n"/>
      <c r="T127" s="172" t="n"/>
      <c r="U127" s="172" t="n"/>
      <c r="V127" s="172" t="n"/>
      <c r="W127" s="172" t="n"/>
      <c r="X127" s="172" t="n"/>
      <c r="Y127" s="172" t="n"/>
      <c r="Z127" s="172" t="n"/>
      <c r="AA127" s="172" t="n"/>
      <c r="AB127" s="172" t="n"/>
      <c r="AC127" s="172" t="n"/>
      <c r="AD127" s="172" t="n"/>
      <c r="AE127" s="172" t="n"/>
      <c r="AF127" s="172" t="n"/>
      <c r="AG127" s="172" t="n"/>
      <c r="AH127" s="172" t="n"/>
      <c r="AI127" s="172" t="n"/>
      <c r="AJ127" s="172" t="n"/>
      <c r="AK127" s="172" t="n"/>
      <c r="AL127" s="172" t="n"/>
      <c r="AM127" s="172" t="n"/>
      <c r="AN127" s="172" t="n"/>
      <c r="AO127" s="172" t="n"/>
      <c r="AP127" s="172" t="n"/>
      <c r="AQ127" s="172" t="n"/>
      <c r="AR127" s="172" t="n"/>
      <c r="AS127" s="172" t="n"/>
      <c r="AT127" s="172" t="n"/>
      <c r="AU127" s="172" t="n"/>
      <c r="AV127" s="172" t="n"/>
      <c r="AW127" s="172" t="n"/>
      <c r="AX127" s="172" t="n"/>
      <c r="AY127" s="172" t="n"/>
      <c r="AZ127" s="172" t="n"/>
      <c r="BA127" s="172" t="n"/>
      <c r="BB127" s="172" t="n"/>
      <c r="BC127" s="172" t="n"/>
      <c r="BD127" s="172" t="n"/>
      <c r="BE127" s="172" t="n"/>
      <c r="BF127" s="172" t="n"/>
      <c r="BG127" s="172" t="n"/>
      <c r="BH127" s="172" t="n"/>
      <c r="BI127" s="173"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4" t="inlineStr">
        <is>
          <t>連絡先</t>
        </is>
      </c>
      <c r="F128" s="175" t="n"/>
      <c r="G128" s="175" t="n"/>
      <c r="H128" s="175" t="n"/>
      <c r="I128" s="175" t="n"/>
      <c r="J128" s="175" t="n"/>
      <c r="K128" s="176" t="n"/>
      <c r="L128" s="83" t="inlineStr">
        <is>
          <t>〒</t>
        </is>
      </c>
      <c r="M128" s="175" t="n"/>
      <c r="N128" s="175" t="n"/>
      <c r="O128" s="175" t="n"/>
      <c r="P128" s="181">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2">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5" t="n"/>
      <c r="F132" s="156" t="n"/>
      <c r="G132" s="156" t="n"/>
      <c r="H132" s="156" t="n"/>
      <c r="I132" s="156" t="n"/>
      <c r="J132" s="156" t="n"/>
      <c r="K132" s="157" t="n"/>
      <c r="L132" s="156" t="n"/>
      <c r="M132" s="156" t="n"/>
      <c r="N132" s="156" t="n"/>
      <c r="O132" s="156" t="n"/>
      <c r="P132" s="156" t="n"/>
      <c r="Q132" s="156" t="n"/>
      <c r="R132" s="156" t="n"/>
      <c r="S132" s="156" t="n"/>
      <c r="T132" s="156" t="n"/>
      <c r="U132" s="156" t="n"/>
      <c r="V132" s="156" t="n"/>
      <c r="W132" s="156" t="n"/>
      <c r="X132" s="156" t="n"/>
      <c r="Y132" s="156" t="n"/>
      <c r="Z132" s="156" t="n"/>
      <c r="AA132" s="156" t="n"/>
      <c r="AB132" s="156" t="n"/>
      <c r="AC132" s="156" t="n"/>
      <c r="AD132" s="156" t="n"/>
      <c r="AE132" s="156" t="n"/>
      <c r="AF132" s="156" t="n"/>
      <c r="AG132" s="156" t="n"/>
      <c r="AH132" s="156" t="n"/>
      <c r="AI132" s="156" t="n"/>
      <c r="AJ132" s="156" t="n"/>
      <c r="AK132" s="156" t="n"/>
      <c r="AL132" s="156" t="n"/>
      <c r="AM132" s="156" t="n"/>
      <c r="AN132" s="156" t="n"/>
      <c r="AO132" s="156" t="n"/>
      <c r="AP132" s="156" t="n"/>
      <c r="AQ132" s="156" t="n"/>
      <c r="AR132" s="156" t="n"/>
      <c r="AS132" s="156" t="n"/>
      <c r="AT132" s="156" t="n"/>
      <c r="AU132" s="156" t="n"/>
      <c r="AV132" s="156" t="n"/>
      <c r="AW132" s="156" t="n"/>
      <c r="AX132" s="156" t="n"/>
      <c r="AY132" s="156" t="n"/>
      <c r="AZ132" s="156" t="n"/>
      <c r="BA132" s="156" t="n"/>
      <c r="BB132" s="156" t="n"/>
      <c r="BC132" s="156" t="n"/>
      <c r="BD132" s="156" t="n"/>
      <c r="BE132" s="156" t="n"/>
      <c r="BF132" s="156" t="n"/>
      <c r="BG132" s="156" t="n"/>
      <c r="BH132" s="156" t="n"/>
      <c r="BI132" s="157"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86"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3" t="n"/>
      <c r="BQ138" s="149" t="n"/>
      <c r="BR138" s="184" t="n"/>
      <c r="BS138" s="149" t="n"/>
      <c r="BT138" s="149" t="n"/>
      <c r="BU138" s="28" t="n"/>
      <c r="BV138" s="29" t="n"/>
      <c r="BW138" s="185">
        <f>計算!$BP$4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115"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6"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107"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7">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188">
        <f>IF(入力!$D$6="","",設定!$B$6)&amp;""</f>
        <v/>
      </c>
      <c r="S146" s="11" t="n"/>
      <c r="T146" s="11" t="n"/>
      <c r="U146" s="188">
        <f>IF(入力!$D$6="","",設定!$B$7)&amp;""</f>
        <v/>
      </c>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110" t="inlineStr">
        <is>
          <t>令和</t>
        </is>
      </c>
      <c r="S147" s="61" t="inlineStr">
        <is>
          <t>年</t>
        </is>
      </c>
      <c r="W147" s="62"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90"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5" t="n"/>
      <c r="F151" s="156" t="n"/>
      <c r="G151" s="156" t="n"/>
      <c r="H151" s="156" t="n"/>
      <c r="I151" s="156" t="n"/>
      <c r="J151" s="156" t="n"/>
      <c r="K151" s="157"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6" t="n"/>
      <c r="AX151" s="156" t="n"/>
      <c r="AY151" s="156" t="n"/>
      <c r="AZ151" s="156" t="n"/>
      <c r="BA151" s="156" t="n"/>
      <c r="BB151" s="156" t="n"/>
      <c r="BC151" s="156" t="n"/>
      <c r="BD151" s="156" t="n"/>
      <c r="BE151" s="156" t="n"/>
      <c r="BF151" s="156" t="n"/>
      <c r="BG151" s="156" t="n"/>
      <c r="BH151" s="156" t="n"/>
      <c r="BI151" s="157"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58" t="n"/>
      <c r="T152" s="149" t="n"/>
      <c r="U152" s="17" t="n"/>
      <c r="V152" s="17" t="n"/>
      <c r="W152" s="58"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89" t="inlineStr">
        <is>
          <t>職　歴</t>
        </is>
      </c>
      <c r="K155" s="153" t="n"/>
      <c r="L155" s="69" t="inlineStr">
        <is>
          <t>平成</t>
        </is>
      </c>
      <c r="M155" s="149" t="n"/>
      <c r="N155" s="149" t="n"/>
      <c r="O155" s="149" t="n"/>
      <c r="P155" s="19" t="n"/>
      <c r="Q155" s="19" t="n"/>
      <c r="R155" s="19" t="n"/>
      <c r="S155" s="19" t="n"/>
      <c r="T155" s="19" t="n"/>
      <c r="U155" s="19" t="n"/>
      <c r="V155" s="19" t="n"/>
      <c r="W155" s="19" t="n"/>
      <c r="X155" s="37" t="n"/>
      <c r="Y155" s="180">
        <f>計算!$BT$4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8">
        <f>計算!$BR$4</f>
        <v/>
      </c>
      <c r="S157" s="61" t="inlineStr">
        <is>
          <t>年</t>
        </is>
      </c>
      <c r="U157" s="190">
        <f>計算!$BS$4</f>
        <v/>
      </c>
      <c r="W157" s="62"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74"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5" t="n"/>
      <c r="M160" s="156" t="n"/>
      <c r="N160" s="156" t="n"/>
      <c r="O160" s="156" t="n"/>
      <c r="P160" s="20" t="n"/>
      <c r="Q160" s="20" t="n"/>
      <c r="R160" s="20" t="n"/>
      <c r="S160" s="20" t="n"/>
      <c r="T160" s="20" t="n"/>
      <c r="U160" s="20" t="n"/>
      <c r="V160" s="20" t="n"/>
      <c r="W160" s="20" t="n"/>
      <c r="X160" s="39" t="n"/>
      <c r="Y160" s="155" t="n"/>
      <c r="Z160" s="156" t="n"/>
      <c r="AA160" s="156" t="n"/>
      <c r="AB160" s="156" t="n"/>
      <c r="AC160" s="156" t="n"/>
      <c r="AD160" s="156" t="n"/>
      <c r="AE160" s="156" t="n"/>
      <c r="AF160" s="156" t="n"/>
      <c r="AG160" s="156" t="n"/>
      <c r="AH160" s="156" t="n"/>
      <c r="AI160" s="156" t="n"/>
      <c r="AJ160" s="156" t="n"/>
      <c r="AK160" s="156" t="n"/>
      <c r="AL160" s="156" t="n"/>
      <c r="AM160" s="156" t="n"/>
      <c r="AN160" s="156" t="n"/>
      <c r="AO160" s="156" t="n"/>
      <c r="AP160" s="156" t="n"/>
      <c r="AQ160" s="156" t="n"/>
      <c r="AR160" s="156" t="n"/>
      <c r="AS160" s="156" t="n"/>
      <c r="AT160" s="156" t="n"/>
      <c r="AU160" s="156" t="n"/>
      <c r="AV160" s="156" t="n"/>
      <c r="AW160" s="156" t="n"/>
      <c r="AX160" s="156" t="n"/>
      <c r="AY160" s="156" t="n"/>
      <c r="AZ160" s="156" t="n"/>
      <c r="BA160" s="156" t="n"/>
      <c r="BB160" s="156" t="n"/>
      <c r="BC160" s="156" t="n"/>
      <c r="BD160" s="156" t="n"/>
      <c r="BE160" s="156" t="n"/>
      <c r="BF160" s="156" t="n"/>
      <c r="BG160" s="156" t="n"/>
      <c r="BH160" s="156" t="n"/>
      <c r="BI160" s="157"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69" t="inlineStr">
        <is>
          <t>平成</t>
        </is>
      </c>
      <c r="M161" s="149" t="n"/>
      <c r="N161" s="149" t="n"/>
      <c r="O161" s="149" t="n"/>
      <c r="P161" s="18" t="n"/>
      <c r="Q161" s="18" t="n"/>
      <c r="R161" s="18" t="n"/>
      <c r="S161" s="18" t="n"/>
      <c r="T161" s="18" t="n"/>
      <c r="U161" s="18" t="n"/>
      <c r="V161" s="18" t="n"/>
      <c r="W161" s="18" t="n"/>
      <c r="X161" s="35" t="n"/>
      <c r="Y161" s="180">
        <f>計算!$BW$4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8">
        <f>計算!$BU$4</f>
        <v/>
      </c>
      <c r="S163" s="61" t="inlineStr">
        <is>
          <t>年</t>
        </is>
      </c>
      <c r="U163" s="190">
        <f>計算!$BV$4</f>
        <v/>
      </c>
      <c r="W163" s="62"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74"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5" t="n"/>
      <c r="M166" s="156" t="n"/>
      <c r="N166" s="156" t="n"/>
      <c r="O166" s="156" t="n"/>
      <c r="P166" s="20" t="n"/>
      <c r="Q166" s="20" t="n"/>
      <c r="R166" s="20" t="n"/>
      <c r="S166" s="20" t="n"/>
      <c r="T166" s="20" t="n"/>
      <c r="U166" s="20" t="n"/>
      <c r="V166" s="20" t="n"/>
      <c r="W166" s="20" t="n"/>
      <c r="X166" s="39" t="n"/>
      <c r="Y166" s="155" t="n"/>
      <c r="Z166" s="156" t="n"/>
      <c r="AA166" s="156" t="n"/>
      <c r="AB166" s="156" t="n"/>
      <c r="AC166" s="156" t="n"/>
      <c r="AD166" s="156" t="n"/>
      <c r="AE166" s="156" t="n"/>
      <c r="AF166" s="156" t="n"/>
      <c r="AG166" s="156" t="n"/>
      <c r="AH166" s="156" t="n"/>
      <c r="AI166" s="156" t="n"/>
      <c r="AJ166" s="156" t="n"/>
      <c r="AK166" s="156" t="n"/>
      <c r="AL166" s="156" t="n"/>
      <c r="AM166" s="156" t="n"/>
      <c r="AN166" s="156" t="n"/>
      <c r="AO166" s="156" t="n"/>
      <c r="AP166" s="156" t="n"/>
      <c r="AQ166" s="156" t="n"/>
      <c r="AR166" s="156" t="n"/>
      <c r="AS166" s="156" t="n"/>
      <c r="AT166" s="156" t="n"/>
      <c r="AU166" s="156" t="n"/>
      <c r="AV166" s="156" t="n"/>
      <c r="AW166" s="156" t="n"/>
      <c r="AX166" s="156" t="n"/>
      <c r="AY166" s="156" t="n"/>
      <c r="AZ166" s="156" t="n"/>
      <c r="BA166" s="156" t="n"/>
      <c r="BB166" s="156" t="n"/>
      <c r="BC166" s="156" t="n"/>
      <c r="BD166" s="156" t="n"/>
      <c r="BE166" s="156" t="n"/>
      <c r="BF166" s="156" t="n"/>
      <c r="BG166" s="156" t="n"/>
      <c r="BH166" s="156" t="n"/>
      <c r="BI166" s="157" t="n"/>
      <c r="BJ166" s="2" t="n"/>
      <c r="BK166" s="2" t="n"/>
      <c r="BL166" s="2" t="n"/>
      <c r="BM166" s="2" t="n"/>
      <c r="BN166" s="2" t="n"/>
      <c r="BO166" s="2" t="n"/>
      <c r="BP166" s="155" t="n"/>
      <c r="BQ166" s="156" t="n"/>
      <c r="BR166" s="156" t="n"/>
      <c r="BS166" s="156" t="n"/>
      <c r="BT166" s="156" t="n"/>
      <c r="BU166" s="42" t="n"/>
      <c r="BV166" s="45" t="n"/>
      <c r="BW166" s="156" t="n"/>
      <c r="BX166" s="156" t="n"/>
      <c r="BY166" s="156" t="n"/>
      <c r="BZ166" s="156" t="n"/>
      <c r="CA166" s="156" t="n"/>
      <c r="CB166" s="156" t="n"/>
      <c r="CC166" s="156" t="n"/>
      <c r="CD166" s="156" t="n"/>
      <c r="CE166" s="156" t="n"/>
      <c r="CF166" s="156" t="n"/>
      <c r="CG166" s="156" t="n"/>
      <c r="CH166" s="156" t="n"/>
      <c r="CI166" s="156" t="n"/>
      <c r="CJ166" s="156" t="n"/>
      <c r="CK166" s="156" t="n"/>
      <c r="CL166" s="156" t="n"/>
      <c r="CM166" s="156" t="n"/>
      <c r="CN166" s="156" t="n"/>
      <c r="CO166" s="156" t="n"/>
      <c r="CP166" s="156" t="n"/>
      <c r="CQ166" s="156" t="n"/>
      <c r="CR166" s="156" t="n"/>
      <c r="CS166" s="156" t="n"/>
      <c r="CT166" s="156" t="n"/>
      <c r="CU166" s="156" t="n"/>
      <c r="CV166" s="156" t="n"/>
      <c r="CW166" s="156" t="n"/>
      <c r="CX166" s="156" t="n"/>
      <c r="CY166" s="156" t="n"/>
      <c r="CZ166" s="156" t="n"/>
      <c r="DA166" s="156" t="n"/>
      <c r="DB166" s="156" t="n"/>
      <c r="DC166" s="156" t="n"/>
      <c r="DD166" s="156" t="n"/>
      <c r="DE166" s="156" t="n"/>
      <c r="DF166" s="156" t="n"/>
      <c r="DG166" s="156" t="n"/>
      <c r="DH166" s="156" t="n"/>
      <c r="DI166" s="156" t="n"/>
      <c r="DJ166" s="156" t="n"/>
      <c r="DK166" s="156" t="n"/>
      <c r="DL166" s="156" t="n"/>
      <c r="DM166" s="156" t="n"/>
      <c r="DN166" s="156" t="n"/>
      <c r="DO166" s="156" t="n"/>
      <c r="DP166" s="156" t="n"/>
      <c r="DQ166" s="156" t="n"/>
      <c r="DR166" s="156" t="n"/>
      <c r="DS166" s="156" t="n"/>
      <c r="DT166" s="156" t="n"/>
      <c r="DU166" s="157" t="n"/>
      <c r="DV166" s="2" t="n"/>
      <c r="DW166" s="2" t="n"/>
      <c r="DX166" s="2" t="n"/>
      <c r="DY166" s="2" t="n"/>
      <c r="DZ166" s="2" t="n"/>
      <c r="EA166" s="2" t="n"/>
      <c r="EB166" s="2" t="n"/>
      <c r="EC166" s="2" t="n"/>
    </row>
    <row r="167" ht="6.75" customHeight="1" s="118">
      <c r="A167" s="2" t="n"/>
      <c r="B167" s="2" t="n"/>
      <c r="C167" s="2" t="n"/>
      <c r="D167" s="2" t="n"/>
      <c r="E167" s="152" t="n"/>
      <c r="K167" s="153" t="n"/>
      <c r="L167" s="69"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5">
        <f>計算!$BQ$4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61" t="inlineStr">
        <is>
          <t>年</t>
        </is>
      </c>
      <c r="U169" s="11" t="n"/>
      <c r="V169" s="11" t="n"/>
      <c r="W169" s="62"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74"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5" t="n"/>
      <c r="M172" s="156" t="n"/>
      <c r="N172" s="156" t="n"/>
      <c r="O172" s="156"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69"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61" t="inlineStr">
        <is>
          <t>年</t>
        </is>
      </c>
      <c r="U175" s="11" t="n"/>
      <c r="V175" s="11" t="n"/>
      <c r="W175" s="62"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74"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61" t="n"/>
      <c r="T177" s="61" t="n"/>
      <c r="U177" s="11" t="n"/>
      <c r="V177" s="11" t="n"/>
      <c r="W177" s="61" t="n"/>
      <c r="X177" s="62"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5" t="n"/>
      <c r="F178" s="156" t="n"/>
      <c r="G178" s="156" t="n"/>
      <c r="H178" s="156" t="n"/>
      <c r="I178" s="156" t="n"/>
      <c r="J178" s="156" t="n"/>
      <c r="K178" s="157" t="n"/>
      <c r="L178" s="155" t="n"/>
      <c r="M178" s="156" t="n"/>
      <c r="N178" s="156" t="n"/>
      <c r="O178" s="156"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5" t="n"/>
      <c r="BQ178" s="156" t="n"/>
      <c r="BR178" s="156" t="n"/>
      <c r="BS178" s="156" t="n"/>
      <c r="BT178" s="156" t="n"/>
      <c r="BU178" s="156" t="n"/>
      <c r="BV178" s="157" t="n"/>
      <c r="BW178" s="156" t="n"/>
      <c r="BX178" s="156" t="n"/>
      <c r="BY178" s="156" t="n"/>
      <c r="BZ178" s="156" t="n"/>
      <c r="CA178" s="156" t="n"/>
      <c r="CB178" s="156" t="n"/>
      <c r="CC178" s="156" t="n"/>
      <c r="CD178" s="156" t="n"/>
      <c r="CE178" s="156" t="n"/>
      <c r="CF178" s="156" t="n"/>
      <c r="CG178" s="156" t="n"/>
      <c r="CH178" s="156" t="n"/>
      <c r="CI178" s="156" t="n"/>
      <c r="CJ178" s="156" t="n"/>
      <c r="CK178" s="156" t="n"/>
      <c r="CL178" s="156" t="n"/>
      <c r="CM178" s="156" t="n"/>
      <c r="CN178" s="156" t="n"/>
      <c r="CO178" s="156" t="n"/>
      <c r="CP178" s="156" t="n"/>
      <c r="CQ178" s="156" t="n"/>
      <c r="CR178" s="156" t="n"/>
      <c r="CS178" s="156" t="n"/>
      <c r="CT178" s="156" t="n"/>
      <c r="CU178" s="156" t="n"/>
      <c r="CV178" s="156" t="n"/>
      <c r="CW178" s="156" t="n"/>
      <c r="CX178" s="156" t="n"/>
      <c r="CY178" s="156" t="n"/>
      <c r="CZ178" s="156" t="n"/>
      <c r="DA178" s="156" t="n"/>
      <c r="DB178" s="156" t="n"/>
      <c r="DC178" s="156" t="n"/>
      <c r="DD178" s="156" t="n"/>
      <c r="DE178" s="156" t="n"/>
      <c r="DF178" s="156" t="n"/>
      <c r="DG178" s="156" t="n"/>
      <c r="DH178" s="156" t="n"/>
      <c r="DI178" s="156" t="n"/>
      <c r="DJ178" s="156" t="n"/>
      <c r="DK178" s="156" t="n"/>
      <c r="DL178" s="156" t="n"/>
      <c r="DM178" s="156" t="n"/>
      <c r="DN178" s="156" t="n"/>
      <c r="DO178" s="156" t="n"/>
      <c r="DP178" s="156" t="n"/>
      <c r="DQ178" s="156" t="n"/>
      <c r="DR178" s="156" t="n"/>
      <c r="DS178" s="156" t="n"/>
      <c r="DT178" s="156" t="n"/>
      <c r="DU178" s="157"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87" t="inlineStr">
        <is>
          <t xml:space="preserve">    (近畿高等学校統一用紙　  その２ 　  令和７年度改定)　</t>
        </is>
      </c>
      <c r="DV180" s="2" t="n"/>
      <c r="DW180" s="2" t="n"/>
      <c r="DX180" s="2" t="n"/>
      <c r="DY180" s="2" t="n"/>
      <c r="DZ180" s="2" t="n"/>
      <c r="EA180" s="2" t="n"/>
      <c r="EB180" s="2" t="n"/>
      <c r="EC180" s="2" t="n"/>
    </row>
    <row r="181" hidden="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idden="1"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47"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64" t="inlineStr">
        <is>
          <t>令和</t>
        </is>
      </c>
      <c r="AD190" s="154">
        <f>IF(入力!$D$7="","",IF(N(設定!$B$3)=0,"",YEAR(設定!$B$3)-2018))&amp;""</f>
        <v/>
      </c>
      <c r="AG190" s="64" t="inlineStr">
        <is>
          <t>年</t>
        </is>
      </c>
      <c r="AI190" s="154">
        <f>IF(入力!$D$7="","",IF(N(設定!$B$3)=0,"",MONTH(設定!$B$3)))&amp;""</f>
        <v/>
      </c>
      <c r="AL190" s="64" t="inlineStr">
        <is>
          <t>月</t>
        </is>
      </c>
      <c r="AN190" s="154">
        <f>IF(入力!$D$7="","",IF(N(設定!$B$3)=0,"",DAY(設定!$B$3)))&amp;""</f>
        <v/>
      </c>
      <c r="AP190" s="64"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5" t="n"/>
      <c r="BX190" s="156" t="n"/>
      <c r="BY190" s="156" t="n"/>
      <c r="BZ190" s="156" t="n"/>
      <c r="CA190" s="156" t="n"/>
      <c r="CB190" s="156" t="n"/>
      <c r="CC190" s="156" t="n"/>
      <c r="CD190" s="156" t="n"/>
      <c r="CE190" s="156" t="n"/>
      <c r="CF190" s="156" t="n"/>
      <c r="CG190" s="157" t="n"/>
      <c r="CH190" s="155" t="n"/>
      <c r="CI190" s="156" t="n"/>
      <c r="CJ190" s="156" t="n"/>
      <c r="CK190" s="156" t="n"/>
      <c r="CL190" s="156" t="n"/>
      <c r="CM190" s="156" t="n"/>
      <c r="CN190" s="156" t="n"/>
      <c r="CO190" s="156" t="n"/>
      <c r="CP190" s="156" t="n"/>
      <c r="CQ190" s="156" t="n"/>
      <c r="CR190" s="156" t="n"/>
      <c r="CS190" s="156" t="n"/>
      <c r="CT190" s="156" t="n"/>
      <c r="CU190" s="156" t="n"/>
      <c r="CV190" s="156" t="n"/>
      <c r="CW190" s="156" t="n"/>
      <c r="CX190" s="156" t="n"/>
      <c r="CY190" s="156" t="n"/>
      <c r="CZ190" s="156" t="n"/>
      <c r="DA190" s="156" t="n"/>
      <c r="DB190" s="156" t="n"/>
      <c r="DC190" s="156" t="n"/>
      <c r="DD190" s="156" t="n"/>
      <c r="DE190" s="156" t="n"/>
      <c r="DF190" s="156" t="n"/>
      <c r="DG190" s="156" t="n"/>
      <c r="DH190" s="156" t="n"/>
      <c r="DI190" s="156" t="n"/>
      <c r="DJ190" s="156" t="n"/>
      <c r="DK190" s="156" t="n"/>
      <c r="DL190" s="156" t="n"/>
      <c r="DM190" s="156" t="n"/>
      <c r="DN190" s="156" t="n"/>
      <c r="DO190" s="156" t="n"/>
      <c r="DP190" s="156" t="n"/>
      <c r="DQ190" s="156" t="n"/>
      <c r="DR190" s="156" t="n"/>
      <c r="DS190" s="156" t="n"/>
      <c r="DT190" s="156" t="n"/>
      <c r="DU190" s="157"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68" t="inlineStr">
        <is>
          <t>写真をはる位置</t>
        </is>
      </c>
      <c r="BI191" s="8" t="n"/>
      <c r="BJ191" s="7" t="n"/>
      <c r="BK191" s="2" t="n"/>
      <c r="BL191" s="2" t="n"/>
      <c r="BM191" s="2" t="n"/>
      <c r="BN191" s="2" t="n"/>
      <c r="BO191" s="2" t="n"/>
      <c r="BP191" s="152" t="n"/>
      <c r="BV191" s="153" t="n"/>
      <c r="BW191" s="158">
        <f>計算!$CB$5</f>
        <v/>
      </c>
      <c r="CG191" s="153" t="n"/>
      <c r="CH191" s="159">
        <f>計算!$CC$5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6" t="n"/>
      <c r="AA192" s="156" t="n"/>
      <c r="AB192" s="156" t="n"/>
      <c r="AC192" s="156" t="n"/>
      <c r="AD192" s="156" t="n"/>
      <c r="AE192" s="156" t="n"/>
      <c r="AF192" s="156" t="n"/>
      <c r="AG192" s="156" t="n"/>
      <c r="AH192" s="156" t="n"/>
      <c r="AI192" s="156" t="n"/>
      <c r="AJ192" s="156" t="n"/>
      <c r="AK192" s="156" t="n"/>
      <c r="AL192" s="156" t="n"/>
      <c r="AM192" s="156" t="n"/>
      <c r="AN192" s="156" t="n"/>
      <c r="AO192" s="156" t="n"/>
      <c r="AP192" s="156" t="n"/>
      <c r="AQ192" s="156" t="n"/>
      <c r="AR192" s="156" t="n"/>
      <c r="AS192" s="156" t="n"/>
      <c r="AT192" s="156"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0">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5" t="n"/>
      <c r="F196" s="156" t="n"/>
      <c r="G196" s="156" t="n"/>
      <c r="H196" s="156" t="n"/>
      <c r="I196" s="156" t="n"/>
      <c r="J196" s="156" t="n"/>
      <c r="K196" s="157" t="n"/>
      <c r="L196" s="156" t="n"/>
      <c r="M196" s="156" t="n"/>
      <c r="N196" s="156" t="n"/>
      <c r="O196" s="156" t="n"/>
      <c r="P196" s="156" t="n"/>
      <c r="Q196" s="156" t="n"/>
      <c r="R196" s="156" t="n"/>
      <c r="S196" s="156" t="n"/>
      <c r="T196" s="156" t="n"/>
      <c r="U196" s="156" t="n"/>
      <c r="V196" s="156" t="n"/>
      <c r="W196" s="156" t="n"/>
      <c r="X196" s="156" t="n"/>
      <c r="Y196" s="156" t="n"/>
      <c r="Z196" s="156" t="n"/>
      <c r="AA196" s="156" t="n"/>
      <c r="AB196" s="156" t="n"/>
      <c r="AC196" s="156" t="n"/>
      <c r="AD196" s="156" t="n"/>
      <c r="AE196" s="156" t="n"/>
      <c r="AF196" s="156" t="n"/>
      <c r="AG196" s="156" t="n"/>
      <c r="AH196" s="156" t="n"/>
      <c r="AI196" s="156" t="n"/>
      <c r="AJ196" s="156" t="n"/>
      <c r="AK196" s="156" t="n"/>
      <c r="AL196" s="156" t="n"/>
      <c r="AM196" s="156" t="n"/>
      <c r="AN196" s="156" t="n"/>
      <c r="AO196" s="156" t="n"/>
      <c r="AP196" s="156" t="n"/>
      <c r="AQ196" s="156" t="n"/>
      <c r="AR196" s="156" t="n"/>
      <c r="AS196" s="156" t="n"/>
      <c r="AT196" s="157"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1" t="inlineStr">
        <is>
          <t>名　前</t>
        </is>
      </c>
      <c r="F197" s="149" t="n"/>
      <c r="G197" s="149" t="n"/>
      <c r="H197" s="149" t="n"/>
      <c r="I197" s="149" t="n"/>
      <c r="J197" s="149" t="n"/>
      <c r="K197" s="150" t="n"/>
      <c r="L197" s="162">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61"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5" t="n"/>
      <c r="F202" s="156" t="n"/>
      <c r="G202" s="156" t="n"/>
      <c r="H202" s="156" t="n"/>
      <c r="I202" s="156" t="n"/>
      <c r="J202" s="156" t="n"/>
      <c r="K202" s="157" t="n"/>
      <c r="L202" s="155" t="n"/>
      <c r="M202" s="156" t="n"/>
      <c r="N202" s="156" t="n"/>
      <c r="O202" s="156" t="n"/>
      <c r="P202" s="156" t="n"/>
      <c r="Q202" s="156" t="n"/>
      <c r="R202" s="156" t="n"/>
      <c r="S202" s="156" t="n"/>
      <c r="T202" s="156" t="n"/>
      <c r="U202" s="156" t="n"/>
      <c r="V202" s="156" t="n"/>
      <c r="W202" s="156" t="n"/>
      <c r="X202" s="156" t="n"/>
      <c r="Y202" s="156" t="n"/>
      <c r="Z202" s="156" t="n"/>
      <c r="AA202" s="156" t="n"/>
      <c r="AB202" s="156" t="n"/>
      <c r="AC202" s="156" t="n"/>
      <c r="AD202" s="156" t="n"/>
      <c r="AE202" s="156" t="n"/>
      <c r="AF202" s="156" t="n"/>
      <c r="AG202" s="156" t="n"/>
      <c r="AH202" s="156" t="n"/>
      <c r="AI202" s="156" t="n"/>
      <c r="AJ202" s="156" t="n"/>
      <c r="AK202" s="156" t="n"/>
      <c r="AL202" s="156" t="n"/>
      <c r="AM202" s="156" t="n"/>
      <c r="AN202" s="156" t="n"/>
      <c r="AO202" s="156" t="n"/>
      <c r="AP202" s="156" t="n"/>
      <c r="AQ202" s="156" t="n"/>
      <c r="AR202" s="156" t="n"/>
      <c r="AS202" s="156" t="n"/>
      <c r="AT202" s="157"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1" t="inlineStr">
        <is>
          <t>生年月日</t>
        </is>
      </c>
      <c r="F203" s="149" t="n"/>
      <c r="G203" s="149" t="n"/>
      <c r="H203" s="149" t="n"/>
      <c r="I203" s="149" t="n"/>
      <c r="J203" s="149" t="n"/>
      <c r="K203" s="150" t="n"/>
      <c r="L203" s="163" t="inlineStr">
        <is>
          <t>昭和 ・ 平成</t>
        </is>
      </c>
      <c r="M203" s="149" t="n"/>
      <c r="N203" s="149" t="n"/>
      <c r="O203" s="149" t="n"/>
      <c r="P203" s="149" t="n"/>
      <c r="Q203" s="149" t="n"/>
      <c r="R203" s="149" t="n"/>
      <c r="S203" s="149" t="n"/>
      <c r="T203" s="149" t="n"/>
      <c r="U203" s="149" t="n"/>
      <c r="V203" s="164">
        <f>計算!$D$5</f>
        <v/>
      </c>
      <c r="W203" s="149" t="n"/>
      <c r="X203" s="165" t="inlineStr">
        <is>
          <t>年</t>
        </is>
      </c>
      <c r="Y203" s="149" t="n"/>
      <c r="Z203" s="166">
        <f>計算!$E$5</f>
        <v/>
      </c>
      <c r="AA203" s="149" t="n"/>
      <c r="AB203" s="149" t="n"/>
      <c r="AC203" s="165" t="inlineStr">
        <is>
          <t>月</t>
        </is>
      </c>
      <c r="AD203" s="149" t="n"/>
      <c r="AE203" s="166">
        <f>計算!$F$5</f>
        <v/>
      </c>
      <c r="AF203" s="149" t="n"/>
      <c r="AG203" s="149" t="n"/>
      <c r="AH203" s="165" t="inlineStr">
        <is>
          <t>日　生 （満</t>
        </is>
      </c>
      <c r="AI203" s="149" t="n"/>
      <c r="AJ203" s="149" t="n"/>
      <c r="AK203" s="149" t="n"/>
      <c r="AL203" s="149" t="n"/>
      <c r="AM203" s="149" t="n"/>
      <c r="AN203" s="149" t="n"/>
      <c r="AO203" s="149" t="n"/>
      <c r="AP203" s="167">
        <f>計算!$G$5</f>
        <v/>
      </c>
      <c r="AQ203" s="149" t="n"/>
      <c r="AR203" s="168"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5" t="n"/>
      <c r="F206" s="156" t="n"/>
      <c r="G206" s="156" t="n"/>
      <c r="H206" s="156" t="n"/>
      <c r="I206" s="156" t="n"/>
      <c r="J206" s="156" t="n"/>
      <c r="K206" s="157" t="n"/>
      <c r="L206" s="155" t="n"/>
      <c r="M206" s="156" t="n"/>
      <c r="N206" s="156" t="n"/>
      <c r="O206" s="156" t="n"/>
      <c r="P206" s="156" t="n"/>
      <c r="Q206" s="156" t="n"/>
      <c r="R206" s="156" t="n"/>
      <c r="S206" s="156" t="n"/>
      <c r="T206" s="156" t="n"/>
      <c r="U206" s="156" t="n"/>
      <c r="X206" s="156" t="n"/>
      <c r="Y206" s="156" t="n"/>
      <c r="AC206" s="156" t="n"/>
      <c r="AD206" s="156" t="n"/>
      <c r="AH206" s="156" t="n"/>
      <c r="AI206" s="156" t="n"/>
      <c r="AJ206" s="156" t="n"/>
      <c r="AK206" s="156" t="n"/>
      <c r="AL206" s="156" t="n"/>
      <c r="AM206" s="156" t="n"/>
      <c r="AN206" s="156" t="n"/>
      <c r="AO206" s="156" t="n"/>
      <c r="AP206" s="156" t="n"/>
      <c r="AQ206" s="156" t="n"/>
      <c r="AR206" s="156" t="n"/>
      <c r="AS206" s="156" t="n"/>
      <c r="AT206" s="157"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69" t="inlineStr">
        <is>
          <t>ふ り が な</t>
        </is>
      </c>
      <c r="F207" s="149" t="n"/>
      <c r="G207" s="149" t="n"/>
      <c r="H207" s="149" t="n"/>
      <c r="I207" s="149" t="n"/>
      <c r="J207" s="149" t="n"/>
      <c r="K207" s="150" t="n"/>
      <c r="L207" s="170">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1" t="n"/>
      <c r="F209" s="172" t="n"/>
      <c r="G209" s="172" t="n"/>
      <c r="H209" s="172" t="n"/>
      <c r="I209" s="172" t="n"/>
      <c r="J209" s="172" t="n"/>
      <c r="K209" s="173" t="n"/>
      <c r="L209" s="172" t="n"/>
      <c r="M209" s="172" t="n"/>
      <c r="N209" s="172" t="n"/>
      <c r="O209" s="172" t="n"/>
      <c r="P209" s="172" t="n"/>
      <c r="Q209" s="172" t="n"/>
      <c r="R209" s="172" t="n"/>
      <c r="S209" s="172" t="n"/>
      <c r="T209" s="172" t="n"/>
      <c r="U209" s="172" t="n"/>
      <c r="V209" s="172" t="n"/>
      <c r="W209" s="172" t="n"/>
      <c r="X209" s="172" t="n"/>
      <c r="Y209" s="172" t="n"/>
      <c r="Z209" s="172" t="n"/>
      <c r="AA209" s="172" t="n"/>
      <c r="AB209" s="172" t="n"/>
      <c r="AC209" s="172" t="n"/>
      <c r="AD209" s="172" t="n"/>
      <c r="AE209" s="172" t="n"/>
      <c r="AF209" s="172" t="n"/>
      <c r="AG209" s="172" t="n"/>
      <c r="AH209" s="172" t="n"/>
      <c r="AI209" s="172" t="n"/>
      <c r="AJ209" s="172" t="n"/>
      <c r="AK209" s="172" t="n"/>
      <c r="AL209" s="172" t="n"/>
      <c r="AM209" s="172" t="n"/>
      <c r="AN209" s="172" t="n"/>
      <c r="AO209" s="172" t="n"/>
      <c r="AP209" s="172" t="n"/>
      <c r="AQ209" s="172" t="n"/>
      <c r="AR209" s="172" t="n"/>
      <c r="AS209" s="172" t="n"/>
      <c r="AT209" s="172" t="n"/>
      <c r="AU209" s="172" t="n"/>
      <c r="AV209" s="172" t="n"/>
      <c r="AW209" s="172" t="n"/>
      <c r="AX209" s="172" t="n"/>
      <c r="AY209" s="172" t="n"/>
      <c r="AZ209" s="172" t="n"/>
      <c r="BA209" s="172" t="n"/>
      <c r="BB209" s="172" t="n"/>
      <c r="BC209" s="172" t="n"/>
      <c r="BD209" s="172" t="n"/>
      <c r="BE209" s="172" t="n"/>
      <c r="BF209" s="172" t="n"/>
      <c r="BG209" s="172" t="n"/>
      <c r="BH209" s="172" t="n"/>
      <c r="BI209" s="173"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4" t="inlineStr">
        <is>
          <t>現住所</t>
        </is>
      </c>
      <c r="F210" s="175" t="n"/>
      <c r="G210" s="175" t="n"/>
      <c r="H210" s="175" t="n"/>
      <c r="I210" s="175" t="n"/>
      <c r="J210" s="175" t="n"/>
      <c r="K210" s="176" t="n"/>
      <c r="L210" s="83" t="inlineStr">
        <is>
          <t>〒</t>
        </is>
      </c>
      <c r="M210" s="175" t="n"/>
      <c r="N210" s="175" t="n"/>
      <c r="O210" s="175" t="n"/>
      <c r="P210" s="177">
        <f>計算!$H$5</f>
        <v/>
      </c>
      <c r="Q210" s="175" t="n"/>
      <c r="R210" s="175" t="n"/>
      <c r="S210" s="175" t="n"/>
      <c r="T210" s="175" t="n"/>
      <c r="U210" s="175" t="n"/>
      <c r="V210" s="175" t="n"/>
      <c r="W210" s="175" t="n"/>
      <c r="X210" s="175" t="n"/>
      <c r="Y210" s="175" t="n"/>
      <c r="Z210" s="175" t="n"/>
      <c r="AA210" s="175" t="n"/>
      <c r="AB210" s="175" t="n"/>
      <c r="AC210" s="175" t="n"/>
      <c r="AD210" s="175" t="n"/>
      <c r="AE210" s="175" t="n"/>
      <c r="AF210" s="175" t="n"/>
      <c r="AG210" s="175" t="n"/>
      <c r="AH210" s="175" t="n"/>
      <c r="AI210" s="175" t="n"/>
      <c r="AJ210" s="175"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5" t="n"/>
      <c r="BQ211" s="156" t="n"/>
      <c r="BR211" s="156" t="n"/>
      <c r="BS211" s="156" t="n"/>
      <c r="BT211" s="156" t="n"/>
      <c r="BU211" s="156" t="n"/>
      <c r="BV211" s="157" t="n"/>
      <c r="BW211" s="155" t="n"/>
      <c r="BX211" s="156" t="n"/>
      <c r="BY211" s="156" t="n"/>
      <c r="BZ211" s="156" t="n"/>
      <c r="CA211" s="156" t="n"/>
      <c r="CB211" s="156" t="n"/>
      <c r="CC211" s="156" t="n"/>
      <c r="CD211" s="156" t="n"/>
      <c r="CE211" s="156" t="n"/>
      <c r="CF211" s="156" t="n"/>
      <c r="CG211" s="157"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8" t="inlineStr">
        <is>
          <t>校内外の諸活動</t>
        </is>
      </c>
      <c r="BQ212" s="149" t="n"/>
      <c r="BR212" s="149" t="n"/>
      <c r="BS212" s="149" t="n"/>
      <c r="BT212" s="149" t="n"/>
      <c r="BU212" s="149" t="n"/>
      <c r="BV212" s="150" t="n"/>
      <c r="BW212" s="179">
        <f>計算!$BO$5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0">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5" t="n"/>
      <c r="F215" s="156" t="n"/>
      <c r="G215" s="156" t="n"/>
      <c r="H215" s="156" t="n"/>
      <c r="I215" s="156" t="n"/>
      <c r="J215" s="156" t="n"/>
      <c r="K215" s="157" t="n"/>
      <c r="L215" s="155" t="n"/>
      <c r="M215" s="156" t="n"/>
      <c r="N215" s="156" t="n"/>
      <c r="O215" s="156" t="n"/>
      <c r="P215" s="156" t="n"/>
      <c r="Q215" s="156" t="n"/>
      <c r="R215" s="156" t="n"/>
      <c r="S215" s="156" t="n"/>
      <c r="T215" s="156" t="n"/>
      <c r="U215" s="156" t="n"/>
      <c r="V215" s="156" t="n"/>
      <c r="W215" s="156" t="n"/>
      <c r="X215" s="156" t="n"/>
      <c r="Y215" s="156" t="n"/>
      <c r="Z215" s="156" t="n"/>
      <c r="AA215" s="156" t="n"/>
      <c r="AB215" s="156" t="n"/>
      <c r="AC215" s="156" t="n"/>
      <c r="AD215" s="156" t="n"/>
      <c r="AE215" s="156" t="n"/>
      <c r="AF215" s="156" t="n"/>
      <c r="AG215" s="156" t="n"/>
      <c r="AH215" s="156" t="n"/>
      <c r="AI215" s="156" t="n"/>
      <c r="AJ215" s="156" t="n"/>
      <c r="AK215" s="156" t="n"/>
      <c r="AL215" s="156" t="n"/>
      <c r="AM215" s="156" t="n"/>
      <c r="AN215" s="156" t="n"/>
      <c r="AO215" s="156" t="n"/>
      <c r="AP215" s="156" t="n"/>
      <c r="AQ215" s="156" t="n"/>
      <c r="AR215" s="156" t="n"/>
      <c r="AS215" s="156" t="n"/>
      <c r="AT215" s="156" t="n"/>
      <c r="AU215" s="156" t="n"/>
      <c r="AV215" s="156" t="n"/>
      <c r="AW215" s="156" t="n"/>
      <c r="AX215" s="156" t="n"/>
      <c r="AY215" s="156" t="n"/>
      <c r="AZ215" s="156" t="n"/>
      <c r="BA215" s="156" t="n"/>
      <c r="BB215" s="156" t="n"/>
      <c r="BC215" s="156" t="n"/>
      <c r="BD215" s="156" t="n"/>
      <c r="BE215" s="156" t="n"/>
      <c r="BF215" s="156" t="n"/>
      <c r="BG215" s="156" t="n"/>
      <c r="BH215" s="156" t="n"/>
      <c r="BI215" s="157"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69" t="inlineStr">
        <is>
          <t>ふ り が な</t>
        </is>
      </c>
      <c r="F216" s="149" t="n"/>
      <c r="G216" s="149" t="n"/>
      <c r="H216" s="149" t="n"/>
      <c r="I216" s="149" t="n"/>
      <c r="J216" s="149" t="n"/>
      <c r="K216" s="150" t="n"/>
      <c r="L216" s="170">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1" t="n"/>
      <c r="F218" s="172" t="n"/>
      <c r="G218" s="172" t="n"/>
      <c r="H218" s="172" t="n"/>
      <c r="I218" s="172" t="n"/>
      <c r="J218" s="172" t="n"/>
      <c r="K218" s="173" t="n"/>
      <c r="L218" s="172" t="n"/>
      <c r="M218" s="172" t="n"/>
      <c r="N218" s="172" t="n"/>
      <c r="O218" s="172" t="n"/>
      <c r="P218" s="172" t="n"/>
      <c r="Q218" s="172" t="n"/>
      <c r="R218" s="172" t="n"/>
      <c r="S218" s="172" t="n"/>
      <c r="T218" s="172" t="n"/>
      <c r="U218" s="172" t="n"/>
      <c r="V218" s="172" t="n"/>
      <c r="W218" s="172" t="n"/>
      <c r="X218" s="172" t="n"/>
      <c r="Y218" s="172" t="n"/>
      <c r="Z218" s="172" t="n"/>
      <c r="AA218" s="172" t="n"/>
      <c r="AB218" s="172" t="n"/>
      <c r="AC218" s="172" t="n"/>
      <c r="AD218" s="172" t="n"/>
      <c r="AE218" s="172" t="n"/>
      <c r="AF218" s="172" t="n"/>
      <c r="AG218" s="172" t="n"/>
      <c r="AH218" s="172" t="n"/>
      <c r="AI218" s="172" t="n"/>
      <c r="AJ218" s="172" t="n"/>
      <c r="AK218" s="172" t="n"/>
      <c r="AL218" s="172" t="n"/>
      <c r="AM218" s="172" t="n"/>
      <c r="AN218" s="172" t="n"/>
      <c r="AO218" s="172" t="n"/>
      <c r="AP218" s="172" t="n"/>
      <c r="AQ218" s="172" t="n"/>
      <c r="AR218" s="172" t="n"/>
      <c r="AS218" s="172" t="n"/>
      <c r="AT218" s="172" t="n"/>
      <c r="AU218" s="172" t="n"/>
      <c r="AV218" s="172" t="n"/>
      <c r="AW218" s="172" t="n"/>
      <c r="AX218" s="172" t="n"/>
      <c r="AY218" s="172" t="n"/>
      <c r="AZ218" s="172" t="n"/>
      <c r="BA218" s="172" t="n"/>
      <c r="BB218" s="172" t="n"/>
      <c r="BC218" s="172" t="n"/>
      <c r="BD218" s="172" t="n"/>
      <c r="BE218" s="172" t="n"/>
      <c r="BF218" s="172" t="n"/>
      <c r="BG218" s="172" t="n"/>
      <c r="BH218" s="172" t="n"/>
      <c r="BI218" s="173"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4" t="inlineStr">
        <is>
          <t>連絡先</t>
        </is>
      </c>
      <c r="F219" s="175" t="n"/>
      <c r="G219" s="175" t="n"/>
      <c r="H219" s="175" t="n"/>
      <c r="I219" s="175" t="n"/>
      <c r="J219" s="175" t="n"/>
      <c r="K219" s="176" t="n"/>
      <c r="L219" s="83" t="inlineStr">
        <is>
          <t>〒</t>
        </is>
      </c>
      <c r="M219" s="175" t="n"/>
      <c r="N219" s="175" t="n"/>
      <c r="O219" s="175" t="n"/>
      <c r="P219" s="181">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2">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5" t="n"/>
      <c r="F223" s="156" t="n"/>
      <c r="G223" s="156" t="n"/>
      <c r="H223" s="156" t="n"/>
      <c r="I223" s="156" t="n"/>
      <c r="J223" s="156" t="n"/>
      <c r="K223" s="157" t="n"/>
      <c r="L223" s="156" t="n"/>
      <c r="M223" s="156" t="n"/>
      <c r="N223" s="156" t="n"/>
      <c r="O223" s="156" t="n"/>
      <c r="P223" s="156" t="n"/>
      <c r="Q223" s="156" t="n"/>
      <c r="R223" s="156" t="n"/>
      <c r="S223" s="156" t="n"/>
      <c r="T223" s="156" t="n"/>
      <c r="U223" s="156" t="n"/>
      <c r="V223" s="156" t="n"/>
      <c r="W223" s="156" t="n"/>
      <c r="X223" s="156" t="n"/>
      <c r="Y223" s="156" t="n"/>
      <c r="Z223" s="156" t="n"/>
      <c r="AA223" s="156" t="n"/>
      <c r="AB223" s="156" t="n"/>
      <c r="AC223" s="156" t="n"/>
      <c r="AD223" s="156" t="n"/>
      <c r="AE223" s="156" t="n"/>
      <c r="AF223" s="156" t="n"/>
      <c r="AG223" s="156" t="n"/>
      <c r="AH223" s="156" t="n"/>
      <c r="AI223" s="156" t="n"/>
      <c r="AJ223" s="156" t="n"/>
      <c r="AK223" s="156" t="n"/>
      <c r="AL223" s="156" t="n"/>
      <c r="AM223" s="156" t="n"/>
      <c r="AN223" s="156" t="n"/>
      <c r="AO223" s="156" t="n"/>
      <c r="AP223" s="156" t="n"/>
      <c r="AQ223" s="156" t="n"/>
      <c r="AR223" s="156" t="n"/>
      <c r="AS223" s="156" t="n"/>
      <c r="AT223" s="156" t="n"/>
      <c r="AU223" s="156" t="n"/>
      <c r="AV223" s="156" t="n"/>
      <c r="AW223" s="156" t="n"/>
      <c r="AX223" s="156" t="n"/>
      <c r="AY223" s="156" t="n"/>
      <c r="AZ223" s="156" t="n"/>
      <c r="BA223" s="156" t="n"/>
      <c r="BB223" s="156" t="n"/>
      <c r="BC223" s="156" t="n"/>
      <c r="BD223" s="156" t="n"/>
      <c r="BE223" s="156" t="n"/>
      <c r="BF223" s="156" t="n"/>
      <c r="BG223" s="156" t="n"/>
      <c r="BH223" s="156" t="n"/>
      <c r="BI223" s="157"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86"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3" t="n"/>
      <c r="BQ229" s="149" t="n"/>
      <c r="BR229" s="184" t="n"/>
      <c r="BS229" s="149" t="n"/>
      <c r="BT229" s="149" t="n"/>
      <c r="BU229" s="28" t="n"/>
      <c r="BV229" s="29" t="n"/>
      <c r="BW229" s="185">
        <f>計算!$BP$5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115"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6"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107"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7">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188">
        <f>IF(入力!$D$7="","",設定!$B$6)&amp;""</f>
        <v/>
      </c>
      <c r="S237" s="11" t="n"/>
      <c r="T237" s="11" t="n"/>
      <c r="U237" s="188">
        <f>IF(入力!$D$7="","",設定!$B$7)&amp;""</f>
        <v/>
      </c>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110" t="inlineStr">
        <is>
          <t>令和</t>
        </is>
      </c>
      <c r="S238" s="61" t="inlineStr">
        <is>
          <t>年</t>
        </is>
      </c>
      <c r="W238" s="62"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90"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5" t="n"/>
      <c r="F242" s="156" t="n"/>
      <c r="G242" s="156" t="n"/>
      <c r="H242" s="156" t="n"/>
      <c r="I242" s="156" t="n"/>
      <c r="J242" s="156" t="n"/>
      <c r="K242" s="157"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6" t="n"/>
      <c r="AX242" s="156" t="n"/>
      <c r="AY242" s="156" t="n"/>
      <c r="AZ242" s="156" t="n"/>
      <c r="BA242" s="156" t="n"/>
      <c r="BB242" s="156" t="n"/>
      <c r="BC242" s="156" t="n"/>
      <c r="BD242" s="156" t="n"/>
      <c r="BE242" s="156" t="n"/>
      <c r="BF242" s="156" t="n"/>
      <c r="BG242" s="156" t="n"/>
      <c r="BH242" s="156" t="n"/>
      <c r="BI242" s="157"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58" t="n"/>
      <c r="T243" s="149" t="n"/>
      <c r="U243" s="17" t="n"/>
      <c r="V243" s="17" t="n"/>
      <c r="W243" s="58"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89" t="inlineStr">
        <is>
          <t>職　歴</t>
        </is>
      </c>
      <c r="K246" s="153" t="n"/>
      <c r="L246" s="69" t="inlineStr">
        <is>
          <t>平成</t>
        </is>
      </c>
      <c r="M246" s="149" t="n"/>
      <c r="N246" s="149" t="n"/>
      <c r="O246" s="149" t="n"/>
      <c r="P246" s="19" t="n"/>
      <c r="Q246" s="19" t="n"/>
      <c r="R246" s="19" t="n"/>
      <c r="S246" s="19" t="n"/>
      <c r="T246" s="19" t="n"/>
      <c r="U246" s="19" t="n"/>
      <c r="V246" s="19" t="n"/>
      <c r="W246" s="19" t="n"/>
      <c r="X246" s="37" t="n"/>
      <c r="Y246" s="180">
        <f>計算!$BT$5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8">
        <f>計算!$BR$5</f>
        <v/>
      </c>
      <c r="S248" s="61" t="inlineStr">
        <is>
          <t>年</t>
        </is>
      </c>
      <c r="U248" s="190">
        <f>計算!$BS$5</f>
        <v/>
      </c>
      <c r="W248" s="62"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74"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5" t="n"/>
      <c r="M251" s="156" t="n"/>
      <c r="N251" s="156" t="n"/>
      <c r="O251" s="156" t="n"/>
      <c r="P251" s="20" t="n"/>
      <c r="Q251" s="20" t="n"/>
      <c r="R251" s="20" t="n"/>
      <c r="S251" s="20" t="n"/>
      <c r="T251" s="20" t="n"/>
      <c r="U251" s="20" t="n"/>
      <c r="V251" s="20" t="n"/>
      <c r="W251" s="20" t="n"/>
      <c r="X251" s="39" t="n"/>
      <c r="Y251" s="155" t="n"/>
      <c r="Z251" s="156" t="n"/>
      <c r="AA251" s="156" t="n"/>
      <c r="AB251" s="156" t="n"/>
      <c r="AC251" s="156" t="n"/>
      <c r="AD251" s="156" t="n"/>
      <c r="AE251" s="156" t="n"/>
      <c r="AF251" s="156" t="n"/>
      <c r="AG251" s="156" t="n"/>
      <c r="AH251" s="156" t="n"/>
      <c r="AI251" s="156" t="n"/>
      <c r="AJ251" s="156" t="n"/>
      <c r="AK251" s="156" t="n"/>
      <c r="AL251" s="156" t="n"/>
      <c r="AM251" s="156" t="n"/>
      <c r="AN251" s="156" t="n"/>
      <c r="AO251" s="156" t="n"/>
      <c r="AP251" s="156" t="n"/>
      <c r="AQ251" s="156" t="n"/>
      <c r="AR251" s="156" t="n"/>
      <c r="AS251" s="156" t="n"/>
      <c r="AT251" s="156" t="n"/>
      <c r="AU251" s="156" t="n"/>
      <c r="AV251" s="156" t="n"/>
      <c r="AW251" s="156" t="n"/>
      <c r="AX251" s="156" t="n"/>
      <c r="AY251" s="156" t="n"/>
      <c r="AZ251" s="156" t="n"/>
      <c r="BA251" s="156" t="n"/>
      <c r="BB251" s="156" t="n"/>
      <c r="BC251" s="156" t="n"/>
      <c r="BD251" s="156" t="n"/>
      <c r="BE251" s="156" t="n"/>
      <c r="BF251" s="156" t="n"/>
      <c r="BG251" s="156" t="n"/>
      <c r="BH251" s="156" t="n"/>
      <c r="BI251" s="157"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69" t="inlineStr">
        <is>
          <t>平成</t>
        </is>
      </c>
      <c r="M252" s="149" t="n"/>
      <c r="N252" s="149" t="n"/>
      <c r="O252" s="149" t="n"/>
      <c r="P252" s="18" t="n"/>
      <c r="Q252" s="18" t="n"/>
      <c r="R252" s="18" t="n"/>
      <c r="S252" s="18" t="n"/>
      <c r="T252" s="18" t="n"/>
      <c r="U252" s="18" t="n"/>
      <c r="V252" s="18" t="n"/>
      <c r="W252" s="18" t="n"/>
      <c r="X252" s="35" t="n"/>
      <c r="Y252" s="180">
        <f>計算!$BW$5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8">
        <f>計算!$BU$5</f>
        <v/>
      </c>
      <c r="S254" s="61" t="inlineStr">
        <is>
          <t>年</t>
        </is>
      </c>
      <c r="U254" s="190">
        <f>計算!$BV$5</f>
        <v/>
      </c>
      <c r="W254" s="62"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74"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5" t="n"/>
      <c r="M257" s="156" t="n"/>
      <c r="N257" s="156" t="n"/>
      <c r="O257" s="156" t="n"/>
      <c r="P257" s="20" t="n"/>
      <c r="Q257" s="20" t="n"/>
      <c r="R257" s="20" t="n"/>
      <c r="S257" s="20" t="n"/>
      <c r="T257" s="20" t="n"/>
      <c r="U257" s="20" t="n"/>
      <c r="V257" s="20" t="n"/>
      <c r="W257" s="20" t="n"/>
      <c r="X257" s="39" t="n"/>
      <c r="Y257" s="155" t="n"/>
      <c r="Z257" s="156" t="n"/>
      <c r="AA257" s="156" t="n"/>
      <c r="AB257" s="156" t="n"/>
      <c r="AC257" s="156" t="n"/>
      <c r="AD257" s="156" t="n"/>
      <c r="AE257" s="156" t="n"/>
      <c r="AF257" s="156" t="n"/>
      <c r="AG257" s="156" t="n"/>
      <c r="AH257" s="156" t="n"/>
      <c r="AI257" s="156" t="n"/>
      <c r="AJ257" s="156" t="n"/>
      <c r="AK257" s="156" t="n"/>
      <c r="AL257" s="156" t="n"/>
      <c r="AM257" s="156" t="n"/>
      <c r="AN257" s="156" t="n"/>
      <c r="AO257" s="156" t="n"/>
      <c r="AP257" s="156" t="n"/>
      <c r="AQ257" s="156" t="n"/>
      <c r="AR257" s="156" t="n"/>
      <c r="AS257" s="156" t="n"/>
      <c r="AT257" s="156" t="n"/>
      <c r="AU257" s="156" t="n"/>
      <c r="AV257" s="156" t="n"/>
      <c r="AW257" s="156" t="n"/>
      <c r="AX257" s="156" t="n"/>
      <c r="AY257" s="156" t="n"/>
      <c r="AZ257" s="156" t="n"/>
      <c r="BA257" s="156" t="n"/>
      <c r="BB257" s="156" t="n"/>
      <c r="BC257" s="156" t="n"/>
      <c r="BD257" s="156" t="n"/>
      <c r="BE257" s="156" t="n"/>
      <c r="BF257" s="156" t="n"/>
      <c r="BG257" s="156" t="n"/>
      <c r="BH257" s="156" t="n"/>
      <c r="BI257" s="157" t="n"/>
      <c r="BJ257" s="2" t="n"/>
      <c r="BK257" s="2" t="n"/>
      <c r="BL257" s="2" t="n"/>
      <c r="BM257" s="2" t="n"/>
      <c r="BN257" s="2" t="n"/>
      <c r="BO257" s="2" t="n"/>
      <c r="BP257" s="155" t="n"/>
      <c r="BQ257" s="156" t="n"/>
      <c r="BR257" s="156" t="n"/>
      <c r="BS257" s="156" t="n"/>
      <c r="BT257" s="156" t="n"/>
      <c r="BU257" s="42" t="n"/>
      <c r="BV257" s="45" t="n"/>
      <c r="BW257" s="156" t="n"/>
      <c r="BX257" s="156" t="n"/>
      <c r="BY257" s="156" t="n"/>
      <c r="BZ257" s="156" t="n"/>
      <c r="CA257" s="156" t="n"/>
      <c r="CB257" s="156" t="n"/>
      <c r="CC257" s="156" t="n"/>
      <c r="CD257" s="156" t="n"/>
      <c r="CE257" s="156" t="n"/>
      <c r="CF257" s="156" t="n"/>
      <c r="CG257" s="156" t="n"/>
      <c r="CH257" s="156" t="n"/>
      <c r="CI257" s="156" t="n"/>
      <c r="CJ257" s="156" t="n"/>
      <c r="CK257" s="156" t="n"/>
      <c r="CL257" s="156" t="n"/>
      <c r="CM257" s="156" t="n"/>
      <c r="CN257" s="156" t="n"/>
      <c r="CO257" s="156" t="n"/>
      <c r="CP257" s="156" t="n"/>
      <c r="CQ257" s="156" t="n"/>
      <c r="CR257" s="156" t="n"/>
      <c r="CS257" s="156" t="n"/>
      <c r="CT257" s="156" t="n"/>
      <c r="CU257" s="156" t="n"/>
      <c r="CV257" s="156" t="n"/>
      <c r="CW257" s="156" t="n"/>
      <c r="CX257" s="156" t="n"/>
      <c r="CY257" s="156" t="n"/>
      <c r="CZ257" s="156" t="n"/>
      <c r="DA257" s="156" t="n"/>
      <c r="DB257" s="156" t="n"/>
      <c r="DC257" s="156" t="n"/>
      <c r="DD257" s="156" t="n"/>
      <c r="DE257" s="156" t="n"/>
      <c r="DF257" s="156" t="n"/>
      <c r="DG257" s="156" t="n"/>
      <c r="DH257" s="156" t="n"/>
      <c r="DI257" s="156" t="n"/>
      <c r="DJ257" s="156" t="n"/>
      <c r="DK257" s="156" t="n"/>
      <c r="DL257" s="156" t="n"/>
      <c r="DM257" s="156" t="n"/>
      <c r="DN257" s="156" t="n"/>
      <c r="DO257" s="156" t="n"/>
      <c r="DP257" s="156" t="n"/>
      <c r="DQ257" s="156" t="n"/>
      <c r="DR257" s="156" t="n"/>
      <c r="DS257" s="156" t="n"/>
      <c r="DT257" s="156" t="n"/>
      <c r="DU257" s="157" t="n"/>
      <c r="DV257" s="2" t="n"/>
      <c r="DW257" s="2" t="n"/>
      <c r="DX257" s="2" t="n"/>
      <c r="DY257" s="2" t="n"/>
      <c r="DZ257" s="2" t="n"/>
      <c r="EA257" s="2" t="n"/>
      <c r="EB257" s="2" t="n"/>
      <c r="EC257" s="2" t="n"/>
    </row>
    <row r="258" ht="6.75" customHeight="1" s="118">
      <c r="A258" s="2" t="n"/>
      <c r="B258" s="2" t="n"/>
      <c r="C258" s="2" t="n"/>
      <c r="D258" s="2" t="n"/>
      <c r="E258" s="152" t="n"/>
      <c r="K258" s="153" t="n"/>
      <c r="L258" s="69"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5">
        <f>計算!$BQ$5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61" t="inlineStr">
        <is>
          <t>年</t>
        </is>
      </c>
      <c r="U260" s="11" t="n"/>
      <c r="V260" s="11" t="n"/>
      <c r="W260" s="62"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74"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5" t="n"/>
      <c r="M263" s="156" t="n"/>
      <c r="N263" s="156" t="n"/>
      <c r="O263" s="156"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69"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61" t="inlineStr">
        <is>
          <t>年</t>
        </is>
      </c>
      <c r="U266" s="11" t="n"/>
      <c r="V266" s="11" t="n"/>
      <c r="W266" s="62"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74"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61" t="n"/>
      <c r="T268" s="61" t="n"/>
      <c r="U268" s="11" t="n"/>
      <c r="V268" s="11" t="n"/>
      <c r="W268" s="61" t="n"/>
      <c r="X268" s="62"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5" t="n"/>
      <c r="F269" s="156" t="n"/>
      <c r="G269" s="156" t="n"/>
      <c r="H269" s="156" t="n"/>
      <c r="I269" s="156" t="n"/>
      <c r="J269" s="156" t="n"/>
      <c r="K269" s="157" t="n"/>
      <c r="L269" s="155" t="n"/>
      <c r="M269" s="156" t="n"/>
      <c r="N269" s="156" t="n"/>
      <c r="O269" s="156"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5" t="n"/>
      <c r="BQ269" s="156" t="n"/>
      <c r="BR269" s="156" t="n"/>
      <c r="BS269" s="156" t="n"/>
      <c r="BT269" s="156" t="n"/>
      <c r="BU269" s="156" t="n"/>
      <c r="BV269" s="157" t="n"/>
      <c r="BW269" s="156" t="n"/>
      <c r="BX269" s="156" t="n"/>
      <c r="BY269" s="156" t="n"/>
      <c r="BZ269" s="156" t="n"/>
      <c r="CA269" s="156" t="n"/>
      <c r="CB269" s="156" t="n"/>
      <c r="CC269" s="156" t="n"/>
      <c r="CD269" s="156" t="n"/>
      <c r="CE269" s="156" t="n"/>
      <c r="CF269" s="156" t="n"/>
      <c r="CG269" s="156" t="n"/>
      <c r="CH269" s="156" t="n"/>
      <c r="CI269" s="156" t="n"/>
      <c r="CJ269" s="156" t="n"/>
      <c r="CK269" s="156" t="n"/>
      <c r="CL269" s="156" t="n"/>
      <c r="CM269" s="156" t="n"/>
      <c r="CN269" s="156" t="n"/>
      <c r="CO269" s="156" t="n"/>
      <c r="CP269" s="156" t="n"/>
      <c r="CQ269" s="156" t="n"/>
      <c r="CR269" s="156" t="n"/>
      <c r="CS269" s="156" t="n"/>
      <c r="CT269" s="156" t="n"/>
      <c r="CU269" s="156" t="n"/>
      <c r="CV269" s="156" t="n"/>
      <c r="CW269" s="156" t="n"/>
      <c r="CX269" s="156" t="n"/>
      <c r="CY269" s="156" t="n"/>
      <c r="CZ269" s="156" t="n"/>
      <c r="DA269" s="156" t="n"/>
      <c r="DB269" s="156" t="n"/>
      <c r="DC269" s="156" t="n"/>
      <c r="DD269" s="156" t="n"/>
      <c r="DE269" s="156" t="n"/>
      <c r="DF269" s="156" t="n"/>
      <c r="DG269" s="156" t="n"/>
      <c r="DH269" s="156" t="n"/>
      <c r="DI269" s="156" t="n"/>
      <c r="DJ269" s="156" t="n"/>
      <c r="DK269" s="156" t="n"/>
      <c r="DL269" s="156" t="n"/>
      <c r="DM269" s="156" t="n"/>
      <c r="DN269" s="156" t="n"/>
      <c r="DO269" s="156" t="n"/>
      <c r="DP269" s="156" t="n"/>
      <c r="DQ269" s="156" t="n"/>
      <c r="DR269" s="156" t="n"/>
      <c r="DS269" s="156" t="n"/>
      <c r="DT269" s="156" t="n"/>
      <c r="DU269" s="157"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87" t="inlineStr">
        <is>
          <t xml:space="preserve">    (近畿高等学校統一用紙　  その２ 　  令和７年度改定)　</t>
        </is>
      </c>
      <c r="DV271" s="2" t="n"/>
      <c r="DW271" s="2" t="n"/>
      <c r="DX271" s="2" t="n"/>
      <c r="DY271" s="2" t="n"/>
      <c r="DZ271" s="2" t="n"/>
      <c r="EA271" s="2" t="n"/>
      <c r="EB271" s="2" t="n"/>
      <c r="EC271" s="2" t="n"/>
    </row>
    <row r="272" hidden="1"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idden="1"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47"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64" t="inlineStr">
        <is>
          <t>令和</t>
        </is>
      </c>
      <c r="AD281" s="154">
        <f>IF(入力!$D$8="","",IF(N(設定!$B$3)=0,"",YEAR(設定!$B$3)-2018))&amp;""</f>
        <v/>
      </c>
      <c r="AG281" s="64" t="inlineStr">
        <is>
          <t>年</t>
        </is>
      </c>
      <c r="AI281" s="154">
        <f>IF(入力!$D$8="","",IF(N(設定!$B$3)=0,"",MONTH(設定!$B$3)))&amp;""</f>
        <v/>
      </c>
      <c r="AL281" s="64" t="inlineStr">
        <is>
          <t>月</t>
        </is>
      </c>
      <c r="AN281" s="154">
        <f>IF(入力!$D$8="","",IF(N(設定!$B$3)=0,"",DAY(設定!$B$3)))&amp;""</f>
        <v/>
      </c>
      <c r="AP281" s="64"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5" t="n"/>
      <c r="BX281" s="156" t="n"/>
      <c r="BY281" s="156" t="n"/>
      <c r="BZ281" s="156" t="n"/>
      <c r="CA281" s="156" t="n"/>
      <c r="CB281" s="156" t="n"/>
      <c r="CC281" s="156" t="n"/>
      <c r="CD281" s="156" t="n"/>
      <c r="CE281" s="156" t="n"/>
      <c r="CF281" s="156" t="n"/>
      <c r="CG281" s="157" t="n"/>
      <c r="CH281" s="155" t="n"/>
      <c r="CI281" s="156" t="n"/>
      <c r="CJ281" s="156" t="n"/>
      <c r="CK281" s="156" t="n"/>
      <c r="CL281" s="156" t="n"/>
      <c r="CM281" s="156" t="n"/>
      <c r="CN281" s="156" t="n"/>
      <c r="CO281" s="156" t="n"/>
      <c r="CP281" s="156" t="n"/>
      <c r="CQ281" s="156" t="n"/>
      <c r="CR281" s="156" t="n"/>
      <c r="CS281" s="156" t="n"/>
      <c r="CT281" s="156" t="n"/>
      <c r="CU281" s="156" t="n"/>
      <c r="CV281" s="156" t="n"/>
      <c r="CW281" s="156" t="n"/>
      <c r="CX281" s="156" t="n"/>
      <c r="CY281" s="156" t="n"/>
      <c r="CZ281" s="156" t="n"/>
      <c r="DA281" s="156" t="n"/>
      <c r="DB281" s="156" t="n"/>
      <c r="DC281" s="156" t="n"/>
      <c r="DD281" s="156" t="n"/>
      <c r="DE281" s="156" t="n"/>
      <c r="DF281" s="156" t="n"/>
      <c r="DG281" s="156" t="n"/>
      <c r="DH281" s="156" t="n"/>
      <c r="DI281" s="156" t="n"/>
      <c r="DJ281" s="156" t="n"/>
      <c r="DK281" s="156" t="n"/>
      <c r="DL281" s="156" t="n"/>
      <c r="DM281" s="156" t="n"/>
      <c r="DN281" s="156" t="n"/>
      <c r="DO281" s="156" t="n"/>
      <c r="DP281" s="156" t="n"/>
      <c r="DQ281" s="156" t="n"/>
      <c r="DR281" s="156" t="n"/>
      <c r="DS281" s="156" t="n"/>
      <c r="DT281" s="156" t="n"/>
      <c r="DU281" s="157"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68" t="inlineStr">
        <is>
          <t>写真をはる位置</t>
        </is>
      </c>
      <c r="BI282" s="8" t="n"/>
      <c r="BJ282" s="7" t="n"/>
      <c r="BK282" s="2" t="n"/>
      <c r="BL282" s="2" t="n"/>
      <c r="BM282" s="2" t="n"/>
      <c r="BN282" s="2" t="n"/>
      <c r="BO282" s="2" t="n"/>
      <c r="BP282" s="152" t="n"/>
      <c r="BV282" s="153" t="n"/>
      <c r="BW282" s="158">
        <f>計算!$CB$6</f>
        <v/>
      </c>
      <c r="CG282" s="153" t="n"/>
      <c r="CH282" s="159">
        <f>計算!$CC$6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6" t="n"/>
      <c r="AA283" s="156" t="n"/>
      <c r="AB283" s="156" t="n"/>
      <c r="AC283" s="156" t="n"/>
      <c r="AD283" s="156" t="n"/>
      <c r="AE283" s="156" t="n"/>
      <c r="AF283" s="156" t="n"/>
      <c r="AG283" s="156" t="n"/>
      <c r="AH283" s="156" t="n"/>
      <c r="AI283" s="156" t="n"/>
      <c r="AJ283" s="156" t="n"/>
      <c r="AK283" s="156" t="n"/>
      <c r="AL283" s="156" t="n"/>
      <c r="AM283" s="156" t="n"/>
      <c r="AN283" s="156" t="n"/>
      <c r="AO283" s="156" t="n"/>
      <c r="AP283" s="156" t="n"/>
      <c r="AQ283" s="156" t="n"/>
      <c r="AR283" s="156" t="n"/>
      <c r="AS283" s="156" t="n"/>
      <c r="AT283" s="156"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0">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5" t="n"/>
      <c r="F287" s="156" t="n"/>
      <c r="G287" s="156" t="n"/>
      <c r="H287" s="156" t="n"/>
      <c r="I287" s="156" t="n"/>
      <c r="J287" s="156" t="n"/>
      <c r="K287" s="157" t="n"/>
      <c r="L287" s="156" t="n"/>
      <c r="M287" s="156" t="n"/>
      <c r="N287" s="156" t="n"/>
      <c r="O287" s="156" t="n"/>
      <c r="P287" s="156" t="n"/>
      <c r="Q287" s="156" t="n"/>
      <c r="R287" s="156" t="n"/>
      <c r="S287" s="156" t="n"/>
      <c r="T287" s="156" t="n"/>
      <c r="U287" s="156" t="n"/>
      <c r="V287" s="156" t="n"/>
      <c r="W287" s="156" t="n"/>
      <c r="X287" s="156" t="n"/>
      <c r="Y287" s="156" t="n"/>
      <c r="Z287" s="156" t="n"/>
      <c r="AA287" s="156" t="n"/>
      <c r="AB287" s="156" t="n"/>
      <c r="AC287" s="156" t="n"/>
      <c r="AD287" s="156" t="n"/>
      <c r="AE287" s="156" t="n"/>
      <c r="AF287" s="156" t="n"/>
      <c r="AG287" s="156" t="n"/>
      <c r="AH287" s="156" t="n"/>
      <c r="AI287" s="156" t="n"/>
      <c r="AJ287" s="156" t="n"/>
      <c r="AK287" s="156" t="n"/>
      <c r="AL287" s="156" t="n"/>
      <c r="AM287" s="156" t="n"/>
      <c r="AN287" s="156" t="n"/>
      <c r="AO287" s="156" t="n"/>
      <c r="AP287" s="156" t="n"/>
      <c r="AQ287" s="156" t="n"/>
      <c r="AR287" s="156" t="n"/>
      <c r="AS287" s="156" t="n"/>
      <c r="AT287" s="157"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1" t="inlineStr">
        <is>
          <t>名　前</t>
        </is>
      </c>
      <c r="F288" s="149" t="n"/>
      <c r="G288" s="149" t="n"/>
      <c r="H288" s="149" t="n"/>
      <c r="I288" s="149" t="n"/>
      <c r="J288" s="149" t="n"/>
      <c r="K288" s="150" t="n"/>
      <c r="L288" s="162">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61"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5" t="n"/>
      <c r="F293" s="156" t="n"/>
      <c r="G293" s="156" t="n"/>
      <c r="H293" s="156" t="n"/>
      <c r="I293" s="156" t="n"/>
      <c r="J293" s="156" t="n"/>
      <c r="K293" s="157" t="n"/>
      <c r="L293" s="155" t="n"/>
      <c r="M293" s="156" t="n"/>
      <c r="N293" s="156" t="n"/>
      <c r="O293" s="156" t="n"/>
      <c r="P293" s="156" t="n"/>
      <c r="Q293" s="156" t="n"/>
      <c r="R293" s="156" t="n"/>
      <c r="S293" s="156" t="n"/>
      <c r="T293" s="156" t="n"/>
      <c r="U293" s="156" t="n"/>
      <c r="V293" s="156" t="n"/>
      <c r="W293" s="156" t="n"/>
      <c r="X293" s="156" t="n"/>
      <c r="Y293" s="156" t="n"/>
      <c r="Z293" s="156" t="n"/>
      <c r="AA293" s="156" t="n"/>
      <c r="AB293" s="156" t="n"/>
      <c r="AC293" s="156" t="n"/>
      <c r="AD293" s="156" t="n"/>
      <c r="AE293" s="156" t="n"/>
      <c r="AF293" s="156" t="n"/>
      <c r="AG293" s="156" t="n"/>
      <c r="AH293" s="156" t="n"/>
      <c r="AI293" s="156" t="n"/>
      <c r="AJ293" s="156" t="n"/>
      <c r="AK293" s="156" t="n"/>
      <c r="AL293" s="156" t="n"/>
      <c r="AM293" s="156" t="n"/>
      <c r="AN293" s="156" t="n"/>
      <c r="AO293" s="156" t="n"/>
      <c r="AP293" s="156" t="n"/>
      <c r="AQ293" s="156" t="n"/>
      <c r="AR293" s="156" t="n"/>
      <c r="AS293" s="156" t="n"/>
      <c r="AT293" s="157"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1" t="inlineStr">
        <is>
          <t>生年月日</t>
        </is>
      </c>
      <c r="F294" s="149" t="n"/>
      <c r="G294" s="149" t="n"/>
      <c r="H294" s="149" t="n"/>
      <c r="I294" s="149" t="n"/>
      <c r="J294" s="149" t="n"/>
      <c r="K294" s="150" t="n"/>
      <c r="L294" s="163" t="inlineStr">
        <is>
          <t>昭和 ・ 平成</t>
        </is>
      </c>
      <c r="M294" s="149" t="n"/>
      <c r="N294" s="149" t="n"/>
      <c r="O294" s="149" t="n"/>
      <c r="P294" s="149" t="n"/>
      <c r="Q294" s="149" t="n"/>
      <c r="R294" s="149" t="n"/>
      <c r="S294" s="149" t="n"/>
      <c r="T294" s="149" t="n"/>
      <c r="U294" s="149" t="n"/>
      <c r="V294" s="164">
        <f>計算!$D$6</f>
        <v/>
      </c>
      <c r="W294" s="149" t="n"/>
      <c r="X294" s="165" t="inlineStr">
        <is>
          <t>年</t>
        </is>
      </c>
      <c r="Y294" s="149" t="n"/>
      <c r="Z294" s="166">
        <f>計算!$E$6</f>
        <v/>
      </c>
      <c r="AA294" s="149" t="n"/>
      <c r="AB294" s="149" t="n"/>
      <c r="AC294" s="165" t="inlineStr">
        <is>
          <t>月</t>
        </is>
      </c>
      <c r="AD294" s="149" t="n"/>
      <c r="AE294" s="166">
        <f>計算!$F$6</f>
        <v/>
      </c>
      <c r="AF294" s="149" t="n"/>
      <c r="AG294" s="149" t="n"/>
      <c r="AH294" s="165" t="inlineStr">
        <is>
          <t>日　生 （満</t>
        </is>
      </c>
      <c r="AI294" s="149" t="n"/>
      <c r="AJ294" s="149" t="n"/>
      <c r="AK294" s="149" t="n"/>
      <c r="AL294" s="149" t="n"/>
      <c r="AM294" s="149" t="n"/>
      <c r="AN294" s="149" t="n"/>
      <c r="AO294" s="149" t="n"/>
      <c r="AP294" s="167">
        <f>計算!$G$6</f>
        <v/>
      </c>
      <c r="AQ294" s="149" t="n"/>
      <c r="AR294" s="168"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5" t="n"/>
      <c r="F297" s="156" t="n"/>
      <c r="G297" s="156" t="n"/>
      <c r="H297" s="156" t="n"/>
      <c r="I297" s="156" t="n"/>
      <c r="J297" s="156" t="n"/>
      <c r="K297" s="157" t="n"/>
      <c r="L297" s="155" t="n"/>
      <c r="M297" s="156" t="n"/>
      <c r="N297" s="156" t="n"/>
      <c r="O297" s="156" t="n"/>
      <c r="P297" s="156" t="n"/>
      <c r="Q297" s="156" t="n"/>
      <c r="R297" s="156" t="n"/>
      <c r="S297" s="156" t="n"/>
      <c r="T297" s="156" t="n"/>
      <c r="U297" s="156" t="n"/>
      <c r="X297" s="156" t="n"/>
      <c r="Y297" s="156" t="n"/>
      <c r="AC297" s="156" t="n"/>
      <c r="AD297" s="156" t="n"/>
      <c r="AH297" s="156" t="n"/>
      <c r="AI297" s="156" t="n"/>
      <c r="AJ297" s="156" t="n"/>
      <c r="AK297" s="156" t="n"/>
      <c r="AL297" s="156" t="n"/>
      <c r="AM297" s="156" t="n"/>
      <c r="AN297" s="156" t="n"/>
      <c r="AO297" s="156" t="n"/>
      <c r="AP297" s="156" t="n"/>
      <c r="AQ297" s="156" t="n"/>
      <c r="AR297" s="156" t="n"/>
      <c r="AS297" s="156" t="n"/>
      <c r="AT297" s="157"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69" t="inlineStr">
        <is>
          <t>ふ り が な</t>
        </is>
      </c>
      <c r="F298" s="149" t="n"/>
      <c r="G298" s="149" t="n"/>
      <c r="H298" s="149" t="n"/>
      <c r="I298" s="149" t="n"/>
      <c r="J298" s="149" t="n"/>
      <c r="K298" s="150" t="n"/>
      <c r="L298" s="170">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1" t="n"/>
      <c r="F300" s="172" t="n"/>
      <c r="G300" s="172" t="n"/>
      <c r="H300" s="172" t="n"/>
      <c r="I300" s="172" t="n"/>
      <c r="J300" s="172" t="n"/>
      <c r="K300" s="173" t="n"/>
      <c r="L300" s="172" t="n"/>
      <c r="M300" s="172" t="n"/>
      <c r="N300" s="172" t="n"/>
      <c r="O300" s="172" t="n"/>
      <c r="P300" s="172" t="n"/>
      <c r="Q300" s="172" t="n"/>
      <c r="R300" s="172" t="n"/>
      <c r="S300" s="172" t="n"/>
      <c r="T300" s="172" t="n"/>
      <c r="U300" s="172" t="n"/>
      <c r="V300" s="172" t="n"/>
      <c r="W300" s="172" t="n"/>
      <c r="X300" s="172" t="n"/>
      <c r="Y300" s="172" t="n"/>
      <c r="Z300" s="172" t="n"/>
      <c r="AA300" s="172" t="n"/>
      <c r="AB300" s="172" t="n"/>
      <c r="AC300" s="172" t="n"/>
      <c r="AD300" s="172" t="n"/>
      <c r="AE300" s="172" t="n"/>
      <c r="AF300" s="172" t="n"/>
      <c r="AG300" s="172" t="n"/>
      <c r="AH300" s="172" t="n"/>
      <c r="AI300" s="172" t="n"/>
      <c r="AJ300" s="172" t="n"/>
      <c r="AK300" s="172" t="n"/>
      <c r="AL300" s="172" t="n"/>
      <c r="AM300" s="172" t="n"/>
      <c r="AN300" s="172" t="n"/>
      <c r="AO300" s="172" t="n"/>
      <c r="AP300" s="172" t="n"/>
      <c r="AQ300" s="172" t="n"/>
      <c r="AR300" s="172" t="n"/>
      <c r="AS300" s="172" t="n"/>
      <c r="AT300" s="172" t="n"/>
      <c r="AU300" s="172" t="n"/>
      <c r="AV300" s="172" t="n"/>
      <c r="AW300" s="172" t="n"/>
      <c r="AX300" s="172" t="n"/>
      <c r="AY300" s="172" t="n"/>
      <c r="AZ300" s="172" t="n"/>
      <c r="BA300" s="172" t="n"/>
      <c r="BB300" s="172" t="n"/>
      <c r="BC300" s="172" t="n"/>
      <c r="BD300" s="172" t="n"/>
      <c r="BE300" s="172" t="n"/>
      <c r="BF300" s="172" t="n"/>
      <c r="BG300" s="172" t="n"/>
      <c r="BH300" s="172" t="n"/>
      <c r="BI300" s="173"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4" t="inlineStr">
        <is>
          <t>現住所</t>
        </is>
      </c>
      <c r="F301" s="175" t="n"/>
      <c r="G301" s="175" t="n"/>
      <c r="H301" s="175" t="n"/>
      <c r="I301" s="175" t="n"/>
      <c r="J301" s="175" t="n"/>
      <c r="K301" s="176" t="n"/>
      <c r="L301" s="83" t="inlineStr">
        <is>
          <t>〒</t>
        </is>
      </c>
      <c r="M301" s="175" t="n"/>
      <c r="N301" s="175" t="n"/>
      <c r="O301" s="175" t="n"/>
      <c r="P301" s="177">
        <f>計算!$H$6</f>
        <v/>
      </c>
      <c r="Q301" s="175" t="n"/>
      <c r="R301" s="175" t="n"/>
      <c r="S301" s="175" t="n"/>
      <c r="T301" s="175" t="n"/>
      <c r="U301" s="175" t="n"/>
      <c r="V301" s="175" t="n"/>
      <c r="W301" s="175" t="n"/>
      <c r="X301" s="175" t="n"/>
      <c r="Y301" s="175" t="n"/>
      <c r="Z301" s="175" t="n"/>
      <c r="AA301" s="175" t="n"/>
      <c r="AB301" s="175" t="n"/>
      <c r="AC301" s="175" t="n"/>
      <c r="AD301" s="175" t="n"/>
      <c r="AE301" s="175" t="n"/>
      <c r="AF301" s="175" t="n"/>
      <c r="AG301" s="175" t="n"/>
      <c r="AH301" s="175" t="n"/>
      <c r="AI301" s="175" t="n"/>
      <c r="AJ301" s="175"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5" t="n"/>
      <c r="BQ302" s="156" t="n"/>
      <c r="BR302" s="156" t="n"/>
      <c r="BS302" s="156" t="n"/>
      <c r="BT302" s="156" t="n"/>
      <c r="BU302" s="156" t="n"/>
      <c r="BV302" s="157" t="n"/>
      <c r="BW302" s="155" t="n"/>
      <c r="BX302" s="156" t="n"/>
      <c r="BY302" s="156" t="n"/>
      <c r="BZ302" s="156" t="n"/>
      <c r="CA302" s="156" t="n"/>
      <c r="CB302" s="156" t="n"/>
      <c r="CC302" s="156" t="n"/>
      <c r="CD302" s="156" t="n"/>
      <c r="CE302" s="156" t="n"/>
      <c r="CF302" s="156" t="n"/>
      <c r="CG302" s="157"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8" t="inlineStr">
        <is>
          <t>校内外の諸活動</t>
        </is>
      </c>
      <c r="BQ303" s="149" t="n"/>
      <c r="BR303" s="149" t="n"/>
      <c r="BS303" s="149" t="n"/>
      <c r="BT303" s="149" t="n"/>
      <c r="BU303" s="149" t="n"/>
      <c r="BV303" s="150" t="n"/>
      <c r="BW303" s="179">
        <f>計算!$BO$6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0">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5" t="n"/>
      <c r="F306" s="156" t="n"/>
      <c r="G306" s="156" t="n"/>
      <c r="H306" s="156" t="n"/>
      <c r="I306" s="156" t="n"/>
      <c r="J306" s="156" t="n"/>
      <c r="K306" s="157" t="n"/>
      <c r="L306" s="155" t="n"/>
      <c r="M306" s="156" t="n"/>
      <c r="N306" s="156" t="n"/>
      <c r="O306" s="156" t="n"/>
      <c r="P306" s="156" t="n"/>
      <c r="Q306" s="156" t="n"/>
      <c r="R306" s="156" t="n"/>
      <c r="S306" s="156" t="n"/>
      <c r="T306" s="156" t="n"/>
      <c r="U306" s="156" t="n"/>
      <c r="V306" s="156" t="n"/>
      <c r="W306" s="156" t="n"/>
      <c r="X306" s="156" t="n"/>
      <c r="Y306" s="156" t="n"/>
      <c r="Z306" s="156" t="n"/>
      <c r="AA306" s="156" t="n"/>
      <c r="AB306" s="156" t="n"/>
      <c r="AC306" s="156" t="n"/>
      <c r="AD306" s="156" t="n"/>
      <c r="AE306" s="156" t="n"/>
      <c r="AF306" s="156" t="n"/>
      <c r="AG306" s="156" t="n"/>
      <c r="AH306" s="156" t="n"/>
      <c r="AI306" s="156" t="n"/>
      <c r="AJ306" s="156" t="n"/>
      <c r="AK306" s="156" t="n"/>
      <c r="AL306" s="156" t="n"/>
      <c r="AM306" s="156" t="n"/>
      <c r="AN306" s="156" t="n"/>
      <c r="AO306" s="156" t="n"/>
      <c r="AP306" s="156" t="n"/>
      <c r="AQ306" s="156" t="n"/>
      <c r="AR306" s="156" t="n"/>
      <c r="AS306" s="156" t="n"/>
      <c r="AT306" s="156" t="n"/>
      <c r="AU306" s="156" t="n"/>
      <c r="AV306" s="156" t="n"/>
      <c r="AW306" s="156" t="n"/>
      <c r="AX306" s="156" t="n"/>
      <c r="AY306" s="156" t="n"/>
      <c r="AZ306" s="156" t="n"/>
      <c r="BA306" s="156" t="n"/>
      <c r="BB306" s="156" t="n"/>
      <c r="BC306" s="156" t="n"/>
      <c r="BD306" s="156" t="n"/>
      <c r="BE306" s="156" t="n"/>
      <c r="BF306" s="156" t="n"/>
      <c r="BG306" s="156" t="n"/>
      <c r="BH306" s="156" t="n"/>
      <c r="BI306" s="157"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69" t="inlineStr">
        <is>
          <t>ふ り が な</t>
        </is>
      </c>
      <c r="F307" s="149" t="n"/>
      <c r="G307" s="149" t="n"/>
      <c r="H307" s="149" t="n"/>
      <c r="I307" s="149" t="n"/>
      <c r="J307" s="149" t="n"/>
      <c r="K307" s="150" t="n"/>
      <c r="L307" s="170">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1" t="n"/>
      <c r="F309" s="172" t="n"/>
      <c r="G309" s="172" t="n"/>
      <c r="H309" s="172" t="n"/>
      <c r="I309" s="172" t="n"/>
      <c r="J309" s="172" t="n"/>
      <c r="K309" s="173" t="n"/>
      <c r="L309" s="172" t="n"/>
      <c r="M309" s="172" t="n"/>
      <c r="N309" s="172" t="n"/>
      <c r="O309" s="172" t="n"/>
      <c r="P309" s="172" t="n"/>
      <c r="Q309" s="172" t="n"/>
      <c r="R309" s="172" t="n"/>
      <c r="S309" s="172" t="n"/>
      <c r="T309" s="172" t="n"/>
      <c r="U309" s="172" t="n"/>
      <c r="V309" s="172" t="n"/>
      <c r="W309" s="172" t="n"/>
      <c r="X309" s="172" t="n"/>
      <c r="Y309" s="172" t="n"/>
      <c r="Z309" s="172" t="n"/>
      <c r="AA309" s="172" t="n"/>
      <c r="AB309" s="172" t="n"/>
      <c r="AC309" s="172" t="n"/>
      <c r="AD309" s="172" t="n"/>
      <c r="AE309" s="172" t="n"/>
      <c r="AF309" s="172" t="n"/>
      <c r="AG309" s="172" t="n"/>
      <c r="AH309" s="172" t="n"/>
      <c r="AI309" s="172" t="n"/>
      <c r="AJ309" s="172" t="n"/>
      <c r="AK309" s="172" t="n"/>
      <c r="AL309" s="172" t="n"/>
      <c r="AM309" s="172" t="n"/>
      <c r="AN309" s="172" t="n"/>
      <c r="AO309" s="172" t="n"/>
      <c r="AP309" s="172" t="n"/>
      <c r="AQ309" s="172" t="n"/>
      <c r="AR309" s="172" t="n"/>
      <c r="AS309" s="172" t="n"/>
      <c r="AT309" s="172" t="n"/>
      <c r="AU309" s="172" t="n"/>
      <c r="AV309" s="172" t="n"/>
      <c r="AW309" s="172" t="n"/>
      <c r="AX309" s="172" t="n"/>
      <c r="AY309" s="172" t="n"/>
      <c r="AZ309" s="172" t="n"/>
      <c r="BA309" s="172" t="n"/>
      <c r="BB309" s="172" t="n"/>
      <c r="BC309" s="172" t="n"/>
      <c r="BD309" s="172" t="n"/>
      <c r="BE309" s="172" t="n"/>
      <c r="BF309" s="172" t="n"/>
      <c r="BG309" s="172" t="n"/>
      <c r="BH309" s="172" t="n"/>
      <c r="BI309" s="173"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4" t="inlineStr">
        <is>
          <t>連絡先</t>
        </is>
      </c>
      <c r="F310" s="175" t="n"/>
      <c r="G310" s="175" t="n"/>
      <c r="H310" s="175" t="n"/>
      <c r="I310" s="175" t="n"/>
      <c r="J310" s="175" t="n"/>
      <c r="K310" s="176" t="n"/>
      <c r="L310" s="83" t="inlineStr">
        <is>
          <t>〒</t>
        </is>
      </c>
      <c r="M310" s="175" t="n"/>
      <c r="N310" s="175" t="n"/>
      <c r="O310" s="175" t="n"/>
      <c r="P310" s="181">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2">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5" t="n"/>
      <c r="F314" s="156" t="n"/>
      <c r="G314" s="156" t="n"/>
      <c r="H314" s="156" t="n"/>
      <c r="I314" s="156" t="n"/>
      <c r="J314" s="156" t="n"/>
      <c r="K314" s="157" t="n"/>
      <c r="L314" s="156" t="n"/>
      <c r="M314" s="156" t="n"/>
      <c r="N314" s="156" t="n"/>
      <c r="O314" s="156" t="n"/>
      <c r="P314" s="156" t="n"/>
      <c r="Q314" s="156" t="n"/>
      <c r="R314" s="156" t="n"/>
      <c r="S314" s="156" t="n"/>
      <c r="T314" s="156" t="n"/>
      <c r="U314" s="156" t="n"/>
      <c r="V314" s="156" t="n"/>
      <c r="W314" s="156" t="n"/>
      <c r="X314" s="156" t="n"/>
      <c r="Y314" s="156" t="n"/>
      <c r="Z314" s="156" t="n"/>
      <c r="AA314" s="156" t="n"/>
      <c r="AB314" s="156" t="n"/>
      <c r="AC314" s="156" t="n"/>
      <c r="AD314" s="156" t="n"/>
      <c r="AE314" s="156" t="n"/>
      <c r="AF314" s="156" t="n"/>
      <c r="AG314" s="156" t="n"/>
      <c r="AH314" s="156" t="n"/>
      <c r="AI314" s="156" t="n"/>
      <c r="AJ314" s="156" t="n"/>
      <c r="AK314" s="156" t="n"/>
      <c r="AL314" s="156" t="n"/>
      <c r="AM314" s="156" t="n"/>
      <c r="AN314" s="156" t="n"/>
      <c r="AO314" s="156" t="n"/>
      <c r="AP314" s="156" t="n"/>
      <c r="AQ314" s="156" t="n"/>
      <c r="AR314" s="156" t="n"/>
      <c r="AS314" s="156" t="n"/>
      <c r="AT314" s="156" t="n"/>
      <c r="AU314" s="156" t="n"/>
      <c r="AV314" s="156" t="n"/>
      <c r="AW314" s="156" t="n"/>
      <c r="AX314" s="156" t="n"/>
      <c r="AY314" s="156" t="n"/>
      <c r="AZ314" s="156" t="n"/>
      <c r="BA314" s="156" t="n"/>
      <c r="BB314" s="156" t="n"/>
      <c r="BC314" s="156" t="n"/>
      <c r="BD314" s="156" t="n"/>
      <c r="BE314" s="156" t="n"/>
      <c r="BF314" s="156" t="n"/>
      <c r="BG314" s="156" t="n"/>
      <c r="BH314" s="156" t="n"/>
      <c r="BI314" s="157"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86"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3" t="n"/>
      <c r="BQ320" s="149" t="n"/>
      <c r="BR320" s="184" t="n"/>
      <c r="BS320" s="149" t="n"/>
      <c r="BT320" s="149" t="n"/>
      <c r="BU320" s="28" t="n"/>
      <c r="BV320" s="29" t="n"/>
      <c r="BW320" s="185">
        <f>計算!$BP$6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115"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6"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107"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7">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188">
        <f>IF(入力!$D$8="","",設定!$B$6)&amp;""</f>
        <v/>
      </c>
      <c r="S328" s="11" t="n"/>
      <c r="T328" s="11" t="n"/>
      <c r="U328" s="188">
        <f>IF(入力!$D$8="","",設定!$B$7)&amp;""</f>
        <v/>
      </c>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110" t="inlineStr">
        <is>
          <t>令和</t>
        </is>
      </c>
      <c r="S329" s="61" t="inlineStr">
        <is>
          <t>年</t>
        </is>
      </c>
      <c r="W329" s="62"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90"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5" t="n"/>
      <c r="F333" s="156" t="n"/>
      <c r="G333" s="156" t="n"/>
      <c r="H333" s="156" t="n"/>
      <c r="I333" s="156" t="n"/>
      <c r="J333" s="156" t="n"/>
      <c r="K333" s="157"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6" t="n"/>
      <c r="AX333" s="156" t="n"/>
      <c r="AY333" s="156" t="n"/>
      <c r="AZ333" s="156" t="n"/>
      <c r="BA333" s="156" t="n"/>
      <c r="BB333" s="156" t="n"/>
      <c r="BC333" s="156" t="n"/>
      <c r="BD333" s="156" t="n"/>
      <c r="BE333" s="156" t="n"/>
      <c r="BF333" s="156" t="n"/>
      <c r="BG333" s="156" t="n"/>
      <c r="BH333" s="156" t="n"/>
      <c r="BI333" s="157"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58" t="n"/>
      <c r="T334" s="149" t="n"/>
      <c r="U334" s="17" t="n"/>
      <c r="V334" s="17" t="n"/>
      <c r="W334" s="58"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89" t="inlineStr">
        <is>
          <t>職　歴</t>
        </is>
      </c>
      <c r="K337" s="153" t="n"/>
      <c r="L337" s="69" t="inlineStr">
        <is>
          <t>平成</t>
        </is>
      </c>
      <c r="M337" s="149" t="n"/>
      <c r="N337" s="149" t="n"/>
      <c r="O337" s="149" t="n"/>
      <c r="P337" s="19" t="n"/>
      <c r="Q337" s="19" t="n"/>
      <c r="R337" s="19" t="n"/>
      <c r="S337" s="19" t="n"/>
      <c r="T337" s="19" t="n"/>
      <c r="U337" s="19" t="n"/>
      <c r="V337" s="19" t="n"/>
      <c r="W337" s="19" t="n"/>
      <c r="X337" s="37" t="n"/>
      <c r="Y337" s="180">
        <f>計算!$BT$6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8">
        <f>計算!$BR$6</f>
        <v/>
      </c>
      <c r="S339" s="61" t="inlineStr">
        <is>
          <t>年</t>
        </is>
      </c>
      <c r="U339" s="190">
        <f>計算!$BS$6</f>
        <v/>
      </c>
      <c r="W339" s="62"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74"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5" t="n"/>
      <c r="M342" s="156" t="n"/>
      <c r="N342" s="156" t="n"/>
      <c r="O342" s="156" t="n"/>
      <c r="P342" s="20" t="n"/>
      <c r="Q342" s="20" t="n"/>
      <c r="R342" s="20" t="n"/>
      <c r="S342" s="20" t="n"/>
      <c r="T342" s="20" t="n"/>
      <c r="U342" s="20" t="n"/>
      <c r="V342" s="20" t="n"/>
      <c r="W342" s="20" t="n"/>
      <c r="X342" s="39" t="n"/>
      <c r="Y342" s="155" t="n"/>
      <c r="Z342" s="156" t="n"/>
      <c r="AA342" s="156" t="n"/>
      <c r="AB342" s="156" t="n"/>
      <c r="AC342" s="156" t="n"/>
      <c r="AD342" s="156" t="n"/>
      <c r="AE342" s="156" t="n"/>
      <c r="AF342" s="156" t="n"/>
      <c r="AG342" s="156" t="n"/>
      <c r="AH342" s="156" t="n"/>
      <c r="AI342" s="156" t="n"/>
      <c r="AJ342" s="156" t="n"/>
      <c r="AK342" s="156" t="n"/>
      <c r="AL342" s="156" t="n"/>
      <c r="AM342" s="156" t="n"/>
      <c r="AN342" s="156" t="n"/>
      <c r="AO342" s="156" t="n"/>
      <c r="AP342" s="156" t="n"/>
      <c r="AQ342" s="156" t="n"/>
      <c r="AR342" s="156" t="n"/>
      <c r="AS342" s="156" t="n"/>
      <c r="AT342" s="156" t="n"/>
      <c r="AU342" s="156" t="n"/>
      <c r="AV342" s="156" t="n"/>
      <c r="AW342" s="156" t="n"/>
      <c r="AX342" s="156" t="n"/>
      <c r="AY342" s="156" t="n"/>
      <c r="AZ342" s="156" t="n"/>
      <c r="BA342" s="156" t="n"/>
      <c r="BB342" s="156" t="n"/>
      <c r="BC342" s="156" t="n"/>
      <c r="BD342" s="156" t="n"/>
      <c r="BE342" s="156" t="n"/>
      <c r="BF342" s="156" t="n"/>
      <c r="BG342" s="156" t="n"/>
      <c r="BH342" s="156" t="n"/>
      <c r="BI342" s="157"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69" t="inlineStr">
        <is>
          <t>平成</t>
        </is>
      </c>
      <c r="M343" s="149" t="n"/>
      <c r="N343" s="149" t="n"/>
      <c r="O343" s="149" t="n"/>
      <c r="P343" s="18" t="n"/>
      <c r="Q343" s="18" t="n"/>
      <c r="R343" s="18" t="n"/>
      <c r="S343" s="18" t="n"/>
      <c r="T343" s="18" t="n"/>
      <c r="U343" s="18" t="n"/>
      <c r="V343" s="18" t="n"/>
      <c r="W343" s="18" t="n"/>
      <c r="X343" s="35" t="n"/>
      <c r="Y343" s="180">
        <f>計算!$BW$6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8">
        <f>計算!$BU$6</f>
        <v/>
      </c>
      <c r="S345" s="61" t="inlineStr">
        <is>
          <t>年</t>
        </is>
      </c>
      <c r="U345" s="190">
        <f>計算!$BV$6</f>
        <v/>
      </c>
      <c r="W345" s="62"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74"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5" t="n"/>
      <c r="M348" s="156" t="n"/>
      <c r="N348" s="156" t="n"/>
      <c r="O348" s="156" t="n"/>
      <c r="P348" s="20" t="n"/>
      <c r="Q348" s="20" t="n"/>
      <c r="R348" s="20" t="n"/>
      <c r="S348" s="20" t="n"/>
      <c r="T348" s="20" t="n"/>
      <c r="U348" s="20" t="n"/>
      <c r="V348" s="20" t="n"/>
      <c r="W348" s="20" t="n"/>
      <c r="X348" s="39" t="n"/>
      <c r="Y348" s="155" t="n"/>
      <c r="Z348" s="156" t="n"/>
      <c r="AA348" s="156" t="n"/>
      <c r="AB348" s="156" t="n"/>
      <c r="AC348" s="156" t="n"/>
      <c r="AD348" s="156" t="n"/>
      <c r="AE348" s="156" t="n"/>
      <c r="AF348" s="156" t="n"/>
      <c r="AG348" s="156" t="n"/>
      <c r="AH348" s="156" t="n"/>
      <c r="AI348" s="156" t="n"/>
      <c r="AJ348" s="156" t="n"/>
      <c r="AK348" s="156" t="n"/>
      <c r="AL348" s="156" t="n"/>
      <c r="AM348" s="156" t="n"/>
      <c r="AN348" s="156" t="n"/>
      <c r="AO348" s="156" t="n"/>
      <c r="AP348" s="156" t="n"/>
      <c r="AQ348" s="156" t="n"/>
      <c r="AR348" s="156" t="n"/>
      <c r="AS348" s="156" t="n"/>
      <c r="AT348" s="156" t="n"/>
      <c r="AU348" s="156" t="n"/>
      <c r="AV348" s="156" t="n"/>
      <c r="AW348" s="156" t="n"/>
      <c r="AX348" s="156" t="n"/>
      <c r="AY348" s="156" t="n"/>
      <c r="AZ348" s="156" t="n"/>
      <c r="BA348" s="156" t="n"/>
      <c r="BB348" s="156" t="n"/>
      <c r="BC348" s="156" t="n"/>
      <c r="BD348" s="156" t="n"/>
      <c r="BE348" s="156" t="n"/>
      <c r="BF348" s="156" t="n"/>
      <c r="BG348" s="156" t="n"/>
      <c r="BH348" s="156" t="n"/>
      <c r="BI348" s="157" t="n"/>
      <c r="BJ348" s="2" t="n"/>
      <c r="BK348" s="2" t="n"/>
      <c r="BL348" s="2" t="n"/>
      <c r="BM348" s="2" t="n"/>
      <c r="BN348" s="2" t="n"/>
      <c r="BO348" s="2" t="n"/>
      <c r="BP348" s="155" t="n"/>
      <c r="BQ348" s="156" t="n"/>
      <c r="BR348" s="156" t="n"/>
      <c r="BS348" s="156" t="n"/>
      <c r="BT348" s="156" t="n"/>
      <c r="BU348" s="42" t="n"/>
      <c r="BV348" s="45" t="n"/>
      <c r="BW348" s="156" t="n"/>
      <c r="BX348" s="156" t="n"/>
      <c r="BY348" s="156" t="n"/>
      <c r="BZ348" s="156" t="n"/>
      <c r="CA348" s="156" t="n"/>
      <c r="CB348" s="156" t="n"/>
      <c r="CC348" s="156" t="n"/>
      <c r="CD348" s="156" t="n"/>
      <c r="CE348" s="156" t="n"/>
      <c r="CF348" s="156" t="n"/>
      <c r="CG348" s="156" t="n"/>
      <c r="CH348" s="156" t="n"/>
      <c r="CI348" s="156" t="n"/>
      <c r="CJ348" s="156" t="n"/>
      <c r="CK348" s="156" t="n"/>
      <c r="CL348" s="156" t="n"/>
      <c r="CM348" s="156" t="n"/>
      <c r="CN348" s="156" t="n"/>
      <c r="CO348" s="156" t="n"/>
      <c r="CP348" s="156" t="n"/>
      <c r="CQ348" s="156" t="n"/>
      <c r="CR348" s="156" t="n"/>
      <c r="CS348" s="156" t="n"/>
      <c r="CT348" s="156" t="n"/>
      <c r="CU348" s="156" t="n"/>
      <c r="CV348" s="156" t="n"/>
      <c r="CW348" s="156" t="n"/>
      <c r="CX348" s="156" t="n"/>
      <c r="CY348" s="156" t="n"/>
      <c r="CZ348" s="156" t="n"/>
      <c r="DA348" s="156" t="n"/>
      <c r="DB348" s="156" t="n"/>
      <c r="DC348" s="156" t="n"/>
      <c r="DD348" s="156" t="n"/>
      <c r="DE348" s="156" t="n"/>
      <c r="DF348" s="156" t="n"/>
      <c r="DG348" s="156" t="n"/>
      <c r="DH348" s="156" t="n"/>
      <c r="DI348" s="156" t="n"/>
      <c r="DJ348" s="156" t="n"/>
      <c r="DK348" s="156" t="n"/>
      <c r="DL348" s="156" t="n"/>
      <c r="DM348" s="156" t="n"/>
      <c r="DN348" s="156" t="n"/>
      <c r="DO348" s="156" t="n"/>
      <c r="DP348" s="156" t="n"/>
      <c r="DQ348" s="156" t="n"/>
      <c r="DR348" s="156" t="n"/>
      <c r="DS348" s="156" t="n"/>
      <c r="DT348" s="156" t="n"/>
      <c r="DU348" s="157" t="n"/>
      <c r="DV348" s="2" t="n"/>
      <c r="DW348" s="2" t="n"/>
      <c r="DX348" s="2" t="n"/>
      <c r="DY348" s="2" t="n"/>
      <c r="DZ348" s="2" t="n"/>
      <c r="EA348" s="2" t="n"/>
      <c r="EB348" s="2" t="n"/>
      <c r="EC348" s="2" t="n"/>
    </row>
    <row r="349" ht="6.75" customHeight="1" s="118">
      <c r="A349" s="2" t="n"/>
      <c r="B349" s="2" t="n"/>
      <c r="C349" s="2" t="n"/>
      <c r="D349" s="2" t="n"/>
      <c r="E349" s="152" t="n"/>
      <c r="K349" s="153" t="n"/>
      <c r="L349" s="69"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5">
        <f>計算!$BQ$6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61" t="inlineStr">
        <is>
          <t>年</t>
        </is>
      </c>
      <c r="U351" s="11" t="n"/>
      <c r="V351" s="11" t="n"/>
      <c r="W351" s="62"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74"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5" t="n"/>
      <c r="M354" s="156" t="n"/>
      <c r="N354" s="156" t="n"/>
      <c r="O354" s="156"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69"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61" t="inlineStr">
        <is>
          <t>年</t>
        </is>
      </c>
      <c r="U357" s="11" t="n"/>
      <c r="V357" s="11" t="n"/>
      <c r="W357" s="62"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74"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61" t="n"/>
      <c r="T359" s="61" t="n"/>
      <c r="U359" s="11" t="n"/>
      <c r="V359" s="11" t="n"/>
      <c r="W359" s="61" t="n"/>
      <c r="X359" s="62"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5" t="n"/>
      <c r="F360" s="156" t="n"/>
      <c r="G360" s="156" t="n"/>
      <c r="H360" s="156" t="n"/>
      <c r="I360" s="156" t="n"/>
      <c r="J360" s="156" t="n"/>
      <c r="K360" s="157" t="n"/>
      <c r="L360" s="155" t="n"/>
      <c r="M360" s="156" t="n"/>
      <c r="N360" s="156" t="n"/>
      <c r="O360" s="156"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5" t="n"/>
      <c r="BQ360" s="156" t="n"/>
      <c r="BR360" s="156" t="n"/>
      <c r="BS360" s="156" t="n"/>
      <c r="BT360" s="156" t="n"/>
      <c r="BU360" s="156" t="n"/>
      <c r="BV360" s="157" t="n"/>
      <c r="BW360" s="156" t="n"/>
      <c r="BX360" s="156" t="n"/>
      <c r="BY360" s="156" t="n"/>
      <c r="BZ360" s="156" t="n"/>
      <c r="CA360" s="156" t="n"/>
      <c r="CB360" s="156" t="n"/>
      <c r="CC360" s="156" t="n"/>
      <c r="CD360" s="156" t="n"/>
      <c r="CE360" s="156" t="n"/>
      <c r="CF360" s="156" t="n"/>
      <c r="CG360" s="156" t="n"/>
      <c r="CH360" s="156" t="n"/>
      <c r="CI360" s="156" t="n"/>
      <c r="CJ360" s="156" t="n"/>
      <c r="CK360" s="156" t="n"/>
      <c r="CL360" s="156" t="n"/>
      <c r="CM360" s="156" t="n"/>
      <c r="CN360" s="156" t="n"/>
      <c r="CO360" s="156" t="n"/>
      <c r="CP360" s="156" t="n"/>
      <c r="CQ360" s="156" t="n"/>
      <c r="CR360" s="156" t="n"/>
      <c r="CS360" s="156" t="n"/>
      <c r="CT360" s="156" t="n"/>
      <c r="CU360" s="156" t="n"/>
      <c r="CV360" s="156" t="n"/>
      <c r="CW360" s="156" t="n"/>
      <c r="CX360" s="156" t="n"/>
      <c r="CY360" s="156" t="n"/>
      <c r="CZ360" s="156" t="n"/>
      <c r="DA360" s="156" t="n"/>
      <c r="DB360" s="156" t="n"/>
      <c r="DC360" s="156" t="n"/>
      <c r="DD360" s="156" t="n"/>
      <c r="DE360" s="156" t="n"/>
      <c r="DF360" s="156" t="n"/>
      <c r="DG360" s="156" t="n"/>
      <c r="DH360" s="156" t="n"/>
      <c r="DI360" s="156" t="n"/>
      <c r="DJ360" s="156" t="n"/>
      <c r="DK360" s="156" t="n"/>
      <c r="DL360" s="156" t="n"/>
      <c r="DM360" s="156" t="n"/>
      <c r="DN360" s="156" t="n"/>
      <c r="DO360" s="156" t="n"/>
      <c r="DP360" s="156" t="n"/>
      <c r="DQ360" s="156" t="n"/>
      <c r="DR360" s="156" t="n"/>
      <c r="DS360" s="156" t="n"/>
      <c r="DT360" s="156" t="n"/>
      <c r="DU360" s="157"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87" t="inlineStr">
        <is>
          <t xml:space="preserve">    (近畿高等学校統一用紙　  その２ 　  令和７年度改定)　</t>
        </is>
      </c>
      <c r="DV362" s="2" t="n"/>
      <c r="DW362" s="2" t="n"/>
      <c r="DX362" s="2" t="n"/>
      <c r="DY362" s="2" t="n"/>
      <c r="DZ362" s="2" t="n"/>
      <c r="EA362" s="2" t="n"/>
      <c r="EB362" s="2" t="n"/>
      <c r="EC362" s="2" t="n"/>
    </row>
    <row r="363" hidden="1"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idden="1"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47"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64" t="inlineStr">
        <is>
          <t>令和</t>
        </is>
      </c>
      <c r="AD372" s="154">
        <f>IF(入力!$D$9="","",IF(N(設定!$B$3)=0,"",YEAR(設定!$B$3)-2018))&amp;""</f>
        <v/>
      </c>
      <c r="AG372" s="64" t="inlineStr">
        <is>
          <t>年</t>
        </is>
      </c>
      <c r="AI372" s="154">
        <f>IF(入力!$D$9="","",IF(N(設定!$B$3)=0,"",MONTH(設定!$B$3)))&amp;""</f>
        <v/>
      </c>
      <c r="AL372" s="64" t="inlineStr">
        <is>
          <t>月</t>
        </is>
      </c>
      <c r="AN372" s="154">
        <f>IF(入力!$D$9="","",IF(N(設定!$B$3)=0,"",DAY(設定!$B$3)))&amp;""</f>
        <v/>
      </c>
      <c r="AP372" s="64"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5" t="n"/>
      <c r="BX372" s="156" t="n"/>
      <c r="BY372" s="156" t="n"/>
      <c r="BZ372" s="156" t="n"/>
      <c r="CA372" s="156" t="n"/>
      <c r="CB372" s="156" t="n"/>
      <c r="CC372" s="156" t="n"/>
      <c r="CD372" s="156" t="n"/>
      <c r="CE372" s="156" t="n"/>
      <c r="CF372" s="156" t="n"/>
      <c r="CG372" s="157" t="n"/>
      <c r="CH372" s="155" t="n"/>
      <c r="CI372" s="156" t="n"/>
      <c r="CJ372" s="156" t="n"/>
      <c r="CK372" s="156" t="n"/>
      <c r="CL372" s="156" t="n"/>
      <c r="CM372" s="156" t="n"/>
      <c r="CN372" s="156" t="n"/>
      <c r="CO372" s="156" t="n"/>
      <c r="CP372" s="156" t="n"/>
      <c r="CQ372" s="156" t="n"/>
      <c r="CR372" s="156" t="n"/>
      <c r="CS372" s="156" t="n"/>
      <c r="CT372" s="156" t="n"/>
      <c r="CU372" s="156" t="n"/>
      <c r="CV372" s="156" t="n"/>
      <c r="CW372" s="156" t="n"/>
      <c r="CX372" s="156" t="n"/>
      <c r="CY372" s="156" t="n"/>
      <c r="CZ372" s="156" t="n"/>
      <c r="DA372" s="156" t="n"/>
      <c r="DB372" s="156" t="n"/>
      <c r="DC372" s="156" t="n"/>
      <c r="DD372" s="156" t="n"/>
      <c r="DE372" s="156" t="n"/>
      <c r="DF372" s="156" t="n"/>
      <c r="DG372" s="156" t="n"/>
      <c r="DH372" s="156" t="n"/>
      <c r="DI372" s="156" t="n"/>
      <c r="DJ372" s="156" t="n"/>
      <c r="DK372" s="156" t="n"/>
      <c r="DL372" s="156" t="n"/>
      <c r="DM372" s="156" t="n"/>
      <c r="DN372" s="156" t="n"/>
      <c r="DO372" s="156" t="n"/>
      <c r="DP372" s="156" t="n"/>
      <c r="DQ372" s="156" t="n"/>
      <c r="DR372" s="156" t="n"/>
      <c r="DS372" s="156" t="n"/>
      <c r="DT372" s="156" t="n"/>
      <c r="DU372" s="157"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68" t="inlineStr">
        <is>
          <t>写真をはる位置</t>
        </is>
      </c>
      <c r="BI373" s="8" t="n"/>
      <c r="BJ373" s="7" t="n"/>
      <c r="BK373" s="2" t="n"/>
      <c r="BL373" s="2" t="n"/>
      <c r="BM373" s="2" t="n"/>
      <c r="BN373" s="2" t="n"/>
      <c r="BO373" s="2" t="n"/>
      <c r="BP373" s="152" t="n"/>
      <c r="BV373" s="153" t="n"/>
      <c r="BW373" s="158">
        <f>計算!$CB$7</f>
        <v/>
      </c>
      <c r="CG373" s="153" t="n"/>
      <c r="CH373" s="159">
        <f>計算!$CC$7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6" t="n"/>
      <c r="AA374" s="156" t="n"/>
      <c r="AB374" s="156" t="n"/>
      <c r="AC374" s="156" t="n"/>
      <c r="AD374" s="156" t="n"/>
      <c r="AE374" s="156" t="n"/>
      <c r="AF374" s="156" t="n"/>
      <c r="AG374" s="156" t="n"/>
      <c r="AH374" s="156" t="n"/>
      <c r="AI374" s="156" t="n"/>
      <c r="AJ374" s="156" t="n"/>
      <c r="AK374" s="156" t="n"/>
      <c r="AL374" s="156" t="n"/>
      <c r="AM374" s="156" t="n"/>
      <c r="AN374" s="156" t="n"/>
      <c r="AO374" s="156" t="n"/>
      <c r="AP374" s="156" t="n"/>
      <c r="AQ374" s="156" t="n"/>
      <c r="AR374" s="156" t="n"/>
      <c r="AS374" s="156" t="n"/>
      <c r="AT374" s="156"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0">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5" t="n"/>
      <c r="F378" s="156" t="n"/>
      <c r="G378" s="156" t="n"/>
      <c r="H378" s="156" t="n"/>
      <c r="I378" s="156" t="n"/>
      <c r="J378" s="156" t="n"/>
      <c r="K378" s="157" t="n"/>
      <c r="L378" s="156" t="n"/>
      <c r="M378" s="156" t="n"/>
      <c r="N378" s="156" t="n"/>
      <c r="O378" s="156" t="n"/>
      <c r="P378" s="156" t="n"/>
      <c r="Q378" s="156" t="n"/>
      <c r="R378" s="156" t="n"/>
      <c r="S378" s="156" t="n"/>
      <c r="T378" s="156" t="n"/>
      <c r="U378" s="156" t="n"/>
      <c r="V378" s="156" t="n"/>
      <c r="W378" s="156" t="n"/>
      <c r="X378" s="156" t="n"/>
      <c r="Y378" s="156" t="n"/>
      <c r="Z378" s="156" t="n"/>
      <c r="AA378" s="156" t="n"/>
      <c r="AB378" s="156" t="n"/>
      <c r="AC378" s="156" t="n"/>
      <c r="AD378" s="156" t="n"/>
      <c r="AE378" s="156" t="n"/>
      <c r="AF378" s="156" t="n"/>
      <c r="AG378" s="156" t="n"/>
      <c r="AH378" s="156" t="n"/>
      <c r="AI378" s="156" t="n"/>
      <c r="AJ378" s="156" t="n"/>
      <c r="AK378" s="156" t="n"/>
      <c r="AL378" s="156" t="n"/>
      <c r="AM378" s="156" t="n"/>
      <c r="AN378" s="156" t="n"/>
      <c r="AO378" s="156" t="n"/>
      <c r="AP378" s="156" t="n"/>
      <c r="AQ378" s="156" t="n"/>
      <c r="AR378" s="156" t="n"/>
      <c r="AS378" s="156" t="n"/>
      <c r="AT378" s="157"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1" t="inlineStr">
        <is>
          <t>名　前</t>
        </is>
      </c>
      <c r="F379" s="149" t="n"/>
      <c r="G379" s="149" t="n"/>
      <c r="H379" s="149" t="n"/>
      <c r="I379" s="149" t="n"/>
      <c r="J379" s="149" t="n"/>
      <c r="K379" s="150" t="n"/>
      <c r="L379" s="162">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61"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5" t="n"/>
      <c r="F384" s="156" t="n"/>
      <c r="G384" s="156" t="n"/>
      <c r="H384" s="156" t="n"/>
      <c r="I384" s="156" t="n"/>
      <c r="J384" s="156" t="n"/>
      <c r="K384" s="157" t="n"/>
      <c r="L384" s="155" t="n"/>
      <c r="M384" s="156" t="n"/>
      <c r="N384" s="156" t="n"/>
      <c r="O384" s="156" t="n"/>
      <c r="P384" s="156" t="n"/>
      <c r="Q384" s="156" t="n"/>
      <c r="R384" s="156" t="n"/>
      <c r="S384" s="156" t="n"/>
      <c r="T384" s="156" t="n"/>
      <c r="U384" s="156" t="n"/>
      <c r="V384" s="156" t="n"/>
      <c r="W384" s="156" t="n"/>
      <c r="X384" s="156" t="n"/>
      <c r="Y384" s="156" t="n"/>
      <c r="Z384" s="156" t="n"/>
      <c r="AA384" s="156" t="n"/>
      <c r="AB384" s="156" t="n"/>
      <c r="AC384" s="156" t="n"/>
      <c r="AD384" s="156" t="n"/>
      <c r="AE384" s="156" t="n"/>
      <c r="AF384" s="156" t="n"/>
      <c r="AG384" s="156" t="n"/>
      <c r="AH384" s="156" t="n"/>
      <c r="AI384" s="156" t="n"/>
      <c r="AJ384" s="156" t="n"/>
      <c r="AK384" s="156" t="n"/>
      <c r="AL384" s="156" t="n"/>
      <c r="AM384" s="156" t="n"/>
      <c r="AN384" s="156" t="n"/>
      <c r="AO384" s="156" t="n"/>
      <c r="AP384" s="156" t="n"/>
      <c r="AQ384" s="156" t="n"/>
      <c r="AR384" s="156" t="n"/>
      <c r="AS384" s="156" t="n"/>
      <c r="AT384" s="157"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1" t="inlineStr">
        <is>
          <t>生年月日</t>
        </is>
      </c>
      <c r="F385" s="149" t="n"/>
      <c r="G385" s="149" t="n"/>
      <c r="H385" s="149" t="n"/>
      <c r="I385" s="149" t="n"/>
      <c r="J385" s="149" t="n"/>
      <c r="K385" s="150" t="n"/>
      <c r="L385" s="163" t="inlineStr">
        <is>
          <t>昭和 ・ 平成</t>
        </is>
      </c>
      <c r="M385" s="149" t="n"/>
      <c r="N385" s="149" t="n"/>
      <c r="O385" s="149" t="n"/>
      <c r="P385" s="149" t="n"/>
      <c r="Q385" s="149" t="n"/>
      <c r="R385" s="149" t="n"/>
      <c r="S385" s="149" t="n"/>
      <c r="T385" s="149" t="n"/>
      <c r="U385" s="149" t="n"/>
      <c r="V385" s="164">
        <f>計算!$D$7</f>
        <v/>
      </c>
      <c r="W385" s="149" t="n"/>
      <c r="X385" s="165" t="inlineStr">
        <is>
          <t>年</t>
        </is>
      </c>
      <c r="Y385" s="149" t="n"/>
      <c r="Z385" s="166">
        <f>計算!$E$7</f>
        <v/>
      </c>
      <c r="AA385" s="149" t="n"/>
      <c r="AB385" s="149" t="n"/>
      <c r="AC385" s="165" t="inlineStr">
        <is>
          <t>月</t>
        </is>
      </c>
      <c r="AD385" s="149" t="n"/>
      <c r="AE385" s="166">
        <f>計算!$F$7</f>
        <v/>
      </c>
      <c r="AF385" s="149" t="n"/>
      <c r="AG385" s="149" t="n"/>
      <c r="AH385" s="165" t="inlineStr">
        <is>
          <t>日　生 （満</t>
        </is>
      </c>
      <c r="AI385" s="149" t="n"/>
      <c r="AJ385" s="149" t="n"/>
      <c r="AK385" s="149" t="n"/>
      <c r="AL385" s="149" t="n"/>
      <c r="AM385" s="149" t="n"/>
      <c r="AN385" s="149" t="n"/>
      <c r="AO385" s="149" t="n"/>
      <c r="AP385" s="167">
        <f>計算!$G$7</f>
        <v/>
      </c>
      <c r="AQ385" s="149" t="n"/>
      <c r="AR385" s="168"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5" t="n"/>
      <c r="F388" s="156" t="n"/>
      <c r="G388" s="156" t="n"/>
      <c r="H388" s="156" t="n"/>
      <c r="I388" s="156" t="n"/>
      <c r="J388" s="156" t="n"/>
      <c r="K388" s="157" t="n"/>
      <c r="L388" s="155" t="n"/>
      <c r="M388" s="156" t="n"/>
      <c r="N388" s="156" t="n"/>
      <c r="O388" s="156" t="n"/>
      <c r="P388" s="156" t="n"/>
      <c r="Q388" s="156" t="n"/>
      <c r="R388" s="156" t="n"/>
      <c r="S388" s="156" t="n"/>
      <c r="T388" s="156" t="n"/>
      <c r="U388" s="156" t="n"/>
      <c r="X388" s="156" t="n"/>
      <c r="Y388" s="156" t="n"/>
      <c r="AC388" s="156" t="n"/>
      <c r="AD388" s="156" t="n"/>
      <c r="AH388" s="156" t="n"/>
      <c r="AI388" s="156" t="n"/>
      <c r="AJ388" s="156" t="n"/>
      <c r="AK388" s="156" t="n"/>
      <c r="AL388" s="156" t="n"/>
      <c r="AM388" s="156" t="n"/>
      <c r="AN388" s="156" t="n"/>
      <c r="AO388" s="156" t="n"/>
      <c r="AP388" s="156" t="n"/>
      <c r="AQ388" s="156" t="n"/>
      <c r="AR388" s="156" t="n"/>
      <c r="AS388" s="156" t="n"/>
      <c r="AT388" s="157"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69" t="inlineStr">
        <is>
          <t>ふ り が な</t>
        </is>
      </c>
      <c r="F389" s="149" t="n"/>
      <c r="G389" s="149" t="n"/>
      <c r="H389" s="149" t="n"/>
      <c r="I389" s="149" t="n"/>
      <c r="J389" s="149" t="n"/>
      <c r="K389" s="150" t="n"/>
      <c r="L389" s="170">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1" t="n"/>
      <c r="F391" s="172" t="n"/>
      <c r="G391" s="172" t="n"/>
      <c r="H391" s="172" t="n"/>
      <c r="I391" s="172" t="n"/>
      <c r="J391" s="172" t="n"/>
      <c r="K391" s="173" t="n"/>
      <c r="L391" s="172" t="n"/>
      <c r="M391" s="172" t="n"/>
      <c r="N391" s="172" t="n"/>
      <c r="O391" s="172" t="n"/>
      <c r="P391" s="172" t="n"/>
      <c r="Q391" s="172" t="n"/>
      <c r="R391" s="172" t="n"/>
      <c r="S391" s="172" t="n"/>
      <c r="T391" s="172" t="n"/>
      <c r="U391" s="172" t="n"/>
      <c r="V391" s="172" t="n"/>
      <c r="W391" s="172" t="n"/>
      <c r="X391" s="172" t="n"/>
      <c r="Y391" s="172" t="n"/>
      <c r="Z391" s="172" t="n"/>
      <c r="AA391" s="172" t="n"/>
      <c r="AB391" s="172" t="n"/>
      <c r="AC391" s="172" t="n"/>
      <c r="AD391" s="172" t="n"/>
      <c r="AE391" s="172" t="n"/>
      <c r="AF391" s="172" t="n"/>
      <c r="AG391" s="172" t="n"/>
      <c r="AH391" s="172" t="n"/>
      <c r="AI391" s="172" t="n"/>
      <c r="AJ391" s="172" t="n"/>
      <c r="AK391" s="172" t="n"/>
      <c r="AL391" s="172" t="n"/>
      <c r="AM391" s="172" t="n"/>
      <c r="AN391" s="172" t="n"/>
      <c r="AO391" s="172" t="n"/>
      <c r="AP391" s="172" t="n"/>
      <c r="AQ391" s="172" t="n"/>
      <c r="AR391" s="172" t="n"/>
      <c r="AS391" s="172" t="n"/>
      <c r="AT391" s="172" t="n"/>
      <c r="AU391" s="172" t="n"/>
      <c r="AV391" s="172" t="n"/>
      <c r="AW391" s="172" t="n"/>
      <c r="AX391" s="172" t="n"/>
      <c r="AY391" s="172" t="n"/>
      <c r="AZ391" s="172" t="n"/>
      <c r="BA391" s="172" t="n"/>
      <c r="BB391" s="172" t="n"/>
      <c r="BC391" s="172" t="n"/>
      <c r="BD391" s="172" t="n"/>
      <c r="BE391" s="172" t="n"/>
      <c r="BF391" s="172" t="n"/>
      <c r="BG391" s="172" t="n"/>
      <c r="BH391" s="172" t="n"/>
      <c r="BI391" s="173"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4" t="inlineStr">
        <is>
          <t>現住所</t>
        </is>
      </c>
      <c r="F392" s="175" t="n"/>
      <c r="G392" s="175" t="n"/>
      <c r="H392" s="175" t="n"/>
      <c r="I392" s="175" t="n"/>
      <c r="J392" s="175" t="n"/>
      <c r="K392" s="176" t="n"/>
      <c r="L392" s="83" t="inlineStr">
        <is>
          <t>〒</t>
        </is>
      </c>
      <c r="M392" s="175" t="n"/>
      <c r="N392" s="175" t="n"/>
      <c r="O392" s="175" t="n"/>
      <c r="P392" s="177">
        <f>計算!$H$7</f>
        <v/>
      </c>
      <c r="Q392" s="175" t="n"/>
      <c r="R392" s="175" t="n"/>
      <c r="S392" s="175" t="n"/>
      <c r="T392" s="175" t="n"/>
      <c r="U392" s="175" t="n"/>
      <c r="V392" s="175" t="n"/>
      <c r="W392" s="175" t="n"/>
      <c r="X392" s="175" t="n"/>
      <c r="Y392" s="175" t="n"/>
      <c r="Z392" s="175" t="n"/>
      <c r="AA392" s="175" t="n"/>
      <c r="AB392" s="175" t="n"/>
      <c r="AC392" s="175" t="n"/>
      <c r="AD392" s="175" t="n"/>
      <c r="AE392" s="175" t="n"/>
      <c r="AF392" s="175" t="n"/>
      <c r="AG392" s="175" t="n"/>
      <c r="AH392" s="175" t="n"/>
      <c r="AI392" s="175" t="n"/>
      <c r="AJ392" s="175"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5" t="n"/>
      <c r="BQ393" s="156" t="n"/>
      <c r="BR393" s="156" t="n"/>
      <c r="BS393" s="156" t="n"/>
      <c r="BT393" s="156" t="n"/>
      <c r="BU393" s="156" t="n"/>
      <c r="BV393" s="157" t="n"/>
      <c r="BW393" s="155" t="n"/>
      <c r="BX393" s="156" t="n"/>
      <c r="BY393" s="156" t="n"/>
      <c r="BZ393" s="156" t="n"/>
      <c r="CA393" s="156" t="n"/>
      <c r="CB393" s="156" t="n"/>
      <c r="CC393" s="156" t="n"/>
      <c r="CD393" s="156" t="n"/>
      <c r="CE393" s="156" t="n"/>
      <c r="CF393" s="156" t="n"/>
      <c r="CG393" s="157"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8" t="inlineStr">
        <is>
          <t>校内外の諸活動</t>
        </is>
      </c>
      <c r="BQ394" s="149" t="n"/>
      <c r="BR394" s="149" t="n"/>
      <c r="BS394" s="149" t="n"/>
      <c r="BT394" s="149" t="n"/>
      <c r="BU394" s="149" t="n"/>
      <c r="BV394" s="150" t="n"/>
      <c r="BW394" s="179">
        <f>計算!$BO$7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0">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5" t="n"/>
      <c r="F397" s="156" t="n"/>
      <c r="G397" s="156" t="n"/>
      <c r="H397" s="156" t="n"/>
      <c r="I397" s="156" t="n"/>
      <c r="J397" s="156" t="n"/>
      <c r="K397" s="157" t="n"/>
      <c r="L397" s="155" t="n"/>
      <c r="M397" s="156" t="n"/>
      <c r="N397" s="156" t="n"/>
      <c r="O397" s="156" t="n"/>
      <c r="P397" s="156" t="n"/>
      <c r="Q397" s="156" t="n"/>
      <c r="R397" s="156" t="n"/>
      <c r="S397" s="156" t="n"/>
      <c r="T397" s="156" t="n"/>
      <c r="U397" s="156" t="n"/>
      <c r="V397" s="156" t="n"/>
      <c r="W397" s="156" t="n"/>
      <c r="X397" s="156" t="n"/>
      <c r="Y397" s="156" t="n"/>
      <c r="Z397" s="156" t="n"/>
      <c r="AA397" s="156" t="n"/>
      <c r="AB397" s="156" t="n"/>
      <c r="AC397" s="156" t="n"/>
      <c r="AD397" s="156" t="n"/>
      <c r="AE397" s="156" t="n"/>
      <c r="AF397" s="156" t="n"/>
      <c r="AG397" s="156" t="n"/>
      <c r="AH397" s="156" t="n"/>
      <c r="AI397" s="156" t="n"/>
      <c r="AJ397" s="156" t="n"/>
      <c r="AK397" s="156" t="n"/>
      <c r="AL397" s="156" t="n"/>
      <c r="AM397" s="156" t="n"/>
      <c r="AN397" s="156" t="n"/>
      <c r="AO397" s="156" t="n"/>
      <c r="AP397" s="156" t="n"/>
      <c r="AQ397" s="156" t="n"/>
      <c r="AR397" s="156" t="n"/>
      <c r="AS397" s="156" t="n"/>
      <c r="AT397" s="156" t="n"/>
      <c r="AU397" s="156" t="n"/>
      <c r="AV397" s="156" t="n"/>
      <c r="AW397" s="156" t="n"/>
      <c r="AX397" s="156" t="n"/>
      <c r="AY397" s="156" t="n"/>
      <c r="AZ397" s="156" t="n"/>
      <c r="BA397" s="156" t="n"/>
      <c r="BB397" s="156" t="n"/>
      <c r="BC397" s="156" t="n"/>
      <c r="BD397" s="156" t="n"/>
      <c r="BE397" s="156" t="n"/>
      <c r="BF397" s="156" t="n"/>
      <c r="BG397" s="156" t="n"/>
      <c r="BH397" s="156" t="n"/>
      <c r="BI397" s="157"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69" t="inlineStr">
        <is>
          <t>ふ り が な</t>
        </is>
      </c>
      <c r="F398" s="149" t="n"/>
      <c r="G398" s="149" t="n"/>
      <c r="H398" s="149" t="n"/>
      <c r="I398" s="149" t="n"/>
      <c r="J398" s="149" t="n"/>
      <c r="K398" s="150" t="n"/>
      <c r="L398" s="170">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1" t="n"/>
      <c r="F400" s="172" t="n"/>
      <c r="G400" s="172" t="n"/>
      <c r="H400" s="172" t="n"/>
      <c r="I400" s="172" t="n"/>
      <c r="J400" s="172" t="n"/>
      <c r="K400" s="173" t="n"/>
      <c r="L400" s="172" t="n"/>
      <c r="M400" s="172" t="n"/>
      <c r="N400" s="172" t="n"/>
      <c r="O400" s="172" t="n"/>
      <c r="P400" s="172" t="n"/>
      <c r="Q400" s="172" t="n"/>
      <c r="R400" s="172" t="n"/>
      <c r="S400" s="172" t="n"/>
      <c r="T400" s="172" t="n"/>
      <c r="U400" s="172" t="n"/>
      <c r="V400" s="172" t="n"/>
      <c r="W400" s="172" t="n"/>
      <c r="X400" s="172" t="n"/>
      <c r="Y400" s="172" t="n"/>
      <c r="Z400" s="172" t="n"/>
      <c r="AA400" s="172" t="n"/>
      <c r="AB400" s="172" t="n"/>
      <c r="AC400" s="172" t="n"/>
      <c r="AD400" s="172" t="n"/>
      <c r="AE400" s="172" t="n"/>
      <c r="AF400" s="172" t="n"/>
      <c r="AG400" s="172" t="n"/>
      <c r="AH400" s="172" t="n"/>
      <c r="AI400" s="172" t="n"/>
      <c r="AJ400" s="172" t="n"/>
      <c r="AK400" s="172" t="n"/>
      <c r="AL400" s="172" t="n"/>
      <c r="AM400" s="172" t="n"/>
      <c r="AN400" s="172" t="n"/>
      <c r="AO400" s="172" t="n"/>
      <c r="AP400" s="172" t="n"/>
      <c r="AQ400" s="172" t="n"/>
      <c r="AR400" s="172" t="n"/>
      <c r="AS400" s="172" t="n"/>
      <c r="AT400" s="172" t="n"/>
      <c r="AU400" s="172" t="n"/>
      <c r="AV400" s="172" t="n"/>
      <c r="AW400" s="172" t="n"/>
      <c r="AX400" s="172" t="n"/>
      <c r="AY400" s="172" t="n"/>
      <c r="AZ400" s="172" t="n"/>
      <c r="BA400" s="172" t="n"/>
      <c r="BB400" s="172" t="n"/>
      <c r="BC400" s="172" t="n"/>
      <c r="BD400" s="172" t="n"/>
      <c r="BE400" s="172" t="n"/>
      <c r="BF400" s="172" t="n"/>
      <c r="BG400" s="172" t="n"/>
      <c r="BH400" s="172" t="n"/>
      <c r="BI400" s="173"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4" t="inlineStr">
        <is>
          <t>連絡先</t>
        </is>
      </c>
      <c r="F401" s="175" t="n"/>
      <c r="G401" s="175" t="n"/>
      <c r="H401" s="175" t="n"/>
      <c r="I401" s="175" t="n"/>
      <c r="J401" s="175" t="n"/>
      <c r="K401" s="176" t="n"/>
      <c r="L401" s="83" t="inlineStr">
        <is>
          <t>〒</t>
        </is>
      </c>
      <c r="M401" s="175" t="n"/>
      <c r="N401" s="175" t="n"/>
      <c r="O401" s="175" t="n"/>
      <c r="P401" s="181">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2">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5" t="n"/>
      <c r="F405" s="156" t="n"/>
      <c r="G405" s="156" t="n"/>
      <c r="H405" s="156" t="n"/>
      <c r="I405" s="156" t="n"/>
      <c r="J405" s="156" t="n"/>
      <c r="K405" s="157" t="n"/>
      <c r="L405" s="156" t="n"/>
      <c r="M405" s="156" t="n"/>
      <c r="N405" s="156" t="n"/>
      <c r="O405" s="156" t="n"/>
      <c r="P405" s="156" t="n"/>
      <c r="Q405" s="156" t="n"/>
      <c r="R405" s="156" t="n"/>
      <c r="S405" s="156" t="n"/>
      <c r="T405" s="156" t="n"/>
      <c r="U405" s="156" t="n"/>
      <c r="V405" s="156" t="n"/>
      <c r="W405" s="156" t="n"/>
      <c r="X405" s="156" t="n"/>
      <c r="Y405" s="156" t="n"/>
      <c r="Z405" s="156" t="n"/>
      <c r="AA405" s="156" t="n"/>
      <c r="AB405" s="156" t="n"/>
      <c r="AC405" s="156" t="n"/>
      <c r="AD405" s="156" t="n"/>
      <c r="AE405" s="156" t="n"/>
      <c r="AF405" s="156" t="n"/>
      <c r="AG405" s="156" t="n"/>
      <c r="AH405" s="156" t="n"/>
      <c r="AI405" s="156" t="n"/>
      <c r="AJ405" s="156" t="n"/>
      <c r="AK405" s="156" t="n"/>
      <c r="AL405" s="156" t="n"/>
      <c r="AM405" s="156" t="n"/>
      <c r="AN405" s="156" t="n"/>
      <c r="AO405" s="156" t="n"/>
      <c r="AP405" s="156" t="n"/>
      <c r="AQ405" s="156" t="n"/>
      <c r="AR405" s="156" t="n"/>
      <c r="AS405" s="156" t="n"/>
      <c r="AT405" s="156" t="n"/>
      <c r="AU405" s="156" t="n"/>
      <c r="AV405" s="156" t="n"/>
      <c r="AW405" s="156" t="n"/>
      <c r="AX405" s="156" t="n"/>
      <c r="AY405" s="156" t="n"/>
      <c r="AZ405" s="156" t="n"/>
      <c r="BA405" s="156" t="n"/>
      <c r="BB405" s="156" t="n"/>
      <c r="BC405" s="156" t="n"/>
      <c r="BD405" s="156" t="n"/>
      <c r="BE405" s="156" t="n"/>
      <c r="BF405" s="156" t="n"/>
      <c r="BG405" s="156" t="n"/>
      <c r="BH405" s="156" t="n"/>
      <c r="BI405" s="157"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86"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3" t="n"/>
      <c r="BQ411" s="149" t="n"/>
      <c r="BR411" s="184" t="n"/>
      <c r="BS411" s="149" t="n"/>
      <c r="BT411" s="149" t="n"/>
      <c r="BU411" s="28" t="n"/>
      <c r="BV411" s="29" t="n"/>
      <c r="BW411" s="185">
        <f>計算!$BP$7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115"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6"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107"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7">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188">
        <f>IF(入力!$D$9="","",設定!$B$6)&amp;""</f>
        <v/>
      </c>
      <c r="S419" s="11" t="n"/>
      <c r="T419" s="11" t="n"/>
      <c r="U419" s="188">
        <f>IF(入力!$D$9="","",設定!$B$7)&amp;""</f>
        <v/>
      </c>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110" t="inlineStr">
        <is>
          <t>令和</t>
        </is>
      </c>
      <c r="S420" s="61" t="inlineStr">
        <is>
          <t>年</t>
        </is>
      </c>
      <c r="W420" s="62"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90"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5" t="n"/>
      <c r="F424" s="156" t="n"/>
      <c r="G424" s="156" t="n"/>
      <c r="H424" s="156" t="n"/>
      <c r="I424" s="156" t="n"/>
      <c r="J424" s="156" t="n"/>
      <c r="K424" s="157"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6" t="n"/>
      <c r="AX424" s="156" t="n"/>
      <c r="AY424" s="156" t="n"/>
      <c r="AZ424" s="156" t="n"/>
      <c r="BA424" s="156" t="n"/>
      <c r="BB424" s="156" t="n"/>
      <c r="BC424" s="156" t="n"/>
      <c r="BD424" s="156" t="n"/>
      <c r="BE424" s="156" t="n"/>
      <c r="BF424" s="156" t="n"/>
      <c r="BG424" s="156" t="n"/>
      <c r="BH424" s="156" t="n"/>
      <c r="BI424" s="157"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58" t="n"/>
      <c r="T425" s="149" t="n"/>
      <c r="U425" s="17" t="n"/>
      <c r="V425" s="17" t="n"/>
      <c r="W425" s="58"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89" t="inlineStr">
        <is>
          <t>職　歴</t>
        </is>
      </c>
      <c r="K428" s="153" t="n"/>
      <c r="L428" s="69" t="inlineStr">
        <is>
          <t>平成</t>
        </is>
      </c>
      <c r="M428" s="149" t="n"/>
      <c r="N428" s="149" t="n"/>
      <c r="O428" s="149" t="n"/>
      <c r="P428" s="19" t="n"/>
      <c r="Q428" s="19" t="n"/>
      <c r="R428" s="19" t="n"/>
      <c r="S428" s="19" t="n"/>
      <c r="T428" s="19" t="n"/>
      <c r="U428" s="19" t="n"/>
      <c r="V428" s="19" t="n"/>
      <c r="W428" s="19" t="n"/>
      <c r="X428" s="37" t="n"/>
      <c r="Y428" s="180">
        <f>計算!$BT$7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8">
        <f>計算!$BR$7</f>
        <v/>
      </c>
      <c r="S430" s="61" t="inlineStr">
        <is>
          <t>年</t>
        </is>
      </c>
      <c r="U430" s="190">
        <f>計算!$BS$7</f>
        <v/>
      </c>
      <c r="W430" s="62"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74"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5" t="n"/>
      <c r="M433" s="156" t="n"/>
      <c r="N433" s="156" t="n"/>
      <c r="O433" s="156" t="n"/>
      <c r="P433" s="20" t="n"/>
      <c r="Q433" s="20" t="n"/>
      <c r="R433" s="20" t="n"/>
      <c r="S433" s="20" t="n"/>
      <c r="T433" s="20" t="n"/>
      <c r="U433" s="20" t="n"/>
      <c r="V433" s="20" t="n"/>
      <c r="W433" s="20" t="n"/>
      <c r="X433" s="39" t="n"/>
      <c r="Y433" s="155" t="n"/>
      <c r="Z433" s="156" t="n"/>
      <c r="AA433" s="156" t="n"/>
      <c r="AB433" s="156" t="n"/>
      <c r="AC433" s="156" t="n"/>
      <c r="AD433" s="156" t="n"/>
      <c r="AE433" s="156" t="n"/>
      <c r="AF433" s="156" t="n"/>
      <c r="AG433" s="156" t="n"/>
      <c r="AH433" s="156" t="n"/>
      <c r="AI433" s="156" t="n"/>
      <c r="AJ433" s="156" t="n"/>
      <c r="AK433" s="156" t="n"/>
      <c r="AL433" s="156" t="n"/>
      <c r="AM433" s="156" t="n"/>
      <c r="AN433" s="156" t="n"/>
      <c r="AO433" s="156" t="n"/>
      <c r="AP433" s="156" t="n"/>
      <c r="AQ433" s="156" t="n"/>
      <c r="AR433" s="156" t="n"/>
      <c r="AS433" s="156" t="n"/>
      <c r="AT433" s="156" t="n"/>
      <c r="AU433" s="156" t="n"/>
      <c r="AV433" s="156" t="n"/>
      <c r="AW433" s="156" t="n"/>
      <c r="AX433" s="156" t="n"/>
      <c r="AY433" s="156" t="n"/>
      <c r="AZ433" s="156" t="n"/>
      <c r="BA433" s="156" t="n"/>
      <c r="BB433" s="156" t="n"/>
      <c r="BC433" s="156" t="n"/>
      <c r="BD433" s="156" t="n"/>
      <c r="BE433" s="156" t="n"/>
      <c r="BF433" s="156" t="n"/>
      <c r="BG433" s="156" t="n"/>
      <c r="BH433" s="156" t="n"/>
      <c r="BI433" s="157"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69" t="inlineStr">
        <is>
          <t>平成</t>
        </is>
      </c>
      <c r="M434" s="149" t="n"/>
      <c r="N434" s="149" t="n"/>
      <c r="O434" s="149" t="n"/>
      <c r="P434" s="18" t="n"/>
      <c r="Q434" s="18" t="n"/>
      <c r="R434" s="18" t="n"/>
      <c r="S434" s="18" t="n"/>
      <c r="T434" s="18" t="n"/>
      <c r="U434" s="18" t="n"/>
      <c r="V434" s="18" t="n"/>
      <c r="W434" s="18" t="n"/>
      <c r="X434" s="35" t="n"/>
      <c r="Y434" s="180">
        <f>計算!$BW$7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8">
        <f>計算!$BU$7</f>
        <v/>
      </c>
      <c r="S436" s="61" t="inlineStr">
        <is>
          <t>年</t>
        </is>
      </c>
      <c r="U436" s="190">
        <f>計算!$BV$7</f>
        <v/>
      </c>
      <c r="W436" s="62"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74"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5" t="n"/>
      <c r="M439" s="156" t="n"/>
      <c r="N439" s="156" t="n"/>
      <c r="O439" s="156" t="n"/>
      <c r="P439" s="20" t="n"/>
      <c r="Q439" s="20" t="n"/>
      <c r="R439" s="20" t="n"/>
      <c r="S439" s="20" t="n"/>
      <c r="T439" s="20" t="n"/>
      <c r="U439" s="20" t="n"/>
      <c r="V439" s="20" t="n"/>
      <c r="W439" s="20" t="n"/>
      <c r="X439" s="39" t="n"/>
      <c r="Y439" s="155" t="n"/>
      <c r="Z439" s="156" t="n"/>
      <c r="AA439" s="156" t="n"/>
      <c r="AB439" s="156" t="n"/>
      <c r="AC439" s="156" t="n"/>
      <c r="AD439" s="156" t="n"/>
      <c r="AE439" s="156" t="n"/>
      <c r="AF439" s="156" t="n"/>
      <c r="AG439" s="156" t="n"/>
      <c r="AH439" s="156" t="n"/>
      <c r="AI439" s="156" t="n"/>
      <c r="AJ439" s="156" t="n"/>
      <c r="AK439" s="156" t="n"/>
      <c r="AL439" s="156" t="n"/>
      <c r="AM439" s="156" t="n"/>
      <c r="AN439" s="156" t="n"/>
      <c r="AO439" s="156" t="n"/>
      <c r="AP439" s="156" t="n"/>
      <c r="AQ439" s="156" t="n"/>
      <c r="AR439" s="156" t="n"/>
      <c r="AS439" s="156" t="n"/>
      <c r="AT439" s="156" t="n"/>
      <c r="AU439" s="156" t="n"/>
      <c r="AV439" s="156" t="n"/>
      <c r="AW439" s="156" t="n"/>
      <c r="AX439" s="156" t="n"/>
      <c r="AY439" s="156" t="n"/>
      <c r="AZ439" s="156" t="n"/>
      <c r="BA439" s="156" t="n"/>
      <c r="BB439" s="156" t="n"/>
      <c r="BC439" s="156" t="n"/>
      <c r="BD439" s="156" t="n"/>
      <c r="BE439" s="156" t="n"/>
      <c r="BF439" s="156" t="n"/>
      <c r="BG439" s="156" t="n"/>
      <c r="BH439" s="156" t="n"/>
      <c r="BI439" s="157" t="n"/>
      <c r="BJ439" s="2" t="n"/>
      <c r="BK439" s="2" t="n"/>
      <c r="BL439" s="2" t="n"/>
      <c r="BM439" s="2" t="n"/>
      <c r="BN439" s="2" t="n"/>
      <c r="BO439" s="2" t="n"/>
      <c r="BP439" s="155" t="n"/>
      <c r="BQ439" s="156" t="n"/>
      <c r="BR439" s="156" t="n"/>
      <c r="BS439" s="156" t="n"/>
      <c r="BT439" s="156" t="n"/>
      <c r="BU439" s="42" t="n"/>
      <c r="BV439" s="45" t="n"/>
      <c r="BW439" s="156" t="n"/>
      <c r="BX439" s="156" t="n"/>
      <c r="BY439" s="156" t="n"/>
      <c r="BZ439" s="156" t="n"/>
      <c r="CA439" s="156" t="n"/>
      <c r="CB439" s="156" t="n"/>
      <c r="CC439" s="156" t="n"/>
      <c r="CD439" s="156" t="n"/>
      <c r="CE439" s="156" t="n"/>
      <c r="CF439" s="156" t="n"/>
      <c r="CG439" s="156" t="n"/>
      <c r="CH439" s="156" t="n"/>
      <c r="CI439" s="156" t="n"/>
      <c r="CJ439" s="156" t="n"/>
      <c r="CK439" s="156" t="n"/>
      <c r="CL439" s="156" t="n"/>
      <c r="CM439" s="156" t="n"/>
      <c r="CN439" s="156" t="n"/>
      <c r="CO439" s="156" t="n"/>
      <c r="CP439" s="156" t="n"/>
      <c r="CQ439" s="156" t="n"/>
      <c r="CR439" s="156" t="n"/>
      <c r="CS439" s="156" t="n"/>
      <c r="CT439" s="156" t="n"/>
      <c r="CU439" s="156" t="n"/>
      <c r="CV439" s="156" t="n"/>
      <c r="CW439" s="156" t="n"/>
      <c r="CX439" s="156" t="n"/>
      <c r="CY439" s="156" t="n"/>
      <c r="CZ439" s="156" t="n"/>
      <c r="DA439" s="156" t="n"/>
      <c r="DB439" s="156" t="n"/>
      <c r="DC439" s="156" t="n"/>
      <c r="DD439" s="156" t="n"/>
      <c r="DE439" s="156" t="n"/>
      <c r="DF439" s="156" t="n"/>
      <c r="DG439" s="156" t="n"/>
      <c r="DH439" s="156" t="n"/>
      <c r="DI439" s="156" t="n"/>
      <c r="DJ439" s="156" t="n"/>
      <c r="DK439" s="156" t="n"/>
      <c r="DL439" s="156" t="n"/>
      <c r="DM439" s="156" t="n"/>
      <c r="DN439" s="156" t="n"/>
      <c r="DO439" s="156" t="n"/>
      <c r="DP439" s="156" t="n"/>
      <c r="DQ439" s="156" t="n"/>
      <c r="DR439" s="156" t="n"/>
      <c r="DS439" s="156" t="n"/>
      <c r="DT439" s="156" t="n"/>
      <c r="DU439" s="157" t="n"/>
      <c r="DV439" s="2" t="n"/>
      <c r="DW439" s="2" t="n"/>
      <c r="DX439" s="2" t="n"/>
      <c r="DY439" s="2" t="n"/>
      <c r="DZ439" s="2" t="n"/>
      <c r="EA439" s="2" t="n"/>
      <c r="EB439" s="2" t="n"/>
      <c r="EC439" s="2" t="n"/>
    </row>
    <row r="440" ht="6.75" customHeight="1" s="118">
      <c r="A440" s="2" t="n"/>
      <c r="B440" s="2" t="n"/>
      <c r="C440" s="2" t="n"/>
      <c r="D440" s="2" t="n"/>
      <c r="E440" s="152" t="n"/>
      <c r="K440" s="153" t="n"/>
      <c r="L440" s="69"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5">
        <f>計算!$BQ$7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61" t="inlineStr">
        <is>
          <t>年</t>
        </is>
      </c>
      <c r="U442" s="11" t="n"/>
      <c r="V442" s="11" t="n"/>
      <c r="W442" s="62"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74"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5" t="n"/>
      <c r="M445" s="156" t="n"/>
      <c r="N445" s="156" t="n"/>
      <c r="O445" s="156"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69"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61" t="inlineStr">
        <is>
          <t>年</t>
        </is>
      </c>
      <c r="U448" s="11" t="n"/>
      <c r="V448" s="11" t="n"/>
      <c r="W448" s="62"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74"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61" t="n"/>
      <c r="T450" s="61" t="n"/>
      <c r="U450" s="11" t="n"/>
      <c r="V450" s="11" t="n"/>
      <c r="W450" s="61" t="n"/>
      <c r="X450" s="62"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5" t="n"/>
      <c r="F451" s="156" t="n"/>
      <c r="G451" s="156" t="n"/>
      <c r="H451" s="156" t="n"/>
      <c r="I451" s="156" t="n"/>
      <c r="J451" s="156" t="n"/>
      <c r="K451" s="157" t="n"/>
      <c r="L451" s="155" t="n"/>
      <c r="M451" s="156" t="n"/>
      <c r="N451" s="156" t="n"/>
      <c r="O451" s="156"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5" t="n"/>
      <c r="BQ451" s="156" t="n"/>
      <c r="BR451" s="156" t="n"/>
      <c r="BS451" s="156" t="n"/>
      <c r="BT451" s="156" t="n"/>
      <c r="BU451" s="156" t="n"/>
      <c r="BV451" s="157" t="n"/>
      <c r="BW451" s="156" t="n"/>
      <c r="BX451" s="156" t="n"/>
      <c r="BY451" s="156" t="n"/>
      <c r="BZ451" s="156" t="n"/>
      <c r="CA451" s="156" t="n"/>
      <c r="CB451" s="156" t="n"/>
      <c r="CC451" s="156" t="n"/>
      <c r="CD451" s="156" t="n"/>
      <c r="CE451" s="156" t="n"/>
      <c r="CF451" s="156" t="n"/>
      <c r="CG451" s="156" t="n"/>
      <c r="CH451" s="156" t="n"/>
      <c r="CI451" s="156" t="n"/>
      <c r="CJ451" s="156" t="n"/>
      <c r="CK451" s="156" t="n"/>
      <c r="CL451" s="156" t="n"/>
      <c r="CM451" s="156" t="n"/>
      <c r="CN451" s="156" t="n"/>
      <c r="CO451" s="156" t="n"/>
      <c r="CP451" s="156" t="n"/>
      <c r="CQ451" s="156" t="n"/>
      <c r="CR451" s="156" t="n"/>
      <c r="CS451" s="156" t="n"/>
      <c r="CT451" s="156" t="n"/>
      <c r="CU451" s="156" t="n"/>
      <c r="CV451" s="156" t="n"/>
      <c r="CW451" s="156" t="n"/>
      <c r="CX451" s="156" t="n"/>
      <c r="CY451" s="156" t="n"/>
      <c r="CZ451" s="156" t="n"/>
      <c r="DA451" s="156" t="n"/>
      <c r="DB451" s="156" t="n"/>
      <c r="DC451" s="156" t="n"/>
      <c r="DD451" s="156" t="n"/>
      <c r="DE451" s="156" t="n"/>
      <c r="DF451" s="156" t="n"/>
      <c r="DG451" s="156" t="n"/>
      <c r="DH451" s="156" t="n"/>
      <c r="DI451" s="156" t="n"/>
      <c r="DJ451" s="156" t="n"/>
      <c r="DK451" s="156" t="n"/>
      <c r="DL451" s="156" t="n"/>
      <c r="DM451" s="156" t="n"/>
      <c r="DN451" s="156" t="n"/>
      <c r="DO451" s="156" t="n"/>
      <c r="DP451" s="156" t="n"/>
      <c r="DQ451" s="156" t="n"/>
      <c r="DR451" s="156" t="n"/>
      <c r="DS451" s="156" t="n"/>
      <c r="DT451" s="156" t="n"/>
      <c r="DU451" s="157"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87" t="inlineStr">
        <is>
          <t xml:space="preserve">    (近畿高等学校統一用紙　  その２ 　  令和７年度改定)　</t>
        </is>
      </c>
      <c r="DV453" s="2" t="n"/>
      <c r="DW453" s="2" t="n"/>
      <c r="DX453" s="2" t="n"/>
      <c r="DY453" s="2" t="n"/>
      <c r="DZ453" s="2" t="n"/>
      <c r="EA453" s="2" t="n"/>
      <c r="EB453" s="2" t="n"/>
      <c r="EC453" s="2" t="n"/>
    </row>
    <row r="454" hidden="1"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idden="1"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47"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64" t="inlineStr">
        <is>
          <t>令和</t>
        </is>
      </c>
      <c r="AD463" s="154">
        <f>IF(入力!$D$10="","",IF(N(設定!$B$3)=0,"",YEAR(設定!$B$3)-2018))&amp;""</f>
        <v/>
      </c>
      <c r="AG463" s="64" t="inlineStr">
        <is>
          <t>年</t>
        </is>
      </c>
      <c r="AI463" s="154">
        <f>IF(入力!$D$10="","",IF(N(設定!$B$3)=0,"",MONTH(設定!$B$3)))&amp;""</f>
        <v/>
      </c>
      <c r="AL463" s="64" t="inlineStr">
        <is>
          <t>月</t>
        </is>
      </c>
      <c r="AN463" s="154">
        <f>IF(入力!$D$10="","",IF(N(設定!$B$3)=0,"",DAY(設定!$B$3)))&amp;""</f>
        <v/>
      </c>
      <c r="AP463" s="64"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5" t="n"/>
      <c r="BX463" s="156" t="n"/>
      <c r="BY463" s="156" t="n"/>
      <c r="BZ463" s="156" t="n"/>
      <c r="CA463" s="156" t="n"/>
      <c r="CB463" s="156" t="n"/>
      <c r="CC463" s="156" t="n"/>
      <c r="CD463" s="156" t="n"/>
      <c r="CE463" s="156" t="n"/>
      <c r="CF463" s="156" t="n"/>
      <c r="CG463" s="157" t="n"/>
      <c r="CH463" s="155" t="n"/>
      <c r="CI463" s="156" t="n"/>
      <c r="CJ463" s="156" t="n"/>
      <c r="CK463" s="156" t="n"/>
      <c r="CL463" s="156" t="n"/>
      <c r="CM463" s="156" t="n"/>
      <c r="CN463" s="156" t="n"/>
      <c r="CO463" s="156" t="n"/>
      <c r="CP463" s="156" t="n"/>
      <c r="CQ463" s="156" t="n"/>
      <c r="CR463" s="156" t="n"/>
      <c r="CS463" s="156" t="n"/>
      <c r="CT463" s="156" t="n"/>
      <c r="CU463" s="156" t="n"/>
      <c r="CV463" s="156" t="n"/>
      <c r="CW463" s="156" t="n"/>
      <c r="CX463" s="156" t="n"/>
      <c r="CY463" s="156" t="n"/>
      <c r="CZ463" s="156" t="n"/>
      <c r="DA463" s="156" t="n"/>
      <c r="DB463" s="156" t="n"/>
      <c r="DC463" s="156" t="n"/>
      <c r="DD463" s="156" t="n"/>
      <c r="DE463" s="156" t="n"/>
      <c r="DF463" s="156" t="n"/>
      <c r="DG463" s="156" t="n"/>
      <c r="DH463" s="156" t="n"/>
      <c r="DI463" s="156" t="n"/>
      <c r="DJ463" s="156" t="n"/>
      <c r="DK463" s="156" t="n"/>
      <c r="DL463" s="156" t="n"/>
      <c r="DM463" s="156" t="n"/>
      <c r="DN463" s="156" t="n"/>
      <c r="DO463" s="156" t="n"/>
      <c r="DP463" s="156" t="n"/>
      <c r="DQ463" s="156" t="n"/>
      <c r="DR463" s="156" t="n"/>
      <c r="DS463" s="156" t="n"/>
      <c r="DT463" s="156" t="n"/>
      <c r="DU463" s="157"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68" t="inlineStr">
        <is>
          <t>写真をはる位置</t>
        </is>
      </c>
      <c r="BI464" s="8" t="n"/>
      <c r="BJ464" s="7" t="n"/>
      <c r="BK464" s="2" t="n"/>
      <c r="BL464" s="2" t="n"/>
      <c r="BM464" s="2" t="n"/>
      <c r="BN464" s="2" t="n"/>
      <c r="BO464" s="2" t="n"/>
      <c r="BP464" s="152" t="n"/>
      <c r="BV464" s="153" t="n"/>
      <c r="BW464" s="158">
        <f>計算!$CB$8</f>
        <v/>
      </c>
      <c r="CG464" s="153" t="n"/>
      <c r="CH464" s="159">
        <f>計算!$CC$8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6" t="n"/>
      <c r="AA465" s="156" t="n"/>
      <c r="AB465" s="156" t="n"/>
      <c r="AC465" s="156" t="n"/>
      <c r="AD465" s="156" t="n"/>
      <c r="AE465" s="156" t="n"/>
      <c r="AF465" s="156" t="n"/>
      <c r="AG465" s="156" t="n"/>
      <c r="AH465" s="156" t="n"/>
      <c r="AI465" s="156" t="n"/>
      <c r="AJ465" s="156" t="n"/>
      <c r="AK465" s="156" t="n"/>
      <c r="AL465" s="156" t="n"/>
      <c r="AM465" s="156" t="n"/>
      <c r="AN465" s="156" t="n"/>
      <c r="AO465" s="156" t="n"/>
      <c r="AP465" s="156" t="n"/>
      <c r="AQ465" s="156" t="n"/>
      <c r="AR465" s="156" t="n"/>
      <c r="AS465" s="156" t="n"/>
      <c r="AT465" s="156"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0">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5" t="n"/>
      <c r="F469" s="156" t="n"/>
      <c r="G469" s="156" t="n"/>
      <c r="H469" s="156" t="n"/>
      <c r="I469" s="156" t="n"/>
      <c r="J469" s="156" t="n"/>
      <c r="K469" s="157" t="n"/>
      <c r="L469" s="156" t="n"/>
      <c r="M469" s="156" t="n"/>
      <c r="N469" s="156" t="n"/>
      <c r="O469" s="156" t="n"/>
      <c r="P469" s="156" t="n"/>
      <c r="Q469" s="156" t="n"/>
      <c r="R469" s="156" t="n"/>
      <c r="S469" s="156" t="n"/>
      <c r="T469" s="156" t="n"/>
      <c r="U469" s="156" t="n"/>
      <c r="V469" s="156" t="n"/>
      <c r="W469" s="156" t="n"/>
      <c r="X469" s="156" t="n"/>
      <c r="Y469" s="156" t="n"/>
      <c r="Z469" s="156" t="n"/>
      <c r="AA469" s="156" t="n"/>
      <c r="AB469" s="156" t="n"/>
      <c r="AC469" s="156" t="n"/>
      <c r="AD469" s="156" t="n"/>
      <c r="AE469" s="156" t="n"/>
      <c r="AF469" s="156" t="n"/>
      <c r="AG469" s="156" t="n"/>
      <c r="AH469" s="156" t="n"/>
      <c r="AI469" s="156" t="n"/>
      <c r="AJ469" s="156" t="n"/>
      <c r="AK469" s="156" t="n"/>
      <c r="AL469" s="156" t="n"/>
      <c r="AM469" s="156" t="n"/>
      <c r="AN469" s="156" t="n"/>
      <c r="AO469" s="156" t="n"/>
      <c r="AP469" s="156" t="n"/>
      <c r="AQ469" s="156" t="n"/>
      <c r="AR469" s="156" t="n"/>
      <c r="AS469" s="156" t="n"/>
      <c r="AT469" s="157"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1" t="inlineStr">
        <is>
          <t>名　前</t>
        </is>
      </c>
      <c r="F470" s="149" t="n"/>
      <c r="G470" s="149" t="n"/>
      <c r="H470" s="149" t="n"/>
      <c r="I470" s="149" t="n"/>
      <c r="J470" s="149" t="n"/>
      <c r="K470" s="150" t="n"/>
      <c r="L470" s="162">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61"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5" t="n"/>
      <c r="F475" s="156" t="n"/>
      <c r="G475" s="156" t="n"/>
      <c r="H475" s="156" t="n"/>
      <c r="I475" s="156" t="n"/>
      <c r="J475" s="156" t="n"/>
      <c r="K475" s="157" t="n"/>
      <c r="L475" s="155" t="n"/>
      <c r="M475" s="156" t="n"/>
      <c r="N475" s="156" t="n"/>
      <c r="O475" s="156" t="n"/>
      <c r="P475" s="156" t="n"/>
      <c r="Q475" s="156" t="n"/>
      <c r="R475" s="156" t="n"/>
      <c r="S475" s="156" t="n"/>
      <c r="T475" s="156" t="n"/>
      <c r="U475" s="156" t="n"/>
      <c r="V475" s="156" t="n"/>
      <c r="W475" s="156" t="n"/>
      <c r="X475" s="156" t="n"/>
      <c r="Y475" s="156" t="n"/>
      <c r="Z475" s="156" t="n"/>
      <c r="AA475" s="156" t="n"/>
      <c r="AB475" s="156" t="n"/>
      <c r="AC475" s="156" t="n"/>
      <c r="AD475" s="156" t="n"/>
      <c r="AE475" s="156" t="n"/>
      <c r="AF475" s="156" t="n"/>
      <c r="AG475" s="156" t="n"/>
      <c r="AH475" s="156" t="n"/>
      <c r="AI475" s="156" t="n"/>
      <c r="AJ475" s="156" t="n"/>
      <c r="AK475" s="156" t="n"/>
      <c r="AL475" s="156" t="n"/>
      <c r="AM475" s="156" t="n"/>
      <c r="AN475" s="156" t="n"/>
      <c r="AO475" s="156" t="n"/>
      <c r="AP475" s="156" t="n"/>
      <c r="AQ475" s="156" t="n"/>
      <c r="AR475" s="156" t="n"/>
      <c r="AS475" s="156" t="n"/>
      <c r="AT475" s="157"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1" t="inlineStr">
        <is>
          <t>生年月日</t>
        </is>
      </c>
      <c r="F476" s="149" t="n"/>
      <c r="G476" s="149" t="n"/>
      <c r="H476" s="149" t="n"/>
      <c r="I476" s="149" t="n"/>
      <c r="J476" s="149" t="n"/>
      <c r="K476" s="150" t="n"/>
      <c r="L476" s="163" t="inlineStr">
        <is>
          <t>昭和 ・ 平成</t>
        </is>
      </c>
      <c r="M476" s="149" t="n"/>
      <c r="N476" s="149" t="n"/>
      <c r="O476" s="149" t="n"/>
      <c r="P476" s="149" t="n"/>
      <c r="Q476" s="149" t="n"/>
      <c r="R476" s="149" t="n"/>
      <c r="S476" s="149" t="n"/>
      <c r="T476" s="149" t="n"/>
      <c r="U476" s="149" t="n"/>
      <c r="V476" s="164">
        <f>計算!$D$8</f>
        <v/>
      </c>
      <c r="W476" s="149" t="n"/>
      <c r="X476" s="165" t="inlineStr">
        <is>
          <t>年</t>
        </is>
      </c>
      <c r="Y476" s="149" t="n"/>
      <c r="Z476" s="166">
        <f>計算!$E$8</f>
        <v/>
      </c>
      <c r="AA476" s="149" t="n"/>
      <c r="AB476" s="149" t="n"/>
      <c r="AC476" s="165" t="inlineStr">
        <is>
          <t>月</t>
        </is>
      </c>
      <c r="AD476" s="149" t="n"/>
      <c r="AE476" s="166">
        <f>計算!$F$8</f>
        <v/>
      </c>
      <c r="AF476" s="149" t="n"/>
      <c r="AG476" s="149" t="n"/>
      <c r="AH476" s="165" t="inlineStr">
        <is>
          <t>日　生 （満</t>
        </is>
      </c>
      <c r="AI476" s="149" t="n"/>
      <c r="AJ476" s="149" t="n"/>
      <c r="AK476" s="149" t="n"/>
      <c r="AL476" s="149" t="n"/>
      <c r="AM476" s="149" t="n"/>
      <c r="AN476" s="149" t="n"/>
      <c r="AO476" s="149" t="n"/>
      <c r="AP476" s="167">
        <f>計算!$G$8</f>
        <v/>
      </c>
      <c r="AQ476" s="149" t="n"/>
      <c r="AR476" s="168"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5" t="n"/>
      <c r="F479" s="156" t="n"/>
      <c r="G479" s="156" t="n"/>
      <c r="H479" s="156" t="n"/>
      <c r="I479" s="156" t="n"/>
      <c r="J479" s="156" t="n"/>
      <c r="K479" s="157" t="n"/>
      <c r="L479" s="155" t="n"/>
      <c r="M479" s="156" t="n"/>
      <c r="N479" s="156" t="n"/>
      <c r="O479" s="156" t="n"/>
      <c r="P479" s="156" t="n"/>
      <c r="Q479" s="156" t="n"/>
      <c r="R479" s="156" t="n"/>
      <c r="S479" s="156" t="n"/>
      <c r="T479" s="156" t="n"/>
      <c r="U479" s="156" t="n"/>
      <c r="X479" s="156" t="n"/>
      <c r="Y479" s="156" t="n"/>
      <c r="AC479" s="156" t="n"/>
      <c r="AD479" s="156" t="n"/>
      <c r="AH479" s="156" t="n"/>
      <c r="AI479" s="156" t="n"/>
      <c r="AJ479" s="156" t="n"/>
      <c r="AK479" s="156" t="n"/>
      <c r="AL479" s="156" t="n"/>
      <c r="AM479" s="156" t="n"/>
      <c r="AN479" s="156" t="n"/>
      <c r="AO479" s="156" t="n"/>
      <c r="AP479" s="156" t="n"/>
      <c r="AQ479" s="156" t="n"/>
      <c r="AR479" s="156" t="n"/>
      <c r="AS479" s="156" t="n"/>
      <c r="AT479" s="157"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69" t="inlineStr">
        <is>
          <t>ふ り が な</t>
        </is>
      </c>
      <c r="F480" s="149" t="n"/>
      <c r="G480" s="149" t="n"/>
      <c r="H480" s="149" t="n"/>
      <c r="I480" s="149" t="n"/>
      <c r="J480" s="149" t="n"/>
      <c r="K480" s="150" t="n"/>
      <c r="L480" s="170">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1" t="n"/>
      <c r="F482" s="172" t="n"/>
      <c r="G482" s="172" t="n"/>
      <c r="H482" s="172" t="n"/>
      <c r="I482" s="172" t="n"/>
      <c r="J482" s="172" t="n"/>
      <c r="K482" s="173" t="n"/>
      <c r="L482" s="172" t="n"/>
      <c r="M482" s="172" t="n"/>
      <c r="N482" s="172" t="n"/>
      <c r="O482" s="172" t="n"/>
      <c r="P482" s="172" t="n"/>
      <c r="Q482" s="172" t="n"/>
      <c r="R482" s="172" t="n"/>
      <c r="S482" s="172" t="n"/>
      <c r="T482" s="172" t="n"/>
      <c r="U482" s="172" t="n"/>
      <c r="V482" s="172" t="n"/>
      <c r="W482" s="172" t="n"/>
      <c r="X482" s="172" t="n"/>
      <c r="Y482" s="172" t="n"/>
      <c r="Z482" s="172" t="n"/>
      <c r="AA482" s="172" t="n"/>
      <c r="AB482" s="172" t="n"/>
      <c r="AC482" s="172" t="n"/>
      <c r="AD482" s="172" t="n"/>
      <c r="AE482" s="172" t="n"/>
      <c r="AF482" s="172" t="n"/>
      <c r="AG482" s="172" t="n"/>
      <c r="AH482" s="172" t="n"/>
      <c r="AI482" s="172" t="n"/>
      <c r="AJ482" s="172" t="n"/>
      <c r="AK482" s="172" t="n"/>
      <c r="AL482" s="172" t="n"/>
      <c r="AM482" s="172" t="n"/>
      <c r="AN482" s="172" t="n"/>
      <c r="AO482" s="172" t="n"/>
      <c r="AP482" s="172" t="n"/>
      <c r="AQ482" s="172" t="n"/>
      <c r="AR482" s="172" t="n"/>
      <c r="AS482" s="172" t="n"/>
      <c r="AT482" s="172" t="n"/>
      <c r="AU482" s="172" t="n"/>
      <c r="AV482" s="172" t="n"/>
      <c r="AW482" s="172" t="n"/>
      <c r="AX482" s="172" t="n"/>
      <c r="AY482" s="172" t="n"/>
      <c r="AZ482" s="172" t="n"/>
      <c r="BA482" s="172" t="n"/>
      <c r="BB482" s="172" t="n"/>
      <c r="BC482" s="172" t="n"/>
      <c r="BD482" s="172" t="n"/>
      <c r="BE482" s="172" t="n"/>
      <c r="BF482" s="172" t="n"/>
      <c r="BG482" s="172" t="n"/>
      <c r="BH482" s="172" t="n"/>
      <c r="BI482" s="173"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4" t="inlineStr">
        <is>
          <t>現住所</t>
        </is>
      </c>
      <c r="F483" s="175" t="n"/>
      <c r="G483" s="175" t="n"/>
      <c r="H483" s="175" t="n"/>
      <c r="I483" s="175" t="n"/>
      <c r="J483" s="175" t="n"/>
      <c r="K483" s="176" t="n"/>
      <c r="L483" s="83" t="inlineStr">
        <is>
          <t>〒</t>
        </is>
      </c>
      <c r="M483" s="175" t="n"/>
      <c r="N483" s="175" t="n"/>
      <c r="O483" s="175" t="n"/>
      <c r="P483" s="177">
        <f>計算!$H$8</f>
        <v/>
      </c>
      <c r="Q483" s="175" t="n"/>
      <c r="R483" s="175" t="n"/>
      <c r="S483" s="175" t="n"/>
      <c r="T483" s="175" t="n"/>
      <c r="U483" s="175" t="n"/>
      <c r="V483" s="175" t="n"/>
      <c r="W483" s="175" t="n"/>
      <c r="X483" s="175" t="n"/>
      <c r="Y483" s="175" t="n"/>
      <c r="Z483" s="175" t="n"/>
      <c r="AA483" s="175" t="n"/>
      <c r="AB483" s="175" t="n"/>
      <c r="AC483" s="175" t="n"/>
      <c r="AD483" s="175" t="n"/>
      <c r="AE483" s="175" t="n"/>
      <c r="AF483" s="175" t="n"/>
      <c r="AG483" s="175" t="n"/>
      <c r="AH483" s="175" t="n"/>
      <c r="AI483" s="175" t="n"/>
      <c r="AJ483" s="175"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5" t="n"/>
      <c r="BQ484" s="156" t="n"/>
      <c r="BR484" s="156" t="n"/>
      <c r="BS484" s="156" t="n"/>
      <c r="BT484" s="156" t="n"/>
      <c r="BU484" s="156" t="n"/>
      <c r="BV484" s="157" t="n"/>
      <c r="BW484" s="155" t="n"/>
      <c r="BX484" s="156" t="n"/>
      <c r="BY484" s="156" t="n"/>
      <c r="BZ484" s="156" t="n"/>
      <c r="CA484" s="156" t="n"/>
      <c r="CB484" s="156" t="n"/>
      <c r="CC484" s="156" t="n"/>
      <c r="CD484" s="156" t="n"/>
      <c r="CE484" s="156" t="n"/>
      <c r="CF484" s="156" t="n"/>
      <c r="CG484" s="157"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8" t="inlineStr">
        <is>
          <t>校内外の諸活動</t>
        </is>
      </c>
      <c r="BQ485" s="149" t="n"/>
      <c r="BR485" s="149" t="n"/>
      <c r="BS485" s="149" t="n"/>
      <c r="BT485" s="149" t="n"/>
      <c r="BU485" s="149" t="n"/>
      <c r="BV485" s="150" t="n"/>
      <c r="BW485" s="179">
        <f>計算!$BO$8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0">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5" t="n"/>
      <c r="F488" s="156" t="n"/>
      <c r="G488" s="156" t="n"/>
      <c r="H488" s="156" t="n"/>
      <c r="I488" s="156" t="n"/>
      <c r="J488" s="156" t="n"/>
      <c r="K488" s="157" t="n"/>
      <c r="L488" s="155" t="n"/>
      <c r="M488" s="156" t="n"/>
      <c r="N488" s="156" t="n"/>
      <c r="O488" s="156" t="n"/>
      <c r="P488" s="156" t="n"/>
      <c r="Q488" s="156" t="n"/>
      <c r="R488" s="156" t="n"/>
      <c r="S488" s="156" t="n"/>
      <c r="T488" s="156" t="n"/>
      <c r="U488" s="156" t="n"/>
      <c r="V488" s="156" t="n"/>
      <c r="W488" s="156" t="n"/>
      <c r="X488" s="156" t="n"/>
      <c r="Y488" s="156" t="n"/>
      <c r="Z488" s="156" t="n"/>
      <c r="AA488" s="156" t="n"/>
      <c r="AB488" s="156" t="n"/>
      <c r="AC488" s="156" t="n"/>
      <c r="AD488" s="156" t="n"/>
      <c r="AE488" s="156" t="n"/>
      <c r="AF488" s="156" t="n"/>
      <c r="AG488" s="156" t="n"/>
      <c r="AH488" s="156" t="n"/>
      <c r="AI488" s="156" t="n"/>
      <c r="AJ488" s="156" t="n"/>
      <c r="AK488" s="156" t="n"/>
      <c r="AL488" s="156" t="n"/>
      <c r="AM488" s="156" t="n"/>
      <c r="AN488" s="156" t="n"/>
      <c r="AO488" s="156" t="n"/>
      <c r="AP488" s="156" t="n"/>
      <c r="AQ488" s="156" t="n"/>
      <c r="AR488" s="156" t="n"/>
      <c r="AS488" s="156" t="n"/>
      <c r="AT488" s="156" t="n"/>
      <c r="AU488" s="156" t="n"/>
      <c r="AV488" s="156" t="n"/>
      <c r="AW488" s="156" t="n"/>
      <c r="AX488" s="156" t="n"/>
      <c r="AY488" s="156" t="n"/>
      <c r="AZ488" s="156" t="n"/>
      <c r="BA488" s="156" t="n"/>
      <c r="BB488" s="156" t="n"/>
      <c r="BC488" s="156" t="n"/>
      <c r="BD488" s="156" t="n"/>
      <c r="BE488" s="156" t="n"/>
      <c r="BF488" s="156" t="n"/>
      <c r="BG488" s="156" t="n"/>
      <c r="BH488" s="156" t="n"/>
      <c r="BI488" s="157"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69" t="inlineStr">
        <is>
          <t>ふ り が な</t>
        </is>
      </c>
      <c r="F489" s="149" t="n"/>
      <c r="G489" s="149" t="n"/>
      <c r="H489" s="149" t="n"/>
      <c r="I489" s="149" t="n"/>
      <c r="J489" s="149" t="n"/>
      <c r="K489" s="150" t="n"/>
      <c r="L489" s="170">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1" t="n"/>
      <c r="F491" s="172" t="n"/>
      <c r="G491" s="172" t="n"/>
      <c r="H491" s="172" t="n"/>
      <c r="I491" s="172" t="n"/>
      <c r="J491" s="172" t="n"/>
      <c r="K491" s="173" t="n"/>
      <c r="L491" s="172" t="n"/>
      <c r="M491" s="172" t="n"/>
      <c r="N491" s="172" t="n"/>
      <c r="O491" s="172" t="n"/>
      <c r="P491" s="172" t="n"/>
      <c r="Q491" s="172" t="n"/>
      <c r="R491" s="172" t="n"/>
      <c r="S491" s="172" t="n"/>
      <c r="T491" s="172" t="n"/>
      <c r="U491" s="172" t="n"/>
      <c r="V491" s="172" t="n"/>
      <c r="W491" s="172" t="n"/>
      <c r="X491" s="172" t="n"/>
      <c r="Y491" s="172" t="n"/>
      <c r="Z491" s="172" t="n"/>
      <c r="AA491" s="172" t="n"/>
      <c r="AB491" s="172" t="n"/>
      <c r="AC491" s="172" t="n"/>
      <c r="AD491" s="172" t="n"/>
      <c r="AE491" s="172" t="n"/>
      <c r="AF491" s="172" t="n"/>
      <c r="AG491" s="172" t="n"/>
      <c r="AH491" s="172" t="n"/>
      <c r="AI491" s="172" t="n"/>
      <c r="AJ491" s="172" t="n"/>
      <c r="AK491" s="172" t="n"/>
      <c r="AL491" s="172" t="n"/>
      <c r="AM491" s="172" t="n"/>
      <c r="AN491" s="172" t="n"/>
      <c r="AO491" s="172" t="n"/>
      <c r="AP491" s="172" t="n"/>
      <c r="AQ491" s="172" t="n"/>
      <c r="AR491" s="172" t="n"/>
      <c r="AS491" s="172" t="n"/>
      <c r="AT491" s="172" t="n"/>
      <c r="AU491" s="172" t="n"/>
      <c r="AV491" s="172" t="n"/>
      <c r="AW491" s="172" t="n"/>
      <c r="AX491" s="172" t="n"/>
      <c r="AY491" s="172" t="n"/>
      <c r="AZ491" s="172" t="n"/>
      <c r="BA491" s="172" t="n"/>
      <c r="BB491" s="172" t="n"/>
      <c r="BC491" s="172" t="n"/>
      <c r="BD491" s="172" t="n"/>
      <c r="BE491" s="172" t="n"/>
      <c r="BF491" s="172" t="n"/>
      <c r="BG491" s="172" t="n"/>
      <c r="BH491" s="172" t="n"/>
      <c r="BI491" s="173"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4" t="inlineStr">
        <is>
          <t>連絡先</t>
        </is>
      </c>
      <c r="F492" s="175" t="n"/>
      <c r="G492" s="175" t="n"/>
      <c r="H492" s="175" t="n"/>
      <c r="I492" s="175" t="n"/>
      <c r="J492" s="175" t="n"/>
      <c r="K492" s="176" t="n"/>
      <c r="L492" s="83" t="inlineStr">
        <is>
          <t>〒</t>
        </is>
      </c>
      <c r="M492" s="175" t="n"/>
      <c r="N492" s="175" t="n"/>
      <c r="O492" s="175" t="n"/>
      <c r="P492" s="181">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2">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5" t="n"/>
      <c r="F496" s="156" t="n"/>
      <c r="G496" s="156" t="n"/>
      <c r="H496" s="156" t="n"/>
      <c r="I496" s="156" t="n"/>
      <c r="J496" s="156" t="n"/>
      <c r="K496" s="157" t="n"/>
      <c r="L496" s="156" t="n"/>
      <c r="M496" s="156" t="n"/>
      <c r="N496" s="156" t="n"/>
      <c r="O496" s="156" t="n"/>
      <c r="P496" s="156" t="n"/>
      <c r="Q496" s="156" t="n"/>
      <c r="R496" s="156" t="n"/>
      <c r="S496" s="156" t="n"/>
      <c r="T496" s="156" t="n"/>
      <c r="U496" s="156" t="n"/>
      <c r="V496" s="156" t="n"/>
      <c r="W496" s="156" t="n"/>
      <c r="X496" s="156" t="n"/>
      <c r="Y496" s="156" t="n"/>
      <c r="Z496" s="156" t="n"/>
      <c r="AA496" s="156" t="n"/>
      <c r="AB496" s="156" t="n"/>
      <c r="AC496" s="156" t="n"/>
      <c r="AD496" s="156" t="n"/>
      <c r="AE496" s="156" t="n"/>
      <c r="AF496" s="156" t="n"/>
      <c r="AG496" s="156" t="n"/>
      <c r="AH496" s="156" t="n"/>
      <c r="AI496" s="156" t="n"/>
      <c r="AJ496" s="156" t="n"/>
      <c r="AK496" s="156" t="n"/>
      <c r="AL496" s="156" t="n"/>
      <c r="AM496" s="156" t="n"/>
      <c r="AN496" s="156" t="n"/>
      <c r="AO496" s="156" t="n"/>
      <c r="AP496" s="156" t="n"/>
      <c r="AQ496" s="156" t="n"/>
      <c r="AR496" s="156" t="n"/>
      <c r="AS496" s="156" t="n"/>
      <c r="AT496" s="156" t="n"/>
      <c r="AU496" s="156" t="n"/>
      <c r="AV496" s="156" t="n"/>
      <c r="AW496" s="156" t="n"/>
      <c r="AX496" s="156" t="n"/>
      <c r="AY496" s="156" t="n"/>
      <c r="AZ496" s="156" t="n"/>
      <c r="BA496" s="156" t="n"/>
      <c r="BB496" s="156" t="n"/>
      <c r="BC496" s="156" t="n"/>
      <c r="BD496" s="156" t="n"/>
      <c r="BE496" s="156" t="n"/>
      <c r="BF496" s="156" t="n"/>
      <c r="BG496" s="156" t="n"/>
      <c r="BH496" s="156" t="n"/>
      <c r="BI496" s="157"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86"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3" t="n"/>
      <c r="BQ502" s="149" t="n"/>
      <c r="BR502" s="184" t="n"/>
      <c r="BS502" s="149" t="n"/>
      <c r="BT502" s="149" t="n"/>
      <c r="BU502" s="28" t="n"/>
      <c r="BV502" s="29" t="n"/>
      <c r="BW502" s="185">
        <f>計算!$BP$8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115"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6"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107"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7">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188">
        <f>IF(入力!$D$10="","",設定!$B$6)&amp;""</f>
        <v/>
      </c>
      <c r="S510" s="11" t="n"/>
      <c r="T510" s="11" t="n"/>
      <c r="U510" s="188">
        <f>IF(入力!$D$10="","",設定!$B$7)&amp;""</f>
        <v/>
      </c>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110" t="inlineStr">
        <is>
          <t>令和</t>
        </is>
      </c>
      <c r="S511" s="61" t="inlineStr">
        <is>
          <t>年</t>
        </is>
      </c>
      <c r="W511" s="62"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90"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5" t="n"/>
      <c r="F515" s="156" t="n"/>
      <c r="G515" s="156" t="n"/>
      <c r="H515" s="156" t="n"/>
      <c r="I515" s="156" t="n"/>
      <c r="J515" s="156" t="n"/>
      <c r="K515" s="157"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6" t="n"/>
      <c r="AX515" s="156" t="n"/>
      <c r="AY515" s="156" t="n"/>
      <c r="AZ515" s="156" t="n"/>
      <c r="BA515" s="156" t="n"/>
      <c r="BB515" s="156" t="n"/>
      <c r="BC515" s="156" t="n"/>
      <c r="BD515" s="156" t="n"/>
      <c r="BE515" s="156" t="n"/>
      <c r="BF515" s="156" t="n"/>
      <c r="BG515" s="156" t="n"/>
      <c r="BH515" s="156" t="n"/>
      <c r="BI515" s="157"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58" t="n"/>
      <c r="T516" s="149" t="n"/>
      <c r="U516" s="17" t="n"/>
      <c r="V516" s="17" t="n"/>
      <c r="W516" s="58"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89" t="inlineStr">
        <is>
          <t>職　歴</t>
        </is>
      </c>
      <c r="K519" s="153" t="n"/>
      <c r="L519" s="69" t="inlineStr">
        <is>
          <t>平成</t>
        </is>
      </c>
      <c r="M519" s="149" t="n"/>
      <c r="N519" s="149" t="n"/>
      <c r="O519" s="149" t="n"/>
      <c r="P519" s="19" t="n"/>
      <c r="Q519" s="19" t="n"/>
      <c r="R519" s="19" t="n"/>
      <c r="S519" s="19" t="n"/>
      <c r="T519" s="19" t="n"/>
      <c r="U519" s="19" t="n"/>
      <c r="V519" s="19" t="n"/>
      <c r="W519" s="19" t="n"/>
      <c r="X519" s="37" t="n"/>
      <c r="Y519" s="180">
        <f>計算!$BT$8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8">
        <f>計算!$BR$8</f>
        <v/>
      </c>
      <c r="S521" s="61" t="inlineStr">
        <is>
          <t>年</t>
        </is>
      </c>
      <c r="U521" s="190">
        <f>計算!$BS$8</f>
        <v/>
      </c>
      <c r="W521" s="62"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74"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5" t="n"/>
      <c r="M524" s="156" t="n"/>
      <c r="N524" s="156" t="n"/>
      <c r="O524" s="156" t="n"/>
      <c r="P524" s="20" t="n"/>
      <c r="Q524" s="20" t="n"/>
      <c r="R524" s="20" t="n"/>
      <c r="S524" s="20" t="n"/>
      <c r="T524" s="20" t="n"/>
      <c r="U524" s="20" t="n"/>
      <c r="V524" s="20" t="n"/>
      <c r="W524" s="20" t="n"/>
      <c r="X524" s="39" t="n"/>
      <c r="Y524" s="155" t="n"/>
      <c r="Z524" s="156" t="n"/>
      <c r="AA524" s="156" t="n"/>
      <c r="AB524" s="156" t="n"/>
      <c r="AC524" s="156" t="n"/>
      <c r="AD524" s="156" t="n"/>
      <c r="AE524" s="156" t="n"/>
      <c r="AF524" s="156" t="n"/>
      <c r="AG524" s="156" t="n"/>
      <c r="AH524" s="156" t="n"/>
      <c r="AI524" s="156" t="n"/>
      <c r="AJ524" s="156" t="n"/>
      <c r="AK524" s="156" t="n"/>
      <c r="AL524" s="156" t="n"/>
      <c r="AM524" s="156" t="n"/>
      <c r="AN524" s="156" t="n"/>
      <c r="AO524" s="156" t="n"/>
      <c r="AP524" s="156" t="n"/>
      <c r="AQ524" s="156" t="n"/>
      <c r="AR524" s="156" t="n"/>
      <c r="AS524" s="156" t="n"/>
      <c r="AT524" s="156" t="n"/>
      <c r="AU524" s="156" t="n"/>
      <c r="AV524" s="156" t="n"/>
      <c r="AW524" s="156" t="n"/>
      <c r="AX524" s="156" t="n"/>
      <c r="AY524" s="156" t="n"/>
      <c r="AZ524" s="156" t="n"/>
      <c r="BA524" s="156" t="n"/>
      <c r="BB524" s="156" t="n"/>
      <c r="BC524" s="156" t="n"/>
      <c r="BD524" s="156" t="n"/>
      <c r="BE524" s="156" t="n"/>
      <c r="BF524" s="156" t="n"/>
      <c r="BG524" s="156" t="n"/>
      <c r="BH524" s="156" t="n"/>
      <c r="BI524" s="157"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69" t="inlineStr">
        <is>
          <t>平成</t>
        </is>
      </c>
      <c r="M525" s="149" t="n"/>
      <c r="N525" s="149" t="n"/>
      <c r="O525" s="149" t="n"/>
      <c r="P525" s="18" t="n"/>
      <c r="Q525" s="18" t="n"/>
      <c r="R525" s="18" t="n"/>
      <c r="S525" s="18" t="n"/>
      <c r="T525" s="18" t="n"/>
      <c r="U525" s="18" t="n"/>
      <c r="V525" s="18" t="n"/>
      <c r="W525" s="18" t="n"/>
      <c r="X525" s="35" t="n"/>
      <c r="Y525" s="180">
        <f>計算!$BW$8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8">
        <f>計算!$BU$8</f>
        <v/>
      </c>
      <c r="S527" s="61" t="inlineStr">
        <is>
          <t>年</t>
        </is>
      </c>
      <c r="U527" s="190">
        <f>計算!$BV$8</f>
        <v/>
      </c>
      <c r="W527" s="62"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74"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5" t="n"/>
      <c r="M530" s="156" t="n"/>
      <c r="N530" s="156" t="n"/>
      <c r="O530" s="156" t="n"/>
      <c r="P530" s="20" t="n"/>
      <c r="Q530" s="20" t="n"/>
      <c r="R530" s="20" t="n"/>
      <c r="S530" s="20" t="n"/>
      <c r="T530" s="20" t="n"/>
      <c r="U530" s="20" t="n"/>
      <c r="V530" s="20" t="n"/>
      <c r="W530" s="20" t="n"/>
      <c r="X530" s="39" t="n"/>
      <c r="Y530" s="155" t="n"/>
      <c r="Z530" s="156" t="n"/>
      <c r="AA530" s="156" t="n"/>
      <c r="AB530" s="156" t="n"/>
      <c r="AC530" s="156" t="n"/>
      <c r="AD530" s="156" t="n"/>
      <c r="AE530" s="156" t="n"/>
      <c r="AF530" s="156" t="n"/>
      <c r="AG530" s="156" t="n"/>
      <c r="AH530" s="156" t="n"/>
      <c r="AI530" s="156" t="n"/>
      <c r="AJ530" s="156" t="n"/>
      <c r="AK530" s="156" t="n"/>
      <c r="AL530" s="156" t="n"/>
      <c r="AM530" s="156" t="n"/>
      <c r="AN530" s="156" t="n"/>
      <c r="AO530" s="156" t="n"/>
      <c r="AP530" s="156" t="n"/>
      <c r="AQ530" s="156" t="n"/>
      <c r="AR530" s="156" t="n"/>
      <c r="AS530" s="156" t="n"/>
      <c r="AT530" s="156" t="n"/>
      <c r="AU530" s="156" t="n"/>
      <c r="AV530" s="156" t="n"/>
      <c r="AW530" s="156" t="n"/>
      <c r="AX530" s="156" t="n"/>
      <c r="AY530" s="156" t="n"/>
      <c r="AZ530" s="156" t="n"/>
      <c r="BA530" s="156" t="n"/>
      <c r="BB530" s="156" t="n"/>
      <c r="BC530" s="156" t="n"/>
      <c r="BD530" s="156" t="n"/>
      <c r="BE530" s="156" t="n"/>
      <c r="BF530" s="156" t="n"/>
      <c r="BG530" s="156" t="n"/>
      <c r="BH530" s="156" t="n"/>
      <c r="BI530" s="157" t="n"/>
      <c r="BJ530" s="2" t="n"/>
      <c r="BK530" s="2" t="n"/>
      <c r="BL530" s="2" t="n"/>
      <c r="BM530" s="2" t="n"/>
      <c r="BN530" s="2" t="n"/>
      <c r="BO530" s="2" t="n"/>
      <c r="BP530" s="155" t="n"/>
      <c r="BQ530" s="156" t="n"/>
      <c r="BR530" s="156" t="n"/>
      <c r="BS530" s="156" t="n"/>
      <c r="BT530" s="156" t="n"/>
      <c r="BU530" s="42" t="n"/>
      <c r="BV530" s="45" t="n"/>
      <c r="BW530" s="156" t="n"/>
      <c r="BX530" s="156" t="n"/>
      <c r="BY530" s="156" t="n"/>
      <c r="BZ530" s="156" t="n"/>
      <c r="CA530" s="156" t="n"/>
      <c r="CB530" s="156" t="n"/>
      <c r="CC530" s="156" t="n"/>
      <c r="CD530" s="156" t="n"/>
      <c r="CE530" s="156" t="n"/>
      <c r="CF530" s="156" t="n"/>
      <c r="CG530" s="156" t="n"/>
      <c r="CH530" s="156" t="n"/>
      <c r="CI530" s="156" t="n"/>
      <c r="CJ530" s="156" t="n"/>
      <c r="CK530" s="156" t="n"/>
      <c r="CL530" s="156" t="n"/>
      <c r="CM530" s="156" t="n"/>
      <c r="CN530" s="156" t="n"/>
      <c r="CO530" s="156" t="n"/>
      <c r="CP530" s="156" t="n"/>
      <c r="CQ530" s="156" t="n"/>
      <c r="CR530" s="156" t="n"/>
      <c r="CS530" s="156" t="n"/>
      <c r="CT530" s="156" t="n"/>
      <c r="CU530" s="156" t="n"/>
      <c r="CV530" s="156" t="n"/>
      <c r="CW530" s="156" t="n"/>
      <c r="CX530" s="156" t="n"/>
      <c r="CY530" s="156" t="n"/>
      <c r="CZ530" s="156" t="n"/>
      <c r="DA530" s="156" t="n"/>
      <c r="DB530" s="156" t="n"/>
      <c r="DC530" s="156" t="n"/>
      <c r="DD530" s="156" t="n"/>
      <c r="DE530" s="156" t="n"/>
      <c r="DF530" s="156" t="n"/>
      <c r="DG530" s="156" t="n"/>
      <c r="DH530" s="156" t="n"/>
      <c r="DI530" s="156" t="n"/>
      <c r="DJ530" s="156" t="n"/>
      <c r="DK530" s="156" t="n"/>
      <c r="DL530" s="156" t="n"/>
      <c r="DM530" s="156" t="n"/>
      <c r="DN530" s="156" t="n"/>
      <c r="DO530" s="156" t="n"/>
      <c r="DP530" s="156" t="n"/>
      <c r="DQ530" s="156" t="n"/>
      <c r="DR530" s="156" t="n"/>
      <c r="DS530" s="156" t="n"/>
      <c r="DT530" s="156" t="n"/>
      <c r="DU530" s="157" t="n"/>
      <c r="DV530" s="2" t="n"/>
      <c r="DW530" s="2" t="n"/>
      <c r="DX530" s="2" t="n"/>
      <c r="DY530" s="2" t="n"/>
      <c r="DZ530" s="2" t="n"/>
      <c r="EA530" s="2" t="n"/>
      <c r="EB530" s="2" t="n"/>
      <c r="EC530" s="2" t="n"/>
    </row>
    <row r="531" ht="6.75" customHeight="1" s="118">
      <c r="A531" s="2" t="n"/>
      <c r="B531" s="2" t="n"/>
      <c r="C531" s="2" t="n"/>
      <c r="D531" s="2" t="n"/>
      <c r="E531" s="152" t="n"/>
      <c r="K531" s="153" t="n"/>
      <c r="L531" s="69"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5">
        <f>計算!$BQ$8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61" t="inlineStr">
        <is>
          <t>年</t>
        </is>
      </c>
      <c r="U533" s="11" t="n"/>
      <c r="V533" s="11" t="n"/>
      <c r="W533" s="62"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74"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5" t="n"/>
      <c r="M536" s="156" t="n"/>
      <c r="N536" s="156" t="n"/>
      <c r="O536" s="156"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69"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61" t="inlineStr">
        <is>
          <t>年</t>
        </is>
      </c>
      <c r="U539" s="11" t="n"/>
      <c r="V539" s="11" t="n"/>
      <c r="W539" s="62"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74"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61" t="n"/>
      <c r="T541" s="61" t="n"/>
      <c r="U541" s="11" t="n"/>
      <c r="V541" s="11" t="n"/>
      <c r="W541" s="61" t="n"/>
      <c r="X541" s="62"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5" t="n"/>
      <c r="F542" s="156" t="n"/>
      <c r="G542" s="156" t="n"/>
      <c r="H542" s="156" t="n"/>
      <c r="I542" s="156" t="n"/>
      <c r="J542" s="156" t="n"/>
      <c r="K542" s="157" t="n"/>
      <c r="L542" s="155" t="n"/>
      <c r="M542" s="156" t="n"/>
      <c r="N542" s="156" t="n"/>
      <c r="O542" s="156"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5" t="n"/>
      <c r="BQ542" s="156" t="n"/>
      <c r="BR542" s="156" t="n"/>
      <c r="BS542" s="156" t="n"/>
      <c r="BT542" s="156" t="n"/>
      <c r="BU542" s="156" t="n"/>
      <c r="BV542" s="157" t="n"/>
      <c r="BW542" s="156" t="n"/>
      <c r="BX542" s="156" t="n"/>
      <c r="BY542" s="156" t="n"/>
      <c r="BZ542" s="156" t="n"/>
      <c r="CA542" s="156" t="n"/>
      <c r="CB542" s="156" t="n"/>
      <c r="CC542" s="156" t="n"/>
      <c r="CD542" s="156" t="n"/>
      <c r="CE542" s="156" t="n"/>
      <c r="CF542" s="156" t="n"/>
      <c r="CG542" s="156" t="n"/>
      <c r="CH542" s="156" t="n"/>
      <c r="CI542" s="156" t="n"/>
      <c r="CJ542" s="156" t="n"/>
      <c r="CK542" s="156" t="n"/>
      <c r="CL542" s="156" t="n"/>
      <c r="CM542" s="156" t="n"/>
      <c r="CN542" s="156" t="n"/>
      <c r="CO542" s="156" t="n"/>
      <c r="CP542" s="156" t="n"/>
      <c r="CQ542" s="156" t="n"/>
      <c r="CR542" s="156" t="n"/>
      <c r="CS542" s="156" t="n"/>
      <c r="CT542" s="156" t="n"/>
      <c r="CU542" s="156" t="n"/>
      <c r="CV542" s="156" t="n"/>
      <c r="CW542" s="156" t="n"/>
      <c r="CX542" s="156" t="n"/>
      <c r="CY542" s="156" t="n"/>
      <c r="CZ542" s="156" t="n"/>
      <c r="DA542" s="156" t="n"/>
      <c r="DB542" s="156" t="n"/>
      <c r="DC542" s="156" t="n"/>
      <c r="DD542" s="156" t="n"/>
      <c r="DE542" s="156" t="n"/>
      <c r="DF542" s="156" t="n"/>
      <c r="DG542" s="156" t="n"/>
      <c r="DH542" s="156" t="n"/>
      <c r="DI542" s="156" t="n"/>
      <c r="DJ542" s="156" t="n"/>
      <c r="DK542" s="156" t="n"/>
      <c r="DL542" s="156" t="n"/>
      <c r="DM542" s="156" t="n"/>
      <c r="DN542" s="156" t="n"/>
      <c r="DO542" s="156" t="n"/>
      <c r="DP542" s="156" t="n"/>
      <c r="DQ542" s="156" t="n"/>
      <c r="DR542" s="156" t="n"/>
      <c r="DS542" s="156" t="n"/>
      <c r="DT542" s="156" t="n"/>
      <c r="DU542" s="157"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87" t="inlineStr">
        <is>
          <t xml:space="preserve">    (近畿高等学校統一用紙　  その２ 　  令和７年度改定)　</t>
        </is>
      </c>
      <c r="DV544" s="2" t="n"/>
      <c r="DW544" s="2" t="n"/>
      <c r="DX544" s="2" t="n"/>
      <c r="DY544" s="2" t="n"/>
      <c r="DZ544" s="2" t="n"/>
      <c r="EA544" s="2" t="n"/>
      <c r="EB544" s="2" t="n"/>
      <c r="EC544" s="2" t="n"/>
    </row>
    <row r="545" hidden="1"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idden="1"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47"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64" t="inlineStr">
        <is>
          <t>令和</t>
        </is>
      </c>
      <c r="AD554" s="154">
        <f>IF(入力!$D$11="","",IF(N(設定!$B$3)=0,"",YEAR(設定!$B$3)-2018))&amp;""</f>
        <v/>
      </c>
      <c r="AG554" s="64" t="inlineStr">
        <is>
          <t>年</t>
        </is>
      </c>
      <c r="AI554" s="154">
        <f>IF(入力!$D$11="","",IF(N(設定!$B$3)=0,"",MONTH(設定!$B$3)))&amp;""</f>
        <v/>
      </c>
      <c r="AL554" s="64" t="inlineStr">
        <is>
          <t>月</t>
        </is>
      </c>
      <c r="AN554" s="154">
        <f>IF(入力!$D$11="","",IF(N(設定!$B$3)=0,"",DAY(設定!$B$3)))&amp;""</f>
        <v/>
      </c>
      <c r="AP554" s="64"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5" t="n"/>
      <c r="BX554" s="156" t="n"/>
      <c r="BY554" s="156" t="n"/>
      <c r="BZ554" s="156" t="n"/>
      <c r="CA554" s="156" t="n"/>
      <c r="CB554" s="156" t="n"/>
      <c r="CC554" s="156" t="n"/>
      <c r="CD554" s="156" t="n"/>
      <c r="CE554" s="156" t="n"/>
      <c r="CF554" s="156" t="n"/>
      <c r="CG554" s="157" t="n"/>
      <c r="CH554" s="155" t="n"/>
      <c r="CI554" s="156" t="n"/>
      <c r="CJ554" s="156" t="n"/>
      <c r="CK554" s="156" t="n"/>
      <c r="CL554" s="156" t="n"/>
      <c r="CM554" s="156" t="n"/>
      <c r="CN554" s="156" t="n"/>
      <c r="CO554" s="156" t="n"/>
      <c r="CP554" s="156" t="n"/>
      <c r="CQ554" s="156" t="n"/>
      <c r="CR554" s="156" t="n"/>
      <c r="CS554" s="156" t="n"/>
      <c r="CT554" s="156" t="n"/>
      <c r="CU554" s="156" t="n"/>
      <c r="CV554" s="156" t="n"/>
      <c r="CW554" s="156" t="n"/>
      <c r="CX554" s="156" t="n"/>
      <c r="CY554" s="156" t="n"/>
      <c r="CZ554" s="156" t="n"/>
      <c r="DA554" s="156" t="n"/>
      <c r="DB554" s="156" t="n"/>
      <c r="DC554" s="156" t="n"/>
      <c r="DD554" s="156" t="n"/>
      <c r="DE554" s="156" t="n"/>
      <c r="DF554" s="156" t="n"/>
      <c r="DG554" s="156" t="n"/>
      <c r="DH554" s="156" t="n"/>
      <c r="DI554" s="156" t="n"/>
      <c r="DJ554" s="156" t="n"/>
      <c r="DK554" s="156" t="n"/>
      <c r="DL554" s="156" t="n"/>
      <c r="DM554" s="156" t="n"/>
      <c r="DN554" s="156" t="n"/>
      <c r="DO554" s="156" t="n"/>
      <c r="DP554" s="156" t="n"/>
      <c r="DQ554" s="156" t="n"/>
      <c r="DR554" s="156" t="n"/>
      <c r="DS554" s="156" t="n"/>
      <c r="DT554" s="156" t="n"/>
      <c r="DU554" s="157"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68" t="inlineStr">
        <is>
          <t>写真をはる位置</t>
        </is>
      </c>
      <c r="BI555" s="8" t="n"/>
      <c r="BJ555" s="7" t="n"/>
      <c r="BK555" s="2" t="n"/>
      <c r="BL555" s="2" t="n"/>
      <c r="BM555" s="2" t="n"/>
      <c r="BN555" s="2" t="n"/>
      <c r="BO555" s="2" t="n"/>
      <c r="BP555" s="152" t="n"/>
      <c r="BV555" s="153" t="n"/>
      <c r="BW555" s="158">
        <f>計算!$CB$9</f>
        <v/>
      </c>
      <c r="CG555" s="153" t="n"/>
      <c r="CH555" s="159">
        <f>計算!$CC$9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6" t="n"/>
      <c r="AA556" s="156" t="n"/>
      <c r="AB556" s="156" t="n"/>
      <c r="AC556" s="156" t="n"/>
      <c r="AD556" s="156" t="n"/>
      <c r="AE556" s="156" t="n"/>
      <c r="AF556" s="156" t="n"/>
      <c r="AG556" s="156" t="n"/>
      <c r="AH556" s="156" t="n"/>
      <c r="AI556" s="156" t="n"/>
      <c r="AJ556" s="156" t="n"/>
      <c r="AK556" s="156" t="n"/>
      <c r="AL556" s="156" t="n"/>
      <c r="AM556" s="156" t="n"/>
      <c r="AN556" s="156" t="n"/>
      <c r="AO556" s="156" t="n"/>
      <c r="AP556" s="156" t="n"/>
      <c r="AQ556" s="156" t="n"/>
      <c r="AR556" s="156" t="n"/>
      <c r="AS556" s="156" t="n"/>
      <c r="AT556" s="156"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0">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5" t="n"/>
      <c r="F560" s="156" t="n"/>
      <c r="G560" s="156" t="n"/>
      <c r="H560" s="156" t="n"/>
      <c r="I560" s="156" t="n"/>
      <c r="J560" s="156" t="n"/>
      <c r="K560" s="157" t="n"/>
      <c r="L560" s="156" t="n"/>
      <c r="M560" s="156" t="n"/>
      <c r="N560" s="156" t="n"/>
      <c r="O560" s="156" t="n"/>
      <c r="P560" s="156" t="n"/>
      <c r="Q560" s="156" t="n"/>
      <c r="R560" s="156" t="n"/>
      <c r="S560" s="156" t="n"/>
      <c r="T560" s="156" t="n"/>
      <c r="U560" s="156" t="n"/>
      <c r="V560" s="156" t="n"/>
      <c r="W560" s="156" t="n"/>
      <c r="X560" s="156" t="n"/>
      <c r="Y560" s="156" t="n"/>
      <c r="Z560" s="156" t="n"/>
      <c r="AA560" s="156" t="n"/>
      <c r="AB560" s="156" t="n"/>
      <c r="AC560" s="156" t="n"/>
      <c r="AD560" s="156" t="n"/>
      <c r="AE560" s="156" t="n"/>
      <c r="AF560" s="156" t="n"/>
      <c r="AG560" s="156" t="n"/>
      <c r="AH560" s="156" t="n"/>
      <c r="AI560" s="156" t="n"/>
      <c r="AJ560" s="156" t="n"/>
      <c r="AK560" s="156" t="n"/>
      <c r="AL560" s="156" t="n"/>
      <c r="AM560" s="156" t="n"/>
      <c r="AN560" s="156" t="n"/>
      <c r="AO560" s="156" t="n"/>
      <c r="AP560" s="156" t="n"/>
      <c r="AQ560" s="156" t="n"/>
      <c r="AR560" s="156" t="n"/>
      <c r="AS560" s="156" t="n"/>
      <c r="AT560" s="157"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1" t="inlineStr">
        <is>
          <t>名　前</t>
        </is>
      </c>
      <c r="F561" s="149" t="n"/>
      <c r="G561" s="149" t="n"/>
      <c r="H561" s="149" t="n"/>
      <c r="I561" s="149" t="n"/>
      <c r="J561" s="149" t="n"/>
      <c r="K561" s="150" t="n"/>
      <c r="L561" s="162">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61"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5" t="n"/>
      <c r="F566" s="156" t="n"/>
      <c r="G566" s="156" t="n"/>
      <c r="H566" s="156" t="n"/>
      <c r="I566" s="156" t="n"/>
      <c r="J566" s="156" t="n"/>
      <c r="K566" s="157" t="n"/>
      <c r="L566" s="155" t="n"/>
      <c r="M566" s="156" t="n"/>
      <c r="N566" s="156" t="n"/>
      <c r="O566" s="156" t="n"/>
      <c r="P566" s="156" t="n"/>
      <c r="Q566" s="156" t="n"/>
      <c r="R566" s="156" t="n"/>
      <c r="S566" s="156" t="n"/>
      <c r="T566" s="156" t="n"/>
      <c r="U566" s="156" t="n"/>
      <c r="V566" s="156" t="n"/>
      <c r="W566" s="156" t="n"/>
      <c r="X566" s="156" t="n"/>
      <c r="Y566" s="156" t="n"/>
      <c r="Z566" s="156" t="n"/>
      <c r="AA566" s="156" t="n"/>
      <c r="AB566" s="156" t="n"/>
      <c r="AC566" s="156" t="n"/>
      <c r="AD566" s="156" t="n"/>
      <c r="AE566" s="156" t="n"/>
      <c r="AF566" s="156" t="n"/>
      <c r="AG566" s="156" t="n"/>
      <c r="AH566" s="156" t="n"/>
      <c r="AI566" s="156" t="n"/>
      <c r="AJ566" s="156" t="n"/>
      <c r="AK566" s="156" t="n"/>
      <c r="AL566" s="156" t="n"/>
      <c r="AM566" s="156" t="n"/>
      <c r="AN566" s="156" t="n"/>
      <c r="AO566" s="156" t="n"/>
      <c r="AP566" s="156" t="n"/>
      <c r="AQ566" s="156" t="n"/>
      <c r="AR566" s="156" t="n"/>
      <c r="AS566" s="156" t="n"/>
      <c r="AT566" s="157"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1" t="inlineStr">
        <is>
          <t>生年月日</t>
        </is>
      </c>
      <c r="F567" s="149" t="n"/>
      <c r="G567" s="149" t="n"/>
      <c r="H567" s="149" t="n"/>
      <c r="I567" s="149" t="n"/>
      <c r="J567" s="149" t="n"/>
      <c r="K567" s="150" t="n"/>
      <c r="L567" s="163" t="inlineStr">
        <is>
          <t>昭和 ・ 平成</t>
        </is>
      </c>
      <c r="M567" s="149" t="n"/>
      <c r="N567" s="149" t="n"/>
      <c r="O567" s="149" t="n"/>
      <c r="P567" s="149" t="n"/>
      <c r="Q567" s="149" t="n"/>
      <c r="R567" s="149" t="n"/>
      <c r="S567" s="149" t="n"/>
      <c r="T567" s="149" t="n"/>
      <c r="U567" s="149" t="n"/>
      <c r="V567" s="164">
        <f>計算!$D$9</f>
        <v/>
      </c>
      <c r="W567" s="149" t="n"/>
      <c r="X567" s="165" t="inlineStr">
        <is>
          <t>年</t>
        </is>
      </c>
      <c r="Y567" s="149" t="n"/>
      <c r="Z567" s="166">
        <f>計算!$E$9</f>
        <v/>
      </c>
      <c r="AA567" s="149" t="n"/>
      <c r="AB567" s="149" t="n"/>
      <c r="AC567" s="165" t="inlineStr">
        <is>
          <t>月</t>
        </is>
      </c>
      <c r="AD567" s="149" t="n"/>
      <c r="AE567" s="166">
        <f>計算!$F$9</f>
        <v/>
      </c>
      <c r="AF567" s="149" t="n"/>
      <c r="AG567" s="149" t="n"/>
      <c r="AH567" s="165" t="inlineStr">
        <is>
          <t>日　生 （満</t>
        </is>
      </c>
      <c r="AI567" s="149" t="n"/>
      <c r="AJ567" s="149" t="n"/>
      <c r="AK567" s="149" t="n"/>
      <c r="AL567" s="149" t="n"/>
      <c r="AM567" s="149" t="n"/>
      <c r="AN567" s="149" t="n"/>
      <c r="AO567" s="149" t="n"/>
      <c r="AP567" s="167">
        <f>計算!$G$9</f>
        <v/>
      </c>
      <c r="AQ567" s="149" t="n"/>
      <c r="AR567" s="168"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5" t="n"/>
      <c r="F570" s="156" t="n"/>
      <c r="G570" s="156" t="n"/>
      <c r="H570" s="156" t="n"/>
      <c r="I570" s="156" t="n"/>
      <c r="J570" s="156" t="n"/>
      <c r="K570" s="157" t="n"/>
      <c r="L570" s="155" t="n"/>
      <c r="M570" s="156" t="n"/>
      <c r="N570" s="156" t="n"/>
      <c r="O570" s="156" t="n"/>
      <c r="P570" s="156" t="n"/>
      <c r="Q570" s="156" t="n"/>
      <c r="R570" s="156" t="n"/>
      <c r="S570" s="156" t="n"/>
      <c r="T570" s="156" t="n"/>
      <c r="U570" s="156" t="n"/>
      <c r="X570" s="156" t="n"/>
      <c r="Y570" s="156" t="n"/>
      <c r="AC570" s="156" t="n"/>
      <c r="AD570" s="156" t="n"/>
      <c r="AH570" s="156" t="n"/>
      <c r="AI570" s="156" t="n"/>
      <c r="AJ570" s="156" t="n"/>
      <c r="AK570" s="156" t="n"/>
      <c r="AL570" s="156" t="n"/>
      <c r="AM570" s="156" t="n"/>
      <c r="AN570" s="156" t="n"/>
      <c r="AO570" s="156" t="n"/>
      <c r="AP570" s="156" t="n"/>
      <c r="AQ570" s="156" t="n"/>
      <c r="AR570" s="156" t="n"/>
      <c r="AS570" s="156" t="n"/>
      <c r="AT570" s="157"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69" t="inlineStr">
        <is>
          <t>ふ り が な</t>
        </is>
      </c>
      <c r="F571" s="149" t="n"/>
      <c r="G571" s="149" t="n"/>
      <c r="H571" s="149" t="n"/>
      <c r="I571" s="149" t="n"/>
      <c r="J571" s="149" t="n"/>
      <c r="K571" s="150" t="n"/>
      <c r="L571" s="170">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1" t="n"/>
      <c r="F573" s="172" t="n"/>
      <c r="G573" s="172" t="n"/>
      <c r="H573" s="172" t="n"/>
      <c r="I573" s="172" t="n"/>
      <c r="J573" s="172" t="n"/>
      <c r="K573" s="173" t="n"/>
      <c r="L573" s="172" t="n"/>
      <c r="M573" s="172" t="n"/>
      <c r="N573" s="172" t="n"/>
      <c r="O573" s="172" t="n"/>
      <c r="P573" s="172" t="n"/>
      <c r="Q573" s="172" t="n"/>
      <c r="R573" s="172" t="n"/>
      <c r="S573" s="172" t="n"/>
      <c r="T573" s="172" t="n"/>
      <c r="U573" s="172" t="n"/>
      <c r="V573" s="172" t="n"/>
      <c r="W573" s="172" t="n"/>
      <c r="X573" s="172" t="n"/>
      <c r="Y573" s="172" t="n"/>
      <c r="Z573" s="172" t="n"/>
      <c r="AA573" s="172" t="n"/>
      <c r="AB573" s="172" t="n"/>
      <c r="AC573" s="172" t="n"/>
      <c r="AD573" s="172" t="n"/>
      <c r="AE573" s="172" t="n"/>
      <c r="AF573" s="172" t="n"/>
      <c r="AG573" s="172" t="n"/>
      <c r="AH573" s="172" t="n"/>
      <c r="AI573" s="172" t="n"/>
      <c r="AJ573" s="172" t="n"/>
      <c r="AK573" s="172" t="n"/>
      <c r="AL573" s="172" t="n"/>
      <c r="AM573" s="172" t="n"/>
      <c r="AN573" s="172" t="n"/>
      <c r="AO573" s="172" t="n"/>
      <c r="AP573" s="172" t="n"/>
      <c r="AQ573" s="172" t="n"/>
      <c r="AR573" s="172" t="n"/>
      <c r="AS573" s="172" t="n"/>
      <c r="AT573" s="172" t="n"/>
      <c r="AU573" s="172" t="n"/>
      <c r="AV573" s="172" t="n"/>
      <c r="AW573" s="172" t="n"/>
      <c r="AX573" s="172" t="n"/>
      <c r="AY573" s="172" t="n"/>
      <c r="AZ573" s="172" t="n"/>
      <c r="BA573" s="172" t="n"/>
      <c r="BB573" s="172" t="n"/>
      <c r="BC573" s="172" t="n"/>
      <c r="BD573" s="172" t="n"/>
      <c r="BE573" s="172" t="n"/>
      <c r="BF573" s="172" t="n"/>
      <c r="BG573" s="172" t="n"/>
      <c r="BH573" s="172" t="n"/>
      <c r="BI573" s="173"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4" t="inlineStr">
        <is>
          <t>現住所</t>
        </is>
      </c>
      <c r="F574" s="175" t="n"/>
      <c r="G574" s="175" t="n"/>
      <c r="H574" s="175" t="n"/>
      <c r="I574" s="175" t="n"/>
      <c r="J574" s="175" t="n"/>
      <c r="K574" s="176" t="n"/>
      <c r="L574" s="83" t="inlineStr">
        <is>
          <t>〒</t>
        </is>
      </c>
      <c r="M574" s="175" t="n"/>
      <c r="N574" s="175" t="n"/>
      <c r="O574" s="175" t="n"/>
      <c r="P574" s="177">
        <f>計算!$H$9</f>
        <v/>
      </c>
      <c r="Q574" s="175" t="n"/>
      <c r="R574" s="175" t="n"/>
      <c r="S574" s="175" t="n"/>
      <c r="T574" s="175" t="n"/>
      <c r="U574" s="175" t="n"/>
      <c r="V574" s="175" t="n"/>
      <c r="W574" s="175" t="n"/>
      <c r="X574" s="175" t="n"/>
      <c r="Y574" s="175" t="n"/>
      <c r="Z574" s="175" t="n"/>
      <c r="AA574" s="175" t="n"/>
      <c r="AB574" s="175" t="n"/>
      <c r="AC574" s="175" t="n"/>
      <c r="AD574" s="175" t="n"/>
      <c r="AE574" s="175" t="n"/>
      <c r="AF574" s="175" t="n"/>
      <c r="AG574" s="175" t="n"/>
      <c r="AH574" s="175" t="n"/>
      <c r="AI574" s="175" t="n"/>
      <c r="AJ574" s="175"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5" t="n"/>
      <c r="BQ575" s="156" t="n"/>
      <c r="BR575" s="156" t="n"/>
      <c r="BS575" s="156" t="n"/>
      <c r="BT575" s="156" t="n"/>
      <c r="BU575" s="156" t="n"/>
      <c r="BV575" s="157" t="n"/>
      <c r="BW575" s="155" t="n"/>
      <c r="BX575" s="156" t="n"/>
      <c r="BY575" s="156" t="n"/>
      <c r="BZ575" s="156" t="n"/>
      <c r="CA575" s="156" t="n"/>
      <c r="CB575" s="156" t="n"/>
      <c r="CC575" s="156" t="n"/>
      <c r="CD575" s="156" t="n"/>
      <c r="CE575" s="156" t="n"/>
      <c r="CF575" s="156" t="n"/>
      <c r="CG575" s="157"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8" t="inlineStr">
        <is>
          <t>校内外の諸活動</t>
        </is>
      </c>
      <c r="BQ576" s="149" t="n"/>
      <c r="BR576" s="149" t="n"/>
      <c r="BS576" s="149" t="n"/>
      <c r="BT576" s="149" t="n"/>
      <c r="BU576" s="149" t="n"/>
      <c r="BV576" s="150" t="n"/>
      <c r="BW576" s="179">
        <f>計算!$BO$9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0">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5" t="n"/>
      <c r="F579" s="156" t="n"/>
      <c r="G579" s="156" t="n"/>
      <c r="H579" s="156" t="n"/>
      <c r="I579" s="156" t="n"/>
      <c r="J579" s="156" t="n"/>
      <c r="K579" s="157" t="n"/>
      <c r="L579" s="155" t="n"/>
      <c r="M579" s="156" t="n"/>
      <c r="N579" s="156" t="n"/>
      <c r="O579" s="156" t="n"/>
      <c r="P579" s="156" t="n"/>
      <c r="Q579" s="156" t="n"/>
      <c r="R579" s="156" t="n"/>
      <c r="S579" s="156" t="n"/>
      <c r="T579" s="156" t="n"/>
      <c r="U579" s="156" t="n"/>
      <c r="V579" s="156" t="n"/>
      <c r="W579" s="156" t="n"/>
      <c r="X579" s="156" t="n"/>
      <c r="Y579" s="156" t="n"/>
      <c r="Z579" s="156" t="n"/>
      <c r="AA579" s="156" t="n"/>
      <c r="AB579" s="156" t="n"/>
      <c r="AC579" s="156" t="n"/>
      <c r="AD579" s="156" t="n"/>
      <c r="AE579" s="156" t="n"/>
      <c r="AF579" s="156" t="n"/>
      <c r="AG579" s="156" t="n"/>
      <c r="AH579" s="156" t="n"/>
      <c r="AI579" s="156" t="n"/>
      <c r="AJ579" s="156" t="n"/>
      <c r="AK579" s="156" t="n"/>
      <c r="AL579" s="156" t="n"/>
      <c r="AM579" s="156" t="n"/>
      <c r="AN579" s="156" t="n"/>
      <c r="AO579" s="156" t="n"/>
      <c r="AP579" s="156" t="n"/>
      <c r="AQ579" s="156" t="n"/>
      <c r="AR579" s="156" t="n"/>
      <c r="AS579" s="156" t="n"/>
      <c r="AT579" s="156" t="n"/>
      <c r="AU579" s="156" t="n"/>
      <c r="AV579" s="156" t="n"/>
      <c r="AW579" s="156" t="n"/>
      <c r="AX579" s="156" t="n"/>
      <c r="AY579" s="156" t="n"/>
      <c r="AZ579" s="156" t="n"/>
      <c r="BA579" s="156" t="n"/>
      <c r="BB579" s="156" t="n"/>
      <c r="BC579" s="156" t="n"/>
      <c r="BD579" s="156" t="n"/>
      <c r="BE579" s="156" t="n"/>
      <c r="BF579" s="156" t="n"/>
      <c r="BG579" s="156" t="n"/>
      <c r="BH579" s="156" t="n"/>
      <c r="BI579" s="157"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69" t="inlineStr">
        <is>
          <t>ふ り が な</t>
        </is>
      </c>
      <c r="F580" s="149" t="n"/>
      <c r="G580" s="149" t="n"/>
      <c r="H580" s="149" t="n"/>
      <c r="I580" s="149" t="n"/>
      <c r="J580" s="149" t="n"/>
      <c r="K580" s="150" t="n"/>
      <c r="L580" s="170">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1" t="n"/>
      <c r="F582" s="172" t="n"/>
      <c r="G582" s="172" t="n"/>
      <c r="H582" s="172" t="n"/>
      <c r="I582" s="172" t="n"/>
      <c r="J582" s="172" t="n"/>
      <c r="K582" s="173" t="n"/>
      <c r="L582" s="172" t="n"/>
      <c r="M582" s="172" t="n"/>
      <c r="N582" s="172" t="n"/>
      <c r="O582" s="172" t="n"/>
      <c r="P582" s="172" t="n"/>
      <c r="Q582" s="172" t="n"/>
      <c r="R582" s="172" t="n"/>
      <c r="S582" s="172" t="n"/>
      <c r="T582" s="172" t="n"/>
      <c r="U582" s="172" t="n"/>
      <c r="V582" s="172" t="n"/>
      <c r="W582" s="172" t="n"/>
      <c r="X582" s="172" t="n"/>
      <c r="Y582" s="172" t="n"/>
      <c r="Z582" s="172" t="n"/>
      <c r="AA582" s="172" t="n"/>
      <c r="AB582" s="172" t="n"/>
      <c r="AC582" s="172" t="n"/>
      <c r="AD582" s="172" t="n"/>
      <c r="AE582" s="172" t="n"/>
      <c r="AF582" s="172" t="n"/>
      <c r="AG582" s="172" t="n"/>
      <c r="AH582" s="172" t="n"/>
      <c r="AI582" s="172" t="n"/>
      <c r="AJ582" s="172" t="n"/>
      <c r="AK582" s="172" t="n"/>
      <c r="AL582" s="172" t="n"/>
      <c r="AM582" s="172" t="n"/>
      <c r="AN582" s="172" t="n"/>
      <c r="AO582" s="172" t="n"/>
      <c r="AP582" s="172" t="n"/>
      <c r="AQ582" s="172" t="n"/>
      <c r="AR582" s="172" t="n"/>
      <c r="AS582" s="172" t="n"/>
      <c r="AT582" s="172" t="n"/>
      <c r="AU582" s="172" t="n"/>
      <c r="AV582" s="172" t="n"/>
      <c r="AW582" s="172" t="n"/>
      <c r="AX582" s="172" t="n"/>
      <c r="AY582" s="172" t="n"/>
      <c r="AZ582" s="172" t="n"/>
      <c r="BA582" s="172" t="n"/>
      <c r="BB582" s="172" t="n"/>
      <c r="BC582" s="172" t="n"/>
      <c r="BD582" s="172" t="n"/>
      <c r="BE582" s="172" t="n"/>
      <c r="BF582" s="172" t="n"/>
      <c r="BG582" s="172" t="n"/>
      <c r="BH582" s="172" t="n"/>
      <c r="BI582" s="173"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4" t="inlineStr">
        <is>
          <t>連絡先</t>
        </is>
      </c>
      <c r="F583" s="175" t="n"/>
      <c r="G583" s="175" t="n"/>
      <c r="H583" s="175" t="n"/>
      <c r="I583" s="175" t="n"/>
      <c r="J583" s="175" t="n"/>
      <c r="K583" s="176" t="n"/>
      <c r="L583" s="83" t="inlineStr">
        <is>
          <t>〒</t>
        </is>
      </c>
      <c r="M583" s="175" t="n"/>
      <c r="N583" s="175" t="n"/>
      <c r="O583" s="175" t="n"/>
      <c r="P583" s="181">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2">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5" t="n"/>
      <c r="F587" s="156" t="n"/>
      <c r="G587" s="156" t="n"/>
      <c r="H587" s="156" t="n"/>
      <c r="I587" s="156" t="n"/>
      <c r="J587" s="156" t="n"/>
      <c r="K587" s="157" t="n"/>
      <c r="L587" s="156" t="n"/>
      <c r="M587" s="156" t="n"/>
      <c r="N587" s="156" t="n"/>
      <c r="O587" s="156" t="n"/>
      <c r="P587" s="156" t="n"/>
      <c r="Q587" s="156" t="n"/>
      <c r="R587" s="156" t="n"/>
      <c r="S587" s="156" t="n"/>
      <c r="T587" s="156" t="n"/>
      <c r="U587" s="156" t="n"/>
      <c r="V587" s="156" t="n"/>
      <c r="W587" s="156" t="n"/>
      <c r="X587" s="156" t="n"/>
      <c r="Y587" s="156" t="n"/>
      <c r="Z587" s="156" t="n"/>
      <c r="AA587" s="156" t="n"/>
      <c r="AB587" s="156" t="n"/>
      <c r="AC587" s="156" t="n"/>
      <c r="AD587" s="156" t="n"/>
      <c r="AE587" s="156" t="n"/>
      <c r="AF587" s="156" t="n"/>
      <c r="AG587" s="156" t="n"/>
      <c r="AH587" s="156" t="n"/>
      <c r="AI587" s="156" t="n"/>
      <c r="AJ587" s="156" t="n"/>
      <c r="AK587" s="156" t="n"/>
      <c r="AL587" s="156" t="n"/>
      <c r="AM587" s="156" t="n"/>
      <c r="AN587" s="156" t="n"/>
      <c r="AO587" s="156" t="n"/>
      <c r="AP587" s="156" t="n"/>
      <c r="AQ587" s="156" t="n"/>
      <c r="AR587" s="156" t="n"/>
      <c r="AS587" s="156" t="n"/>
      <c r="AT587" s="156" t="n"/>
      <c r="AU587" s="156" t="n"/>
      <c r="AV587" s="156" t="n"/>
      <c r="AW587" s="156" t="n"/>
      <c r="AX587" s="156" t="n"/>
      <c r="AY587" s="156" t="n"/>
      <c r="AZ587" s="156" t="n"/>
      <c r="BA587" s="156" t="n"/>
      <c r="BB587" s="156" t="n"/>
      <c r="BC587" s="156" t="n"/>
      <c r="BD587" s="156" t="n"/>
      <c r="BE587" s="156" t="n"/>
      <c r="BF587" s="156" t="n"/>
      <c r="BG587" s="156" t="n"/>
      <c r="BH587" s="156" t="n"/>
      <c r="BI587" s="157"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86"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3" t="n"/>
      <c r="BQ593" s="149" t="n"/>
      <c r="BR593" s="184" t="n"/>
      <c r="BS593" s="149" t="n"/>
      <c r="BT593" s="149" t="n"/>
      <c r="BU593" s="28" t="n"/>
      <c r="BV593" s="29" t="n"/>
      <c r="BW593" s="185">
        <f>計算!$BP$9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115"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6"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107"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7">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188">
        <f>IF(入力!$D$11="","",設定!$B$6)&amp;""</f>
        <v/>
      </c>
      <c r="S601" s="11" t="n"/>
      <c r="T601" s="11" t="n"/>
      <c r="U601" s="188">
        <f>IF(入力!$D$11="","",設定!$B$7)&amp;""</f>
        <v/>
      </c>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110" t="inlineStr">
        <is>
          <t>令和</t>
        </is>
      </c>
      <c r="S602" s="61" t="inlineStr">
        <is>
          <t>年</t>
        </is>
      </c>
      <c r="W602" s="62"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90"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5" t="n"/>
      <c r="F606" s="156" t="n"/>
      <c r="G606" s="156" t="n"/>
      <c r="H606" s="156" t="n"/>
      <c r="I606" s="156" t="n"/>
      <c r="J606" s="156" t="n"/>
      <c r="K606" s="157"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6" t="n"/>
      <c r="AX606" s="156" t="n"/>
      <c r="AY606" s="156" t="n"/>
      <c r="AZ606" s="156" t="n"/>
      <c r="BA606" s="156" t="n"/>
      <c r="BB606" s="156" t="n"/>
      <c r="BC606" s="156" t="n"/>
      <c r="BD606" s="156" t="n"/>
      <c r="BE606" s="156" t="n"/>
      <c r="BF606" s="156" t="n"/>
      <c r="BG606" s="156" t="n"/>
      <c r="BH606" s="156" t="n"/>
      <c r="BI606" s="157"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58" t="n"/>
      <c r="T607" s="149" t="n"/>
      <c r="U607" s="17" t="n"/>
      <c r="V607" s="17" t="n"/>
      <c r="W607" s="58"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89" t="inlineStr">
        <is>
          <t>職　歴</t>
        </is>
      </c>
      <c r="K610" s="153" t="n"/>
      <c r="L610" s="69" t="inlineStr">
        <is>
          <t>平成</t>
        </is>
      </c>
      <c r="M610" s="149" t="n"/>
      <c r="N610" s="149" t="n"/>
      <c r="O610" s="149" t="n"/>
      <c r="P610" s="19" t="n"/>
      <c r="Q610" s="19" t="n"/>
      <c r="R610" s="19" t="n"/>
      <c r="S610" s="19" t="n"/>
      <c r="T610" s="19" t="n"/>
      <c r="U610" s="19" t="n"/>
      <c r="V610" s="19" t="n"/>
      <c r="W610" s="19" t="n"/>
      <c r="X610" s="37" t="n"/>
      <c r="Y610" s="180">
        <f>計算!$BT$9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8">
        <f>計算!$BR$9</f>
        <v/>
      </c>
      <c r="S612" s="61" t="inlineStr">
        <is>
          <t>年</t>
        </is>
      </c>
      <c r="U612" s="190">
        <f>計算!$BS$9</f>
        <v/>
      </c>
      <c r="W612" s="62"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74"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5" t="n"/>
      <c r="M615" s="156" t="n"/>
      <c r="N615" s="156" t="n"/>
      <c r="O615" s="156" t="n"/>
      <c r="P615" s="20" t="n"/>
      <c r="Q615" s="20" t="n"/>
      <c r="R615" s="20" t="n"/>
      <c r="S615" s="20" t="n"/>
      <c r="T615" s="20" t="n"/>
      <c r="U615" s="20" t="n"/>
      <c r="V615" s="20" t="n"/>
      <c r="W615" s="20" t="n"/>
      <c r="X615" s="39" t="n"/>
      <c r="Y615" s="155" t="n"/>
      <c r="Z615" s="156" t="n"/>
      <c r="AA615" s="156" t="n"/>
      <c r="AB615" s="156" t="n"/>
      <c r="AC615" s="156" t="n"/>
      <c r="AD615" s="156" t="n"/>
      <c r="AE615" s="156" t="n"/>
      <c r="AF615" s="156" t="n"/>
      <c r="AG615" s="156" t="n"/>
      <c r="AH615" s="156" t="n"/>
      <c r="AI615" s="156" t="n"/>
      <c r="AJ615" s="156" t="n"/>
      <c r="AK615" s="156" t="n"/>
      <c r="AL615" s="156" t="n"/>
      <c r="AM615" s="156" t="n"/>
      <c r="AN615" s="156" t="n"/>
      <c r="AO615" s="156" t="n"/>
      <c r="AP615" s="156" t="n"/>
      <c r="AQ615" s="156" t="n"/>
      <c r="AR615" s="156" t="n"/>
      <c r="AS615" s="156" t="n"/>
      <c r="AT615" s="156" t="n"/>
      <c r="AU615" s="156" t="n"/>
      <c r="AV615" s="156" t="n"/>
      <c r="AW615" s="156" t="n"/>
      <c r="AX615" s="156" t="n"/>
      <c r="AY615" s="156" t="n"/>
      <c r="AZ615" s="156" t="n"/>
      <c r="BA615" s="156" t="n"/>
      <c r="BB615" s="156" t="n"/>
      <c r="BC615" s="156" t="n"/>
      <c r="BD615" s="156" t="n"/>
      <c r="BE615" s="156" t="n"/>
      <c r="BF615" s="156" t="n"/>
      <c r="BG615" s="156" t="n"/>
      <c r="BH615" s="156" t="n"/>
      <c r="BI615" s="157"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69" t="inlineStr">
        <is>
          <t>平成</t>
        </is>
      </c>
      <c r="M616" s="149" t="n"/>
      <c r="N616" s="149" t="n"/>
      <c r="O616" s="149" t="n"/>
      <c r="P616" s="18" t="n"/>
      <c r="Q616" s="18" t="n"/>
      <c r="R616" s="18" t="n"/>
      <c r="S616" s="18" t="n"/>
      <c r="T616" s="18" t="n"/>
      <c r="U616" s="18" t="n"/>
      <c r="V616" s="18" t="n"/>
      <c r="W616" s="18" t="n"/>
      <c r="X616" s="35" t="n"/>
      <c r="Y616" s="180">
        <f>計算!$BW$9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8">
        <f>計算!$BU$9</f>
        <v/>
      </c>
      <c r="S618" s="61" t="inlineStr">
        <is>
          <t>年</t>
        </is>
      </c>
      <c r="U618" s="190">
        <f>計算!$BV$9</f>
        <v/>
      </c>
      <c r="W618" s="62"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74"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5" t="n"/>
      <c r="M621" s="156" t="n"/>
      <c r="N621" s="156" t="n"/>
      <c r="O621" s="156" t="n"/>
      <c r="P621" s="20" t="n"/>
      <c r="Q621" s="20" t="n"/>
      <c r="R621" s="20" t="n"/>
      <c r="S621" s="20" t="n"/>
      <c r="T621" s="20" t="n"/>
      <c r="U621" s="20" t="n"/>
      <c r="V621" s="20" t="n"/>
      <c r="W621" s="20" t="n"/>
      <c r="X621" s="39" t="n"/>
      <c r="Y621" s="155" t="n"/>
      <c r="Z621" s="156" t="n"/>
      <c r="AA621" s="156" t="n"/>
      <c r="AB621" s="156" t="n"/>
      <c r="AC621" s="156" t="n"/>
      <c r="AD621" s="156" t="n"/>
      <c r="AE621" s="156" t="n"/>
      <c r="AF621" s="156" t="n"/>
      <c r="AG621" s="156" t="n"/>
      <c r="AH621" s="156" t="n"/>
      <c r="AI621" s="156" t="n"/>
      <c r="AJ621" s="156" t="n"/>
      <c r="AK621" s="156" t="n"/>
      <c r="AL621" s="156" t="n"/>
      <c r="AM621" s="156" t="n"/>
      <c r="AN621" s="156" t="n"/>
      <c r="AO621" s="156" t="n"/>
      <c r="AP621" s="156" t="n"/>
      <c r="AQ621" s="156" t="n"/>
      <c r="AR621" s="156" t="n"/>
      <c r="AS621" s="156" t="n"/>
      <c r="AT621" s="156" t="n"/>
      <c r="AU621" s="156" t="n"/>
      <c r="AV621" s="156" t="n"/>
      <c r="AW621" s="156" t="n"/>
      <c r="AX621" s="156" t="n"/>
      <c r="AY621" s="156" t="n"/>
      <c r="AZ621" s="156" t="n"/>
      <c r="BA621" s="156" t="n"/>
      <c r="BB621" s="156" t="n"/>
      <c r="BC621" s="156" t="n"/>
      <c r="BD621" s="156" t="n"/>
      <c r="BE621" s="156" t="n"/>
      <c r="BF621" s="156" t="n"/>
      <c r="BG621" s="156" t="n"/>
      <c r="BH621" s="156" t="n"/>
      <c r="BI621" s="157" t="n"/>
      <c r="BJ621" s="2" t="n"/>
      <c r="BK621" s="2" t="n"/>
      <c r="BL621" s="2" t="n"/>
      <c r="BM621" s="2" t="n"/>
      <c r="BN621" s="2" t="n"/>
      <c r="BO621" s="2" t="n"/>
      <c r="BP621" s="155" t="n"/>
      <c r="BQ621" s="156" t="n"/>
      <c r="BR621" s="156" t="n"/>
      <c r="BS621" s="156" t="n"/>
      <c r="BT621" s="156" t="n"/>
      <c r="BU621" s="42" t="n"/>
      <c r="BV621" s="45" t="n"/>
      <c r="BW621" s="156" t="n"/>
      <c r="BX621" s="156" t="n"/>
      <c r="BY621" s="156" t="n"/>
      <c r="BZ621" s="156" t="n"/>
      <c r="CA621" s="156" t="n"/>
      <c r="CB621" s="156" t="n"/>
      <c r="CC621" s="156" t="n"/>
      <c r="CD621" s="156" t="n"/>
      <c r="CE621" s="156" t="n"/>
      <c r="CF621" s="156" t="n"/>
      <c r="CG621" s="156" t="n"/>
      <c r="CH621" s="156" t="n"/>
      <c r="CI621" s="156" t="n"/>
      <c r="CJ621" s="156" t="n"/>
      <c r="CK621" s="156" t="n"/>
      <c r="CL621" s="156" t="n"/>
      <c r="CM621" s="156" t="n"/>
      <c r="CN621" s="156" t="n"/>
      <c r="CO621" s="156" t="n"/>
      <c r="CP621" s="156" t="n"/>
      <c r="CQ621" s="156" t="n"/>
      <c r="CR621" s="156" t="n"/>
      <c r="CS621" s="156" t="n"/>
      <c r="CT621" s="156" t="n"/>
      <c r="CU621" s="156" t="n"/>
      <c r="CV621" s="156" t="n"/>
      <c r="CW621" s="156" t="n"/>
      <c r="CX621" s="156" t="n"/>
      <c r="CY621" s="156" t="n"/>
      <c r="CZ621" s="156" t="n"/>
      <c r="DA621" s="156" t="n"/>
      <c r="DB621" s="156" t="n"/>
      <c r="DC621" s="156" t="n"/>
      <c r="DD621" s="156" t="n"/>
      <c r="DE621" s="156" t="n"/>
      <c r="DF621" s="156" t="n"/>
      <c r="DG621" s="156" t="n"/>
      <c r="DH621" s="156" t="n"/>
      <c r="DI621" s="156" t="n"/>
      <c r="DJ621" s="156" t="n"/>
      <c r="DK621" s="156" t="n"/>
      <c r="DL621" s="156" t="n"/>
      <c r="DM621" s="156" t="n"/>
      <c r="DN621" s="156" t="n"/>
      <c r="DO621" s="156" t="n"/>
      <c r="DP621" s="156" t="n"/>
      <c r="DQ621" s="156" t="n"/>
      <c r="DR621" s="156" t="n"/>
      <c r="DS621" s="156" t="n"/>
      <c r="DT621" s="156" t="n"/>
      <c r="DU621" s="157" t="n"/>
      <c r="DV621" s="2" t="n"/>
      <c r="DW621" s="2" t="n"/>
      <c r="DX621" s="2" t="n"/>
      <c r="DY621" s="2" t="n"/>
      <c r="DZ621" s="2" t="n"/>
      <c r="EA621" s="2" t="n"/>
      <c r="EB621" s="2" t="n"/>
      <c r="EC621" s="2" t="n"/>
    </row>
    <row r="622" ht="6.75" customHeight="1" s="118">
      <c r="A622" s="2" t="n"/>
      <c r="B622" s="2" t="n"/>
      <c r="C622" s="2" t="n"/>
      <c r="D622" s="2" t="n"/>
      <c r="E622" s="152" t="n"/>
      <c r="K622" s="153" t="n"/>
      <c r="L622" s="69"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5">
        <f>計算!$BQ$9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61" t="inlineStr">
        <is>
          <t>年</t>
        </is>
      </c>
      <c r="U624" s="11" t="n"/>
      <c r="V624" s="11" t="n"/>
      <c r="W624" s="62"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74"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5" t="n"/>
      <c r="M627" s="156" t="n"/>
      <c r="N627" s="156" t="n"/>
      <c r="O627" s="156"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69"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61" t="inlineStr">
        <is>
          <t>年</t>
        </is>
      </c>
      <c r="U630" s="11" t="n"/>
      <c r="V630" s="11" t="n"/>
      <c r="W630" s="62"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74"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61" t="n"/>
      <c r="T632" s="61" t="n"/>
      <c r="U632" s="11" t="n"/>
      <c r="V632" s="11" t="n"/>
      <c r="W632" s="61" t="n"/>
      <c r="X632" s="62"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5" t="n"/>
      <c r="F633" s="156" t="n"/>
      <c r="G633" s="156" t="n"/>
      <c r="H633" s="156" t="n"/>
      <c r="I633" s="156" t="n"/>
      <c r="J633" s="156" t="n"/>
      <c r="K633" s="157" t="n"/>
      <c r="L633" s="155" t="n"/>
      <c r="M633" s="156" t="n"/>
      <c r="N633" s="156" t="n"/>
      <c r="O633" s="156"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5" t="n"/>
      <c r="BQ633" s="156" t="n"/>
      <c r="BR633" s="156" t="n"/>
      <c r="BS633" s="156" t="n"/>
      <c r="BT633" s="156" t="n"/>
      <c r="BU633" s="156" t="n"/>
      <c r="BV633" s="157" t="n"/>
      <c r="BW633" s="156" t="n"/>
      <c r="BX633" s="156" t="n"/>
      <c r="BY633" s="156" t="n"/>
      <c r="BZ633" s="156" t="n"/>
      <c r="CA633" s="156" t="n"/>
      <c r="CB633" s="156" t="n"/>
      <c r="CC633" s="156" t="n"/>
      <c r="CD633" s="156" t="n"/>
      <c r="CE633" s="156" t="n"/>
      <c r="CF633" s="156" t="n"/>
      <c r="CG633" s="156" t="n"/>
      <c r="CH633" s="156" t="n"/>
      <c r="CI633" s="156" t="n"/>
      <c r="CJ633" s="156" t="n"/>
      <c r="CK633" s="156" t="n"/>
      <c r="CL633" s="156" t="n"/>
      <c r="CM633" s="156" t="n"/>
      <c r="CN633" s="156" t="n"/>
      <c r="CO633" s="156" t="n"/>
      <c r="CP633" s="156" t="n"/>
      <c r="CQ633" s="156" t="n"/>
      <c r="CR633" s="156" t="n"/>
      <c r="CS633" s="156" t="n"/>
      <c r="CT633" s="156" t="n"/>
      <c r="CU633" s="156" t="n"/>
      <c r="CV633" s="156" t="n"/>
      <c r="CW633" s="156" t="n"/>
      <c r="CX633" s="156" t="n"/>
      <c r="CY633" s="156" t="n"/>
      <c r="CZ633" s="156" t="n"/>
      <c r="DA633" s="156" t="n"/>
      <c r="DB633" s="156" t="n"/>
      <c r="DC633" s="156" t="n"/>
      <c r="DD633" s="156" t="n"/>
      <c r="DE633" s="156" t="n"/>
      <c r="DF633" s="156" t="n"/>
      <c r="DG633" s="156" t="n"/>
      <c r="DH633" s="156" t="n"/>
      <c r="DI633" s="156" t="n"/>
      <c r="DJ633" s="156" t="n"/>
      <c r="DK633" s="156" t="n"/>
      <c r="DL633" s="156" t="n"/>
      <c r="DM633" s="156" t="n"/>
      <c r="DN633" s="156" t="n"/>
      <c r="DO633" s="156" t="n"/>
      <c r="DP633" s="156" t="n"/>
      <c r="DQ633" s="156" t="n"/>
      <c r="DR633" s="156" t="n"/>
      <c r="DS633" s="156" t="n"/>
      <c r="DT633" s="156" t="n"/>
      <c r="DU633" s="157"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87" t="inlineStr">
        <is>
          <t xml:space="preserve">    (近畿高等学校統一用紙　  その２ 　  令和７年度改定)　</t>
        </is>
      </c>
      <c r="DV635" s="2" t="n"/>
      <c r="DW635" s="2" t="n"/>
      <c r="DX635" s="2" t="n"/>
      <c r="DY635" s="2" t="n"/>
      <c r="DZ635" s="2" t="n"/>
      <c r="EA635" s="2" t="n"/>
      <c r="EB635" s="2" t="n"/>
      <c r="EC635" s="2" t="n"/>
    </row>
    <row r="636" hidden="1"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idden="1"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47"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64" t="inlineStr">
        <is>
          <t>令和</t>
        </is>
      </c>
      <c r="AD645" s="154">
        <f>IF(入力!$D$12="","",IF(N(設定!$B$3)=0,"",YEAR(設定!$B$3)-2018))&amp;""</f>
        <v/>
      </c>
      <c r="AG645" s="64" t="inlineStr">
        <is>
          <t>年</t>
        </is>
      </c>
      <c r="AI645" s="154">
        <f>IF(入力!$D$12="","",IF(N(設定!$B$3)=0,"",MONTH(設定!$B$3)))&amp;""</f>
        <v/>
      </c>
      <c r="AL645" s="64" t="inlineStr">
        <is>
          <t>月</t>
        </is>
      </c>
      <c r="AN645" s="154">
        <f>IF(入力!$D$12="","",IF(N(設定!$B$3)=0,"",DAY(設定!$B$3)))&amp;""</f>
        <v/>
      </c>
      <c r="AP645" s="64"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5" t="n"/>
      <c r="BX645" s="156" t="n"/>
      <c r="BY645" s="156" t="n"/>
      <c r="BZ645" s="156" t="n"/>
      <c r="CA645" s="156" t="n"/>
      <c r="CB645" s="156" t="n"/>
      <c r="CC645" s="156" t="n"/>
      <c r="CD645" s="156" t="n"/>
      <c r="CE645" s="156" t="n"/>
      <c r="CF645" s="156" t="n"/>
      <c r="CG645" s="157" t="n"/>
      <c r="CH645" s="155" t="n"/>
      <c r="CI645" s="156" t="n"/>
      <c r="CJ645" s="156" t="n"/>
      <c r="CK645" s="156" t="n"/>
      <c r="CL645" s="156" t="n"/>
      <c r="CM645" s="156" t="n"/>
      <c r="CN645" s="156" t="n"/>
      <c r="CO645" s="156" t="n"/>
      <c r="CP645" s="156" t="n"/>
      <c r="CQ645" s="156" t="n"/>
      <c r="CR645" s="156" t="n"/>
      <c r="CS645" s="156" t="n"/>
      <c r="CT645" s="156" t="n"/>
      <c r="CU645" s="156" t="n"/>
      <c r="CV645" s="156" t="n"/>
      <c r="CW645" s="156" t="n"/>
      <c r="CX645" s="156" t="n"/>
      <c r="CY645" s="156" t="n"/>
      <c r="CZ645" s="156" t="n"/>
      <c r="DA645" s="156" t="n"/>
      <c r="DB645" s="156" t="n"/>
      <c r="DC645" s="156" t="n"/>
      <c r="DD645" s="156" t="n"/>
      <c r="DE645" s="156" t="n"/>
      <c r="DF645" s="156" t="n"/>
      <c r="DG645" s="156" t="n"/>
      <c r="DH645" s="156" t="n"/>
      <c r="DI645" s="156" t="n"/>
      <c r="DJ645" s="156" t="n"/>
      <c r="DK645" s="156" t="n"/>
      <c r="DL645" s="156" t="n"/>
      <c r="DM645" s="156" t="n"/>
      <c r="DN645" s="156" t="n"/>
      <c r="DO645" s="156" t="n"/>
      <c r="DP645" s="156" t="n"/>
      <c r="DQ645" s="156" t="n"/>
      <c r="DR645" s="156" t="n"/>
      <c r="DS645" s="156" t="n"/>
      <c r="DT645" s="156" t="n"/>
      <c r="DU645" s="157"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68" t="inlineStr">
        <is>
          <t>写真をはる位置</t>
        </is>
      </c>
      <c r="BI646" s="8" t="n"/>
      <c r="BJ646" s="7" t="n"/>
      <c r="BK646" s="2" t="n"/>
      <c r="BL646" s="2" t="n"/>
      <c r="BM646" s="2" t="n"/>
      <c r="BN646" s="2" t="n"/>
      <c r="BO646" s="2" t="n"/>
      <c r="BP646" s="152" t="n"/>
      <c r="BV646" s="153" t="n"/>
      <c r="BW646" s="158">
        <f>計算!$CB$10</f>
        <v/>
      </c>
      <c r="CG646" s="153" t="n"/>
      <c r="CH646" s="159">
        <f>計算!$CC$10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6" t="n"/>
      <c r="AA647" s="156" t="n"/>
      <c r="AB647" s="156" t="n"/>
      <c r="AC647" s="156" t="n"/>
      <c r="AD647" s="156" t="n"/>
      <c r="AE647" s="156" t="n"/>
      <c r="AF647" s="156" t="n"/>
      <c r="AG647" s="156" t="n"/>
      <c r="AH647" s="156" t="n"/>
      <c r="AI647" s="156" t="n"/>
      <c r="AJ647" s="156" t="n"/>
      <c r="AK647" s="156" t="n"/>
      <c r="AL647" s="156" t="n"/>
      <c r="AM647" s="156" t="n"/>
      <c r="AN647" s="156" t="n"/>
      <c r="AO647" s="156" t="n"/>
      <c r="AP647" s="156" t="n"/>
      <c r="AQ647" s="156" t="n"/>
      <c r="AR647" s="156" t="n"/>
      <c r="AS647" s="156" t="n"/>
      <c r="AT647" s="156"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0">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5" t="n"/>
      <c r="F651" s="156" t="n"/>
      <c r="G651" s="156" t="n"/>
      <c r="H651" s="156" t="n"/>
      <c r="I651" s="156" t="n"/>
      <c r="J651" s="156" t="n"/>
      <c r="K651" s="157" t="n"/>
      <c r="L651" s="156" t="n"/>
      <c r="M651" s="156" t="n"/>
      <c r="N651" s="156" t="n"/>
      <c r="O651" s="156" t="n"/>
      <c r="P651" s="156" t="n"/>
      <c r="Q651" s="156" t="n"/>
      <c r="R651" s="156" t="n"/>
      <c r="S651" s="156" t="n"/>
      <c r="T651" s="156" t="n"/>
      <c r="U651" s="156" t="n"/>
      <c r="V651" s="156" t="n"/>
      <c r="W651" s="156" t="n"/>
      <c r="X651" s="156" t="n"/>
      <c r="Y651" s="156" t="n"/>
      <c r="Z651" s="156" t="n"/>
      <c r="AA651" s="156" t="n"/>
      <c r="AB651" s="156" t="n"/>
      <c r="AC651" s="156" t="n"/>
      <c r="AD651" s="156" t="n"/>
      <c r="AE651" s="156" t="n"/>
      <c r="AF651" s="156" t="n"/>
      <c r="AG651" s="156" t="n"/>
      <c r="AH651" s="156" t="n"/>
      <c r="AI651" s="156" t="n"/>
      <c r="AJ651" s="156" t="n"/>
      <c r="AK651" s="156" t="n"/>
      <c r="AL651" s="156" t="n"/>
      <c r="AM651" s="156" t="n"/>
      <c r="AN651" s="156" t="n"/>
      <c r="AO651" s="156" t="n"/>
      <c r="AP651" s="156" t="n"/>
      <c r="AQ651" s="156" t="n"/>
      <c r="AR651" s="156" t="n"/>
      <c r="AS651" s="156" t="n"/>
      <c r="AT651" s="157"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1" t="inlineStr">
        <is>
          <t>名　前</t>
        </is>
      </c>
      <c r="F652" s="149" t="n"/>
      <c r="G652" s="149" t="n"/>
      <c r="H652" s="149" t="n"/>
      <c r="I652" s="149" t="n"/>
      <c r="J652" s="149" t="n"/>
      <c r="K652" s="150" t="n"/>
      <c r="L652" s="162">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61"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5" t="n"/>
      <c r="F657" s="156" t="n"/>
      <c r="G657" s="156" t="n"/>
      <c r="H657" s="156" t="n"/>
      <c r="I657" s="156" t="n"/>
      <c r="J657" s="156" t="n"/>
      <c r="K657" s="157" t="n"/>
      <c r="L657" s="155" t="n"/>
      <c r="M657" s="156" t="n"/>
      <c r="N657" s="156" t="n"/>
      <c r="O657" s="156" t="n"/>
      <c r="P657" s="156" t="n"/>
      <c r="Q657" s="156" t="n"/>
      <c r="R657" s="156" t="n"/>
      <c r="S657" s="156" t="n"/>
      <c r="T657" s="156" t="n"/>
      <c r="U657" s="156" t="n"/>
      <c r="V657" s="156" t="n"/>
      <c r="W657" s="156" t="n"/>
      <c r="X657" s="156" t="n"/>
      <c r="Y657" s="156" t="n"/>
      <c r="Z657" s="156" t="n"/>
      <c r="AA657" s="156" t="n"/>
      <c r="AB657" s="156" t="n"/>
      <c r="AC657" s="156" t="n"/>
      <c r="AD657" s="156" t="n"/>
      <c r="AE657" s="156" t="n"/>
      <c r="AF657" s="156" t="n"/>
      <c r="AG657" s="156" t="n"/>
      <c r="AH657" s="156" t="n"/>
      <c r="AI657" s="156" t="n"/>
      <c r="AJ657" s="156" t="n"/>
      <c r="AK657" s="156" t="n"/>
      <c r="AL657" s="156" t="n"/>
      <c r="AM657" s="156" t="n"/>
      <c r="AN657" s="156" t="n"/>
      <c r="AO657" s="156" t="n"/>
      <c r="AP657" s="156" t="n"/>
      <c r="AQ657" s="156" t="n"/>
      <c r="AR657" s="156" t="n"/>
      <c r="AS657" s="156" t="n"/>
      <c r="AT657" s="157"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1" t="inlineStr">
        <is>
          <t>生年月日</t>
        </is>
      </c>
      <c r="F658" s="149" t="n"/>
      <c r="G658" s="149" t="n"/>
      <c r="H658" s="149" t="n"/>
      <c r="I658" s="149" t="n"/>
      <c r="J658" s="149" t="n"/>
      <c r="K658" s="150" t="n"/>
      <c r="L658" s="163" t="inlineStr">
        <is>
          <t>昭和 ・ 平成</t>
        </is>
      </c>
      <c r="M658" s="149" t="n"/>
      <c r="N658" s="149" t="n"/>
      <c r="O658" s="149" t="n"/>
      <c r="P658" s="149" t="n"/>
      <c r="Q658" s="149" t="n"/>
      <c r="R658" s="149" t="n"/>
      <c r="S658" s="149" t="n"/>
      <c r="T658" s="149" t="n"/>
      <c r="U658" s="149" t="n"/>
      <c r="V658" s="164">
        <f>計算!$D$10</f>
        <v/>
      </c>
      <c r="W658" s="149" t="n"/>
      <c r="X658" s="165" t="inlineStr">
        <is>
          <t>年</t>
        </is>
      </c>
      <c r="Y658" s="149" t="n"/>
      <c r="Z658" s="166">
        <f>計算!$E$10</f>
        <v/>
      </c>
      <c r="AA658" s="149" t="n"/>
      <c r="AB658" s="149" t="n"/>
      <c r="AC658" s="165" t="inlineStr">
        <is>
          <t>月</t>
        </is>
      </c>
      <c r="AD658" s="149" t="n"/>
      <c r="AE658" s="166">
        <f>計算!$F$10</f>
        <v/>
      </c>
      <c r="AF658" s="149" t="n"/>
      <c r="AG658" s="149" t="n"/>
      <c r="AH658" s="165" t="inlineStr">
        <is>
          <t>日　生 （満</t>
        </is>
      </c>
      <c r="AI658" s="149" t="n"/>
      <c r="AJ658" s="149" t="n"/>
      <c r="AK658" s="149" t="n"/>
      <c r="AL658" s="149" t="n"/>
      <c r="AM658" s="149" t="n"/>
      <c r="AN658" s="149" t="n"/>
      <c r="AO658" s="149" t="n"/>
      <c r="AP658" s="167">
        <f>計算!$G$10</f>
        <v/>
      </c>
      <c r="AQ658" s="149" t="n"/>
      <c r="AR658" s="168"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5" t="n"/>
      <c r="F661" s="156" t="n"/>
      <c r="G661" s="156" t="n"/>
      <c r="H661" s="156" t="n"/>
      <c r="I661" s="156" t="n"/>
      <c r="J661" s="156" t="n"/>
      <c r="K661" s="157" t="n"/>
      <c r="L661" s="155" t="n"/>
      <c r="M661" s="156" t="n"/>
      <c r="N661" s="156" t="n"/>
      <c r="O661" s="156" t="n"/>
      <c r="P661" s="156" t="n"/>
      <c r="Q661" s="156" t="n"/>
      <c r="R661" s="156" t="n"/>
      <c r="S661" s="156" t="n"/>
      <c r="T661" s="156" t="n"/>
      <c r="U661" s="156" t="n"/>
      <c r="X661" s="156" t="n"/>
      <c r="Y661" s="156" t="n"/>
      <c r="AC661" s="156" t="n"/>
      <c r="AD661" s="156" t="n"/>
      <c r="AH661" s="156" t="n"/>
      <c r="AI661" s="156" t="n"/>
      <c r="AJ661" s="156" t="n"/>
      <c r="AK661" s="156" t="n"/>
      <c r="AL661" s="156" t="n"/>
      <c r="AM661" s="156" t="n"/>
      <c r="AN661" s="156" t="n"/>
      <c r="AO661" s="156" t="n"/>
      <c r="AP661" s="156" t="n"/>
      <c r="AQ661" s="156" t="n"/>
      <c r="AR661" s="156" t="n"/>
      <c r="AS661" s="156" t="n"/>
      <c r="AT661" s="157"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69" t="inlineStr">
        <is>
          <t>ふ り が な</t>
        </is>
      </c>
      <c r="F662" s="149" t="n"/>
      <c r="G662" s="149" t="n"/>
      <c r="H662" s="149" t="n"/>
      <c r="I662" s="149" t="n"/>
      <c r="J662" s="149" t="n"/>
      <c r="K662" s="150" t="n"/>
      <c r="L662" s="170">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1" t="n"/>
      <c r="F664" s="172" t="n"/>
      <c r="G664" s="172" t="n"/>
      <c r="H664" s="172" t="n"/>
      <c r="I664" s="172" t="n"/>
      <c r="J664" s="172" t="n"/>
      <c r="K664" s="173" t="n"/>
      <c r="L664" s="172" t="n"/>
      <c r="M664" s="172" t="n"/>
      <c r="N664" s="172" t="n"/>
      <c r="O664" s="172" t="n"/>
      <c r="P664" s="172" t="n"/>
      <c r="Q664" s="172" t="n"/>
      <c r="R664" s="172" t="n"/>
      <c r="S664" s="172" t="n"/>
      <c r="T664" s="172" t="n"/>
      <c r="U664" s="172" t="n"/>
      <c r="V664" s="172" t="n"/>
      <c r="W664" s="172" t="n"/>
      <c r="X664" s="172" t="n"/>
      <c r="Y664" s="172" t="n"/>
      <c r="Z664" s="172" t="n"/>
      <c r="AA664" s="172" t="n"/>
      <c r="AB664" s="172" t="n"/>
      <c r="AC664" s="172" t="n"/>
      <c r="AD664" s="172" t="n"/>
      <c r="AE664" s="172" t="n"/>
      <c r="AF664" s="172" t="n"/>
      <c r="AG664" s="172" t="n"/>
      <c r="AH664" s="172" t="n"/>
      <c r="AI664" s="172" t="n"/>
      <c r="AJ664" s="172" t="n"/>
      <c r="AK664" s="172" t="n"/>
      <c r="AL664" s="172" t="n"/>
      <c r="AM664" s="172" t="n"/>
      <c r="AN664" s="172" t="n"/>
      <c r="AO664" s="172" t="n"/>
      <c r="AP664" s="172" t="n"/>
      <c r="AQ664" s="172" t="n"/>
      <c r="AR664" s="172" t="n"/>
      <c r="AS664" s="172" t="n"/>
      <c r="AT664" s="172" t="n"/>
      <c r="AU664" s="172" t="n"/>
      <c r="AV664" s="172" t="n"/>
      <c r="AW664" s="172" t="n"/>
      <c r="AX664" s="172" t="n"/>
      <c r="AY664" s="172" t="n"/>
      <c r="AZ664" s="172" t="n"/>
      <c r="BA664" s="172" t="n"/>
      <c r="BB664" s="172" t="n"/>
      <c r="BC664" s="172" t="n"/>
      <c r="BD664" s="172" t="n"/>
      <c r="BE664" s="172" t="n"/>
      <c r="BF664" s="172" t="n"/>
      <c r="BG664" s="172" t="n"/>
      <c r="BH664" s="172" t="n"/>
      <c r="BI664" s="173"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4" t="inlineStr">
        <is>
          <t>現住所</t>
        </is>
      </c>
      <c r="F665" s="175" t="n"/>
      <c r="G665" s="175" t="n"/>
      <c r="H665" s="175" t="n"/>
      <c r="I665" s="175" t="n"/>
      <c r="J665" s="175" t="n"/>
      <c r="K665" s="176" t="n"/>
      <c r="L665" s="83" t="inlineStr">
        <is>
          <t>〒</t>
        </is>
      </c>
      <c r="M665" s="175" t="n"/>
      <c r="N665" s="175" t="n"/>
      <c r="O665" s="175" t="n"/>
      <c r="P665" s="177">
        <f>計算!$H$10</f>
        <v/>
      </c>
      <c r="Q665" s="175" t="n"/>
      <c r="R665" s="175" t="n"/>
      <c r="S665" s="175" t="n"/>
      <c r="T665" s="175" t="n"/>
      <c r="U665" s="175" t="n"/>
      <c r="V665" s="175" t="n"/>
      <c r="W665" s="175" t="n"/>
      <c r="X665" s="175" t="n"/>
      <c r="Y665" s="175" t="n"/>
      <c r="Z665" s="175" t="n"/>
      <c r="AA665" s="175" t="n"/>
      <c r="AB665" s="175" t="n"/>
      <c r="AC665" s="175" t="n"/>
      <c r="AD665" s="175" t="n"/>
      <c r="AE665" s="175" t="n"/>
      <c r="AF665" s="175" t="n"/>
      <c r="AG665" s="175" t="n"/>
      <c r="AH665" s="175" t="n"/>
      <c r="AI665" s="175" t="n"/>
      <c r="AJ665" s="175"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5" t="n"/>
      <c r="BQ666" s="156" t="n"/>
      <c r="BR666" s="156" t="n"/>
      <c r="BS666" s="156" t="n"/>
      <c r="BT666" s="156" t="n"/>
      <c r="BU666" s="156" t="n"/>
      <c r="BV666" s="157" t="n"/>
      <c r="BW666" s="155" t="n"/>
      <c r="BX666" s="156" t="n"/>
      <c r="BY666" s="156" t="n"/>
      <c r="BZ666" s="156" t="n"/>
      <c r="CA666" s="156" t="n"/>
      <c r="CB666" s="156" t="n"/>
      <c r="CC666" s="156" t="n"/>
      <c r="CD666" s="156" t="n"/>
      <c r="CE666" s="156" t="n"/>
      <c r="CF666" s="156" t="n"/>
      <c r="CG666" s="157"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8" t="inlineStr">
        <is>
          <t>校内外の諸活動</t>
        </is>
      </c>
      <c r="BQ667" s="149" t="n"/>
      <c r="BR667" s="149" t="n"/>
      <c r="BS667" s="149" t="n"/>
      <c r="BT667" s="149" t="n"/>
      <c r="BU667" s="149" t="n"/>
      <c r="BV667" s="150" t="n"/>
      <c r="BW667" s="179">
        <f>計算!$BO$10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0">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5" t="n"/>
      <c r="F670" s="156" t="n"/>
      <c r="G670" s="156" t="n"/>
      <c r="H670" s="156" t="n"/>
      <c r="I670" s="156" t="n"/>
      <c r="J670" s="156" t="n"/>
      <c r="K670" s="157" t="n"/>
      <c r="L670" s="155" t="n"/>
      <c r="M670" s="156" t="n"/>
      <c r="N670" s="156" t="n"/>
      <c r="O670" s="156" t="n"/>
      <c r="P670" s="156" t="n"/>
      <c r="Q670" s="156" t="n"/>
      <c r="R670" s="156" t="n"/>
      <c r="S670" s="156" t="n"/>
      <c r="T670" s="156" t="n"/>
      <c r="U670" s="156" t="n"/>
      <c r="V670" s="156" t="n"/>
      <c r="W670" s="156" t="n"/>
      <c r="X670" s="156" t="n"/>
      <c r="Y670" s="156" t="n"/>
      <c r="Z670" s="156" t="n"/>
      <c r="AA670" s="156" t="n"/>
      <c r="AB670" s="156" t="n"/>
      <c r="AC670" s="156" t="n"/>
      <c r="AD670" s="156" t="n"/>
      <c r="AE670" s="156" t="n"/>
      <c r="AF670" s="156" t="n"/>
      <c r="AG670" s="156" t="n"/>
      <c r="AH670" s="156" t="n"/>
      <c r="AI670" s="156" t="n"/>
      <c r="AJ670" s="156" t="n"/>
      <c r="AK670" s="156" t="n"/>
      <c r="AL670" s="156" t="n"/>
      <c r="AM670" s="156" t="n"/>
      <c r="AN670" s="156" t="n"/>
      <c r="AO670" s="156" t="n"/>
      <c r="AP670" s="156" t="n"/>
      <c r="AQ670" s="156" t="n"/>
      <c r="AR670" s="156" t="n"/>
      <c r="AS670" s="156" t="n"/>
      <c r="AT670" s="156" t="n"/>
      <c r="AU670" s="156" t="n"/>
      <c r="AV670" s="156" t="n"/>
      <c r="AW670" s="156" t="n"/>
      <c r="AX670" s="156" t="n"/>
      <c r="AY670" s="156" t="n"/>
      <c r="AZ670" s="156" t="n"/>
      <c r="BA670" s="156" t="n"/>
      <c r="BB670" s="156" t="n"/>
      <c r="BC670" s="156" t="n"/>
      <c r="BD670" s="156" t="n"/>
      <c r="BE670" s="156" t="n"/>
      <c r="BF670" s="156" t="n"/>
      <c r="BG670" s="156" t="n"/>
      <c r="BH670" s="156" t="n"/>
      <c r="BI670" s="157"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69" t="inlineStr">
        <is>
          <t>ふ り が な</t>
        </is>
      </c>
      <c r="F671" s="149" t="n"/>
      <c r="G671" s="149" t="n"/>
      <c r="H671" s="149" t="n"/>
      <c r="I671" s="149" t="n"/>
      <c r="J671" s="149" t="n"/>
      <c r="K671" s="150" t="n"/>
      <c r="L671" s="170">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1" t="n"/>
      <c r="F673" s="172" t="n"/>
      <c r="G673" s="172" t="n"/>
      <c r="H673" s="172" t="n"/>
      <c r="I673" s="172" t="n"/>
      <c r="J673" s="172" t="n"/>
      <c r="K673" s="173" t="n"/>
      <c r="L673" s="172" t="n"/>
      <c r="M673" s="172" t="n"/>
      <c r="N673" s="172" t="n"/>
      <c r="O673" s="172" t="n"/>
      <c r="P673" s="172" t="n"/>
      <c r="Q673" s="172" t="n"/>
      <c r="R673" s="172" t="n"/>
      <c r="S673" s="172" t="n"/>
      <c r="T673" s="172" t="n"/>
      <c r="U673" s="172" t="n"/>
      <c r="V673" s="172" t="n"/>
      <c r="W673" s="172" t="n"/>
      <c r="X673" s="172" t="n"/>
      <c r="Y673" s="172" t="n"/>
      <c r="Z673" s="172" t="n"/>
      <c r="AA673" s="172" t="n"/>
      <c r="AB673" s="172" t="n"/>
      <c r="AC673" s="172" t="n"/>
      <c r="AD673" s="172" t="n"/>
      <c r="AE673" s="172" t="n"/>
      <c r="AF673" s="172" t="n"/>
      <c r="AG673" s="172" t="n"/>
      <c r="AH673" s="172" t="n"/>
      <c r="AI673" s="172" t="n"/>
      <c r="AJ673" s="172" t="n"/>
      <c r="AK673" s="172" t="n"/>
      <c r="AL673" s="172" t="n"/>
      <c r="AM673" s="172" t="n"/>
      <c r="AN673" s="172" t="n"/>
      <c r="AO673" s="172" t="n"/>
      <c r="AP673" s="172" t="n"/>
      <c r="AQ673" s="172" t="n"/>
      <c r="AR673" s="172" t="n"/>
      <c r="AS673" s="172" t="n"/>
      <c r="AT673" s="172" t="n"/>
      <c r="AU673" s="172" t="n"/>
      <c r="AV673" s="172" t="n"/>
      <c r="AW673" s="172" t="n"/>
      <c r="AX673" s="172" t="n"/>
      <c r="AY673" s="172" t="n"/>
      <c r="AZ673" s="172" t="n"/>
      <c r="BA673" s="172" t="n"/>
      <c r="BB673" s="172" t="n"/>
      <c r="BC673" s="172" t="n"/>
      <c r="BD673" s="172" t="n"/>
      <c r="BE673" s="172" t="n"/>
      <c r="BF673" s="172" t="n"/>
      <c r="BG673" s="172" t="n"/>
      <c r="BH673" s="172" t="n"/>
      <c r="BI673" s="173"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4" t="inlineStr">
        <is>
          <t>連絡先</t>
        </is>
      </c>
      <c r="F674" s="175" t="n"/>
      <c r="G674" s="175" t="n"/>
      <c r="H674" s="175" t="n"/>
      <c r="I674" s="175" t="n"/>
      <c r="J674" s="175" t="n"/>
      <c r="K674" s="176" t="n"/>
      <c r="L674" s="83" t="inlineStr">
        <is>
          <t>〒</t>
        </is>
      </c>
      <c r="M674" s="175" t="n"/>
      <c r="N674" s="175" t="n"/>
      <c r="O674" s="175" t="n"/>
      <c r="P674" s="181">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2">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5" t="n"/>
      <c r="F678" s="156" t="n"/>
      <c r="G678" s="156" t="n"/>
      <c r="H678" s="156" t="n"/>
      <c r="I678" s="156" t="n"/>
      <c r="J678" s="156" t="n"/>
      <c r="K678" s="157" t="n"/>
      <c r="L678" s="156" t="n"/>
      <c r="M678" s="156" t="n"/>
      <c r="N678" s="156" t="n"/>
      <c r="O678" s="156" t="n"/>
      <c r="P678" s="156" t="n"/>
      <c r="Q678" s="156" t="n"/>
      <c r="R678" s="156" t="n"/>
      <c r="S678" s="156" t="n"/>
      <c r="T678" s="156" t="n"/>
      <c r="U678" s="156" t="n"/>
      <c r="V678" s="156" t="n"/>
      <c r="W678" s="156" t="n"/>
      <c r="X678" s="156" t="n"/>
      <c r="Y678" s="156" t="n"/>
      <c r="Z678" s="156" t="n"/>
      <c r="AA678" s="156" t="n"/>
      <c r="AB678" s="156" t="n"/>
      <c r="AC678" s="156" t="n"/>
      <c r="AD678" s="156" t="n"/>
      <c r="AE678" s="156" t="n"/>
      <c r="AF678" s="156" t="n"/>
      <c r="AG678" s="156" t="n"/>
      <c r="AH678" s="156" t="n"/>
      <c r="AI678" s="156" t="n"/>
      <c r="AJ678" s="156" t="n"/>
      <c r="AK678" s="156" t="n"/>
      <c r="AL678" s="156" t="n"/>
      <c r="AM678" s="156" t="n"/>
      <c r="AN678" s="156" t="n"/>
      <c r="AO678" s="156" t="n"/>
      <c r="AP678" s="156" t="n"/>
      <c r="AQ678" s="156" t="n"/>
      <c r="AR678" s="156" t="n"/>
      <c r="AS678" s="156" t="n"/>
      <c r="AT678" s="156" t="n"/>
      <c r="AU678" s="156" t="n"/>
      <c r="AV678" s="156" t="n"/>
      <c r="AW678" s="156" t="n"/>
      <c r="AX678" s="156" t="n"/>
      <c r="AY678" s="156" t="n"/>
      <c r="AZ678" s="156" t="n"/>
      <c r="BA678" s="156" t="n"/>
      <c r="BB678" s="156" t="n"/>
      <c r="BC678" s="156" t="n"/>
      <c r="BD678" s="156" t="n"/>
      <c r="BE678" s="156" t="n"/>
      <c r="BF678" s="156" t="n"/>
      <c r="BG678" s="156" t="n"/>
      <c r="BH678" s="156" t="n"/>
      <c r="BI678" s="157"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86"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3" t="n"/>
      <c r="BQ684" s="149" t="n"/>
      <c r="BR684" s="184" t="n"/>
      <c r="BS684" s="149" t="n"/>
      <c r="BT684" s="149" t="n"/>
      <c r="BU684" s="28" t="n"/>
      <c r="BV684" s="29" t="n"/>
      <c r="BW684" s="185">
        <f>計算!$BP$10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115"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6"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107"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7">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188">
        <f>IF(入力!$D$12="","",設定!$B$6)&amp;""</f>
        <v/>
      </c>
      <c r="S692" s="11" t="n"/>
      <c r="T692" s="11" t="n"/>
      <c r="U692" s="188">
        <f>IF(入力!$D$12="","",設定!$B$7)&amp;""</f>
        <v/>
      </c>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110" t="inlineStr">
        <is>
          <t>令和</t>
        </is>
      </c>
      <c r="S693" s="61" t="inlineStr">
        <is>
          <t>年</t>
        </is>
      </c>
      <c r="W693" s="62"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90"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5" t="n"/>
      <c r="F697" s="156" t="n"/>
      <c r="G697" s="156" t="n"/>
      <c r="H697" s="156" t="n"/>
      <c r="I697" s="156" t="n"/>
      <c r="J697" s="156" t="n"/>
      <c r="K697" s="157"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6" t="n"/>
      <c r="AX697" s="156" t="n"/>
      <c r="AY697" s="156" t="n"/>
      <c r="AZ697" s="156" t="n"/>
      <c r="BA697" s="156" t="n"/>
      <c r="BB697" s="156" t="n"/>
      <c r="BC697" s="156" t="n"/>
      <c r="BD697" s="156" t="n"/>
      <c r="BE697" s="156" t="n"/>
      <c r="BF697" s="156" t="n"/>
      <c r="BG697" s="156" t="n"/>
      <c r="BH697" s="156" t="n"/>
      <c r="BI697" s="157"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58" t="n"/>
      <c r="T698" s="149" t="n"/>
      <c r="U698" s="17" t="n"/>
      <c r="V698" s="17" t="n"/>
      <c r="W698" s="58"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89" t="inlineStr">
        <is>
          <t>職　歴</t>
        </is>
      </c>
      <c r="K701" s="153" t="n"/>
      <c r="L701" s="69" t="inlineStr">
        <is>
          <t>平成</t>
        </is>
      </c>
      <c r="M701" s="149" t="n"/>
      <c r="N701" s="149" t="n"/>
      <c r="O701" s="149" t="n"/>
      <c r="P701" s="19" t="n"/>
      <c r="Q701" s="19" t="n"/>
      <c r="R701" s="19" t="n"/>
      <c r="S701" s="19" t="n"/>
      <c r="T701" s="19" t="n"/>
      <c r="U701" s="19" t="n"/>
      <c r="V701" s="19" t="n"/>
      <c r="W701" s="19" t="n"/>
      <c r="X701" s="37" t="n"/>
      <c r="Y701" s="180">
        <f>計算!$BT$10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8">
        <f>計算!$BR$10</f>
        <v/>
      </c>
      <c r="S703" s="61" t="inlineStr">
        <is>
          <t>年</t>
        </is>
      </c>
      <c r="U703" s="190">
        <f>計算!$BS$10</f>
        <v/>
      </c>
      <c r="W703" s="62"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74"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5" t="n"/>
      <c r="M706" s="156" t="n"/>
      <c r="N706" s="156" t="n"/>
      <c r="O706" s="156" t="n"/>
      <c r="P706" s="20" t="n"/>
      <c r="Q706" s="20" t="n"/>
      <c r="R706" s="20" t="n"/>
      <c r="S706" s="20" t="n"/>
      <c r="T706" s="20" t="n"/>
      <c r="U706" s="20" t="n"/>
      <c r="V706" s="20" t="n"/>
      <c r="W706" s="20" t="n"/>
      <c r="X706" s="39" t="n"/>
      <c r="Y706" s="155" t="n"/>
      <c r="Z706" s="156" t="n"/>
      <c r="AA706" s="156" t="n"/>
      <c r="AB706" s="156" t="n"/>
      <c r="AC706" s="156" t="n"/>
      <c r="AD706" s="156" t="n"/>
      <c r="AE706" s="156" t="n"/>
      <c r="AF706" s="156" t="n"/>
      <c r="AG706" s="156" t="n"/>
      <c r="AH706" s="156" t="n"/>
      <c r="AI706" s="156" t="n"/>
      <c r="AJ706" s="156" t="n"/>
      <c r="AK706" s="156" t="n"/>
      <c r="AL706" s="156" t="n"/>
      <c r="AM706" s="156" t="n"/>
      <c r="AN706" s="156" t="n"/>
      <c r="AO706" s="156" t="n"/>
      <c r="AP706" s="156" t="n"/>
      <c r="AQ706" s="156" t="n"/>
      <c r="AR706" s="156" t="n"/>
      <c r="AS706" s="156" t="n"/>
      <c r="AT706" s="156" t="n"/>
      <c r="AU706" s="156" t="n"/>
      <c r="AV706" s="156" t="n"/>
      <c r="AW706" s="156" t="n"/>
      <c r="AX706" s="156" t="n"/>
      <c r="AY706" s="156" t="n"/>
      <c r="AZ706" s="156" t="n"/>
      <c r="BA706" s="156" t="n"/>
      <c r="BB706" s="156" t="n"/>
      <c r="BC706" s="156" t="n"/>
      <c r="BD706" s="156" t="n"/>
      <c r="BE706" s="156" t="n"/>
      <c r="BF706" s="156" t="n"/>
      <c r="BG706" s="156" t="n"/>
      <c r="BH706" s="156" t="n"/>
      <c r="BI706" s="157"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69" t="inlineStr">
        <is>
          <t>平成</t>
        </is>
      </c>
      <c r="M707" s="149" t="n"/>
      <c r="N707" s="149" t="n"/>
      <c r="O707" s="149" t="n"/>
      <c r="P707" s="18" t="n"/>
      <c r="Q707" s="18" t="n"/>
      <c r="R707" s="18" t="n"/>
      <c r="S707" s="18" t="n"/>
      <c r="T707" s="18" t="n"/>
      <c r="U707" s="18" t="n"/>
      <c r="V707" s="18" t="n"/>
      <c r="W707" s="18" t="n"/>
      <c r="X707" s="35" t="n"/>
      <c r="Y707" s="180">
        <f>計算!$BW$10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8">
        <f>計算!$BU$10</f>
        <v/>
      </c>
      <c r="S709" s="61" t="inlineStr">
        <is>
          <t>年</t>
        </is>
      </c>
      <c r="U709" s="190">
        <f>計算!$BV$10</f>
        <v/>
      </c>
      <c r="W709" s="62"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74"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5" t="n"/>
      <c r="M712" s="156" t="n"/>
      <c r="N712" s="156" t="n"/>
      <c r="O712" s="156" t="n"/>
      <c r="P712" s="20" t="n"/>
      <c r="Q712" s="20" t="n"/>
      <c r="R712" s="20" t="n"/>
      <c r="S712" s="20" t="n"/>
      <c r="T712" s="20" t="n"/>
      <c r="U712" s="20" t="n"/>
      <c r="V712" s="20" t="n"/>
      <c r="W712" s="20" t="n"/>
      <c r="X712" s="39" t="n"/>
      <c r="Y712" s="155" t="n"/>
      <c r="Z712" s="156" t="n"/>
      <c r="AA712" s="156" t="n"/>
      <c r="AB712" s="156" t="n"/>
      <c r="AC712" s="156" t="n"/>
      <c r="AD712" s="156" t="n"/>
      <c r="AE712" s="156" t="n"/>
      <c r="AF712" s="156" t="n"/>
      <c r="AG712" s="156" t="n"/>
      <c r="AH712" s="156" t="n"/>
      <c r="AI712" s="156" t="n"/>
      <c r="AJ712" s="156" t="n"/>
      <c r="AK712" s="156" t="n"/>
      <c r="AL712" s="156" t="n"/>
      <c r="AM712" s="156" t="n"/>
      <c r="AN712" s="156" t="n"/>
      <c r="AO712" s="156" t="n"/>
      <c r="AP712" s="156" t="n"/>
      <c r="AQ712" s="156" t="n"/>
      <c r="AR712" s="156" t="n"/>
      <c r="AS712" s="156" t="n"/>
      <c r="AT712" s="156" t="n"/>
      <c r="AU712" s="156" t="n"/>
      <c r="AV712" s="156" t="n"/>
      <c r="AW712" s="156" t="n"/>
      <c r="AX712" s="156" t="n"/>
      <c r="AY712" s="156" t="n"/>
      <c r="AZ712" s="156" t="n"/>
      <c r="BA712" s="156" t="n"/>
      <c r="BB712" s="156" t="n"/>
      <c r="BC712" s="156" t="n"/>
      <c r="BD712" s="156" t="n"/>
      <c r="BE712" s="156" t="n"/>
      <c r="BF712" s="156" t="n"/>
      <c r="BG712" s="156" t="n"/>
      <c r="BH712" s="156" t="n"/>
      <c r="BI712" s="157" t="n"/>
      <c r="BJ712" s="2" t="n"/>
      <c r="BK712" s="2" t="n"/>
      <c r="BL712" s="2" t="n"/>
      <c r="BM712" s="2" t="n"/>
      <c r="BN712" s="2" t="n"/>
      <c r="BO712" s="2" t="n"/>
      <c r="BP712" s="155" t="n"/>
      <c r="BQ712" s="156" t="n"/>
      <c r="BR712" s="156" t="n"/>
      <c r="BS712" s="156" t="n"/>
      <c r="BT712" s="156" t="n"/>
      <c r="BU712" s="42" t="n"/>
      <c r="BV712" s="45" t="n"/>
      <c r="BW712" s="156" t="n"/>
      <c r="BX712" s="156" t="n"/>
      <c r="BY712" s="156" t="n"/>
      <c r="BZ712" s="156" t="n"/>
      <c r="CA712" s="156" t="n"/>
      <c r="CB712" s="156" t="n"/>
      <c r="CC712" s="156" t="n"/>
      <c r="CD712" s="156" t="n"/>
      <c r="CE712" s="156" t="n"/>
      <c r="CF712" s="156" t="n"/>
      <c r="CG712" s="156" t="n"/>
      <c r="CH712" s="156" t="n"/>
      <c r="CI712" s="156" t="n"/>
      <c r="CJ712" s="156" t="n"/>
      <c r="CK712" s="156" t="n"/>
      <c r="CL712" s="156" t="n"/>
      <c r="CM712" s="156" t="n"/>
      <c r="CN712" s="156" t="n"/>
      <c r="CO712" s="156" t="n"/>
      <c r="CP712" s="156" t="n"/>
      <c r="CQ712" s="156" t="n"/>
      <c r="CR712" s="156" t="n"/>
      <c r="CS712" s="156" t="n"/>
      <c r="CT712" s="156" t="n"/>
      <c r="CU712" s="156" t="n"/>
      <c r="CV712" s="156" t="n"/>
      <c r="CW712" s="156" t="n"/>
      <c r="CX712" s="156" t="n"/>
      <c r="CY712" s="156" t="n"/>
      <c r="CZ712" s="156" t="n"/>
      <c r="DA712" s="156" t="n"/>
      <c r="DB712" s="156" t="n"/>
      <c r="DC712" s="156" t="n"/>
      <c r="DD712" s="156" t="n"/>
      <c r="DE712" s="156" t="n"/>
      <c r="DF712" s="156" t="n"/>
      <c r="DG712" s="156" t="n"/>
      <c r="DH712" s="156" t="n"/>
      <c r="DI712" s="156" t="n"/>
      <c r="DJ712" s="156" t="n"/>
      <c r="DK712" s="156" t="n"/>
      <c r="DL712" s="156" t="n"/>
      <c r="DM712" s="156" t="n"/>
      <c r="DN712" s="156" t="n"/>
      <c r="DO712" s="156" t="n"/>
      <c r="DP712" s="156" t="n"/>
      <c r="DQ712" s="156" t="n"/>
      <c r="DR712" s="156" t="n"/>
      <c r="DS712" s="156" t="n"/>
      <c r="DT712" s="156" t="n"/>
      <c r="DU712" s="157" t="n"/>
      <c r="DV712" s="2" t="n"/>
      <c r="DW712" s="2" t="n"/>
      <c r="DX712" s="2" t="n"/>
      <c r="DY712" s="2" t="n"/>
      <c r="DZ712" s="2" t="n"/>
      <c r="EA712" s="2" t="n"/>
      <c r="EB712" s="2" t="n"/>
      <c r="EC712" s="2" t="n"/>
    </row>
    <row r="713" ht="6.75" customHeight="1" s="118">
      <c r="A713" s="2" t="n"/>
      <c r="B713" s="2" t="n"/>
      <c r="C713" s="2" t="n"/>
      <c r="D713" s="2" t="n"/>
      <c r="E713" s="152" t="n"/>
      <c r="K713" s="153" t="n"/>
      <c r="L713" s="69"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5">
        <f>計算!$BQ$10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61" t="inlineStr">
        <is>
          <t>年</t>
        </is>
      </c>
      <c r="U715" s="11" t="n"/>
      <c r="V715" s="11" t="n"/>
      <c r="W715" s="62"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74"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5" t="n"/>
      <c r="M718" s="156" t="n"/>
      <c r="N718" s="156" t="n"/>
      <c r="O718" s="156"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69"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61" t="inlineStr">
        <is>
          <t>年</t>
        </is>
      </c>
      <c r="U721" s="11" t="n"/>
      <c r="V721" s="11" t="n"/>
      <c r="W721" s="62"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74"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61" t="n"/>
      <c r="T723" s="61" t="n"/>
      <c r="U723" s="11" t="n"/>
      <c r="V723" s="11" t="n"/>
      <c r="W723" s="61" t="n"/>
      <c r="X723" s="62"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5" t="n"/>
      <c r="F724" s="156" t="n"/>
      <c r="G724" s="156" t="n"/>
      <c r="H724" s="156" t="n"/>
      <c r="I724" s="156" t="n"/>
      <c r="J724" s="156" t="n"/>
      <c r="K724" s="157" t="n"/>
      <c r="L724" s="155" t="n"/>
      <c r="M724" s="156" t="n"/>
      <c r="N724" s="156" t="n"/>
      <c r="O724" s="156"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5" t="n"/>
      <c r="BQ724" s="156" t="n"/>
      <c r="BR724" s="156" t="n"/>
      <c r="BS724" s="156" t="n"/>
      <c r="BT724" s="156" t="n"/>
      <c r="BU724" s="156" t="n"/>
      <c r="BV724" s="157" t="n"/>
      <c r="BW724" s="156" t="n"/>
      <c r="BX724" s="156" t="n"/>
      <c r="BY724" s="156" t="n"/>
      <c r="BZ724" s="156" t="n"/>
      <c r="CA724" s="156" t="n"/>
      <c r="CB724" s="156" t="n"/>
      <c r="CC724" s="156" t="n"/>
      <c r="CD724" s="156" t="n"/>
      <c r="CE724" s="156" t="n"/>
      <c r="CF724" s="156" t="n"/>
      <c r="CG724" s="156" t="n"/>
      <c r="CH724" s="156" t="n"/>
      <c r="CI724" s="156" t="n"/>
      <c r="CJ724" s="156" t="n"/>
      <c r="CK724" s="156" t="n"/>
      <c r="CL724" s="156" t="n"/>
      <c r="CM724" s="156" t="n"/>
      <c r="CN724" s="156" t="n"/>
      <c r="CO724" s="156" t="n"/>
      <c r="CP724" s="156" t="n"/>
      <c r="CQ724" s="156" t="n"/>
      <c r="CR724" s="156" t="n"/>
      <c r="CS724" s="156" t="n"/>
      <c r="CT724" s="156" t="n"/>
      <c r="CU724" s="156" t="n"/>
      <c r="CV724" s="156" t="n"/>
      <c r="CW724" s="156" t="n"/>
      <c r="CX724" s="156" t="n"/>
      <c r="CY724" s="156" t="n"/>
      <c r="CZ724" s="156" t="n"/>
      <c r="DA724" s="156" t="n"/>
      <c r="DB724" s="156" t="n"/>
      <c r="DC724" s="156" t="n"/>
      <c r="DD724" s="156" t="n"/>
      <c r="DE724" s="156" t="n"/>
      <c r="DF724" s="156" t="n"/>
      <c r="DG724" s="156" t="n"/>
      <c r="DH724" s="156" t="n"/>
      <c r="DI724" s="156" t="n"/>
      <c r="DJ724" s="156" t="n"/>
      <c r="DK724" s="156" t="n"/>
      <c r="DL724" s="156" t="n"/>
      <c r="DM724" s="156" t="n"/>
      <c r="DN724" s="156" t="n"/>
      <c r="DO724" s="156" t="n"/>
      <c r="DP724" s="156" t="n"/>
      <c r="DQ724" s="156" t="n"/>
      <c r="DR724" s="156" t="n"/>
      <c r="DS724" s="156" t="n"/>
      <c r="DT724" s="156" t="n"/>
      <c r="DU724" s="157"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87" t="inlineStr">
        <is>
          <t xml:space="preserve">    (近畿高等学校統一用紙　  その２ 　  令和７年度改定)　</t>
        </is>
      </c>
      <c r="DV726" s="2" t="n"/>
      <c r="DW726" s="2" t="n"/>
      <c r="DX726" s="2" t="n"/>
      <c r="DY726" s="2" t="n"/>
      <c r="DZ726" s="2" t="n"/>
      <c r="EA726" s="2" t="n"/>
      <c r="EB726" s="2" t="n"/>
      <c r="EC726" s="2" t="n"/>
    </row>
    <row r="727" hidden="1"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idden="1"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47"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64" t="inlineStr">
        <is>
          <t>令和</t>
        </is>
      </c>
      <c r="AD736" s="154">
        <f>IF(入力!$D$13="","",IF(N(設定!$B$3)=0,"",YEAR(設定!$B$3)-2018))&amp;""</f>
        <v/>
      </c>
      <c r="AG736" s="64" t="inlineStr">
        <is>
          <t>年</t>
        </is>
      </c>
      <c r="AI736" s="154">
        <f>IF(入力!$D$13="","",IF(N(設定!$B$3)=0,"",MONTH(設定!$B$3)))&amp;""</f>
        <v/>
      </c>
      <c r="AL736" s="64" t="inlineStr">
        <is>
          <t>月</t>
        </is>
      </c>
      <c r="AN736" s="154">
        <f>IF(入力!$D$13="","",IF(N(設定!$B$3)=0,"",DAY(設定!$B$3)))&amp;""</f>
        <v/>
      </c>
      <c r="AP736" s="64"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5" t="n"/>
      <c r="BX736" s="156" t="n"/>
      <c r="BY736" s="156" t="n"/>
      <c r="BZ736" s="156" t="n"/>
      <c r="CA736" s="156" t="n"/>
      <c r="CB736" s="156" t="n"/>
      <c r="CC736" s="156" t="n"/>
      <c r="CD736" s="156" t="n"/>
      <c r="CE736" s="156" t="n"/>
      <c r="CF736" s="156" t="n"/>
      <c r="CG736" s="157" t="n"/>
      <c r="CH736" s="155" t="n"/>
      <c r="CI736" s="156" t="n"/>
      <c r="CJ736" s="156" t="n"/>
      <c r="CK736" s="156" t="n"/>
      <c r="CL736" s="156" t="n"/>
      <c r="CM736" s="156" t="n"/>
      <c r="CN736" s="156" t="n"/>
      <c r="CO736" s="156" t="n"/>
      <c r="CP736" s="156" t="n"/>
      <c r="CQ736" s="156" t="n"/>
      <c r="CR736" s="156" t="n"/>
      <c r="CS736" s="156" t="n"/>
      <c r="CT736" s="156" t="n"/>
      <c r="CU736" s="156" t="n"/>
      <c r="CV736" s="156" t="n"/>
      <c r="CW736" s="156" t="n"/>
      <c r="CX736" s="156" t="n"/>
      <c r="CY736" s="156" t="n"/>
      <c r="CZ736" s="156" t="n"/>
      <c r="DA736" s="156" t="n"/>
      <c r="DB736" s="156" t="n"/>
      <c r="DC736" s="156" t="n"/>
      <c r="DD736" s="156" t="n"/>
      <c r="DE736" s="156" t="n"/>
      <c r="DF736" s="156" t="n"/>
      <c r="DG736" s="156" t="n"/>
      <c r="DH736" s="156" t="n"/>
      <c r="DI736" s="156" t="n"/>
      <c r="DJ736" s="156" t="n"/>
      <c r="DK736" s="156" t="n"/>
      <c r="DL736" s="156" t="n"/>
      <c r="DM736" s="156" t="n"/>
      <c r="DN736" s="156" t="n"/>
      <c r="DO736" s="156" t="n"/>
      <c r="DP736" s="156" t="n"/>
      <c r="DQ736" s="156" t="n"/>
      <c r="DR736" s="156" t="n"/>
      <c r="DS736" s="156" t="n"/>
      <c r="DT736" s="156" t="n"/>
      <c r="DU736" s="157"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68" t="inlineStr">
        <is>
          <t>写真をはる位置</t>
        </is>
      </c>
      <c r="BI737" s="8" t="n"/>
      <c r="BJ737" s="7" t="n"/>
      <c r="BK737" s="2" t="n"/>
      <c r="BL737" s="2" t="n"/>
      <c r="BM737" s="2" t="n"/>
      <c r="BN737" s="2" t="n"/>
      <c r="BO737" s="2" t="n"/>
      <c r="BP737" s="152" t="n"/>
      <c r="BV737" s="153" t="n"/>
      <c r="BW737" s="158">
        <f>計算!$CB$11</f>
        <v/>
      </c>
      <c r="CG737" s="153" t="n"/>
      <c r="CH737" s="159">
        <f>計算!$CC$11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6" t="n"/>
      <c r="AA738" s="156" t="n"/>
      <c r="AB738" s="156" t="n"/>
      <c r="AC738" s="156" t="n"/>
      <c r="AD738" s="156" t="n"/>
      <c r="AE738" s="156" t="n"/>
      <c r="AF738" s="156" t="n"/>
      <c r="AG738" s="156" t="n"/>
      <c r="AH738" s="156" t="n"/>
      <c r="AI738" s="156" t="n"/>
      <c r="AJ738" s="156" t="n"/>
      <c r="AK738" s="156" t="n"/>
      <c r="AL738" s="156" t="n"/>
      <c r="AM738" s="156" t="n"/>
      <c r="AN738" s="156" t="n"/>
      <c r="AO738" s="156" t="n"/>
      <c r="AP738" s="156" t="n"/>
      <c r="AQ738" s="156" t="n"/>
      <c r="AR738" s="156" t="n"/>
      <c r="AS738" s="156" t="n"/>
      <c r="AT738" s="156"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0">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5" t="n"/>
      <c r="F742" s="156" t="n"/>
      <c r="G742" s="156" t="n"/>
      <c r="H742" s="156" t="n"/>
      <c r="I742" s="156" t="n"/>
      <c r="J742" s="156" t="n"/>
      <c r="K742" s="157" t="n"/>
      <c r="L742" s="156" t="n"/>
      <c r="M742" s="156" t="n"/>
      <c r="N742" s="156" t="n"/>
      <c r="O742" s="156" t="n"/>
      <c r="P742" s="156" t="n"/>
      <c r="Q742" s="156" t="n"/>
      <c r="R742" s="156" t="n"/>
      <c r="S742" s="156" t="n"/>
      <c r="T742" s="156" t="n"/>
      <c r="U742" s="156" t="n"/>
      <c r="V742" s="156" t="n"/>
      <c r="W742" s="156" t="n"/>
      <c r="X742" s="156" t="n"/>
      <c r="Y742" s="156" t="n"/>
      <c r="Z742" s="156" t="n"/>
      <c r="AA742" s="156" t="n"/>
      <c r="AB742" s="156" t="n"/>
      <c r="AC742" s="156" t="n"/>
      <c r="AD742" s="156" t="n"/>
      <c r="AE742" s="156" t="n"/>
      <c r="AF742" s="156" t="n"/>
      <c r="AG742" s="156" t="n"/>
      <c r="AH742" s="156" t="n"/>
      <c r="AI742" s="156" t="n"/>
      <c r="AJ742" s="156" t="n"/>
      <c r="AK742" s="156" t="n"/>
      <c r="AL742" s="156" t="n"/>
      <c r="AM742" s="156" t="n"/>
      <c r="AN742" s="156" t="n"/>
      <c r="AO742" s="156" t="n"/>
      <c r="AP742" s="156" t="n"/>
      <c r="AQ742" s="156" t="n"/>
      <c r="AR742" s="156" t="n"/>
      <c r="AS742" s="156" t="n"/>
      <c r="AT742" s="157"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1" t="inlineStr">
        <is>
          <t>名　前</t>
        </is>
      </c>
      <c r="F743" s="149" t="n"/>
      <c r="G743" s="149" t="n"/>
      <c r="H743" s="149" t="n"/>
      <c r="I743" s="149" t="n"/>
      <c r="J743" s="149" t="n"/>
      <c r="K743" s="150" t="n"/>
      <c r="L743" s="162">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61"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5" t="n"/>
      <c r="F748" s="156" t="n"/>
      <c r="G748" s="156" t="n"/>
      <c r="H748" s="156" t="n"/>
      <c r="I748" s="156" t="n"/>
      <c r="J748" s="156" t="n"/>
      <c r="K748" s="157" t="n"/>
      <c r="L748" s="155" t="n"/>
      <c r="M748" s="156" t="n"/>
      <c r="N748" s="156" t="n"/>
      <c r="O748" s="156" t="n"/>
      <c r="P748" s="156" t="n"/>
      <c r="Q748" s="156" t="n"/>
      <c r="R748" s="156" t="n"/>
      <c r="S748" s="156" t="n"/>
      <c r="T748" s="156" t="n"/>
      <c r="U748" s="156" t="n"/>
      <c r="V748" s="156" t="n"/>
      <c r="W748" s="156" t="n"/>
      <c r="X748" s="156" t="n"/>
      <c r="Y748" s="156" t="n"/>
      <c r="Z748" s="156" t="n"/>
      <c r="AA748" s="156" t="n"/>
      <c r="AB748" s="156" t="n"/>
      <c r="AC748" s="156" t="n"/>
      <c r="AD748" s="156" t="n"/>
      <c r="AE748" s="156" t="n"/>
      <c r="AF748" s="156" t="n"/>
      <c r="AG748" s="156" t="n"/>
      <c r="AH748" s="156" t="n"/>
      <c r="AI748" s="156" t="n"/>
      <c r="AJ748" s="156" t="n"/>
      <c r="AK748" s="156" t="n"/>
      <c r="AL748" s="156" t="n"/>
      <c r="AM748" s="156" t="n"/>
      <c r="AN748" s="156" t="n"/>
      <c r="AO748" s="156" t="n"/>
      <c r="AP748" s="156" t="n"/>
      <c r="AQ748" s="156" t="n"/>
      <c r="AR748" s="156" t="n"/>
      <c r="AS748" s="156" t="n"/>
      <c r="AT748" s="157"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1" t="inlineStr">
        <is>
          <t>生年月日</t>
        </is>
      </c>
      <c r="F749" s="149" t="n"/>
      <c r="G749" s="149" t="n"/>
      <c r="H749" s="149" t="n"/>
      <c r="I749" s="149" t="n"/>
      <c r="J749" s="149" t="n"/>
      <c r="K749" s="150" t="n"/>
      <c r="L749" s="163" t="inlineStr">
        <is>
          <t>昭和 ・ 平成</t>
        </is>
      </c>
      <c r="M749" s="149" t="n"/>
      <c r="N749" s="149" t="n"/>
      <c r="O749" s="149" t="n"/>
      <c r="P749" s="149" t="n"/>
      <c r="Q749" s="149" t="n"/>
      <c r="R749" s="149" t="n"/>
      <c r="S749" s="149" t="n"/>
      <c r="T749" s="149" t="n"/>
      <c r="U749" s="149" t="n"/>
      <c r="V749" s="164">
        <f>計算!$D$11</f>
        <v/>
      </c>
      <c r="W749" s="149" t="n"/>
      <c r="X749" s="165" t="inlineStr">
        <is>
          <t>年</t>
        </is>
      </c>
      <c r="Y749" s="149" t="n"/>
      <c r="Z749" s="166">
        <f>計算!$E$11</f>
        <v/>
      </c>
      <c r="AA749" s="149" t="n"/>
      <c r="AB749" s="149" t="n"/>
      <c r="AC749" s="165" t="inlineStr">
        <is>
          <t>月</t>
        </is>
      </c>
      <c r="AD749" s="149" t="n"/>
      <c r="AE749" s="166">
        <f>計算!$F$11</f>
        <v/>
      </c>
      <c r="AF749" s="149" t="n"/>
      <c r="AG749" s="149" t="n"/>
      <c r="AH749" s="165" t="inlineStr">
        <is>
          <t>日　生 （満</t>
        </is>
      </c>
      <c r="AI749" s="149" t="n"/>
      <c r="AJ749" s="149" t="n"/>
      <c r="AK749" s="149" t="n"/>
      <c r="AL749" s="149" t="n"/>
      <c r="AM749" s="149" t="n"/>
      <c r="AN749" s="149" t="n"/>
      <c r="AO749" s="149" t="n"/>
      <c r="AP749" s="167">
        <f>計算!$G$11</f>
        <v/>
      </c>
      <c r="AQ749" s="149" t="n"/>
      <c r="AR749" s="168"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5" t="n"/>
      <c r="F752" s="156" t="n"/>
      <c r="G752" s="156" t="n"/>
      <c r="H752" s="156" t="n"/>
      <c r="I752" s="156" t="n"/>
      <c r="J752" s="156" t="n"/>
      <c r="K752" s="157" t="n"/>
      <c r="L752" s="155" t="n"/>
      <c r="M752" s="156" t="n"/>
      <c r="N752" s="156" t="n"/>
      <c r="O752" s="156" t="n"/>
      <c r="P752" s="156" t="n"/>
      <c r="Q752" s="156" t="n"/>
      <c r="R752" s="156" t="n"/>
      <c r="S752" s="156" t="n"/>
      <c r="T752" s="156" t="n"/>
      <c r="U752" s="156" t="n"/>
      <c r="X752" s="156" t="n"/>
      <c r="Y752" s="156" t="n"/>
      <c r="AC752" s="156" t="n"/>
      <c r="AD752" s="156" t="n"/>
      <c r="AH752" s="156" t="n"/>
      <c r="AI752" s="156" t="n"/>
      <c r="AJ752" s="156" t="n"/>
      <c r="AK752" s="156" t="n"/>
      <c r="AL752" s="156" t="n"/>
      <c r="AM752" s="156" t="n"/>
      <c r="AN752" s="156" t="n"/>
      <c r="AO752" s="156" t="n"/>
      <c r="AP752" s="156" t="n"/>
      <c r="AQ752" s="156" t="n"/>
      <c r="AR752" s="156" t="n"/>
      <c r="AS752" s="156" t="n"/>
      <c r="AT752" s="157"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69" t="inlineStr">
        <is>
          <t>ふ り が な</t>
        </is>
      </c>
      <c r="F753" s="149" t="n"/>
      <c r="G753" s="149" t="n"/>
      <c r="H753" s="149" t="n"/>
      <c r="I753" s="149" t="n"/>
      <c r="J753" s="149" t="n"/>
      <c r="K753" s="150" t="n"/>
      <c r="L753" s="170">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1" t="n"/>
      <c r="F755" s="172" t="n"/>
      <c r="G755" s="172" t="n"/>
      <c r="H755" s="172" t="n"/>
      <c r="I755" s="172" t="n"/>
      <c r="J755" s="172" t="n"/>
      <c r="K755" s="173" t="n"/>
      <c r="L755" s="172" t="n"/>
      <c r="M755" s="172" t="n"/>
      <c r="N755" s="172" t="n"/>
      <c r="O755" s="172" t="n"/>
      <c r="P755" s="172" t="n"/>
      <c r="Q755" s="172" t="n"/>
      <c r="R755" s="172" t="n"/>
      <c r="S755" s="172" t="n"/>
      <c r="T755" s="172" t="n"/>
      <c r="U755" s="172" t="n"/>
      <c r="V755" s="172" t="n"/>
      <c r="W755" s="172" t="n"/>
      <c r="X755" s="172" t="n"/>
      <c r="Y755" s="172" t="n"/>
      <c r="Z755" s="172" t="n"/>
      <c r="AA755" s="172" t="n"/>
      <c r="AB755" s="172" t="n"/>
      <c r="AC755" s="172" t="n"/>
      <c r="AD755" s="172" t="n"/>
      <c r="AE755" s="172" t="n"/>
      <c r="AF755" s="172" t="n"/>
      <c r="AG755" s="172" t="n"/>
      <c r="AH755" s="172" t="n"/>
      <c r="AI755" s="172" t="n"/>
      <c r="AJ755" s="172" t="n"/>
      <c r="AK755" s="172" t="n"/>
      <c r="AL755" s="172" t="n"/>
      <c r="AM755" s="172" t="n"/>
      <c r="AN755" s="172" t="n"/>
      <c r="AO755" s="172" t="n"/>
      <c r="AP755" s="172" t="n"/>
      <c r="AQ755" s="172" t="n"/>
      <c r="AR755" s="172" t="n"/>
      <c r="AS755" s="172" t="n"/>
      <c r="AT755" s="172" t="n"/>
      <c r="AU755" s="172" t="n"/>
      <c r="AV755" s="172" t="n"/>
      <c r="AW755" s="172" t="n"/>
      <c r="AX755" s="172" t="n"/>
      <c r="AY755" s="172" t="n"/>
      <c r="AZ755" s="172" t="n"/>
      <c r="BA755" s="172" t="n"/>
      <c r="BB755" s="172" t="n"/>
      <c r="BC755" s="172" t="n"/>
      <c r="BD755" s="172" t="n"/>
      <c r="BE755" s="172" t="n"/>
      <c r="BF755" s="172" t="n"/>
      <c r="BG755" s="172" t="n"/>
      <c r="BH755" s="172" t="n"/>
      <c r="BI755" s="173"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4" t="inlineStr">
        <is>
          <t>現住所</t>
        </is>
      </c>
      <c r="F756" s="175" t="n"/>
      <c r="G756" s="175" t="n"/>
      <c r="H756" s="175" t="n"/>
      <c r="I756" s="175" t="n"/>
      <c r="J756" s="175" t="n"/>
      <c r="K756" s="176" t="n"/>
      <c r="L756" s="83" t="inlineStr">
        <is>
          <t>〒</t>
        </is>
      </c>
      <c r="M756" s="175" t="n"/>
      <c r="N756" s="175" t="n"/>
      <c r="O756" s="175" t="n"/>
      <c r="P756" s="177">
        <f>計算!$H$11</f>
        <v/>
      </c>
      <c r="Q756" s="175" t="n"/>
      <c r="R756" s="175" t="n"/>
      <c r="S756" s="175" t="n"/>
      <c r="T756" s="175" t="n"/>
      <c r="U756" s="175" t="n"/>
      <c r="V756" s="175" t="n"/>
      <c r="W756" s="175" t="n"/>
      <c r="X756" s="175" t="n"/>
      <c r="Y756" s="175" t="n"/>
      <c r="Z756" s="175" t="n"/>
      <c r="AA756" s="175" t="n"/>
      <c r="AB756" s="175" t="n"/>
      <c r="AC756" s="175" t="n"/>
      <c r="AD756" s="175" t="n"/>
      <c r="AE756" s="175" t="n"/>
      <c r="AF756" s="175" t="n"/>
      <c r="AG756" s="175" t="n"/>
      <c r="AH756" s="175" t="n"/>
      <c r="AI756" s="175" t="n"/>
      <c r="AJ756" s="175"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5" t="n"/>
      <c r="BQ757" s="156" t="n"/>
      <c r="BR757" s="156" t="n"/>
      <c r="BS757" s="156" t="n"/>
      <c r="BT757" s="156" t="n"/>
      <c r="BU757" s="156" t="n"/>
      <c r="BV757" s="157" t="n"/>
      <c r="BW757" s="155" t="n"/>
      <c r="BX757" s="156" t="n"/>
      <c r="BY757" s="156" t="n"/>
      <c r="BZ757" s="156" t="n"/>
      <c r="CA757" s="156" t="n"/>
      <c r="CB757" s="156" t="n"/>
      <c r="CC757" s="156" t="n"/>
      <c r="CD757" s="156" t="n"/>
      <c r="CE757" s="156" t="n"/>
      <c r="CF757" s="156" t="n"/>
      <c r="CG757" s="157"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8" t="inlineStr">
        <is>
          <t>校内外の諸活動</t>
        </is>
      </c>
      <c r="BQ758" s="149" t="n"/>
      <c r="BR758" s="149" t="n"/>
      <c r="BS758" s="149" t="n"/>
      <c r="BT758" s="149" t="n"/>
      <c r="BU758" s="149" t="n"/>
      <c r="BV758" s="150" t="n"/>
      <c r="BW758" s="179">
        <f>計算!$BO$11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0">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5" t="n"/>
      <c r="F761" s="156" t="n"/>
      <c r="G761" s="156" t="n"/>
      <c r="H761" s="156" t="n"/>
      <c r="I761" s="156" t="n"/>
      <c r="J761" s="156" t="n"/>
      <c r="K761" s="157" t="n"/>
      <c r="L761" s="155" t="n"/>
      <c r="M761" s="156" t="n"/>
      <c r="N761" s="156" t="n"/>
      <c r="O761" s="156" t="n"/>
      <c r="P761" s="156" t="n"/>
      <c r="Q761" s="156" t="n"/>
      <c r="R761" s="156" t="n"/>
      <c r="S761" s="156" t="n"/>
      <c r="T761" s="156" t="n"/>
      <c r="U761" s="156" t="n"/>
      <c r="V761" s="156" t="n"/>
      <c r="W761" s="156" t="n"/>
      <c r="X761" s="156" t="n"/>
      <c r="Y761" s="156" t="n"/>
      <c r="Z761" s="156" t="n"/>
      <c r="AA761" s="156" t="n"/>
      <c r="AB761" s="156" t="n"/>
      <c r="AC761" s="156" t="n"/>
      <c r="AD761" s="156" t="n"/>
      <c r="AE761" s="156" t="n"/>
      <c r="AF761" s="156" t="n"/>
      <c r="AG761" s="156" t="n"/>
      <c r="AH761" s="156" t="n"/>
      <c r="AI761" s="156" t="n"/>
      <c r="AJ761" s="156" t="n"/>
      <c r="AK761" s="156" t="n"/>
      <c r="AL761" s="156" t="n"/>
      <c r="AM761" s="156" t="n"/>
      <c r="AN761" s="156" t="n"/>
      <c r="AO761" s="156" t="n"/>
      <c r="AP761" s="156" t="n"/>
      <c r="AQ761" s="156" t="n"/>
      <c r="AR761" s="156" t="n"/>
      <c r="AS761" s="156" t="n"/>
      <c r="AT761" s="156" t="n"/>
      <c r="AU761" s="156" t="n"/>
      <c r="AV761" s="156" t="n"/>
      <c r="AW761" s="156" t="n"/>
      <c r="AX761" s="156" t="n"/>
      <c r="AY761" s="156" t="n"/>
      <c r="AZ761" s="156" t="n"/>
      <c r="BA761" s="156" t="n"/>
      <c r="BB761" s="156" t="n"/>
      <c r="BC761" s="156" t="n"/>
      <c r="BD761" s="156" t="n"/>
      <c r="BE761" s="156" t="n"/>
      <c r="BF761" s="156" t="n"/>
      <c r="BG761" s="156" t="n"/>
      <c r="BH761" s="156" t="n"/>
      <c r="BI761" s="157"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69" t="inlineStr">
        <is>
          <t>ふ り が な</t>
        </is>
      </c>
      <c r="F762" s="149" t="n"/>
      <c r="G762" s="149" t="n"/>
      <c r="H762" s="149" t="n"/>
      <c r="I762" s="149" t="n"/>
      <c r="J762" s="149" t="n"/>
      <c r="K762" s="150" t="n"/>
      <c r="L762" s="170">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1" t="n"/>
      <c r="F764" s="172" t="n"/>
      <c r="G764" s="172" t="n"/>
      <c r="H764" s="172" t="n"/>
      <c r="I764" s="172" t="n"/>
      <c r="J764" s="172" t="n"/>
      <c r="K764" s="173" t="n"/>
      <c r="L764" s="172" t="n"/>
      <c r="M764" s="172" t="n"/>
      <c r="N764" s="172" t="n"/>
      <c r="O764" s="172" t="n"/>
      <c r="P764" s="172" t="n"/>
      <c r="Q764" s="172" t="n"/>
      <c r="R764" s="172" t="n"/>
      <c r="S764" s="172" t="n"/>
      <c r="T764" s="172" t="n"/>
      <c r="U764" s="172" t="n"/>
      <c r="V764" s="172" t="n"/>
      <c r="W764" s="172" t="n"/>
      <c r="X764" s="172" t="n"/>
      <c r="Y764" s="172" t="n"/>
      <c r="Z764" s="172" t="n"/>
      <c r="AA764" s="172" t="n"/>
      <c r="AB764" s="172" t="n"/>
      <c r="AC764" s="172" t="n"/>
      <c r="AD764" s="172" t="n"/>
      <c r="AE764" s="172" t="n"/>
      <c r="AF764" s="172" t="n"/>
      <c r="AG764" s="172" t="n"/>
      <c r="AH764" s="172" t="n"/>
      <c r="AI764" s="172" t="n"/>
      <c r="AJ764" s="172" t="n"/>
      <c r="AK764" s="172" t="n"/>
      <c r="AL764" s="172" t="n"/>
      <c r="AM764" s="172" t="n"/>
      <c r="AN764" s="172" t="n"/>
      <c r="AO764" s="172" t="n"/>
      <c r="AP764" s="172" t="n"/>
      <c r="AQ764" s="172" t="n"/>
      <c r="AR764" s="172" t="n"/>
      <c r="AS764" s="172" t="n"/>
      <c r="AT764" s="172" t="n"/>
      <c r="AU764" s="172" t="n"/>
      <c r="AV764" s="172" t="n"/>
      <c r="AW764" s="172" t="n"/>
      <c r="AX764" s="172" t="n"/>
      <c r="AY764" s="172" t="n"/>
      <c r="AZ764" s="172" t="n"/>
      <c r="BA764" s="172" t="n"/>
      <c r="BB764" s="172" t="n"/>
      <c r="BC764" s="172" t="n"/>
      <c r="BD764" s="172" t="n"/>
      <c r="BE764" s="172" t="n"/>
      <c r="BF764" s="172" t="n"/>
      <c r="BG764" s="172" t="n"/>
      <c r="BH764" s="172" t="n"/>
      <c r="BI764" s="173"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4" t="inlineStr">
        <is>
          <t>連絡先</t>
        </is>
      </c>
      <c r="F765" s="175" t="n"/>
      <c r="G765" s="175" t="n"/>
      <c r="H765" s="175" t="n"/>
      <c r="I765" s="175" t="n"/>
      <c r="J765" s="175" t="n"/>
      <c r="K765" s="176" t="n"/>
      <c r="L765" s="83" t="inlineStr">
        <is>
          <t>〒</t>
        </is>
      </c>
      <c r="M765" s="175" t="n"/>
      <c r="N765" s="175" t="n"/>
      <c r="O765" s="175" t="n"/>
      <c r="P765" s="181">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2">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5" t="n"/>
      <c r="F769" s="156" t="n"/>
      <c r="G769" s="156" t="n"/>
      <c r="H769" s="156" t="n"/>
      <c r="I769" s="156" t="n"/>
      <c r="J769" s="156" t="n"/>
      <c r="K769" s="157" t="n"/>
      <c r="L769" s="156" t="n"/>
      <c r="M769" s="156" t="n"/>
      <c r="N769" s="156" t="n"/>
      <c r="O769" s="156" t="n"/>
      <c r="P769" s="156" t="n"/>
      <c r="Q769" s="156" t="n"/>
      <c r="R769" s="156" t="n"/>
      <c r="S769" s="156" t="n"/>
      <c r="T769" s="156" t="n"/>
      <c r="U769" s="156" t="n"/>
      <c r="V769" s="156" t="n"/>
      <c r="W769" s="156" t="n"/>
      <c r="X769" s="156" t="n"/>
      <c r="Y769" s="156" t="n"/>
      <c r="Z769" s="156" t="n"/>
      <c r="AA769" s="156" t="n"/>
      <c r="AB769" s="156" t="n"/>
      <c r="AC769" s="156" t="n"/>
      <c r="AD769" s="156" t="n"/>
      <c r="AE769" s="156" t="n"/>
      <c r="AF769" s="156" t="n"/>
      <c r="AG769" s="156" t="n"/>
      <c r="AH769" s="156" t="n"/>
      <c r="AI769" s="156" t="n"/>
      <c r="AJ769" s="156" t="n"/>
      <c r="AK769" s="156" t="n"/>
      <c r="AL769" s="156" t="n"/>
      <c r="AM769" s="156" t="n"/>
      <c r="AN769" s="156" t="n"/>
      <c r="AO769" s="156" t="n"/>
      <c r="AP769" s="156" t="n"/>
      <c r="AQ769" s="156" t="n"/>
      <c r="AR769" s="156" t="n"/>
      <c r="AS769" s="156" t="n"/>
      <c r="AT769" s="156" t="n"/>
      <c r="AU769" s="156" t="n"/>
      <c r="AV769" s="156" t="n"/>
      <c r="AW769" s="156" t="n"/>
      <c r="AX769" s="156" t="n"/>
      <c r="AY769" s="156" t="n"/>
      <c r="AZ769" s="156" t="n"/>
      <c r="BA769" s="156" t="n"/>
      <c r="BB769" s="156" t="n"/>
      <c r="BC769" s="156" t="n"/>
      <c r="BD769" s="156" t="n"/>
      <c r="BE769" s="156" t="n"/>
      <c r="BF769" s="156" t="n"/>
      <c r="BG769" s="156" t="n"/>
      <c r="BH769" s="156" t="n"/>
      <c r="BI769" s="157"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86"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3" t="n"/>
      <c r="BQ775" s="149" t="n"/>
      <c r="BR775" s="184" t="n"/>
      <c r="BS775" s="149" t="n"/>
      <c r="BT775" s="149" t="n"/>
      <c r="BU775" s="28" t="n"/>
      <c r="BV775" s="29" t="n"/>
      <c r="BW775" s="185">
        <f>計算!$BP$11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115"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6"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107"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7">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188">
        <f>IF(入力!$D$13="","",設定!$B$6)&amp;""</f>
        <v/>
      </c>
      <c r="S783" s="11" t="n"/>
      <c r="T783" s="11" t="n"/>
      <c r="U783" s="188">
        <f>IF(入力!$D$13="","",設定!$B$7)&amp;""</f>
        <v/>
      </c>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110" t="inlineStr">
        <is>
          <t>令和</t>
        </is>
      </c>
      <c r="S784" s="61" t="inlineStr">
        <is>
          <t>年</t>
        </is>
      </c>
      <c r="W784" s="62"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90"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5" t="n"/>
      <c r="F788" s="156" t="n"/>
      <c r="G788" s="156" t="n"/>
      <c r="H788" s="156" t="n"/>
      <c r="I788" s="156" t="n"/>
      <c r="J788" s="156" t="n"/>
      <c r="K788" s="157"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6" t="n"/>
      <c r="AX788" s="156" t="n"/>
      <c r="AY788" s="156" t="n"/>
      <c r="AZ788" s="156" t="n"/>
      <c r="BA788" s="156" t="n"/>
      <c r="BB788" s="156" t="n"/>
      <c r="BC788" s="156" t="n"/>
      <c r="BD788" s="156" t="n"/>
      <c r="BE788" s="156" t="n"/>
      <c r="BF788" s="156" t="n"/>
      <c r="BG788" s="156" t="n"/>
      <c r="BH788" s="156" t="n"/>
      <c r="BI788" s="157"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58" t="n"/>
      <c r="T789" s="149" t="n"/>
      <c r="U789" s="17" t="n"/>
      <c r="V789" s="17" t="n"/>
      <c r="W789" s="58"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89" t="inlineStr">
        <is>
          <t>職　歴</t>
        </is>
      </c>
      <c r="K792" s="153" t="n"/>
      <c r="L792" s="69" t="inlineStr">
        <is>
          <t>平成</t>
        </is>
      </c>
      <c r="M792" s="149" t="n"/>
      <c r="N792" s="149" t="n"/>
      <c r="O792" s="149" t="n"/>
      <c r="P792" s="19" t="n"/>
      <c r="Q792" s="19" t="n"/>
      <c r="R792" s="19" t="n"/>
      <c r="S792" s="19" t="n"/>
      <c r="T792" s="19" t="n"/>
      <c r="U792" s="19" t="n"/>
      <c r="V792" s="19" t="n"/>
      <c r="W792" s="19" t="n"/>
      <c r="X792" s="37" t="n"/>
      <c r="Y792" s="180">
        <f>計算!$BT$11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8">
        <f>計算!$BR$11</f>
        <v/>
      </c>
      <c r="S794" s="61" t="inlineStr">
        <is>
          <t>年</t>
        </is>
      </c>
      <c r="U794" s="190">
        <f>計算!$BS$11</f>
        <v/>
      </c>
      <c r="W794" s="62"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74"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5" t="n"/>
      <c r="M797" s="156" t="n"/>
      <c r="N797" s="156" t="n"/>
      <c r="O797" s="156" t="n"/>
      <c r="P797" s="20" t="n"/>
      <c r="Q797" s="20" t="n"/>
      <c r="R797" s="20" t="n"/>
      <c r="S797" s="20" t="n"/>
      <c r="T797" s="20" t="n"/>
      <c r="U797" s="20" t="n"/>
      <c r="V797" s="20" t="n"/>
      <c r="W797" s="20" t="n"/>
      <c r="X797" s="39" t="n"/>
      <c r="Y797" s="155" t="n"/>
      <c r="Z797" s="156" t="n"/>
      <c r="AA797" s="156" t="n"/>
      <c r="AB797" s="156" t="n"/>
      <c r="AC797" s="156" t="n"/>
      <c r="AD797" s="156" t="n"/>
      <c r="AE797" s="156" t="n"/>
      <c r="AF797" s="156" t="n"/>
      <c r="AG797" s="156" t="n"/>
      <c r="AH797" s="156" t="n"/>
      <c r="AI797" s="156" t="n"/>
      <c r="AJ797" s="156" t="n"/>
      <c r="AK797" s="156" t="n"/>
      <c r="AL797" s="156" t="n"/>
      <c r="AM797" s="156" t="n"/>
      <c r="AN797" s="156" t="n"/>
      <c r="AO797" s="156" t="n"/>
      <c r="AP797" s="156" t="n"/>
      <c r="AQ797" s="156" t="n"/>
      <c r="AR797" s="156" t="n"/>
      <c r="AS797" s="156" t="n"/>
      <c r="AT797" s="156" t="n"/>
      <c r="AU797" s="156" t="n"/>
      <c r="AV797" s="156" t="n"/>
      <c r="AW797" s="156" t="n"/>
      <c r="AX797" s="156" t="n"/>
      <c r="AY797" s="156" t="n"/>
      <c r="AZ797" s="156" t="n"/>
      <c r="BA797" s="156" t="n"/>
      <c r="BB797" s="156" t="n"/>
      <c r="BC797" s="156" t="n"/>
      <c r="BD797" s="156" t="n"/>
      <c r="BE797" s="156" t="n"/>
      <c r="BF797" s="156" t="n"/>
      <c r="BG797" s="156" t="n"/>
      <c r="BH797" s="156" t="n"/>
      <c r="BI797" s="157"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69" t="inlineStr">
        <is>
          <t>平成</t>
        </is>
      </c>
      <c r="M798" s="149" t="n"/>
      <c r="N798" s="149" t="n"/>
      <c r="O798" s="149" t="n"/>
      <c r="P798" s="18" t="n"/>
      <c r="Q798" s="18" t="n"/>
      <c r="R798" s="18" t="n"/>
      <c r="S798" s="18" t="n"/>
      <c r="T798" s="18" t="n"/>
      <c r="U798" s="18" t="n"/>
      <c r="V798" s="18" t="n"/>
      <c r="W798" s="18" t="n"/>
      <c r="X798" s="35" t="n"/>
      <c r="Y798" s="180">
        <f>計算!$BW$11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8">
        <f>計算!$BU$11</f>
        <v/>
      </c>
      <c r="S800" s="61" t="inlineStr">
        <is>
          <t>年</t>
        </is>
      </c>
      <c r="U800" s="190">
        <f>計算!$BV$11</f>
        <v/>
      </c>
      <c r="W800" s="62"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74"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5" t="n"/>
      <c r="M803" s="156" t="n"/>
      <c r="N803" s="156" t="n"/>
      <c r="O803" s="156" t="n"/>
      <c r="P803" s="20" t="n"/>
      <c r="Q803" s="20" t="n"/>
      <c r="R803" s="20" t="n"/>
      <c r="S803" s="20" t="n"/>
      <c r="T803" s="20" t="n"/>
      <c r="U803" s="20" t="n"/>
      <c r="V803" s="20" t="n"/>
      <c r="W803" s="20" t="n"/>
      <c r="X803" s="39" t="n"/>
      <c r="Y803" s="155" t="n"/>
      <c r="Z803" s="156" t="n"/>
      <c r="AA803" s="156" t="n"/>
      <c r="AB803" s="156" t="n"/>
      <c r="AC803" s="156" t="n"/>
      <c r="AD803" s="156" t="n"/>
      <c r="AE803" s="156" t="n"/>
      <c r="AF803" s="156" t="n"/>
      <c r="AG803" s="156" t="n"/>
      <c r="AH803" s="156" t="n"/>
      <c r="AI803" s="156" t="n"/>
      <c r="AJ803" s="156" t="n"/>
      <c r="AK803" s="156" t="n"/>
      <c r="AL803" s="156" t="n"/>
      <c r="AM803" s="156" t="n"/>
      <c r="AN803" s="156" t="n"/>
      <c r="AO803" s="156" t="n"/>
      <c r="AP803" s="156" t="n"/>
      <c r="AQ803" s="156" t="n"/>
      <c r="AR803" s="156" t="n"/>
      <c r="AS803" s="156" t="n"/>
      <c r="AT803" s="156" t="n"/>
      <c r="AU803" s="156" t="n"/>
      <c r="AV803" s="156" t="n"/>
      <c r="AW803" s="156" t="n"/>
      <c r="AX803" s="156" t="n"/>
      <c r="AY803" s="156" t="n"/>
      <c r="AZ803" s="156" t="n"/>
      <c r="BA803" s="156" t="n"/>
      <c r="BB803" s="156" t="n"/>
      <c r="BC803" s="156" t="n"/>
      <c r="BD803" s="156" t="n"/>
      <c r="BE803" s="156" t="n"/>
      <c r="BF803" s="156" t="n"/>
      <c r="BG803" s="156" t="n"/>
      <c r="BH803" s="156" t="n"/>
      <c r="BI803" s="157" t="n"/>
      <c r="BJ803" s="2" t="n"/>
      <c r="BK803" s="2" t="n"/>
      <c r="BL803" s="2" t="n"/>
      <c r="BM803" s="2" t="n"/>
      <c r="BN803" s="2" t="n"/>
      <c r="BO803" s="2" t="n"/>
      <c r="BP803" s="155" t="n"/>
      <c r="BQ803" s="156" t="n"/>
      <c r="BR803" s="156" t="n"/>
      <c r="BS803" s="156" t="n"/>
      <c r="BT803" s="156" t="n"/>
      <c r="BU803" s="42" t="n"/>
      <c r="BV803" s="45" t="n"/>
      <c r="BW803" s="156" t="n"/>
      <c r="BX803" s="156" t="n"/>
      <c r="BY803" s="156" t="n"/>
      <c r="BZ803" s="156" t="n"/>
      <c r="CA803" s="156" t="n"/>
      <c r="CB803" s="156" t="n"/>
      <c r="CC803" s="156" t="n"/>
      <c r="CD803" s="156" t="n"/>
      <c r="CE803" s="156" t="n"/>
      <c r="CF803" s="156" t="n"/>
      <c r="CG803" s="156" t="n"/>
      <c r="CH803" s="156" t="n"/>
      <c r="CI803" s="156" t="n"/>
      <c r="CJ803" s="156" t="n"/>
      <c r="CK803" s="156" t="n"/>
      <c r="CL803" s="156" t="n"/>
      <c r="CM803" s="156" t="n"/>
      <c r="CN803" s="156" t="n"/>
      <c r="CO803" s="156" t="n"/>
      <c r="CP803" s="156" t="n"/>
      <c r="CQ803" s="156" t="n"/>
      <c r="CR803" s="156" t="n"/>
      <c r="CS803" s="156" t="n"/>
      <c r="CT803" s="156" t="n"/>
      <c r="CU803" s="156" t="n"/>
      <c r="CV803" s="156" t="n"/>
      <c r="CW803" s="156" t="n"/>
      <c r="CX803" s="156" t="n"/>
      <c r="CY803" s="156" t="n"/>
      <c r="CZ803" s="156" t="n"/>
      <c r="DA803" s="156" t="n"/>
      <c r="DB803" s="156" t="n"/>
      <c r="DC803" s="156" t="n"/>
      <c r="DD803" s="156" t="n"/>
      <c r="DE803" s="156" t="n"/>
      <c r="DF803" s="156" t="n"/>
      <c r="DG803" s="156" t="n"/>
      <c r="DH803" s="156" t="n"/>
      <c r="DI803" s="156" t="n"/>
      <c r="DJ803" s="156" t="n"/>
      <c r="DK803" s="156" t="n"/>
      <c r="DL803" s="156" t="n"/>
      <c r="DM803" s="156" t="n"/>
      <c r="DN803" s="156" t="n"/>
      <c r="DO803" s="156" t="n"/>
      <c r="DP803" s="156" t="n"/>
      <c r="DQ803" s="156" t="n"/>
      <c r="DR803" s="156" t="n"/>
      <c r="DS803" s="156" t="n"/>
      <c r="DT803" s="156" t="n"/>
      <c r="DU803" s="157" t="n"/>
      <c r="DV803" s="2" t="n"/>
      <c r="DW803" s="2" t="n"/>
      <c r="DX803" s="2" t="n"/>
      <c r="DY803" s="2" t="n"/>
      <c r="DZ803" s="2" t="n"/>
      <c r="EA803" s="2" t="n"/>
      <c r="EB803" s="2" t="n"/>
      <c r="EC803" s="2" t="n"/>
    </row>
    <row r="804" ht="6.75" customHeight="1" s="118">
      <c r="A804" s="2" t="n"/>
      <c r="B804" s="2" t="n"/>
      <c r="C804" s="2" t="n"/>
      <c r="D804" s="2" t="n"/>
      <c r="E804" s="152" t="n"/>
      <c r="K804" s="153" t="n"/>
      <c r="L804" s="69"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5">
        <f>計算!$BQ$11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61" t="inlineStr">
        <is>
          <t>年</t>
        </is>
      </c>
      <c r="U806" s="11" t="n"/>
      <c r="V806" s="11" t="n"/>
      <c r="W806" s="62"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74"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5" t="n"/>
      <c r="M809" s="156" t="n"/>
      <c r="N809" s="156" t="n"/>
      <c r="O809" s="156"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69"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61" t="inlineStr">
        <is>
          <t>年</t>
        </is>
      </c>
      <c r="U812" s="11" t="n"/>
      <c r="V812" s="11" t="n"/>
      <c r="W812" s="62"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74"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61" t="n"/>
      <c r="T814" s="61" t="n"/>
      <c r="U814" s="11" t="n"/>
      <c r="V814" s="11" t="n"/>
      <c r="W814" s="61" t="n"/>
      <c r="X814" s="62"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5" t="n"/>
      <c r="F815" s="156" t="n"/>
      <c r="G815" s="156" t="n"/>
      <c r="H815" s="156" t="n"/>
      <c r="I815" s="156" t="n"/>
      <c r="J815" s="156" t="n"/>
      <c r="K815" s="157" t="n"/>
      <c r="L815" s="155" t="n"/>
      <c r="M815" s="156" t="n"/>
      <c r="N815" s="156" t="n"/>
      <c r="O815" s="156"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5" t="n"/>
      <c r="BQ815" s="156" t="n"/>
      <c r="BR815" s="156" t="n"/>
      <c r="BS815" s="156" t="n"/>
      <c r="BT815" s="156" t="n"/>
      <c r="BU815" s="156" t="n"/>
      <c r="BV815" s="157" t="n"/>
      <c r="BW815" s="156" t="n"/>
      <c r="BX815" s="156" t="n"/>
      <c r="BY815" s="156" t="n"/>
      <c r="BZ815" s="156" t="n"/>
      <c r="CA815" s="156" t="n"/>
      <c r="CB815" s="156" t="n"/>
      <c r="CC815" s="156" t="n"/>
      <c r="CD815" s="156" t="n"/>
      <c r="CE815" s="156" t="n"/>
      <c r="CF815" s="156" t="n"/>
      <c r="CG815" s="156" t="n"/>
      <c r="CH815" s="156" t="n"/>
      <c r="CI815" s="156" t="n"/>
      <c r="CJ815" s="156" t="n"/>
      <c r="CK815" s="156" t="n"/>
      <c r="CL815" s="156" t="n"/>
      <c r="CM815" s="156" t="n"/>
      <c r="CN815" s="156" t="n"/>
      <c r="CO815" s="156" t="n"/>
      <c r="CP815" s="156" t="n"/>
      <c r="CQ815" s="156" t="n"/>
      <c r="CR815" s="156" t="n"/>
      <c r="CS815" s="156" t="n"/>
      <c r="CT815" s="156" t="n"/>
      <c r="CU815" s="156" t="n"/>
      <c r="CV815" s="156" t="n"/>
      <c r="CW815" s="156" t="n"/>
      <c r="CX815" s="156" t="n"/>
      <c r="CY815" s="156" t="n"/>
      <c r="CZ815" s="156" t="n"/>
      <c r="DA815" s="156" t="n"/>
      <c r="DB815" s="156" t="n"/>
      <c r="DC815" s="156" t="n"/>
      <c r="DD815" s="156" t="n"/>
      <c r="DE815" s="156" t="n"/>
      <c r="DF815" s="156" t="n"/>
      <c r="DG815" s="156" t="n"/>
      <c r="DH815" s="156" t="n"/>
      <c r="DI815" s="156" t="n"/>
      <c r="DJ815" s="156" t="n"/>
      <c r="DK815" s="156" t="n"/>
      <c r="DL815" s="156" t="n"/>
      <c r="DM815" s="156" t="n"/>
      <c r="DN815" s="156" t="n"/>
      <c r="DO815" s="156" t="n"/>
      <c r="DP815" s="156" t="n"/>
      <c r="DQ815" s="156" t="n"/>
      <c r="DR815" s="156" t="n"/>
      <c r="DS815" s="156" t="n"/>
      <c r="DT815" s="156" t="n"/>
      <c r="DU815" s="157"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87" t="inlineStr">
        <is>
          <t xml:space="preserve">    (近畿高等学校統一用紙　  その２ 　  令和７年度改定)　</t>
        </is>
      </c>
      <c r="DV817" s="2" t="n"/>
      <c r="DW817" s="2" t="n"/>
      <c r="DX817" s="2" t="n"/>
      <c r="DY817" s="2" t="n"/>
      <c r="DZ817" s="2" t="n"/>
      <c r="EA817" s="2" t="n"/>
      <c r="EB817" s="2" t="n"/>
      <c r="EC817" s="2" t="n"/>
    </row>
    <row r="818" hidden="1"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idden="1"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47"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64" t="inlineStr">
        <is>
          <t>令和</t>
        </is>
      </c>
      <c r="AD827" s="154">
        <f>IF(入力!$D$14="","",IF(N(設定!$B$3)=0,"",YEAR(設定!$B$3)-2018))&amp;""</f>
        <v/>
      </c>
      <c r="AG827" s="64" t="inlineStr">
        <is>
          <t>年</t>
        </is>
      </c>
      <c r="AI827" s="154">
        <f>IF(入力!$D$14="","",IF(N(設定!$B$3)=0,"",MONTH(設定!$B$3)))&amp;""</f>
        <v/>
      </c>
      <c r="AL827" s="64" t="inlineStr">
        <is>
          <t>月</t>
        </is>
      </c>
      <c r="AN827" s="154">
        <f>IF(入力!$D$14="","",IF(N(設定!$B$3)=0,"",DAY(設定!$B$3)))&amp;""</f>
        <v/>
      </c>
      <c r="AP827" s="64"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5" t="n"/>
      <c r="BX827" s="156" t="n"/>
      <c r="BY827" s="156" t="n"/>
      <c r="BZ827" s="156" t="n"/>
      <c r="CA827" s="156" t="n"/>
      <c r="CB827" s="156" t="n"/>
      <c r="CC827" s="156" t="n"/>
      <c r="CD827" s="156" t="n"/>
      <c r="CE827" s="156" t="n"/>
      <c r="CF827" s="156" t="n"/>
      <c r="CG827" s="157" t="n"/>
      <c r="CH827" s="155" t="n"/>
      <c r="CI827" s="156" t="n"/>
      <c r="CJ827" s="156" t="n"/>
      <c r="CK827" s="156" t="n"/>
      <c r="CL827" s="156" t="n"/>
      <c r="CM827" s="156" t="n"/>
      <c r="CN827" s="156" t="n"/>
      <c r="CO827" s="156" t="n"/>
      <c r="CP827" s="156" t="n"/>
      <c r="CQ827" s="156" t="n"/>
      <c r="CR827" s="156" t="n"/>
      <c r="CS827" s="156" t="n"/>
      <c r="CT827" s="156" t="n"/>
      <c r="CU827" s="156" t="n"/>
      <c r="CV827" s="156" t="n"/>
      <c r="CW827" s="156" t="n"/>
      <c r="CX827" s="156" t="n"/>
      <c r="CY827" s="156" t="n"/>
      <c r="CZ827" s="156" t="n"/>
      <c r="DA827" s="156" t="n"/>
      <c r="DB827" s="156" t="n"/>
      <c r="DC827" s="156" t="n"/>
      <c r="DD827" s="156" t="n"/>
      <c r="DE827" s="156" t="n"/>
      <c r="DF827" s="156" t="n"/>
      <c r="DG827" s="156" t="n"/>
      <c r="DH827" s="156" t="n"/>
      <c r="DI827" s="156" t="n"/>
      <c r="DJ827" s="156" t="n"/>
      <c r="DK827" s="156" t="n"/>
      <c r="DL827" s="156" t="n"/>
      <c r="DM827" s="156" t="n"/>
      <c r="DN827" s="156" t="n"/>
      <c r="DO827" s="156" t="n"/>
      <c r="DP827" s="156" t="n"/>
      <c r="DQ827" s="156" t="n"/>
      <c r="DR827" s="156" t="n"/>
      <c r="DS827" s="156" t="n"/>
      <c r="DT827" s="156" t="n"/>
      <c r="DU827" s="157"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68" t="inlineStr">
        <is>
          <t>写真をはる位置</t>
        </is>
      </c>
      <c r="BI828" s="8" t="n"/>
      <c r="BJ828" s="7" t="n"/>
      <c r="BK828" s="2" t="n"/>
      <c r="BL828" s="2" t="n"/>
      <c r="BM828" s="2" t="n"/>
      <c r="BN828" s="2" t="n"/>
      <c r="BO828" s="2" t="n"/>
      <c r="BP828" s="152" t="n"/>
      <c r="BV828" s="153" t="n"/>
      <c r="BW828" s="158">
        <f>計算!$CB$12</f>
        <v/>
      </c>
      <c r="CG828" s="153" t="n"/>
      <c r="CH828" s="159">
        <f>計算!$CC$12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6" t="n"/>
      <c r="AA829" s="156" t="n"/>
      <c r="AB829" s="156" t="n"/>
      <c r="AC829" s="156" t="n"/>
      <c r="AD829" s="156" t="n"/>
      <c r="AE829" s="156" t="n"/>
      <c r="AF829" s="156" t="n"/>
      <c r="AG829" s="156" t="n"/>
      <c r="AH829" s="156" t="n"/>
      <c r="AI829" s="156" t="n"/>
      <c r="AJ829" s="156" t="n"/>
      <c r="AK829" s="156" t="n"/>
      <c r="AL829" s="156" t="n"/>
      <c r="AM829" s="156" t="n"/>
      <c r="AN829" s="156" t="n"/>
      <c r="AO829" s="156" t="n"/>
      <c r="AP829" s="156" t="n"/>
      <c r="AQ829" s="156" t="n"/>
      <c r="AR829" s="156" t="n"/>
      <c r="AS829" s="156" t="n"/>
      <c r="AT829" s="156"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0">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5" t="n"/>
      <c r="F833" s="156" t="n"/>
      <c r="G833" s="156" t="n"/>
      <c r="H833" s="156" t="n"/>
      <c r="I833" s="156" t="n"/>
      <c r="J833" s="156" t="n"/>
      <c r="K833" s="157" t="n"/>
      <c r="L833" s="156" t="n"/>
      <c r="M833" s="156" t="n"/>
      <c r="N833" s="156" t="n"/>
      <c r="O833" s="156" t="n"/>
      <c r="P833" s="156" t="n"/>
      <c r="Q833" s="156" t="n"/>
      <c r="R833" s="156" t="n"/>
      <c r="S833" s="156" t="n"/>
      <c r="T833" s="156" t="n"/>
      <c r="U833" s="156" t="n"/>
      <c r="V833" s="156" t="n"/>
      <c r="W833" s="156" t="n"/>
      <c r="X833" s="156" t="n"/>
      <c r="Y833" s="156" t="n"/>
      <c r="Z833" s="156" t="n"/>
      <c r="AA833" s="156" t="n"/>
      <c r="AB833" s="156" t="n"/>
      <c r="AC833" s="156" t="n"/>
      <c r="AD833" s="156" t="n"/>
      <c r="AE833" s="156" t="n"/>
      <c r="AF833" s="156" t="n"/>
      <c r="AG833" s="156" t="n"/>
      <c r="AH833" s="156" t="n"/>
      <c r="AI833" s="156" t="n"/>
      <c r="AJ833" s="156" t="n"/>
      <c r="AK833" s="156" t="n"/>
      <c r="AL833" s="156" t="n"/>
      <c r="AM833" s="156" t="n"/>
      <c r="AN833" s="156" t="n"/>
      <c r="AO833" s="156" t="n"/>
      <c r="AP833" s="156" t="n"/>
      <c r="AQ833" s="156" t="n"/>
      <c r="AR833" s="156" t="n"/>
      <c r="AS833" s="156" t="n"/>
      <c r="AT833" s="157"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1" t="inlineStr">
        <is>
          <t>名　前</t>
        </is>
      </c>
      <c r="F834" s="149" t="n"/>
      <c r="G834" s="149" t="n"/>
      <c r="H834" s="149" t="n"/>
      <c r="I834" s="149" t="n"/>
      <c r="J834" s="149" t="n"/>
      <c r="K834" s="150" t="n"/>
      <c r="L834" s="162">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61"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5" t="n"/>
      <c r="F839" s="156" t="n"/>
      <c r="G839" s="156" t="n"/>
      <c r="H839" s="156" t="n"/>
      <c r="I839" s="156" t="n"/>
      <c r="J839" s="156" t="n"/>
      <c r="K839" s="157" t="n"/>
      <c r="L839" s="155" t="n"/>
      <c r="M839" s="156" t="n"/>
      <c r="N839" s="156" t="n"/>
      <c r="O839" s="156" t="n"/>
      <c r="P839" s="156" t="n"/>
      <c r="Q839" s="156" t="n"/>
      <c r="R839" s="156" t="n"/>
      <c r="S839" s="156" t="n"/>
      <c r="T839" s="156" t="n"/>
      <c r="U839" s="156" t="n"/>
      <c r="V839" s="156" t="n"/>
      <c r="W839" s="156" t="n"/>
      <c r="X839" s="156" t="n"/>
      <c r="Y839" s="156" t="n"/>
      <c r="Z839" s="156" t="n"/>
      <c r="AA839" s="156" t="n"/>
      <c r="AB839" s="156" t="n"/>
      <c r="AC839" s="156" t="n"/>
      <c r="AD839" s="156" t="n"/>
      <c r="AE839" s="156" t="n"/>
      <c r="AF839" s="156" t="n"/>
      <c r="AG839" s="156" t="n"/>
      <c r="AH839" s="156" t="n"/>
      <c r="AI839" s="156" t="n"/>
      <c r="AJ839" s="156" t="n"/>
      <c r="AK839" s="156" t="n"/>
      <c r="AL839" s="156" t="n"/>
      <c r="AM839" s="156" t="n"/>
      <c r="AN839" s="156" t="n"/>
      <c r="AO839" s="156" t="n"/>
      <c r="AP839" s="156" t="n"/>
      <c r="AQ839" s="156" t="n"/>
      <c r="AR839" s="156" t="n"/>
      <c r="AS839" s="156" t="n"/>
      <c r="AT839" s="157"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1" t="inlineStr">
        <is>
          <t>生年月日</t>
        </is>
      </c>
      <c r="F840" s="149" t="n"/>
      <c r="G840" s="149" t="n"/>
      <c r="H840" s="149" t="n"/>
      <c r="I840" s="149" t="n"/>
      <c r="J840" s="149" t="n"/>
      <c r="K840" s="150" t="n"/>
      <c r="L840" s="163" t="inlineStr">
        <is>
          <t>昭和 ・ 平成</t>
        </is>
      </c>
      <c r="M840" s="149" t="n"/>
      <c r="N840" s="149" t="n"/>
      <c r="O840" s="149" t="n"/>
      <c r="P840" s="149" t="n"/>
      <c r="Q840" s="149" t="n"/>
      <c r="R840" s="149" t="n"/>
      <c r="S840" s="149" t="n"/>
      <c r="T840" s="149" t="n"/>
      <c r="U840" s="149" t="n"/>
      <c r="V840" s="164">
        <f>計算!$D$12</f>
        <v/>
      </c>
      <c r="W840" s="149" t="n"/>
      <c r="X840" s="165" t="inlineStr">
        <is>
          <t>年</t>
        </is>
      </c>
      <c r="Y840" s="149" t="n"/>
      <c r="Z840" s="166">
        <f>計算!$E$12</f>
        <v/>
      </c>
      <c r="AA840" s="149" t="n"/>
      <c r="AB840" s="149" t="n"/>
      <c r="AC840" s="165" t="inlineStr">
        <is>
          <t>月</t>
        </is>
      </c>
      <c r="AD840" s="149" t="n"/>
      <c r="AE840" s="166">
        <f>計算!$F$12</f>
        <v/>
      </c>
      <c r="AF840" s="149" t="n"/>
      <c r="AG840" s="149" t="n"/>
      <c r="AH840" s="165" t="inlineStr">
        <is>
          <t>日　生 （満</t>
        </is>
      </c>
      <c r="AI840" s="149" t="n"/>
      <c r="AJ840" s="149" t="n"/>
      <c r="AK840" s="149" t="n"/>
      <c r="AL840" s="149" t="n"/>
      <c r="AM840" s="149" t="n"/>
      <c r="AN840" s="149" t="n"/>
      <c r="AO840" s="149" t="n"/>
      <c r="AP840" s="167">
        <f>計算!$G$12</f>
        <v/>
      </c>
      <c r="AQ840" s="149" t="n"/>
      <c r="AR840" s="168"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5" t="n"/>
      <c r="F843" s="156" t="n"/>
      <c r="G843" s="156" t="n"/>
      <c r="H843" s="156" t="n"/>
      <c r="I843" s="156" t="n"/>
      <c r="J843" s="156" t="n"/>
      <c r="K843" s="157" t="n"/>
      <c r="L843" s="155" t="n"/>
      <c r="M843" s="156" t="n"/>
      <c r="N843" s="156" t="n"/>
      <c r="O843" s="156" t="n"/>
      <c r="P843" s="156" t="n"/>
      <c r="Q843" s="156" t="n"/>
      <c r="R843" s="156" t="n"/>
      <c r="S843" s="156" t="n"/>
      <c r="T843" s="156" t="n"/>
      <c r="U843" s="156" t="n"/>
      <c r="X843" s="156" t="n"/>
      <c r="Y843" s="156" t="n"/>
      <c r="AC843" s="156" t="n"/>
      <c r="AD843" s="156" t="n"/>
      <c r="AH843" s="156" t="n"/>
      <c r="AI843" s="156" t="n"/>
      <c r="AJ843" s="156" t="n"/>
      <c r="AK843" s="156" t="n"/>
      <c r="AL843" s="156" t="n"/>
      <c r="AM843" s="156" t="n"/>
      <c r="AN843" s="156" t="n"/>
      <c r="AO843" s="156" t="n"/>
      <c r="AP843" s="156" t="n"/>
      <c r="AQ843" s="156" t="n"/>
      <c r="AR843" s="156" t="n"/>
      <c r="AS843" s="156" t="n"/>
      <c r="AT843" s="157"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69" t="inlineStr">
        <is>
          <t>ふ り が な</t>
        </is>
      </c>
      <c r="F844" s="149" t="n"/>
      <c r="G844" s="149" t="n"/>
      <c r="H844" s="149" t="n"/>
      <c r="I844" s="149" t="n"/>
      <c r="J844" s="149" t="n"/>
      <c r="K844" s="150" t="n"/>
      <c r="L844" s="170">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1" t="n"/>
      <c r="F846" s="172" t="n"/>
      <c r="G846" s="172" t="n"/>
      <c r="H846" s="172" t="n"/>
      <c r="I846" s="172" t="n"/>
      <c r="J846" s="172" t="n"/>
      <c r="K846" s="173" t="n"/>
      <c r="L846" s="172" t="n"/>
      <c r="M846" s="172" t="n"/>
      <c r="N846" s="172" t="n"/>
      <c r="O846" s="172" t="n"/>
      <c r="P846" s="172" t="n"/>
      <c r="Q846" s="172" t="n"/>
      <c r="R846" s="172" t="n"/>
      <c r="S846" s="172" t="n"/>
      <c r="T846" s="172" t="n"/>
      <c r="U846" s="172" t="n"/>
      <c r="V846" s="172" t="n"/>
      <c r="W846" s="172" t="n"/>
      <c r="X846" s="172" t="n"/>
      <c r="Y846" s="172" t="n"/>
      <c r="Z846" s="172" t="n"/>
      <c r="AA846" s="172" t="n"/>
      <c r="AB846" s="172" t="n"/>
      <c r="AC846" s="172" t="n"/>
      <c r="AD846" s="172" t="n"/>
      <c r="AE846" s="172" t="n"/>
      <c r="AF846" s="172" t="n"/>
      <c r="AG846" s="172" t="n"/>
      <c r="AH846" s="172" t="n"/>
      <c r="AI846" s="172" t="n"/>
      <c r="AJ846" s="172" t="n"/>
      <c r="AK846" s="172" t="n"/>
      <c r="AL846" s="172" t="n"/>
      <c r="AM846" s="172" t="n"/>
      <c r="AN846" s="172" t="n"/>
      <c r="AO846" s="172" t="n"/>
      <c r="AP846" s="172" t="n"/>
      <c r="AQ846" s="172" t="n"/>
      <c r="AR846" s="172" t="n"/>
      <c r="AS846" s="172" t="n"/>
      <c r="AT846" s="172" t="n"/>
      <c r="AU846" s="172" t="n"/>
      <c r="AV846" s="172" t="n"/>
      <c r="AW846" s="172" t="n"/>
      <c r="AX846" s="172" t="n"/>
      <c r="AY846" s="172" t="n"/>
      <c r="AZ846" s="172" t="n"/>
      <c r="BA846" s="172" t="n"/>
      <c r="BB846" s="172" t="n"/>
      <c r="BC846" s="172" t="n"/>
      <c r="BD846" s="172" t="n"/>
      <c r="BE846" s="172" t="n"/>
      <c r="BF846" s="172" t="n"/>
      <c r="BG846" s="172" t="n"/>
      <c r="BH846" s="172" t="n"/>
      <c r="BI846" s="173"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4" t="inlineStr">
        <is>
          <t>現住所</t>
        </is>
      </c>
      <c r="F847" s="175" t="n"/>
      <c r="G847" s="175" t="n"/>
      <c r="H847" s="175" t="n"/>
      <c r="I847" s="175" t="n"/>
      <c r="J847" s="175" t="n"/>
      <c r="K847" s="176" t="n"/>
      <c r="L847" s="83" t="inlineStr">
        <is>
          <t>〒</t>
        </is>
      </c>
      <c r="M847" s="175" t="n"/>
      <c r="N847" s="175" t="n"/>
      <c r="O847" s="175" t="n"/>
      <c r="P847" s="177">
        <f>計算!$H$12</f>
        <v/>
      </c>
      <c r="Q847" s="175" t="n"/>
      <c r="R847" s="175" t="n"/>
      <c r="S847" s="175" t="n"/>
      <c r="T847" s="175" t="n"/>
      <c r="U847" s="175" t="n"/>
      <c r="V847" s="175" t="n"/>
      <c r="W847" s="175" t="n"/>
      <c r="X847" s="175" t="n"/>
      <c r="Y847" s="175" t="n"/>
      <c r="Z847" s="175" t="n"/>
      <c r="AA847" s="175" t="n"/>
      <c r="AB847" s="175" t="n"/>
      <c r="AC847" s="175" t="n"/>
      <c r="AD847" s="175" t="n"/>
      <c r="AE847" s="175" t="n"/>
      <c r="AF847" s="175" t="n"/>
      <c r="AG847" s="175" t="n"/>
      <c r="AH847" s="175" t="n"/>
      <c r="AI847" s="175" t="n"/>
      <c r="AJ847" s="175"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5" t="n"/>
      <c r="BQ848" s="156" t="n"/>
      <c r="BR848" s="156" t="n"/>
      <c r="BS848" s="156" t="n"/>
      <c r="BT848" s="156" t="n"/>
      <c r="BU848" s="156" t="n"/>
      <c r="BV848" s="157" t="n"/>
      <c r="BW848" s="155" t="n"/>
      <c r="BX848" s="156" t="n"/>
      <c r="BY848" s="156" t="n"/>
      <c r="BZ848" s="156" t="n"/>
      <c r="CA848" s="156" t="n"/>
      <c r="CB848" s="156" t="n"/>
      <c r="CC848" s="156" t="n"/>
      <c r="CD848" s="156" t="n"/>
      <c r="CE848" s="156" t="n"/>
      <c r="CF848" s="156" t="n"/>
      <c r="CG848" s="157"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8" t="inlineStr">
        <is>
          <t>校内外の諸活動</t>
        </is>
      </c>
      <c r="BQ849" s="149" t="n"/>
      <c r="BR849" s="149" t="n"/>
      <c r="BS849" s="149" t="n"/>
      <c r="BT849" s="149" t="n"/>
      <c r="BU849" s="149" t="n"/>
      <c r="BV849" s="150" t="n"/>
      <c r="BW849" s="179">
        <f>計算!$BO$12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0">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5" t="n"/>
      <c r="F852" s="156" t="n"/>
      <c r="G852" s="156" t="n"/>
      <c r="H852" s="156" t="n"/>
      <c r="I852" s="156" t="n"/>
      <c r="J852" s="156" t="n"/>
      <c r="K852" s="157" t="n"/>
      <c r="L852" s="155" t="n"/>
      <c r="M852" s="156" t="n"/>
      <c r="N852" s="156" t="n"/>
      <c r="O852" s="156" t="n"/>
      <c r="P852" s="156" t="n"/>
      <c r="Q852" s="156" t="n"/>
      <c r="R852" s="156" t="n"/>
      <c r="S852" s="156" t="n"/>
      <c r="T852" s="156" t="n"/>
      <c r="U852" s="156" t="n"/>
      <c r="V852" s="156" t="n"/>
      <c r="W852" s="156" t="n"/>
      <c r="X852" s="156" t="n"/>
      <c r="Y852" s="156" t="n"/>
      <c r="Z852" s="156" t="n"/>
      <c r="AA852" s="156" t="n"/>
      <c r="AB852" s="156" t="n"/>
      <c r="AC852" s="156" t="n"/>
      <c r="AD852" s="156" t="n"/>
      <c r="AE852" s="156" t="n"/>
      <c r="AF852" s="156" t="n"/>
      <c r="AG852" s="156" t="n"/>
      <c r="AH852" s="156" t="n"/>
      <c r="AI852" s="156" t="n"/>
      <c r="AJ852" s="156" t="n"/>
      <c r="AK852" s="156" t="n"/>
      <c r="AL852" s="156" t="n"/>
      <c r="AM852" s="156" t="n"/>
      <c r="AN852" s="156" t="n"/>
      <c r="AO852" s="156" t="n"/>
      <c r="AP852" s="156" t="n"/>
      <c r="AQ852" s="156" t="n"/>
      <c r="AR852" s="156" t="n"/>
      <c r="AS852" s="156" t="n"/>
      <c r="AT852" s="156" t="n"/>
      <c r="AU852" s="156" t="n"/>
      <c r="AV852" s="156" t="n"/>
      <c r="AW852" s="156" t="n"/>
      <c r="AX852" s="156" t="n"/>
      <c r="AY852" s="156" t="n"/>
      <c r="AZ852" s="156" t="n"/>
      <c r="BA852" s="156" t="n"/>
      <c r="BB852" s="156" t="n"/>
      <c r="BC852" s="156" t="n"/>
      <c r="BD852" s="156" t="n"/>
      <c r="BE852" s="156" t="n"/>
      <c r="BF852" s="156" t="n"/>
      <c r="BG852" s="156" t="n"/>
      <c r="BH852" s="156" t="n"/>
      <c r="BI852" s="157"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69" t="inlineStr">
        <is>
          <t>ふ り が な</t>
        </is>
      </c>
      <c r="F853" s="149" t="n"/>
      <c r="G853" s="149" t="n"/>
      <c r="H853" s="149" t="n"/>
      <c r="I853" s="149" t="n"/>
      <c r="J853" s="149" t="n"/>
      <c r="K853" s="150" t="n"/>
      <c r="L853" s="170">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1" t="n"/>
      <c r="F855" s="172" t="n"/>
      <c r="G855" s="172" t="n"/>
      <c r="H855" s="172" t="n"/>
      <c r="I855" s="172" t="n"/>
      <c r="J855" s="172" t="n"/>
      <c r="K855" s="173" t="n"/>
      <c r="L855" s="172" t="n"/>
      <c r="M855" s="172" t="n"/>
      <c r="N855" s="172" t="n"/>
      <c r="O855" s="172" t="n"/>
      <c r="P855" s="172" t="n"/>
      <c r="Q855" s="172" t="n"/>
      <c r="R855" s="172" t="n"/>
      <c r="S855" s="172" t="n"/>
      <c r="T855" s="172" t="n"/>
      <c r="U855" s="172" t="n"/>
      <c r="V855" s="172" t="n"/>
      <c r="W855" s="172" t="n"/>
      <c r="X855" s="172" t="n"/>
      <c r="Y855" s="172" t="n"/>
      <c r="Z855" s="172" t="n"/>
      <c r="AA855" s="172" t="n"/>
      <c r="AB855" s="172" t="n"/>
      <c r="AC855" s="172" t="n"/>
      <c r="AD855" s="172" t="n"/>
      <c r="AE855" s="172" t="n"/>
      <c r="AF855" s="172" t="n"/>
      <c r="AG855" s="172" t="n"/>
      <c r="AH855" s="172" t="n"/>
      <c r="AI855" s="172" t="n"/>
      <c r="AJ855" s="172" t="n"/>
      <c r="AK855" s="172" t="n"/>
      <c r="AL855" s="172" t="n"/>
      <c r="AM855" s="172" t="n"/>
      <c r="AN855" s="172" t="n"/>
      <c r="AO855" s="172" t="n"/>
      <c r="AP855" s="172" t="n"/>
      <c r="AQ855" s="172" t="n"/>
      <c r="AR855" s="172" t="n"/>
      <c r="AS855" s="172" t="n"/>
      <c r="AT855" s="172" t="n"/>
      <c r="AU855" s="172" t="n"/>
      <c r="AV855" s="172" t="n"/>
      <c r="AW855" s="172" t="n"/>
      <c r="AX855" s="172" t="n"/>
      <c r="AY855" s="172" t="n"/>
      <c r="AZ855" s="172" t="n"/>
      <c r="BA855" s="172" t="n"/>
      <c r="BB855" s="172" t="n"/>
      <c r="BC855" s="172" t="n"/>
      <c r="BD855" s="172" t="n"/>
      <c r="BE855" s="172" t="n"/>
      <c r="BF855" s="172" t="n"/>
      <c r="BG855" s="172" t="n"/>
      <c r="BH855" s="172" t="n"/>
      <c r="BI855" s="173"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4" t="inlineStr">
        <is>
          <t>連絡先</t>
        </is>
      </c>
      <c r="F856" s="175" t="n"/>
      <c r="G856" s="175" t="n"/>
      <c r="H856" s="175" t="n"/>
      <c r="I856" s="175" t="n"/>
      <c r="J856" s="175" t="n"/>
      <c r="K856" s="176" t="n"/>
      <c r="L856" s="83" t="inlineStr">
        <is>
          <t>〒</t>
        </is>
      </c>
      <c r="M856" s="175" t="n"/>
      <c r="N856" s="175" t="n"/>
      <c r="O856" s="175" t="n"/>
      <c r="P856" s="181">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2">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5" t="n"/>
      <c r="F860" s="156" t="n"/>
      <c r="G860" s="156" t="n"/>
      <c r="H860" s="156" t="n"/>
      <c r="I860" s="156" t="n"/>
      <c r="J860" s="156" t="n"/>
      <c r="K860" s="157" t="n"/>
      <c r="L860" s="156" t="n"/>
      <c r="M860" s="156" t="n"/>
      <c r="N860" s="156" t="n"/>
      <c r="O860" s="156" t="n"/>
      <c r="P860" s="156" t="n"/>
      <c r="Q860" s="156" t="n"/>
      <c r="R860" s="156" t="n"/>
      <c r="S860" s="156" t="n"/>
      <c r="T860" s="156" t="n"/>
      <c r="U860" s="156" t="n"/>
      <c r="V860" s="156" t="n"/>
      <c r="W860" s="156" t="n"/>
      <c r="X860" s="156" t="n"/>
      <c r="Y860" s="156" t="n"/>
      <c r="Z860" s="156" t="n"/>
      <c r="AA860" s="156" t="n"/>
      <c r="AB860" s="156" t="n"/>
      <c r="AC860" s="156" t="n"/>
      <c r="AD860" s="156" t="n"/>
      <c r="AE860" s="156" t="n"/>
      <c r="AF860" s="156" t="n"/>
      <c r="AG860" s="156" t="n"/>
      <c r="AH860" s="156" t="n"/>
      <c r="AI860" s="156" t="n"/>
      <c r="AJ860" s="156" t="n"/>
      <c r="AK860" s="156" t="n"/>
      <c r="AL860" s="156" t="n"/>
      <c r="AM860" s="156" t="n"/>
      <c r="AN860" s="156" t="n"/>
      <c r="AO860" s="156" t="n"/>
      <c r="AP860" s="156" t="n"/>
      <c r="AQ860" s="156" t="n"/>
      <c r="AR860" s="156" t="n"/>
      <c r="AS860" s="156" t="n"/>
      <c r="AT860" s="156" t="n"/>
      <c r="AU860" s="156" t="n"/>
      <c r="AV860" s="156" t="n"/>
      <c r="AW860" s="156" t="n"/>
      <c r="AX860" s="156" t="n"/>
      <c r="AY860" s="156" t="n"/>
      <c r="AZ860" s="156" t="n"/>
      <c r="BA860" s="156" t="n"/>
      <c r="BB860" s="156" t="n"/>
      <c r="BC860" s="156" t="n"/>
      <c r="BD860" s="156" t="n"/>
      <c r="BE860" s="156" t="n"/>
      <c r="BF860" s="156" t="n"/>
      <c r="BG860" s="156" t="n"/>
      <c r="BH860" s="156" t="n"/>
      <c r="BI860" s="157"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86"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3" t="n"/>
      <c r="BQ866" s="149" t="n"/>
      <c r="BR866" s="184" t="n"/>
      <c r="BS866" s="149" t="n"/>
      <c r="BT866" s="149" t="n"/>
      <c r="BU866" s="28" t="n"/>
      <c r="BV866" s="29" t="n"/>
      <c r="BW866" s="185">
        <f>計算!$BP$12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115"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6"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107"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7">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188">
        <f>IF(入力!$D$14="","",設定!$B$6)&amp;""</f>
        <v/>
      </c>
      <c r="S874" s="11" t="n"/>
      <c r="T874" s="11" t="n"/>
      <c r="U874" s="188">
        <f>IF(入力!$D$14="","",設定!$B$7)&amp;""</f>
        <v/>
      </c>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110" t="inlineStr">
        <is>
          <t>令和</t>
        </is>
      </c>
      <c r="S875" s="61" t="inlineStr">
        <is>
          <t>年</t>
        </is>
      </c>
      <c r="W875" s="62"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90"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5" t="n"/>
      <c r="F879" s="156" t="n"/>
      <c r="G879" s="156" t="n"/>
      <c r="H879" s="156" t="n"/>
      <c r="I879" s="156" t="n"/>
      <c r="J879" s="156" t="n"/>
      <c r="K879" s="157"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6" t="n"/>
      <c r="AX879" s="156" t="n"/>
      <c r="AY879" s="156" t="n"/>
      <c r="AZ879" s="156" t="n"/>
      <c r="BA879" s="156" t="n"/>
      <c r="BB879" s="156" t="n"/>
      <c r="BC879" s="156" t="n"/>
      <c r="BD879" s="156" t="n"/>
      <c r="BE879" s="156" t="n"/>
      <c r="BF879" s="156" t="n"/>
      <c r="BG879" s="156" t="n"/>
      <c r="BH879" s="156" t="n"/>
      <c r="BI879" s="157"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58" t="n"/>
      <c r="T880" s="149" t="n"/>
      <c r="U880" s="17" t="n"/>
      <c r="V880" s="17" t="n"/>
      <c r="W880" s="58"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89" t="inlineStr">
        <is>
          <t>職　歴</t>
        </is>
      </c>
      <c r="K883" s="153" t="n"/>
      <c r="L883" s="69" t="inlineStr">
        <is>
          <t>平成</t>
        </is>
      </c>
      <c r="M883" s="149" t="n"/>
      <c r="N883" s="149" t="n"/>
      <c r="O883" s="149" t="n"/>
      <c r="P883" s="19" t="n"/>
      <c r="Q883" s="19" t="n"/>
      <c r="R883" s="19" t="n"/>
      <c r="S883" s="19" t="n"/>
      <c r="T883" s="19" t="n"/>
      <c r="U883" s="19" t="n"/>
      <c r="V883" s="19" t="n"/>
      <c r="W883" s="19" t="n"/>
      <c r="X883" s="37" t="n"/>
      <c r="Y883" s="180">
        <f>計算!$BT$12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8">
        <f>計算!$BR$12</f>
        <v/>
      </c>
      <c r="S885" s="61" t="inlineStr">
        <is>
          <t>年</t>
        </is>
      </c>
      <c r="U885" s="190">
        <f>計算!$BS$12</f>
        <v/>
      </c>
      <c r="W885" s="62"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74"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5" t="n"/>
      <c r="M888" s="156" t="n"/>
      <c r="N888" s="156" t="n"/>
      <c r="O888" s="156" t="n"/>
      <c r="P888" s="20" t="n"/>
      <c r="Q888" s="20" t="n"/>
      <c r="R888" s="20" t="n"/>
      <c r="S888" s="20" t="n"/>
      <c r="T888" s="20" t="n"/>
      <c r="U888" s="20" t="n"/>
      <c r="V888" s="20" t="n"/>
      <c r="W888" s="20" t="n"/>
      <c r="X888" s="39" t="n"/>
      <c r="Y888" s="155" t="n"/>
      <c r="Z888" s="156" t="n"/>
      <c r="AA888" s="156" t="n"/>
      <c r="AB888" s="156" t="n"/>
      <c r="AC888" s="156" t="n"/>
      <c r="AD888" s="156" t="n"/>
      <c r="AE888" s="156" t="n"/>
      <c r="AF888" s="156" t="n"/>
      <c r="AG888" s="156" t="n"/>
      <c r="AH888" s="156" t="n"/>
      <c r="AI888" s="156" t="n"/>
      <c r="AJ888" s="156" t="n"/>
      <c r="AK888" s="156" t="n"/>
      <c r="AL888" s="156" t="n"/>
      <c r="AM888" s="156" t="n"/>
      <c r="AN888" s="156" t="n"/>
      <c r="AO888" s="156" t="n"/>
      <c r="AP888" s="156" t="n"/>
      <c r="AQ888" s="156" t="n"/>
      <c r="AR888" s="156" t="n"/>
      <c r="AS888" s="156" t="n"/>
      <c r="AT888" s="156" t="n"/>
      <c r="AU888" s="156" t="n"/>
      <c r="AV888" s="156" t="n"/>
      <c r="AW888" s="156" t="n"/>
      <c r="AX888" s="156" t="n"/>
      <c r="AY888" s="156" t="n"/>
      <c r="AZ888" s="156" t="n"/>
      <c r="BA888" s="156" t="n"/>
      <c r="BB888" s="156" t="n"/>
      <c r="BC888" s="156" t="n"/>
      <c r="BD888" s="156" t="n"/>
      <c r="BE888" s="156" t="n"/>
      <c r="BF888" s="156" t="n"/>
      <c r="BG888" s="156" t="n"/>
      <c r="BH888" s="156" t="n"/>
      <c r="BI888" s="157"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69" t="inlineStr">
        <is>
          <t>平成</t>
        </is>
      </c>
      <c r="M889" s="149" t="n"/>
      <c r="N889" s="149" t="n"/>
      <c r="O889" s="149" t="n"/>
      <c r="P889" s="18" t="n"/>
      <c r="Q889" s="18" t="n"/>
      <c r="R889" s="18" t="n"/>
      <c r="S889" s="18" t="n"/>
      <c r="T889" s="18" t="n"/>
      <c r="U889" s="18" t="n"/>
      <c r="V889" s="18" t="n"/>
      <c r="W889" s="18" t="n"/>
      <c r="X889" s="35" t="n"/>
      <c r="Y889" s="180">
        <f>計算!$BW$12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8">
        <f>計算!$BU$12</f>
        <v/>
      </c>
      <c r="S891" s="61" t="inlineStr">
        <is>
          <t>年</t>
        </is>
      </c>
      <c r="U891" s="190">
        <f>計算!$BV$12</f>
        <v/>
      </c>
      <c r="W891" s="62"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74"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5" t="n"/>
      <c r="M894" s="156" t="n"/>
      <c r="N894" s="156" t="n"/>
      <c r="O894" s="156" t="n"/>
      <c r="P894" s="20" t="n"/>
      <c r="Q894" s="20" t="n"/>
      <c r="R894" s="20" t="n"/>
      <c r="S894" s="20" t="n"/>
      <c r="T894" s="20" t="n"/>
      <c r="U894" s="20" t="n"/>
      <c r="V894" s="20" t="n"/>
      <c r="W894" s="20" t="n"/>
      <c r="X894" s="39" t="n"/>
      <c r="Y894" s="155" t="n"/>
      <c r="Z894" s="156" t="n"/>
      <c r="AA894" s="156" t="n"/>
      <c r="AB894" s="156" t="n"/>
      <c r="AC894" s="156" t="n"/>
      <c r="AD894" s="156" t="n"/>
      <c r="AE894" s="156" t="n"/>
      <c r="AF894" s="156" t="n"/>
      <c r="AG894" s="156" t="n"/>
      <c r="AH894" s="156" t="n"/>
      <c r="AI894" s="156" t="n"/>
      <c r="AJ894" s="156" t="n"/>
      <c r="AK894" s="156" t="n"/>
      <c r="AL894" s="156" t="n"/>
      <c r="AM894" s="156" t="n"/>
      <c r="AN894" s="156" t="n"/>
      <c r="AO894" s="156" t="n"/>
      <c r="AP894" s="156" t="n"/>
      <c r="AQ894" s="156" t="n"/>
      <c r="AR894" s="156" t="n"/>
      <c r="AS894" s="156" t="n"/>
      <c r="AT894" s="156" t="n"/>
      <c r="AU894" s="156" t="n"/>
      <c r="AV894" s="156" t="n"/>
      <c r="AW894" s="156" t="n"/>
      <c r="AX894" s="156" t="n"/>
      <c r="AY894" s="156" t="n"/>
      <c r="AZ894" s="156" t="n"/>
      <c r="BA894" s="156" t="n"/>
      <c r="BB894" s="156" t="n"/>
      <c r="BC894" s="156" t="n"/>
      <c r="BD894" s="156" t="n"/>
      <c r="BE894" s="156" t="n"/>
      <c r="BF894" s="156" t="n"/>
      <c r="BG894" s="156" t="n"/>
      <c r="BH894" s="156" t="n"/>
      <c r="BI894" s="157" t="n"/>
      <c r="BJ894" s="2" t="n"/>
      <c r="BK894" s="2" t="n"/>
      <c r="BL894" s="2" t="n"/>
      <c r="BM894" s="2" t="n"/>
      <c r="BN894" s="2" t="n"/>
      <c r="BO894" s="2" t="n"/>
      <c r="BP894" s="155" t="n"/>
      <c r="BQ894" s="156" t="n"/>
      <c r="BR894" s="156" t="n"/>
      <c r="BS894" s="156" t="n"/>
      <c r="BT894" s="156" t="n"/>
      <c r="BU894" s="42" t="n"/>
      <c r="BV894" s="45" t="n"/>
      <c r="BW894" s="156" t="n"/>
      <c r="BX894" s="156" t="n"/>
      <c r="BY894" s="156" t="n"/>
      <c r="BZ894" s="156" t="n"/>
      <c r="CA894" s="156" t="n"/>
      <c r="CB894" s="156" t="n"/>
      <c r="CC894" s="156" t="n"/>
      <c r="CD894" s="156" t="n"/>
      <c r="CE894" s="156" t="n"/>
      <c r="CF894" s="156" t="n"/>
      <c r="CG894" s="156" t="n"/>
      <c r="CH894" s="156" t="n"/>
      <c r="CI894" s="156" t="n"/>
      <c r="CJ894" s="156" t="n"/>
      <c r="CK894" s="156" t="n"/>
      <c r="CL894" s="156" t="n"/>
      <c r="CM894" s="156" t="n"/>
      <c r="CN894" s="156" t="n"/>
      <c r="CO894" s="156" t="n"/>
      <c r="CP894" s="156" t="n"/>
      <c r="CQ894" s="156" t="n"/>
      <c r="CR894" s="156" t="n"/>
      <c r="CS894" s="156" t="n"/>
      <c r="CT894" s="156" t="n"/>
      <c r="CU894" s="156" t="n"/>
      <c r="CV894" s="156" t="n"/>
      <c r="CW894" s="156" t="n"/>
      <c r="CX894" s="156" t="n"/>
      <c r="CY894" s="156" t="n"/>
      <c r="CZ894" s="156" t="n"/>
      <c r="DA894" s="156" t="n"/>
      <c r="DB894" s="156" t="n"/>
      <c r="DC894" s="156" t="n"/>
      <c r="DD894" s="156" t="n"/>
      <c r="DE894" s="156" t="n"/>
      <c r="DF894" s="156" t="n"/>
      <c r="DG894" s="156" t="n"/>
      <c r="DH894" s="156" t="n"/>
      <c r="DI894" s="156" t="n"/>
      <c r="DJ894" s="156" t="n"/>
      <c r="DK894" s="156" t="n"/>
      <c r="DL894" s="156" t="n"/>
      <c r="DM894" s="156" t="n"/>
      <c r="DN894" s="156" t="n"/>
      <c r="DO894" s="156" t="n"/>
      <c r="DP894" s="156" t="n"/>
      <c r="DQ894" s="156" t="n"/>
      <c r="DR894" s="156" t="n"/>
      <c r="DS894" s="156" t="n"/>
      <c r="DT894" s="156" t="n"/>
      <c r="DU894" s="157" t="n"/>
      <c r="DV894" s="2" t="n"/>
      <c r="DW894" s="2" t="n"/>
      <c r="DX894" s="2" t="n"/>
      <c r="DY894" s="2" t="n"/>
      <c r="DZ894" s="2" t="n"/>
      <c r="EA894" s="2" t="n"/>
      <c r="EB894" s="2" t="n"/>
      <c r="EC894" s="2" t="n"/>
    </row>
    <row r="895" ht="6.75" customHeight="1" s="118">
      <c r="A895" s="2" t="n"/>
      <c r="B895" s="2" t="n"/>
      <c r="C895" s="2" t="n"/>
      <c r="D895" s="2" t="n"/>
      <c r="E895" s="152" t="n"/>
      <c r="K895" s="153" t="n"/>
      <c r="L895" s="69"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5">
        <f>計算!$BQ$12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61" t="inlineStr">
        <is>
          <t>年</t>
        </is>
      </c>
      <c r="U897" s="11" t="n"/>
      <c r="V897" s="11" t="n"/>
      <c r="W897" s="62"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74"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5" t="n"/>
      <c r="M900" s="156" t="n"/>
      <c r="N900" s="156" t="n"/>
      <c r="O900" s="156"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69"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61" t="inlineStr">
        <is>
          <t>年</t>
        </is>
      </c>
      <c r="U903" s="11" t="n"/>
      <c r="V903" s="11" t="n"/>
      <c r="W903" s="62"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74"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61" t="n"/>
      <c r="T905" s="61" t="n"/>
      <c r="U905" s="11" t="n"/>
      <c r="V905" s="11" t="n"/>
      <c r="W905" s="61" t="n"/>
      <c r="X905" s="62"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5" t="n"/>
      <c r="F906" s="156" t="n"/>
      <c r="G906" s="156" t="n"/>
      <c r="H906" s="156" t="n"/>
      <c r="I906" s="156" t="n"/>
      <c r="J906" s="156" t="n"/>
      <c r="K906" s="157" t="n"/>
      <c r="L906" s="155" t="n"/>
      <c r="M906" s="156" t="n"/>
      <c r="N906" s="156" t="n"/>
      <c r="O906" s="156"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5" t="n"/>
      <c r="BQ906" s="156" t="n"/>
      <c r="BR906" s="156" t="n"/>
      <c r="BS906" s="156" t="n"/>
      <c r="BT906" s="156" t="n"/>
      <c r="BU906" s="156" t="n"/>
      <c r="BV906" s="157" t="n"/>
      <c r="BW906" s="156" t="n"/>
      <c r="BX906" s="156" t="n"/>
      <c r="BY906" s="156" t="n"/>
      <c r="BZ906" s="156" t="n"/>
      <c r="CA906" s="156" t="n"/>
      <c r="CB906" s="156" t="n"/>
      <c r="CC906" s="156" t="n"/>
      <c r="CD906" s="156" t="n"/>
      <c r="CE906" s="156" t="n"/>
      <c r="CF906" s="156" t="n"/>
      <c r="CG906" s="156" t="n"/>
      <c r="CH906" s="156" t="n"/>
      <c r="CI906" s="156" t="n"/>
      <c r="CJ906" s="156" t="n"/>
      <c r="CK906" s="156" t="n"/>
      <c r="CL906" s="156" t="n"/>
      <c r="CM906" s="156" t="n"/>
      <c r="CN906" s="156" t="n"/>
      <c r="CO906" s="156" t="n"/>
      <c r="CP906" s="156" t="n"/>
      <c r="CQ906" s="156" t="n"/>
      <c r="CR906" s="156" t="n"/>
      <c r="CS906" s="156" t="n"/>
      <c r="CT906" s="156" t="n"/>
      <c r="CU906" s="156" t="n"/>
      <c r="CV906" s="156" t="n"/>
      <c r="CW906" s="156" t="n"/>
      <c r="CX906" s="156" t="n"/>
      <c r="CY906" s="156" t="n"/>
      <c r="CZ906" s="156" t="n"/>
      <c r="DA906" s="156" t="n"/>
      <c r="DB906" s="156" t="n"/>
      <c r="DC906" s="156" t="n"/>
      <c r="DD906" s="156" t="n"/>
      <c r="DE906" s="156" t="n"/>
      <c r="DF906" s="156" t="n"/>
      <c r="DG906" s="156" t="n"/>
      <c r="DH906" s="156" t="n"/>
      <c r="DI906" s="156" t="n"/>
      <c r="DJ906" s="156" t="n"/>
      <c r="DK906" s="156" t="n"/>
      <c r="DL906" s="156" t="n"/>
      <c r="DM906" s="156" t="n"/>
      <c r="DN906" s="156" t="n"/>
      <c r="DO906" s="156" t="n"/>
      <c r="DP906" s="156" t="n"/>
      <c r="DQ906" s="156" t="n"/>
      <c r="DR906" s="156" t="n"/>
      <c r="DS906" s="156" t="n"/>
      <c r="DT906" s="156" t="n"/>
      <c r="DU906" s="157"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87" t="inlineStr">
        <is>
          <t xml:space="preserve">    (近畿高等学校統一用紙　  その２ 　  令和７年度改定)　</t>
        </is>
      </c>
      <c r="DV908" s="2" t="n"/>
      <c r="DW908" s="2" t="n"/>
      <c r="DX908" s="2" t="n"/>
      <c r="DY908" s="2" t="n"/>
      <c r="DZ908" s="2" t="n"/>
      <c r="EA908" s="2" t="n"/>
      <c r="EB908" s="2" t="n"/>
      <c r="EC908" s="2" t="n"/>
    </row>
    <row r="909" hidden="1"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idden="1"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47"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64" t="inlineStr">
        <is>
          <t>令和</t>
        </is>
      </c>
      <c r="AD918" s="154">
        <f>IF(入力!$D$15="","",IF(N(設定!$B$3)=0,"",YEAR(設定!$B$3)-2018))&amp;""</f>
        <v/>
      </c>
      <c r="AG918" s="64" t="inlineStr">
        <is>
          <t>年</t>
        </is>
      </c>
      <c r="AI918" s="154">
        <f>IF(入力!$D$15="","",IF(N(設定!$B$3)=0,"",MONTH(設定!$B$3)))&amp;""</f>
        <v/>
      </c>
      <c r="AL918" s="64" t="inlineStr">
        <is>
          <t>月</t>
        </is>
      </c>
      <c r="AN918" s="154">
        <f>IF(入力!$D$15="","",IF(N(設定!$B$3)=0,"",DAY(設定!$B$3)))&amp;""</f>
        <v/>
      </c>
      <c r="AP918" s="64"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5" t="n"/>
      <c r="BX918" s="156" t="n"/>
      <c r="BY918" s="156" t="n"/>
      <c r="BZ918" s="156" t="n"/>
      <c r="CA918" s="156" t="n"/>
      <c r="CB918" s="156" t="n"/>
      <c r="CC918" s="156" t="n"/>
      <c r="CD918" s="156" t="n"/>
      <c r="CE918" s="156" t="n"/>
      <c r="CF918" s="156" t="n"/>
      <c r="CG918" s="157" t="n"/>
      <c r="CH918" s="155" t="n"/>
      <c r="CI918" s="156" t="n"/>
      <c r="CJ918" s="156" t="n"/>
      <c r="CK918" s="156" t="n"/>
      <c r="CL918" s="156" t="n"/>
      <c r="CM918" s="156" t="n"/>
      <c r="CN918" s="156" t="n"/>
      <c r="CO918" s="156" t="n"/>
      <c r="CP918" s="156" t="n"/>
      <c r="CQ918" s="156" t="n"/>
      <c r="CR918" s="156" t="n"/>
      <c r="CS918" s="156" t="n"/>
      <c r="CT918" s="156" t="n"/>
      <c r="CU918" s="156" t="n"/>
      <c r="CV918" s="156" t="n"/>
      <c r="CW918" s="156" t="n"/>
      <c r="CX918" s="156" t="n"/>
      <c r="CY918" s="156" t="n"/>
      <c r="CZ918" s="156" t="n"/>
      <c r="DA918" s="156" t="n"/>
      <c r="DB918" s="156" t="n"/>
      <c r="DC918" s="156" t="n"/>
      <c r="DD918" s="156" t="n"/>
      <c r="DE918" s="156" t="n"/>
      <c r="DF918" s="156" t="n"/>
      <c r="DG918" s="156" t="n"/>
      <c r="DH918" s="156" t="n"/>
      <c r="DI918" s="156" t="n"/>
      <c r="DJ918" s="156" t="n"/>
      <c r="DK918" s="156" t="n"/>
      <c r="DL918" s="156" t="n"/>
      <c r="DM918" s="156" t="n"/>
      <c r="DN918" s="156" t="n"/>
      <c r="DO918" s="156" t="n"/>
      <c r="DP918" s="156" t="n"/>
      <c r="DQ918" s="156" t="n"/>
      <c r="DR918" s="156" t="n"/>
      <c r="DS918" s="156" t="n"/>
      <c r="DT918" s="156" t="n"/>
      <c r="DU918" s="157"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68" t="inlineStr">
        <is>
          <t>写真をはる位置</t>
        </is>
      </c>
      <c r="BI919" s="8" t="n"/>
      <c r="BJ919" s="7" t="n"/>
      <c r="BK919" s="2" t="n"/>
      <c r="BL919" s="2" t="n"/>
      <c r="BM919" s="2" t="n"/>
      <c r="BN919" s="2" t="n"/>
      <c r="BO919" s="2" t="n"/>
      <c r="BP919" s="152" t="n"/>
      <c r="BV919" s="153" t="n"/>
      <c r="BW919" s="158">
        <f>計算!$CB$13</f>
        <v/>
      </c>
      <c r="CG919" s="153" t="n"/>
      <c r="CH919" s="159">
        <f>計算!$CC$13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6" t="n"/>
      <c r="AA920" s="156" t="n"/>
      <c r="AB920" s="156" t="n"/>
      <c r="AC920" s="156" t="n"/>
      <c r="AD920" s="156" t="n"/>
      <c r="AE920" s="156" t="n"/>
      <c r="AF920" s="156" t="n"/>
      <c r="AG920" s="156" t="n"/>
      <c r="AH920" s="156" t="n"/>
      <c r="AI920" s="156" t="n"/>
      <c r="AJ920" s="156" t="n"/>
      <c r="AK920" s="156" t="n"/>
      <c r="AL920" s="156" t="n"/>
      <c r="AM920" s="156" t="n"/>
      <c r="AN920" s="156" t="n"/>
      <c r="AO920" s="156" t="n"/>
      <c r="AP920" s="156" t="n"/>
      <c r="AQ920" s="156" t="n"/>
      <c r="AR920" s="156" t="n"/>
      <c r="AS920" s="156" t="n"/>
      <c r="AT920" s="156"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0">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5" t="n"/>
      <c r="F924" s="156" t="n"/>
      <c r="G924" s="156" t="n"/>
      <c r="H924" s="156" t="n"/>
      <c r="I924" s="156" t="n"/>
      <c r="J924" s="156" t="n"/>
      <c r="K924" s="157" t="n"/>
      <c r="L924" s="156" t="n"/>
      <c r="M924" s="156" t="n"/>
      <c r="N924" s="156" t="n"/>
      <c r="O924" s="156" t="n"/>
      <c r="P924" s="156" t="n"/>
      <c r="Q924" s="156" t="n"/>
      <c r="R924" s="156" t="n"/>
      <c r="S924" s="156" t="n"/>
      <c r="T924" s="156" t="n"/>
      <c r="U924" s="156" t="n"/>
      <c r="V924" s="156" t="n"/>
      <c r="W924" s="156" t="n"/>
      <c r="X924" s="156" t="n"/>
      <c r="Y924" s="156" t="n"/>
      <c r="Z924" s="156" t="n"/>
      <c r="AA924" s="156" t="n"/>
      <c r="AB924" s="156" t="n"/>
      <c r="AC924" s="156" t="n"/>
      <c r="AD924" s="156" t="n"/>
      <c r="AE924" s="156" t="n"/>
      <c r="AF924" s="156" t="n"/>
      <c r="AG924" s="156" t="n"/>
      <c r="AH924" s="156" t="n"/>
      <c r="AI924" s="156" t="n"/>
      <c r="AJ924" s="156" t="n"/>
      <c r="AK924" s="156" t="n"/>
      <c r="AL924" s="156" t="n"/>
      <c r="AM924" s="156" t="n"/>
      <c r="AN924" s="156" t="n"/>
      <c r="AO924" s="156" t="n"/>
      <c r="AP924" s="156" t="n"/>
      <c r="AQ924" s="156" t="n"/>
      <c r="AR924" s="156" t="n"/>
      <c r="AS924" s="156" t="n"/>
      <c r="AT924" s="157"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1" t="inlineStr">
        <is>
          <t>名　前</t>
        </is>
      </c>
      <c r="F925" s="149" t="n"/>
      <c r="G925" s="149" t="n"/>
      <c r="H925" s="149" t="n"/>
      <c r="I925" s="149" t="n"/>
      <c r="J925" s="149" t="n"/>
      <c r="K925" s="150" t="n"/>
      <c r="L925" s="162">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61"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5" t="n"/>
      <c r="F930" s="156" t="n"/>
      <c r="G930" s="156" t="n"/>
      <c r="H930" s="156" t="n"/>
      <c r="I930" s="156" t="n"/>
      <c r="J930" s="156" t="n"/>
      <c r="K930" s="157" t="n"/>
      <c r="L930" s="155" t="n"/>
      <c r="M930" s="156" t="n"/>
      <c r="N930" s="156" t="n"/>
      <c r="O930" s="156" t="n"/>
      <c r="P930" s="156" t="n"/>
      <c r="Q930" s="156" t="n"/>
      <c r="R930" s="156" t="n"/>
      <c r="S930" s="156" t="n"/>
      <c r="T930" s="156" t="n"/>
      <c r="U930" s="156" t="n"/>
      <c r="V930" s="156" t="n"/>
      <c r="W930" s="156" t="n"/>
      <c r="X930" s="156" t="n"/>
      <c r="Y930" s="156" t="n"/>
      <c r="Z930" s="156" t="n"/>
      <c r="AA930" s="156" t="n"/>
      <c r="AB930" s="156" t="n"/>
      <c r="AC930" s="156" t="n"/>
      <c r="AD930" s="156" t="n"/>
      <c r="AE930" s="156" t="n"/>
      <c r="AF930" s="156" t="n"/>
      <c r="AG930" s="156" t="n"/>
      <c r="AH930" s="156" t="n"/>
      <c r="AI930" s="156" t="n"/>
      <c r="AJ930" s="156" t="n"/>
      <c r="AK930" s="156" t="n"/>
      <c r="AL930" s="156" t="n"/>
      <c r="AM930" s="156" t="n"/>
      <c r="AN930" s="156" t="n"/>
      <c r="AO930" s="156" t="n"/>
      <c r="AP930" s="156" t="n"/>
      <c r="AQ930" s="156" t="n"/>
      <c r="AR930" s="156" t="n"/>
      <c r="AS930" s="156" t="n"/>
      <c r="AT930" s="157"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1" t="inlineStr">
        <is>
          <t>生年月日</t>
        </is>
      </c>
      <c r="F931" s="149" t="n"/>
      <c r="G931" s="149" t="n"/>
      <c r="H931" s="149" t="n"/>
      <c r="I931" s="149" t="n"/>
      <c r="J931" s="149" t="n"/>
      <c r="K931" s="150" t="n"/>
      <c r="L931" s="163" t="inlineStr">
        <is>
          <t>昭和 ・ 平成</t>
        </is>
      </c>
      <c r="M931" s="149" t="n"/>
      <c r="N931" s="149" t="n"/>
      <c r="O931" s="149" t="n"/>
      <c r="P931" s="149" t="n"/>
      <c r="Q931" s="149" t="n"/>
      <c r="R931" s="149" t="n"/>
      <c r="S931" s="149" t="n"/>
      <c r="T931" s="149" t="n"/>
      <c r="U931" s="149" t="n"/>
      <c r="V931" s="164">
        <f>計算!$D$13</f>
        <v/>
      </c>
      <c r="W931" s="149" t="n"/>
      <c r="X931" s="165" t="inlineStr">
        <is>
          <t>年</t>
        </is>
      </c>
      <c r="Y931" s="149" t="n"/>
      <c r="Z931" s="166">
        <f>計算!$E$13</f>
        <v/>
      </c>
      <c r="AA931" s="149" t="n"/>
      <c r="AB931" s="149" t="n"/>
      <c r="AC931" s="165" t="inlineStr">
        <is>
          <t>月</t>
        </is>
      </c>
      <c r="AD931" s="149" t="n"/>
      <c r="AE931" s="166">
        <f>計算!$F$13</f>
        <v/>
      </c>
      <c r="AF931" s="149" t="n"/>
      <c r="AG931" s="149" t="n"/>
      <c r="AH931" s="165" t="inlineStr">
        <is>
          <t>日　生 （満</t>
        </is>
      </c>
      <c r="AI931" s="149" t="n"/>
      <c r="AJ931" s="149" t="n"/>
      <c r="AK931" s="149" t="n"/>
      <c r="AL931" s="149" t="n"/>
      <c r="AM931" s="149" t="n"/>
      <c r="AN931" s="149" t="n"/>
      <c r="AO931" s="149" t="n"/>
      <c r="AP931" s="167">
        <f>計算!$G$13</f>
        <v/>
      </c>
      <c r="AQ931" s="149" t="n"/>
      <c r="AR931" s="168"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5" t="n"/>
      <c r="F934" s="156" t="n"/>
      <c r="G934" s="156" t="n"/>
      <c r="H934" s="156" t="n"/>
      <c r="I934" s="156" t="n"/>
      <c r="J934" s="156" t="n"/>
      <c r="K934" s="157" t="n"/>
      <c r="L934" s="155" t="n"/>
      <c r="M934" s="156" t="n"/>
      <c r="N934" s="156" t="n"/>
      <c r="O934" s="156" t="n"/>
      <c r="P934" s="156" t="n"/>
      <c r="Q934" s="156" t="n"/>
      <c r="R934" s="156" t="n"/>
      <c r="S934" s="156" t="n"/>
      <c r="T934" s="156" t="n"/>
      <c r="U934" s="156" t="n"/>
      <c r="X934" s="156" t="n"/>
      <c r="Y934" s="156" t="n"/>
      <c r="AC934" s="156" t="n"/>
      <c r="AD934" s="156" t="n"/>
      <c r="AH934" s="156" t="n"/>
      <c r="AI934" s="156" t="n"/>
      <c r="AJ934" s="156" t="n"/>
      <c r="AK934" s="156" t="n"/>
      <c r="AL934" s="156" t="n"/>
      <c r="AM934" s="156" t="n"/>
      <c r="AN934" s="156" t="n"/>
      <c r="AO934" s="156" t="n"/>
      <c r="AP934" s="156" t="n"/>
      <c r="AQ934" s="156" t="n"/>
      <c r="AR934" s="156" t="n"/>
      <c r="AS934" s="156" t="n"/>
      <c r="AT934" s="157"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69" t="inlineStr">
        <is>
          <t>ふ り が な</t>
        </is>
      </c>
      <c r="F935" s="149" t="n"/>
      <c r="G935" s="149" t="n"/>
      <c r="H935" s="149" t="n"/>
      <c r="I935" s="149" t="n"/>
      <c r="J935" s="149" t="n"/>
      <c r="K935" s="150" t="n"/>
      <c r="L935" s="170">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1" t="n"/>
      <c r="F937" s="172" t="n"/>
      <c r="G937" s="172" t="n"/>
      <c r="H937" s="172" t="n"/>
      <c r="I937" s="172" t="n"/>
      <c r="J937" s="172" t="n"/>
      <c r="K937" s="173" t="n"/>
      <c r="L937" s="172" t="n"/>
      <c r="M937" s="172" t="n"/>
      <c r="N937" s="172" t="n"/>
      <c r="O937" s="172" t="n"/>
      <c r="P937" s="172" t="n"/>
      <c r="Q937" s="172" t="n"/>
      <c r="R937" s="172" t="n"/>
      <c r="S937" s="172" t="n"/>
      <c r="T937" s="172" t="n"/>
      <c r="U937" s="172" t="n"/>
      <c r="V937" s="172" t="n"/>
      <c r="W937" s="172" t="n"/>
      <c r="X937" s="172" t="n"/>
      <c r="Y937" s="172" t="n"/>
      <c r="Z937" s="172" t="n"/>
      <c r="AA937" s="172" t="n"/>
      <c r="AB937" s="172" t="n"/>
      <c r="AC937" s="172" t="n"/>
      <c r="AD937" s="172" t="n"/>
      <c r="AE937" s="172" t="n"/>
      <c r="AF937" s="172" t="n"/>
      <c r="AG937" s="172" t="n"/>
      <c r="AH937" s="172" t="n"/>
      <c r="AI937" s="172" t="n"/>
      <c r="AJ937" s="172" t="n"/>
      <c r="AK937" s="172" t="n"/>
      <c r="AL937" s="172" t="n"/>
      <c r="AM937" s="172" t="n"/>
      <c r="AN937" s="172" t="n"/>
      <c r="AO937" s="172" t="n"/>
      <c r="AP937" s="172" t="n"/>
      <c r="AQ937" s="172" t="n"/>
      <c r="AR937" s="172" t="n"/>
      <c r="AS937" s="172" t="n"/>
      <c r="AT937" s="172" t="n"/>
      <c r="AU937" s="172" t="n"/>
      <c r="AV937" s="172" t="n"/>
      <c r="AW937" s="172" t="n"/>
      <c r="AX937" s="172" t="n"/>
      <c r="AY937" s="172" t="n"/>
      <c r="AZ937" s="172" t="n"/>
      <c r="BA937" s="172" t="n"/>
      <c r="BB937" s="172" t="n"/>
      <c r="BC937" s="172" t="n"/>
      <c r="BD937" s="172" t="n"/>
      <c r="BE937" s="172" t="n"/>
      <c r="BF937" s="172" t="n"/>
      <c r="BG937" s="172" t="n"/>
      <c r="BH937" s="172" t="n"/>
      <c r="BI937" s="173"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4" t="inlineStr">
        <is>
          <t>現住所</t>
        </is>
      </c>
      <c r="F938" s="175" t="n"/>
      <c r="G938" s="175" t="n"/>
      <c r="H938" s="175" t="n"/>
      <c r="I938" s="175" t="n"/>
      <c r="J938" s="175" t="n"/>
      <c r="K938" s="176" t="n"/>
      <c r="L938" s="83" t="inlineStr">
        <is>
          <t>〒</t>
        </is>
      </c>
      <c r="M938" s="175" t="n"/>
      <c r="N938" s="175" t="n"/>
      <c r="O938" s="175" t="n"/>
      <c r="P938" s="177">
        <f>計算!$H$13</f>
        <v/>
      </c>
      <c r="Q938" s="175" t="n"/>
      <c r="R938" s="175" t="n"/>
      <c r="S938" s="175" t="n"/>
      <c r="T938" s="175" t="n"/>
      <c r="U938" s="175" t="n"/>
      <c r="V938" s="175" t="n"/>
      <c r="W938" s="175" t="n"/>
      <c r="X938" s="175" t="n"/>
      <c r="Y938" s="175" t="n"/>
      <c r="Z938" s="175" t="n"/>
      <c r="AA938" s="175" t="n"/>
      <c r="AB938" s="175" t="n"/>
      <c r="AC938" s="175" t="n"/>
      <c r="AD938" s="175" t="n"/>
      <c r="AE938" s="175" t="n"/>
      <c r="AF938" s="175" t="n"/>
      <c r="AG938" s="175" t="n"/>
      <c r="AH938" s="175" t="n"/>
      <c r="AI938" s="175" t="n"/>
      <c r="AJ938" s="175"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5" t="n"/>
      <c r="BQ939" s="156" t="n"/>
      <c r="BR939" s="156" t="n"/>
      <c r="BS939" s="156" t="n"/>
      <c r="BT939" s="156" t="n"/>
      <c r="BU939" s="156" t="n"/>
      <c r="BV939" s="157" t="n"/>
      <c r="BW939" s="155" t="n"/>
      <c r="BX939" s="156" t="n"/>
      <c r="BY939" s="156" t="n"/>
      <c r="BZ939" s="156" t="n"/>
      <c r="CA939" s="156" t="n"/>
      <c r="CB939" s="156" t="n"/>
      <c r="CC939" s="156" t="n"/>
      <c r="CD939" s="156" t="n"/>
      <c r="CE939" s="156" t="n"/>
      <c r="CF939" s="156" t="n"/>
      <c r="CG939" s="157"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8" t="inlineStr">
        <is>
          <t>校内外の諸活動</t>
        </is>
      </c>
      <c r="BQ940" s="149" t="n"/>
      <c r="BR940" s="149" t="n"/>
      <c r="BS940" s="149" t="n"/>
      <c r="BT940" s="149" t="n"/>
      <c r="BU940" s="149" t="n"/>
      <c r="BV940" s="150" t="n"/>
      <c r="BW940" s="179">
        <f>計算!$BO$13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0">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5" t="n"/>
      <c r="F943" s="156" t="n"/>
      <c r="G943" s="156" t="n"/>
      <c r="H943" s="156" t="n"/>
      <c r="I943" s="156" t="n"/>
      <c r="J943" s="156" t="n"/>
      <c r="K943" s="157" t="n"/>
      <c r="L943" s="155" t="n"/>
      <c r="M943" s="156" t="n"/>
      <c r="N943" s="156" t="n"/>
      <c r="O943" s="156" t="n"/>
      <c r="P943" s="156" t="n"/>
      <c r="Q943" s="156" t="n"/>
      <c r="R943" s="156" t="n"/>
      <c r="S943" s="156" t="n"/>
      <c r="T943" s="156" t="n"/>
      <c r="U943" s="156" t="n"/>
      <c r="V943" s="156" t="n"/>
      <c r="W943" s="156" t="n"/>
      <c r="X943" s="156" t="n"/>
      <c r="Y943" s="156" t="n"/>
      <c r="Z943" s="156" t="n"/>
      <c r="AA943" s="156" t="n"/>
      <c r="AB943" s="156" t="n"/>
      <c r="AC943" s="156" t="n"/>
      <c r="AD943" s="156" t="n"/>
      <c r="AE943" s="156" t="n"/>
      <c r="AF943" s="156" t="n"/>
      <c r="AG943" s="156" t="n"/>
      <c r="AH943" s="156" t="n"/>
      <c r="AI943" s="156" t="n"/>
      <c r="AJ943" s="156" t="n"/>
      <c r="AK943" s="156" t="n"/>
      <c r="AL943" s="156" t="n"/>
      <c r="AM943" s="156" t="n"/>
      <c r="AN943" s="156" t="n"/>
      <c r="AO943" s="156" t="n"/>
      <c r="AP943" s="156" t="n"/>
      <c r="AQ943" s="156" t="n"/>
      <c r="AR943" s="156" t="n"/>
      <c r="AS943" s="156" t="n"/>
      <c r="AT943" s="156" t="n"/>
      <c r="AU943" s="156" t="n"/>
      <c r="AV943" s="156" t="n"/>
      <c r="AW943" s="156" t="n"/>
      <c r="AX943" s="156" t="n"/>
      <c r="AY943" s="156" t="n"/>
      <c r="AZ943" s="156" t="n"/>
      <c r="BA943" s="156" t="n"/>
      <c r="BB943" s="156" t="n"/>
      <c r="BC943" s="156" t="n"/>
      <c r="BD943" s="156" t="n"/>
      <c r="BE943" s="156" t="n"/>
      <c r="BF943" s="156" t="n"/>
      <c r="BG943" s="156" t="n"/>
      <c r="BH943" s="156" t="n"/>
      <c r="BI943" s="157"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69" t="inlineStr">
        <is>
          <t>ふ り が な</t>
        </is>
      </c>
      <c r="F944" s="149" t="n"/>
      <c r="G944" s="149" t="n"/>
      <c r="H944" s="149" t="n"/>
      <c r="I944" s="149" t="n"/>
      <c r="J944" s="149" t="n"/>
      <c r="K944" s="150" t="n"/>
      <c r="L944" s="170">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1" t="n"/>
      <c r="F946" s="172" t="n"/>
      <c r="G946" s="172" t="n"/>
      <c r="H946" s="172" t="n"/>
      <c r="I946" s="172" t="n"/>
      <c r="J946" s="172" t="n"/>
      <c r="K946" s="173" t="n"/>
      <c r="L946" s="172" t="n"/>
      <c r="M946" s="172" t="n"/>
      <c r="N946" s="172" t="n"/>
      <c r="O946" s="172" t="n"/>
      <c r="P946" s="172" t="n"/>
      <c r="Q946" s="172" t="n"/>
      <c r="R946" s="172" t="n"/>
      <c r="S946" s="172" t="n"/>
      <c r="T946" s="172" t="n"/>
      <c r="U946" s="172" t="n"/>
      <c r="V946" s="172" t="n"/>
      <c r="W946" s="172" t="n"/>
      <c r="X946" s="172" t="n"/>
      <c r="Y946" s="172" t="n"/>
      <c r="Z946" s="172" t="n"/>
      <c r="AA946" s="172" t="n"/>
      <c r="AB946" s="172" t="n"/>
      <c r="AC946" s="172" t="n"/>
      <c r="AD946" s="172" t="n"/>
      <c r="AE946" s="172" t="n"/>
      <c r="AF946" s="172" t="n"/>
      <c r="AG946" s="172" t="n"/>
      <c r="AH946" s="172" t="n"/>
      <c r="AI946" s="172" t="n"/>
      <c r="AJ946" s="172" t="n"/>
      <c r="AK946" s="172" t="n"/>
      <c r="AL946" s="172" t="n"/>
      <c r="AM946" s="172" t="n"/>
      <c r="AN946" s="172" t="n"/>
      <c r="AO946" s="172" t="n"/>
      <c r="AP946" s="172" t="n"/>
      <c r="AQ946" s="172" t="n"/>
      <c r="AR946" s="172" t="n"/>
      <c r="AS946" s="172" t="n"/>
      <c r="AT946" s="172" t="n"/>
      <c r="AU946" s="172" t="n"/>
      <c r="AV946" s="172" t="n"/>
      <c r="AW946" s="172" t="n"/>
      <c r="AX946" s="172" t="n"/>
      <c r="AY946" s="172" t="n"/>
      <c r="AZ946" s="172" t="n"/>
      <c r="BA946" s="172" t="n"/>
      <c r="BB946" s="172" t="n"/>
      <c r="BC946" s="172" t="n"/>
      <c r="BD946" s="172" t="n"/>
      <c r="BE946" s="172" t="n"/>
      <c r="BF946" s="172" t="n"/>
      <c r="BG946" s="172" t="n"/>
      <c r="BH946" s="172" t="n"/>
      <c r="BI946" s="173"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4" t="inlineStr">
        <is>
          <t>連絡先</t>
        </is>
      </c>
      <c r="F947" s="175" t="n"/>
      <c r="G947" s="175" t="n"/>
      <c r="H947" s="175" t="n"/>
      <c r="I947" s="175" t="n"/>
      <c r="J947" s="175" t="n"/>
      <c r="K947" s="176" t="n"/>
      <c r="L947" s="83" t="inlineStr">
        <is>
          <t>〒</t>
        </is>
      </c>
      <c r="M947" s="175" t="n"/>
      <c r="N947" s="175" t="n"/>
      <c r="O947" s="175" t="n"/>
      <c r="P947" s="181">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2">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5" t="n"/>
      <c r="F951" s="156" t="n"/>
      <c r="G951" s="156" t="n"/>
      <c r="H951" s="156" t="n"/>
      <c r="I951" s="156" t="n"/>
      <c r="J951" s="156" t="n"/>
      <c r="K951" s="157" t="n"/>
      <c r="L951" s="156" t="n"/>
      <c r="M951" s="156" t="n"/>
      <c r="N951" s="156" t="n"/>
      <c r="O951" s="156" t="n"/>
      <c r="P951" s="156" t="n"/>
      <c r="Q951" s="156" t="n"/>
      <c r="R951" s="156" t="n"/>
      <c r="S951" s="156" t="n"/>
      <c r="T951" s="156" t="n"/>
      <c r="U951" s="156" t="n"/>
      <c r="V951" s="156" t="n"/>
      <c r="W951" s="156" t="n"/>
      <c r="X951" s="156" t="n"/>
      <c r="Y951" s="156" t="n"/>
      <c r="Z951" s="156" t="n"/>
      <c r="AA951" s="156" t="n"/>
      <c r="AB951" s="156" t="n"/>
      <c r="AC951" s="156" t="n"/>
      <c r="AD951" s="156" t="n"/>
      <c r="AE951" s="156" t="n"/>
      <c r="AF951" s="156" t="n"/>
      <c r="AG951" s="156" t="n"/>
      <c r="AH951" s="156" t="n"/>
      <c r="AI951" s="156" t="n"/>
      <c r="AJ951" s="156" t="n"/>
      <c r="AK951" s="156" t="n"/>
      <c r="AL951" s="156" t="n"/>
      <c r="AM951" s="156" t="n"/>
      <c r="AN951" s="156" t="n"/>
      <c r="AO951" s="156" t="n"/>
      <c r="AP951" s="156" t="n"/>
      <c r="AQ951" s="156" t="n"/>
      <c r="AR951" s="156" t="n"/>
      <c r="AS951" s="156" t="n"/>
      <c r="AT951" s="156" t="n"/>
      <c r="AU951" s="156" t="n"/>
      <c r="AV951" s="156" t="n"/>
      <c r="AW951" s="156" t="n"/>
      <c r="AX951" s="156" t="n"/>
      <c r="AY951" s="156" t="n"/>
      <c r="AZ951" s="156" t="n"/>
      <c r="BA951" s="156" t="n"/>
      <c r="BB951" s="156" t="n"/>
      <c r="BC951" s="156" t="n"/>
      <c r="BD951" s="156" t="n"/>
      <c r="BE951" s="156" t="n"/>
      <c r="BF951" s="156" t="n"/>
      <c r="BG951" s="156" t="n"/>
      <c r="BH951" s="156" t="n"/>
      <c r="BI951" s="157"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86"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3" t="n"/>
      <c r="BQ957" s="149" t="n"/>
      <c r="BR957" s="184" t="n"/>
      <c r="BS957" s="149" t="n"/>
      <c r="BT957" s="149" t="n"/>
      <c r="BU957" s="28" t="n"/>
      <c r="BV957" s="29" t="n"/>
      <c r="BW957" s="185">
        <f>計算!$BP$13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115"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6"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107"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7">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188">
        <f>IF(入力!$D$15="","",設定!$B$6)&amp;""</f>
        <v/>
      </c>
      <c r="S965" s="11" t="n"/>
      <c r="T965" s="11" t="n"/>
      <c r="U965" s="188">
        <f>IF(入力!$D$15="","",設定!$B$7)&amp;""</f>
        <v/>
      </c>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110" t="inlineStr">
        <is>
          <t>令和</t>
        </is>
      </c>
      <c r="S966" s="61" t="inlineStr">
        <is>
          <t>年</t>
        </is>
      </c>
      <c r="W966" s="62"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90"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5" t="n"/>
      <c r="F970" s="156" t="n"/>
      <c r="G970" s="156" t="n"/>
      <c r="H970" s="156" t="n"/>
      <c r="I970" s="156" t="n"/>
      <c r="J970" s="156" t="n"/>
      <c r="K970" s="157"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6" t="n"/>
      <c r="AX970" s="156" t="n"/>
      <c r="AY970" s="156" t="n"/>
      <c r="AZ970" s="156" t="n"/>
      <c r="BA970" s="156" t="n"/>
      <c r="BB970" s="156" t="n"/>
      <c r="BC970" s="156" t="n"/>
      <c r="BD970" s="156" t="n"/>
      <c r="BE970" s="156" t="n"/>
      <c r="BF970" s="156" t="n"/>
      <c r="BG970" s="156" t="n"/>
      <c r="BH970" s="156" t="n"/>
      <c r="BI970" s="157"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58" t="n"/>
      <c r="T971" s="149" t="n"/>
      <c r="U971" s="17" t="n"/>
      <c r="V971" s="17" t="n"/>
      <c r="W971" s="58"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89" t="inlineStr">
        <is>
          <t>職　歴</t>
        </is>
      </c>
      <c r="K974" s="153" t="n"/>
      <c r="L974" s="69" t="inlineStr">
        <is>
          <t>平成</t>
        </is>
      </c>
      <c r="M974" s="149" t="n"/>
      <c r="N974" s="149" t="n"/>
      <c r="O974" s="149" t="n"/>
      <c r="P974" s="19" t="n"/>
      <c r="Q974" s="19" t="n"/>
      <c r="R974" s="19" t="n"/>
      <c r="S974" s="19" t="n"/>
      <c r="T974" s="19" t="n"/>
      <c r="U974" s="19" t="n"/>
      <c r="V974" s="19" t="n"/>
      <c r="W974" s="19" t="n"/>
      <c r="X974" s="37" t="n"/>
      <c r="Y974" s="180">
        <f>計算!$BT$13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8">
        <f>計算!$BR$13</f>
        <v/>
      </c>
      <c r="S976" s="61" t="inlineStr">
        <is>
          <t>年</t>
        </is>
      </c>
      <c r="U976" s="190">
        <f>計算!$BS$13</f>
        <v/>
      </c>
      <c r="W976" s="62"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74"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5" t="n"/>
      <c r="M979" s="156" t="n"/>
      <c r="N979" s="156" t="n"/>
      <c r="O979" s="156" t="n"/>
      <c r="P979" s="20" t="n"/>
      <c r="Q979" s="20" t="n"/>
      <c r="R979" s="20" t="n"/>
      <c r="S979" s="20" t="n"/>
      <c r="T979" s="20" t="n"/>
      <c r="U979" s="20" t="n"/>
      <c r="V979" s="20" t="n"/>
      <c r="W979" s="20" t="n"/>
      <c r="X979" s="39" t="n"/>
      <c r="Y979" s="155" t="n"/>
      <c r="Z979" s="156" t="n"/>
      <c r="AA979" s="156" t="n"/>
      <c r="AB979" s="156" t="n"/>
      <c r="AC979" s="156" t="n"/>
      <c r="AD979" s="156" t="n"/>
      <c r="AE979" s="156" t="n"/>
      <c r="AF979" s="156" t="n"/>
      <c r="AG979" s="156" t="n"/>
      <c r="AH979" s="156" t="n"/>
      <c r="AI979" s="156" t="n"/>
      <c r="AJ979" s="156" t="n"/>
      <c r="AK979" s="156" t="n"/>
      <c r="AL979" s="156" t="n"/>
      <c r="AM979" s="156" t="n"/>
      <c r="AN979" s="156" t="n"/>
      <c r="AO979" s="156" t="n"/>
      <c r="AP979" s="156" t="n"/>
      <c r="AQ979" s="156" t="n"/>
      <c r="AR979" s="156" t="n"/>
      <c r="AS979" s="156" t="n"/>
      <c r="AT979" s="156" t="n"/>
      <c r="AU979" s="156" t="n"/>
      <c r="AV979" s="156" t="n"/>
      <c r="AW979" s="156" t="n"/>
      <c r="AX979" s="156" t="n"/>
      <c r="AY979" s="156" t="n"/>
      <c r="AZ979" s="156" t="n"/>
      <c r="BA979" s="156" t="n"/>
      <c r="BB979" s="156" t="n"/>
      <c r="BC979" s="156" t="n"/>
      <c r="BD979" s="156" t="n"/>
      <c r="BE979" s="156" t="n"/>
      <c r="BF979" s="156" t="n"/>
      <c r="BG979" s="156" t="n"/>
      <c r="BH979" s="156" t="n"/>
      <c r="BI979" s="157"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69" t="inlineStr">
        <is>
          <t>平成</t>
        </is>
      </c>
      <c r="M980" s="149" t="n"/>
      <c r="N980" s="149" t="n"/>
      <c r="O980" s="149" t="n"/>
      <c r="P980" s="18" t="n"/>
      <c r="Q980" s="18" t="n"/>
      <c r="R980" s="18" t="n"/>
      <c r="S980" s="18" t="n"/>
      <c r="T980" s="18" t="n"/>
      <c r="U980" s="18" t="n"/>
      <c r="V980" s="18" t="n"/>
      <c r="W980" s="18" t="n"/>
      <c r="X980" s="35" t="n"/>
      <c r="Y980" s="180">
        <f>計算!$BW$13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8">
        <f>計算!$BU$13</f>
        <v/>
      </c>
      <c r="S982" s="61" t="inlineStr">
        <is>
          <t>年</t>
        </is>
      </c>
      <c r="U982" s="190">
        <f>計算!$BV$13</f>
        <v/>
      </c>
      <c r="W982" s="62"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74"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5" t="n"/>
      <c r="M985" s="156" t="n"/>
      <c r="N985" s="156" t="n"/>
      <c r="O985" s="156" t="n"/>
      <c r="P985" s="20" t="n"/>
      <c r="Q985" s="20" t="n"/>
      <c r="R985" s="20" t="n"/>
      <c r="S985" s="20" t="n"/>
      <c r="T985" s="20" t="n"/>
      <c r="U985" s="20" t="n"/>
      <c r="V985" s="20" t="n"/>
      <c r="W985" s="20" t="n"/>
      <c r="X985" s="39" t="n"/>
      <c r="Y985" s="155" t="n"/>
      <c r="Z985" s="156" t="n"/>
      <c r="AA985" s="156" t="n"/>
      <c r="AB985" s="156" t="n"/>
      <c r="AC985" s="156" t="n"/>
      <c r="AD985" s="156" t="n"/>
      <c r="AE985" s="156" t="n"/>
      <c r="AF985" s="156" t="n"/>
      <c r="AG985" s="156" t="n"/>
      <c r="AH985" s="156" t="n"/>
      <c r="AI985" s="156" t="n"/>
      <c r="AJ985" s="156" t="n"/>
      <c r="AK985" s="156" t="n"/>
      <c r="AL985" s="156" t="n"/>
      <c r="AM985" s="156" t="n"/>
      <c r="AN985" s="156" t="n"/>
      <c r="AO985" s="156" t="n"/>
      <c r="AP985" s="156" t="n"/>
      <c r="AQ985" s="156" t="n"/>
      <c r="AR985" s="156" t="n"/>
      <c r="AS985" s="156" t="n"/>
      <c r="AT985" s="156" t="n"/>
      <c r="AU985" s="156" t="n"/>
      <c r="AV985" s="156" t="n"/>
      <c r="AW985" s="156" t="n"/>
      <c r="AX985" s="156" t="n"/>
      <c r="AY985" s="156" t="n"/>
      <c r="AZ985" s="156" t="n"/>
      <c r="BA985" s="156" t="n"/>
      <c r="BB985" s="156" t="n"/>
      <c r="BC985" s="156" t="n"/>
      <c r="BD985" s="156" t="n"/>
      <c r="BE985" s="156" t="n"/>
      <c r="BF985" s="156" t="n"/>
      <c r="BG985" s="156" t="n"/>
      <c r="BH985" s="156" t="n"/>
      <c r="BI985" s="157" t="n"/>
      <c r="BJ985" s="2" t="n"/>
      <c r="BK985" s="2" t="n"/>
      <c r="BL985" s="2" t="n"/>
      <c r="BM985" s="2" t="n"/>
      <c r="BN985" s="2" t="n"/>
      <c r="BO985" s="2" t="n"/>
      <c r="BP985" s="155" t="n"/>
      <c r="BQ985" s="156" t="n"/>
      <c r="BR985" s="156" t="n"/>
      <c r="BS985" s="156" t="n"/>
      <c r="BT985" s="156" t="n"/>
      <c r="BU985" s="42" t="n"/>
      <c r="BV985" s="45" t="n"/>
      <c r="BW985" s="156" t="n"/>
      <c r="BX985" s="156" t="n"/>
      <c r="BY985" s="156" t="n"/>
      <c r="BZ985" s="156" t="n"/>
      <c r="CA985" s="156" t="n"/>
      <c r="CB985" s="156" t="n"/>
      <c r="CC985" s="156" t="n"/>
      <c r="CD985" s="156" t="n"/>
      <c r="CE985" s="156" t="n"/>
      <c r="CF985" s="156" t="n"/>
      <c r="CG985" s="156" t="n"/>
      <c r="CH985" s="156" t="n"/>
      <c r="CI985" s="156" t="n"/>
      <c r="CJ985" s="156" t="n"/>
      <c r="CK985" s="156" t="n"/>
      <c r="CL985" s="156" t="n"/>
      <c r="CM985" s="156" t="n"/>
      <c r="CN985" s="156" t="n"/>
      <c r="CO985" s="156" t="n"/>
      <c r="CP985" s="156" t="n"/>
      <c r="CQ985" s="156" t="n"/>
      <c r="CR985" s="156" t="n"/>
      <c r="CS985" s="156" t="n"/>
      <c r="CT985" s="156" t="n"/>
      <c r="CU985" s="156" t="n"/>
      <c r="CV985" s="156" t="n"/>
      <c r="CW985" s="156" t="n"/>
      <c r="CX985" s="156" t="n"/>
      <c r="CY985" s="156" t="n"/>
      <c r="CZ985" s="156" t="n"/>
      <c r="DA985" s="156" t="n"/>
      <c r="DB985" s="156" t="n"/>
      <c r="DC985" s="156" t="n"/>
      <c r="DD985" s="156" t="n"/>
      <c r="DE985" s="156" t="n"/>
      <c r="DF985" s="156" t="n"/>
      <c r="DG985" s="156" t="n"/>
      <c r="DH985" s="156" t="n"/>
      <c r="DI985" s="156" t="n"/>
      <c r="DJ985" s="156" t="n"/>
      <c r="DK985" s="156" t="n"/>
      <c r="DL985" s="156" t="n"/>
      <c r="DM985" s="156" t="n"/>
      <c r="DN985" s="156" t="n"/>
      <c r="DO985" s="156" t="n"/>
      <c r="DP985" s="156" t="n"/>
      <c r="DQ985" s="156" t="n"/>
      <c r="DR985" s="156" t="n"/>
      <c r="DS985" s="156" t="n"/>
      <c r="DT985" s="156" t="n"/>
      <c r="DU985" s="157" t="n"/>
      <c r="DV985" s="2" t="n"/>
      <c r="DW985" s="2" t="n"/>
      <c r="DX985" s="2" t="n"/>
      <c r="DY985" s="2" t="n"/>
      <c r="DZ985" s="2" t="n"/>
      <c r="EA985" s="2" t="n"/>
      <c r="EB985" s="2" t="n"/>
      <c r="EC985" s="2" t="n"/>
    </row>
    <row r="986" ht="6.75" customHeight="1" s="118">
      <c r="A986" s="2" t="n"/>
      <c r="B986" s="2" t="n"/>
      <c r="C986" s="2" t="n"/>
      <c r="D986" s="2" t="n"/>
      <c r="E986" s="152" t="n"/>
      <c r="K986" s="153" t="n"/>
      <c r="L986" s="69"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5">
        <f>計算!$BQ$13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61" t="inlineStr">
        <is>
          <t>年</t>
        </is>
      </c>
      <c r="U988" s="11" t="n"/>
      <c r="V988" s="11" t="n"/>
      <c r="W988" s="62"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74"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5" t="n"/>
      <c r="M991" s="156" t="n"/>
      <c r="N991" s="156" t="n"/>
      <c r="O991" s="156"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69"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61" t="inlineStr">
        <is>
          <t>年</t>
        </is>
      </c>
      <c r="U994" s="11" t="n"/>
      <c r="V994" s="11" t="n"/>
      <c r="W994" s="62"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74"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61" t="n"/>
      <c r="T996" s="61" t="n"/>
      <c r="U996" s="11" t="n"/>
      <c r="V996" s="11" t="n"/>
      <c r="W996" s="61" t="n"/>
      <c r="X996" s="62"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5" t="n"/>
      <c r="F997" s="156" t="n"/>
      <c r="G997" s="156" t="n"/>
      <c r="H997" s="156" t="n"/>
      <c r="I997" s="156" t="n"/>
      <c r="J997" s="156" t="n"/>
      <c r="K997" s="157" t="n"/>
      <c r="L997" s="155" t="n"/>
      <c r="M997" s="156" t="n"/>
      <c r="N997" s="156" t="n"/>
      <c r="O997" s="156"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5" t="n"/>
      <c r="BQ997" s="156" t="n"/>
      <c r="BR997" s="156" t="n"/>
      <c r="BS997" s="156" t="n"/>
      <c r="BT997" s="156" t="n"/>
      <c r="BU997" s="156" t="n"/>
      <c r="BV997" s="157" t="n"/>
      <c r="BW997" s="156" t="n"/>
      <c r="BX997" s="156" t="n"/>
      <c r="BY997" s="156" t="n"/>
      <c r="BZ997" s="156" t="n"/>
      <c r="CA997" s="156" t="n"/>
      <c r="CB997" s="156" t="n"/>
      <c r="CC997" s="156" t="n"/>
      <c r="CD997" s="156" t="n"/>
      <c r="CE997" s="156" t="n"/>
      <c r="CF997" s="156" t="n"/>
      <c r="CG997" s="156" t="n"/>
      <c r="CH997" s="156" t="n"/>
      <c r="CI997" s="156" t="n"/>
      <c r="CJ997" s="156" t="n"/>
      <c r="CK997" s="156" t="n"/>
      <c r="CL997" s="156" t="n"/>
      <c r="CM997" s="156" t="n"/>
      <c r="CN997" s="156" t="n"/>
      <c r="CO997" s="156" t="n"/>
      <c r="CP997" s="156" t="n"/>
      <c r="CQ997" s="156" t="n"/>
      <c r="CR997" s="156" t="n"/>
      <c r="CS997" s="156" t="n"/>
      <c r="CT997" s="156" t="n"/>
      <c r="CU997" s="156" t="n"/>
      <c r="CV997" s="156" t="n"/>
      <c r="CW997" s="156" t="n"/>
      <c r="CX997" s="156" t="n"/>
      <c r="CY997" s="156" t="n"/>
      <c r="CZ997" s="156" t="n"/>
      <c r="DA997" s="156" t="n"/>
      <c r="DB997" s="156" t="n"/>
      <c r="DC997" s="156" t="n"/>
      <c r="DD997" s="156" t="n"/>
      <c r="DE997" s="156" t="n"/>
      <c r="DF997" s="156" t="n"/>
      <c r="DG997" s="156" t="n"/>
      <c r="DH997" s="156" t="n"/>
      <c r="DI997" s="156" t="n"/>
      <c r="DJ997" s="156" t="n"/>
      <c r="DK997" s="156" t="n"/>
      <c r="DL997" s="156" t="n"/>
      <c r="DM997" s="156" t="n"/>
      <c r="DN997" s="156" t="n"/>
      <c r="DO997" s="156" t="n"/>
      <c r="DP997" s="156" t="n"/>
      <c r="DQ997" s="156" t="n"/>
      <c r="DR997" s="156" t="n"/>
      <c r="DS997" s="156" t="n"/>
      <c r="DT997" s="156" t="n"/>
      <c r="DU997" s="157"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87" t="inlineStr">
        <is>
          <t xml:space="preserve">    (近畿高等学校統一用紙　  その２ 　  令和７年度改定)　</t>
        </is>
      </c>
      <c r="DV999" s="2" t="n"/>
      <c r="DW999" s="2" t="n"/>
      <c r="DX999" s="2" t="n"/>
      <c r="DY999" s="2" t="n"/>
      <c r="DZ999" s="2" t="n"/>
      <c r="EA999" s="2" t="n"/>
      <c r="EB999" s="2" t="n"/>
      <c r="EC999" s="2" t="n"/>
    </row>
    <row r="1000" hidden="1"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idden="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47"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64" t="inlineStr">
        <is>
          <t>令和</t>
        </is>
      </c>
      <c r="AD1009" s="154">
        <f>IF(入力!$D$16="","",IF(N(設定!$B$3)=0,"",YEAR(設定!$B$3)-2018))&amp;""</f>
        <v/>
      </c>
      <c r="AG1009" s="64" t="inlineStr">
        <is>
          <t>年</t>
        </is>
      </c>
      <c r="AI1009" s="154">
        <f>IF(入力!$D$16="","",IF(N(設定!$B$3)=0,"",MONTH(設定!$B$3)))&amp;""</f>
        <v/>
      </c>
      <c r="AL1009" s="64" t="inlineStr">
        <is>
          <t>月</t>
        </is>
      </c>
      <c r="AN1009" s="154">
        <f>IF(入力!$D$16="","",IF(N(設定!$B$3)=0,"",DAY(設定!$B$3)))&amp;""</f>
        <v/>
      </c>
      <c r="AP1009" s="64"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5" t="n"/>
      <c r="BX1009" s="156" t="n"/>
      <c r="BY1009" s="156" t="n"/>
      <c r="BZ1009" s="156" t="n"/>
      <c r="CA1009" s="156" t="n"/>
      <c r="CB1009" s="156" t="n"/>
      <c r="CC1009" s="156" t="n"/>
      <c r="CD1009" s="156" t="n"/>
      <c r="CE1009" s="156" t="n"/>
      <c r="CF1009" s="156" t="n"/>
      <c r="CG1009" s="157" t="n"/>
      <c r="CH1009" s="155" t="n"/>
      <c r="CI1009" s="156" t="n"/>
      <c r="CJ1009" s="156" t="n"/>
      <c r="CK1009" s="156" t="n"/>
      <c r="CL1009" s="156" t="n"/>
      <c r="CM1009" s="156" t="n"/>
      <c r="CN1009" s="156" t="n"/>
      <c r="CO1009" s="156" t="n"/>
      <c r="CP1009" s="156" t="n"/>
      <c r="CQ1009" s="156" t="n"/>
      <c r="CR1009" s="156" t="n"/>
      <c r="CS1009" s="156" t="n"/>
      <c r="CT1009" s="156" t="n"/>
      <c r="CU1009" s="156" t="n"/>
      <c r="CV1009" s="156" t="n"/>
      <c r="CW1009" s="156" t="n"/>
      <c r="CX1009" s="156" t="n"/>
      <c r="CY1009" s="156" t="n"/>
      <c r="CZ1009" s="156" t="n"/>
      <c r="DA1009" s="156" t="n"/>
      <c r="DB1009" s="156" t="n"/>
      <c r="DC1009" s="156" t="n"/>
      <c r="DD1009" s="156" t="n"/>
      <c r="DE1009" s="156" t="n"/>
      <c r="DF1009" s="156" t="n"/>
      <c r="DG1009" s="156" t="n"/>
      <c r="DH1009" s="156" t="n"/>
      <c r="DI1009" s="156" t="n"/>
      <c r="DJ1009" s="156" t="n"/>
      <c r="DK1009" s="156" t="n"/>
      <c r="DL1009" s="156" t="n"/>
      <c r="DM1009" s="156" t="n"/>
      <c r="DN1009" s="156" t="n"/>
      <c r="DO1009" s="156" t="n"/>
      <c r="DP1009" s="156" t="n"/>
      <c r="DQ1009" s="156" t="n"/>
      <c r="DR1009" s="156" t="n"/>
      <c r="DS1009" s="156" t="n"/>
      <c r="DT1009" s="156" t="n"/>
      <c r="DU1009" s="157"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68" t="inlineStr">
        <is>
          <t>写真をはる位置</t>
        </is>
      </c>
      <c r="BI1010" s="8" t="n"/>
      <c r="BJ1010" s="7" t="n"/>
      <c r="BK1010" s="2" t="n"/>
      <c r="BL1010" s="2" t="n"/>
      <c r="BM1010" s="2" t="n"/>
      <c r="BN1010" s="2" t="n"/>
      <c r="BO1010" s="2" t="n"/>
      <c r="BP1010" s="152" t="n"/>
      <c r="BV1010" s="153" t="n"/>
      <c r="BW1010" s="158">
        <f>計算!$CB$14</f>
        <v/>
      </c>
      <c r="CG1010" s="153" t="n"/>
      <c r="CH1010" s="159">
        <f>計算!$CC$14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6" t="n"/>
      <c r="AA1011" s="156" t="n"/>
      <c r="AB1011" s="156" t="n"/>
      <c r="AC1011" s="156" t="n"/>
      <c r="AD1011" s="156" t="n"/>
      <c r="AE1011" s="156" t="n"/>
      <c r="AF1011" s="156" t="n"/>
      <c r="AG1011" s="156" t="n"/>
      <c r="AH1011" s="156" t="n"/>
      <c r="AI1011" s="156" t="n"/>
      <c r="AJ1011" s="156" t="n"/>
      <c r="AK1011" s="156" t="n"/>
      <c r="AL1011" s="156" t="n"/>
      <c r="AM1011" s="156" t="n"/>
      <c r="AN1011" s="156" t="n"/>
      <c r="AO1011" s="156" t="n"/>
      <c r="AP1011" s="156" t="n"/>
      <c r="AQ1011" s="156" t="n"/>
      <c r="AR1011" s="156" t="n"/>
      <c r="AS1011" s="156" t="n"/>
      <c r="AT1011" s="156"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0">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5" t="n"/>
      <c r="F1015" s="156" t="n"/>
      <c r="G1015" s="156" t="n"/>
      <c r="H1015" s="156" t="n"/>
      <c r="I1015" s="156" t="n"/>
      <c r="J1015" s="156" t="n"/>
      <c r="K1015" s="157" t="n"/>
      <c r="L1015" s="156" t="n"/>
      <c r="M1015" s="156" t="n"/>
      <c r="N1015" s="156" t="n"/>
      <c r="O1015" s="156" t="n"/>
      <c r="P1015" s="156" t="n"/>
      <c r="Q1015" s="156" t="n"/>
      <c r="R1015" s="156" t="n"/>
      <c r="S1015" s="156" t="n"/>
      <c r="T1015" s="156" t="n"/>
      <c r="U1015" s="156" t="n"/>
      <c r="V1015" s="156" t="n"/>
      <c r="W1015" s="156" t="n"/>
      <c r="X1015" s="156" t="n"/>
      <c r="Y1015" s="156" t="n"/>
      <c r="Z1015" s="156" t="n"/>
      <c r="AA1015" s="156" t="n"/>
      <c r="AB1015" s="156" t="n"/>
      <c r="AC1015" s="156" t="n"/>
      <c r="AD1015" s="156" t="n"/>
      <c r="AE1015" s="156" t="n"/>
      <c r="AF1015" s="156" t="n"/>
      <c r="AG1015" s="156" t="n"/>
      <c r="AH1015" s="156" t="n"/>
      <c r="AI1015" s="156" t="n"/>
      <c r="AJ1015" s="156" t="n"/>
      <c r="AK1015" s="156" t="n"/>
      <c r="AL1015" s="156" t="n"/>
      <c r="AM1015" s="156" t="n"/>
      <c r="AN1015" s="156" t="n"/>
      <c r="AO1015" s="156" t="n"/>
      <c r="AP1015" s="156" t="n"/>
      <c r="AQ1015" s="156" t="n"/>
      <c r="AR1015" s="156" t="n"/>
      <c r="AS1015" s="156" t="n"/>
      <c r="AT1015" s="157"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1" t="inlineStr">
        <is>
          <t>名　前</t>
        </is>
      </c>
      <c r="F1016" s="149" t="n"/>
      <c r="G1016" s="149" t="n"/>
      <c r="H1016" s="149" t="n"/>
      <c r="I1016" s="149" t="n"/>
      <c r="J1016" s="149" t="n"/>
      <c r="K1016" s="150" t="n"/>
      <c r="L1016" s="162">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61"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5" t="n"/>
      <c r="F1021" s="156" t="n"/>
      <c r="G1021" s="156" t="n"/>
      <c r="H1021" s="156" t="n"/>
      <c r="I1021" s="156" t="n"/>
      <c r="J1021" s="156" t="n"/>
      <c r="K1021" s="157" t="n"/>
      <c r="L1021" s="155" t="n"/>
      <c r="M1021" s="156" t="n"/>
      <c r="N1021" s="156" t="n"/>
      <c r="O1021" s="156" t="n"/>
      <c r="P1021" s="156" t="n"/>
      <c r="Q1021" s="156" t="n"/>
      <c r="R1021" s="156" t="n"/>
      <c r="S1021" s="156" t="n"/>
      <c r="T1021" s="156" t="n"/>
      <c r="U1021" s="156" t="n"/>
      <c r="V1021" s="156" t="n"/>
      <c r="W1021" s="156" t="n"/>
      <c r="X1021" s="156" t="n"/>
      <c r="Y1021" s="156" t="n"/>
      <c r="Z1021" s="156" t="n"/>
      <c r="AA1021" s="156" t="n"/>
      <c r="AB1021" s="156" t="n"/>
      <c r="AC1021" s="156" t="n"/>
      <c r="AD1021" s="156" t="n"/>
      <c r="AE1021" s="156" t="n"/>
      <c r="AF1021" s="156" t="n"/>
      <c r="AG1021" s="156" t="n"/>
      <c r="AH1021" s="156" t="n"/>
      <c r="AI1021" s="156" t="n"/>
      <c r="AJ1021" s="156" t="n"/>
      <c r="AK1021" s="156" t="n"/>
      <c r="AL1021" s="156" t="n"/>
      <c r="AM1021" s="156" t="n"/>
      <c r="AN1021" s="156" t="n"/>
      <c r="AO1021" s="156" t="n"/>
      <c r="AP1021" s="156" t="n"/>
      <c r="AQ1021" s="156" t="n"/>
      <c r="AR1021" s="156" t="n"/>
      <c r="AS1021" s="156" t="n"/>
      <c r="AT1021" s="157"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1" t="inlineStr">
        <is>
          <t>生年月日</t>
        </is>
      </c>
      <c r="F1022" s="149" t="n"/>
      <c r="G1022" s="149" t="n"/>
      <c r="H1022" s="149" t="n"/>
      <c r="I1022" s="149" t="n"/>
      <c r="J1022" s="149" t="n"/>
      <c r="K1022" s="150" t="n"/>
      <c r="L1022" s="163" t="inlineStr">
        <is>
          <t>昭和 ・ 平成</t>
        </is>
      </c>
      <c r="M1022" s="149" t="n"/>
      <c r="N1022" s="149" t="n"/>
      <c r="O1022" s="149" t="n"/>
      <c r="P1022" s="149" t="n"/>
      <c r="Q1022" s="149" t="n"/>
      <c r="R1022" s="149" t="n"/>
      <c r="S1022" s="149" t="n"/>
      <c r="T1022" s="149" t="n"/>
      <c r="U1022" s="149" t="n"/>
      <c r="V1022" s="164">
        <f>計算!$D$14</f>
        <v/>
      </c>
      <c r="W1022" s="149" t="n"/>
      <c r="X1022" s="165" t="inlineStr">
        <is>
          <t>年</t>
        </is>
      </c>
      <c r="Y1022" s="149" t="n"/>
      <c r="Z1022" s="166">
        <f>計算!$E$14</f>
        <v/>
      </c>
      <c r="AA1022" s="149" t="n"/>
      <c r="AB1022" s="149" t="n"/>
      <c r="AC1022" s="165" t="inlineStr">
        <is>
          <t>月</t>
        </is>
      </c>
      <c r="AD1022" s="149" t="n"/>
      <c r="AE1022" s="166">
        <f>計算!$F$14</f>
        <v/>
      </c>
      <c r="AF1022" s="149" t="n"/>
      <c r="AG1022" s="149" t="n"/>
      <c r="AH1022" s="165" t="inlineStr">
        <is>
          <t>日　生 （満</t>
        </is>
      </c>
      <c r="AI1022" s="149" t="n"/>
      <c r="AJ1022" s="149" t="n"/>
      <c r="AK1022" s="149" t="n"/>
      <c r="AL1022" s="149" t="n"/>
      <c r="AM1022" s="149" t="n"/>
      <c r="AN1022" s="149" t="n"/>
      <c r="AO1022" s="149" t="n"/>
      <c r="AP1022" s="167">
        <f>計算!$G$14</f>
        <v/>
      </c>
      <c r="AQ1022" s="149" t="n"/>
      <c r="AR1022" s="168"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5" t="n"/>
      <c r="F1025" s="156" t="n"/>
      <c r="G1025" s="156" t="n"/>
      <c r="H1025" s="156" t="n"/>
      <c r="I1025" s="156" t="n"/>
      <c r="J1025" s="156" t="n"/>
      <c r="K1025" s="157" t="n"/>
      <c r="L1025" s="155" t="n"/>
      <c r="M1025" s="156" t="n"/>
      <c r="N1025" s="156" t="n"/>
      <c r="O1025" s="156" t="n"/>
      <c r="P1025" s="156" t="n"/>
      <c r="Q1025" s="156" t="n"/>
      <c r="R1025" s="156" t="n"/>
      <c r="S1025" s="156" t="n"/>
      <c r="T1025" s="156" t="n"/>
      <c r="U1025" s="156" t="n"/>
      <c r="X1025" s="156" t="n"/>
      <c r="Y1025" s="156" t="n"/>
      <c r="AC1025" s="156" t="n"/>
      <c r="AD1025" s="156" t="n"/>
      <c r="AH1025" s="156" t="n"/>
      <c r="AI1025" s="156" t="n"/>
      <c r="AJ1025" s="156" t="n"/>
      <c r="AK1025" s="156" t="n"/>
      <c r="AL1025" s="156" t="n"/>
      <c r="AM1025" s="156" t="n"/>
      <c r="AN1025" s="156" t="n"/>
      <c r="AO1025" s="156" t="n"/>
      <c r="AP1025" s="156" t="n"/>
      <c r="AQ1025" s="156" t="n"/>
      <c r="AR1025" s="156" t="n"/>
      <c r="AS1025" s="156" t="n"/>
      <c r="AT1025" s="157"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69" t="inlineStr">
        <is>
          <t>ふ り が な</t>
        </is>
      </c>
      <c r="F1026" s="149" t="n"/>
      <c r="G1026" s="149" t="n"/>
      <c r="H1026" s="149" t="n"/>
      <c r="I1026" s="149" t="n"/>
      <c r="J1026" s="149" t="n"/>
      <c r="K1026" s="150" t="n"/>
      <c r="L1026" s="170">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1" t="n"/>
      <c r="F1028" s="172" t="n"/>
      <c r="G1028" s="172" t="n"/>
      <c r="H1028" s="172" t="n"/>
      <c r="I1028" s="172" t="n"/>
      <c r="J1028" s="172" t="n"/>
      <c r="K1028" s="173" t="n"/>
      <c r="L1028" s="172" t="n"/>
      <c r="M1028" s="172" t="n"/>
      <c r="N1028" s="172" t="n"/>
      <c r="O1028" s="172" t="n"/>
      <c r="P1028" s="172" t="n"/>
      <c r="Q1028" s="172" t="n"/>
      <c r="R1028" s="172" t="n"/>
      <c r="S1028" s="172" t="n"/>
      <c r="T1028" s="172" t="n"/>
      <c r="U1028" s="172" t="n"/>
      <c r="V1028" s="172" t="n"/>
      <c r="W1028" s="172" t="n"/>
      <c r="X1028" s="172" t="n"/>
      <c r="Y1028" s="172" t="n"/>
      <c r="Z1028" s="172" t="n"/>
      <c r="AA1028" s="172" t="n"/>
      <c r="AB1028" s="172" t="n"/>
      <c r="AC1028" s="172" t="n"/>
      <c r="AD1028" s="172" t="n"/>
      <c r="AE1028" s="172" t="n"/>
      <c r="AF1028" s="172" t="n"/>
      <c r="AG1028" s="172" t="n"/>
      <c r="AH1028" s="172" t="n"/>
      <c r="AI1028" s="172" t="n"/>
      <c r="AJ1028" s="172" t="n"/>
      <c r="AK1028" s="172" t="n"/>
      <c r="AL1028" s="172" t="n"/>
      <c r="AM1028" s="172" t="n"/>
      <c r="AN1028" s="172" t="n"/>
      <c r="AO1028" s="172" t="n"/>
      <c r="AP1028" s="172" t="n"/>
      <c r="AQ1028" s="172" t="n"/>
      <c r="AR1028" s="172" t="n"/>
      <c r="AS1028" s="172" t="n"/>
      <c r="AT1028" s="172" t="n"/>
      <c r="AU1028" s="172" t="n"/>
      <c r="AV1028" s="172" t="n"/>
      <c r="AW1028" s="172" t="n"/>
      <c r="AX1028" s="172" t="n"/>
      <c r="AY1028" s="172" t="n"/>
      <c r="AZ1028" s="172" t="n"/>
      <c r="BA1028" s="172" t="n"/>
      <c r="BB1028" s="172" t="n"/>
      <c r="BC1028" s="172" t="n"/>
      <c r="BD1028" s="172" t="n"/>
      <c r="BE1028" s="172" t="n"/>
      <c r="BF1028" s="172" t="n"/>
      <c r="BG1028" s="172" t="n"/>
      <c r="BH1028" s="172" t="n"/>
      <c r="BI1028" s="173"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4" t="inlineStr">
        <is>
          <t>現住所</t>
        </is>
      </c>
      <c r="F1029" s="175" t="n"/>
      <c r="G1029" s="175" t="n"/>
      <c r="H1029" s="175" t="n"/>
      <c r="I1029" s="175" t="n"/>
      <c r="J1029" s="175" t="n"/>
      <c r="K1029" s="176" t="n"/>
      <c r="L1029" s="83" t="inlineStr">
        <is>
          <t>〒</t>
        </is>
      </c>
      <c r="M1029" s="175" t="n"/>
      <c r="N1029" s="175" t="n"/>
      <c r="O1029" s="175" t="n"/>
      <c r="P1029" s="177">
        <f>計算!$H$14</f>
        <v/>
      </c>
      <c r="Q1029" s="175" t="n"/>
      <c r="R1029" s="175" t="n"/>
      <c r="S1029" s="175" t="n"/>
      <c r="T1029" s="175" t="n"/>
      <c r="U1029" s="175" t="n"/>
      <c r="V1029" s="175" t="n"/>
      <c r="W1029" s="175" t="n"/>
      <c r="X1029" s="175" t="n"/>
      <c r="Y1029" s="175" t="n"/>
      <c r="Z1029" s="175" t="n"/>
      <c r="AA1029" s="175" t="n"/>
      <c r="AB1029" s="175" t="n"/>
      <c r="AC1029" s="175" t="n"/>
      <c r="AD1029" s="175" t="n"/>
      <c r="AE1029" s="175" t="n"/>
      <c r="AF1029" s="175" t="n"/>
      <c r="AG1029" s="175" t="n"/>
      <c r="AH1029" s="175" t="n"/>
      <c r="AI1029" s="175" t="n"/>
      <c r="AJ1029" s="175"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5" t="n"/>
      <c r="BQ1030" s="156" t="n"/>
      <c r="BR1030" s="156" t="n"/>
      <c r="BS1030" s="156" t="n"/>
      <c r="BT1030" s="156" t="n"/>
      <c r="BU1030" s="156" t="n"/>
      <c r="BV1030" s="157" t="n"/>
      <c r="BW1030" s="155" t="n"/>
      <c r="BX1030" s="156" t="n"/>
      <c r="BY1030" s="156" t="n"/>
      <c r="BZ1030" s="156" t="n"/>
      <c r="CA1030" s="156" t="n"/>
      <c r="CB1030" s="156" t="n"/>
      <c r="CC1030" s="156" t="n"/>
      <c r="CD1030" s="156" t="n"/>
      <c r="CE1030" s="156" t="n"/>
      <c r="CF1030" s="156" t="n"/>
      <c r="CG1030" s="157"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8" t="inlineStr">
        <is>
          <t>校内外の諸活動</t>
        </is>
      </c>
      <c r="BQ1031" s="149" t="n"/>
      <c r="BR1031" s="149" t="n"/>
      <c r="BS1031" s="149" t="n"/>
      <c r="BT1031" s="149" t="n"/>
      <c r="BU1031" s="149" t="n"/>
      <c r="BV1031" s="150" t="n"/>
      <c r="BW1031" s="179">
        <f>計算!$BO$14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0">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5" t="n"/>
      <c r="F1034" s="156" t="n"/>
      <c r="G1034" s="156" t="n"/>
      <c r="H1034" s="156" t="n"/>
      <c r="I1034" s="156" t="n"/>
      <c r="J1034" s="156" t="n"/>
      <c r="K1034" s="157" t="n"/>
      <c r="L1034" s="155" t="n"/>
      <c r="M1034" s="156" t="n"/>
      <c r="N1034" s="156" t="n"/>
      <c r="O1034" s="156" t="n"/>
      <c r="P1034" s="156" t="n"/>
      <c r="Q1034" s="156" t="n"/>
      <c r="R1034" s="156" t="n"/>
      <c r="S1034" s="156" t="n"/>
      <c r="T1034" s="156" t="n"/>
      <c r="U1034" s="156" t="n"/>
      <c r="V1034" s="156" t="n"/>
      <c r="W1034" s="156" t="n"/>
      <c r="X1034" s="156" t="n"/>
      <c r="Y1034" s="156" t="n"/>
      <c r="Z1034" s="156" t="n"/>
      <c r="AA1034" s="156" t="n"/>
      <c r="AB1034" s="156" t="n"/>
      <c r="AC1034" s="156" t="n"/>
      <c r="AD1034" s="156" t="n"/>
      <c r="AE1034" s="156" t="n"/>
      <c r="AF1034" s="156" t="n"/>
      <c r="AG1034" s="156" t="n"/>
      <c r="AH1034" s="156" t="n"/>
      <c r="AI1034" s="156" t="n"/>
      <c r="AJ1034" s="156" t="n"/>
      <c r="AK1034" s="156" t="n"/>
      <c r="AL1034" s="156" t="n"/>
      <c r="AM1034" s="156" t="n"/>
      <c r="AN1034" s="156" t="n"/>
      <c r="AO1034" s="156" t="n"/>
      <c r="AP1034" s="156" t="n"/>
      <c r="AQ1034" s="156" t="n"/>
      <c r="AR1034" s="156" t="n"/>
      <c r="AS1034" s="156" t="n"/>
      <c r="AT1034" s="156" t="n"/>
      <c r="AU1034" s="156" t="n"/>
      <c r="AV1034" s="156" t="n"/>
      <c r="AW1034" s="156" t="n"/>
      <c r="AX1034" s="156" t="n"/>
      <c r="AY1034" s="156" t="n"/>
      <c r="AZ1034" s="156" t="n"/>
      <c r="BA1034" s="156" t="n"/>
      <c r="BB1034" s="156" t="n"/>
      <c r="BC1034" s="156" t="n"/>
      <c r="BD1034" s="156" t="n"/>
      <c r="BE1034" s="156" t="n"/>
      <c r="BF1034" s="156" t="n"/>
      <c r="BG1034" s="156" t="n"/>
      <c r="BH1034" s="156" t="n"/>
      <c r="BI1034" s="157"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69" t="inlineStr">
        <is>
          <t>ふ り が な</t>
        </is>
      </c>
      <c r="F1035" s="149" t="n"/>
      <c r="G1035" s="149" t="n"/>
      <c r="H1035" s="149" t="n"/>
      <c r="I1035" s="149" t="n"/>
      <c r="J1035" s="149" t="n"/>
      <c r="K1035" s="150" t="n"/>
      <c r="L1035" s="170">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1" t="n"/>
      <c r="F1037" s="172" t="n"/>
      <c r="G1037" s="172" t="n"/>
      <c r="H1037" s="172" t="n"/>
      <c r="I1037" s="172" t="n"/>
      <c r="J1037" s="172" t="n"/>
      <c r="K1037" s="173" t="n"/>
      <c r="L1037" s="172" t="n"/>
      <c r="M1037" s="172" t="n"/>
      <c r="N1037" s="172" t="n"/>
      <c r="O1037" s="172" t="n"/>
      <c r="P1037" s="172" t="n"/>
      <c r="Q1037" s="172" t="n"/>
      <c r="R1037" s="172" t="n"/>
      <c r="S1037" s="172" t="n"/>
      <c r="T1037" s="172" t="n"/>
      <c r="U1037" s="172" t="n"/>
      <c r="V1037" s="172" t="n"/>
      <c r="W1037" s="172" t="n"/>
      <c r="X1037" s="172" t="n"/>
      <c r="Y1037" s="172" t="n"/>
      <c r="Z1037" s="172" t="n"/>
      <c r="AA1037" s="172" t="n"/>
      <c r="AB1037" s="172" t="n"/>
      <c r="AC1037" s="172" t="n"/>
      <c r="AD1037" s="172" t="n"/>
      <c r="AE1037" s="172" t="n"/>
      <c r="AF1037" s="172" t="n"/>
      <c r="AG1037" s="172" t="n"/>
      <c r="AH1037" s="172" t="n"/>
      <c r="AI1037" s="172" t="n"/>
      <c r="AJ1037" s="172" t="n"/>
      <c r="AK1037" s="172" t="n"/>
      <c r="AL1037" s="172" t="n"/>
      <c r="AM1037" s="172" t="n"/>
      <c r="AN1037" s="172" t="n"/>
      <c r="AO1037" s="172" t="n"/>
      <c r="AP1037" s="172" t="n"/>
      <c r="AQ1037" s="172" t="n"/>
      <c r="AR1037" s="172" t="n"/>
      <c r="AS1037" s="172" t="n"/>
      <c r="AT1037" s="172" t="n"/>
      <c r="AU1037" s="172" t="n"/>
      <c r="AV1037" s="172" t="n"/>
      <c r="AW1037" s="172" t="n"/>
      <c r="AX1037" s="172" t="n"/>
      <c r="AY1037" s="172" t="n"/>
      <c r="AZ1037" s="172" t="n"/>
      <c r="BA1037" s="172" t="n"/>
      <c r="BB1037" s="172" t="n"/>
      <c r="BC1037" s="172" t="n"/>
      <c r="BD1037" s="172" t="n"/>
      <c r="BE1037" s="172" t="n"/>
      <c r="BF1037" s="172" t="n"/>
      <c r="BG1037" s="172" t="n"/>
      <c r="BH1037" s="172" t="n"/>
      <c r="BI1037" s="173"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4" t="inlineStr">
        <is>
          <t>連絡先</t>
        </is>
      </c>
      <c r="F1038" s="175" t="n"/>
      <c r="G1038" s="175" t="n"/>
      <c r="H1038" s="175" t="n"/>
      <c r="I1038" s="175" t="n"/>
      <c r="J1038" s="175" t="n"/>
      <c r="K1038" s="176" t="n"/>
      <c r="L1038" s="83" t="inlineStr">
        <is>
          <t>〒</t>
        </is>
      </c>
      <c r="M1038" s="175" t="n"/>
      <c r="N1038" s="175" t="n"/>
      <c r="O1038" s="175" t="n"/>
      <c r="P1038" s="181">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2">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5" t="n"/>
      <c r="F1042" s="156" t="n"/>
      <c r="G1042" s="156" t="n"/>
      <c r="H1042" s="156" t="n"/>
      <c r="I1042" s="156" t="n"/>
      <c r="J1042" s="156" t="n"/>
      <c r="K1042" s="157" t="n"/>
      <c r="L1042" s="156" t="n"/>
      <c r="M1042" s="156" t="n"/>
      <c r="N1042" s="156" t="n"/>
      <c r="O1042" s="156" t="n"/>
      <c r="P1042" s="156" t="n"/>
      <c r="Q1042" s="156" t="n"/>
      <c r="R1042" s="156" t="n"/>
      <c r="S1042" s="156" t="n"/>
      <c r="T1042" s="156" t="n"/>
      <c r="U1042" s="156" t="n"/>
      <c r="V1042" s="156" t="n"/>
      <c r="W1042" s="156" t="n"/>
      <c r="X1042" s="156" t="n"/>
      <c r="Y1042" s="156" t="n"/>
      <c r="Z1042" s="156" t="n"/>
      <c r="AA1042" s="156" t="n"/>
      <c r="AB1042" s="156" t="n"/>
      <c r="AC1042" s="156" t="n"/>
      <c r="AD1042" s="156" t="n"/>
      <c r="AE1042" s="156" t="n"/>
      <c r="AF1042" s="156" t="n"/>
      <c r="AG1042" s="156" t="n"/>
      <c r="AH1042" s="156" t="n"/>
      <c r="AI1042" s="156" t="n"/>
      <c r="AJ1042" s="156" t="n"/>
      <c r="AK1042" s="156" t="n"/>
      <c r="AL1042" s="156" t="n"/>
      <c r="AM1042" s="156" t="n"/>
      <c r="AN1042" s="156" t="n"/>
      <c r="AO1042" s="156" t="n"/>
      <c r="AP1042" s="156" t="n"/>
      <c r="AQ1042" s="156" t="n"/>
      <c r="AR1042" s="156" t="n"/>
      <c r="AS1042" s="156" t="n"/>
      <c r="AT1042" s="156" t="n"/>
      <c r="AU1042" s="156" t="n"/>
      <c r="AV1042" s="156" t="n"/>
      <c r="AW1042" s="156" t="n"/>
      <c r="AX1042" s="156" t="n"/>
      <c r="AY1042" s="156" t="n"/>
      <c r="AZ1042" s="156" t="n"/>
      <c r="BA1042" s="156" t="n"/>
      <c r="BB1042" s="156" t="n"/>
      <c r="BC1042" s="156" t="n"/>
      <c r="BD1042" s="156" t="n"/>
      <c r="BE1042" s="156" t="n"/>
      <c r="BF1042" s="156" t="n"/>
      <c r="BG1042" s="156" t="n"/>
      <c r="BH1042" s="156" t="n"/>
      <c r="BI1042" s="157"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86"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3" t="n"/>
      <c r="BQ1048" s="149" t="n"/>
      <c r="BR1048" s="184" t="n"/>
      <c r="BS1048" s="149" t="n"/>
      <c r="BT1048" s="149" t="n"/>
      <c r="BU1048" s="28" t="n"/>
      <c r="BV1048" s="29" t="n"/>
      <c r="BW1048" s="185">
        <f>計算!$BP$14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115"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6"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107"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7">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188">
        <f>IF(入力!$D$16="","",設定!$B$6)&amp;""</f>
        <v/>
      </c>
      <c r="S1056" s="11" t="n"/>
      <c r="T1056" s="11" t="n"/>
      <c r="U1056" s="188">
        <f>IF(入力!$D$16="","",設定!$B$7)&amp;""</f>
        <v/>
      </c>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110" t="inlineStr">
        <is>
          <t>令和</t>
        </is>
      </c>
      <c r="S1057" s="61" t="inlineStr">
        <is>
          <t>年</t>
        </is>
      </c>
      <c r="W1057" s="62"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90"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5" t="n"/>
      <c r="F1061" s="156" t="n"/>
      <c r="G1061" s="156" t="n"/>
      <c r="H1061" s="156" t="n"/>
      <c r="I1061" s="156" t="n"/>
      <c r="J1061" s="156" t="n"/>
      <c r="K1061" s="157"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6" t="n"/>
      <c r="AX1061" s="156" t="n"/>
      <c r="AY1061" s="156" t="n"/>
      <c r="AZ1061" s="156" t="n"/>
      <c r="BA1061" s="156" t="n"/>
      <c r="BB1061" s="156" t="n"/>
      <c r="BC1061" s="156" t="n"/>
      <c r="BD1061" s="156" t="n"/>
      <c r="BE1061" s="156" t="n"/>
      <c r="BF1061" s="156" t="n"/>
      <c r="BG1061" s="156" t="n"/>
      <c r="BH1061" s="156" t="n"/>
      <c r="BI1061" s="157"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58" t="n"/>
      <c r="T1062" s="149" t="n"/>
      <c r="U1062" s="17" t="n"/>
      <c r="V1062" s="17" t="n"/>
      <c r="W1062" s="58"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89" t="inlineStr">
        <is>
          <t>職　歴</t>
        </is>
      </c>
      <c r="K1065" s="153" t="n"/>
      <c r="L1065" s="69" t="inlineStr">
        <is>
          <t>平成</t>
        </is>
      </c>
      <c r="M1065" s="149" t="n"/>
      <c r="N1065" s="149" t="n"/>
      <c r="O1065" s="149" t="n"/>
      <c r="P1065" s="19" t="n"/>
      <c r="Q1065" s="19" t="n"/>
      <c r="R1065" s="19" t="n"/>
      <c r="S1065" s="19" t="n"/>
      <c r="T1065" s="19" t="n"/>
      <c r="U1065" s="19" t="n"/>
      <c r="V1065" s="19" t="n"/>
      <c r="W1065" s="19" t="n"/>
      <c r="X1065" s="37" t="n"/>
      <c r="Y1065" s="180">
        <f>計算!$BT$14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8">
        <f>計算!$BR$14</f>
        <v/>
      </c>
      <c r="S1067" s="61" t="inlineStr">
        <is>
          <t>年</t>
        </is>
      </c>
      <c r="U1067" s="190">
        <f>計算!$BS$14</f>
        <v/>
      </c>
      <c r="W1067" s="62"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74"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5" t="n"/>
      <c r="M1070" s="156" t="n"/>
      <c r="N1070" s="156" t="n"/>
      <c r="O1070" s="156" t="n"/>
      <c r="P1070" s="20" t="n"/>
      <c r="Q1070" s="20" t="n"/>
      <c r="R1070" s="20" t="n"/>
      <c r="S1070" s="20" t="n"/>
      <c r="T1070" s="20" t="n"/>
      <c r="U1070" s="20" t="n"/>
      <c r="V1070" s="20" t="n"/>
      <c r="W1070" s="20" t="n"/>
      <c r="X1070" s="39" t="n"/>
      <c r="Y1070" s="155" t="n"/>
      <c r="Z1070" s="156" t="n"/>
      <c r="AA1070" s="156" t="n"/>
      <c r="AB1070" s="156" t="n"/>
      <c r="AC1070" s="156" t="n"/>
      <c r="AD1070" s="156" t="n"/>
      <c r="AE1070" s="156" t="n"/>
      <c r="AF1070" s="156" t="n"/>
      <c r="AG1070" s="156" t="n"/>
      <c r="AH1070" s="156" t="n"/>
      <c r="AI1070" s="156" t="n"/>
      <c r="AJ1070" s="156" t="n"/>
      <c r="AK1070" s="156" t="n"/>
      <c r="AL1070" s="156" t="n"/>
      <c r="AM1070" s="156" t="n"/>
      <c r="AN1070" s="156" t="n"/>
      <c r="AO1070" s="156" t="n"/>
      <c r="AP1070" s="156" t="n"/>
      <c r="AQ1070" s="156" t="n"/>
      <c r="AR1070" s="156" t="n"/>
      <c r="AS1070" s="156" t="n"/>
      <c r="AT1070" s="156" t="n"/>
      <c r="AU1070" s="156" t="n"/>
      <c r="AV1070" s="156" t="n"/>
      <c r="AW1070" s="156" t="n"/>
      <c r="AX1070" s="156" t="n"/>
      <c r="AY1070" s="156" t="n"/>
      <c r="AZ1070" s="156" t="n"/>
      <c r="BA1070" s="156" t="n"/>
      <c r="BB1070" s="156" t="n"/>
      <c r="BC1070" s="156" t="n"/>
      <c r="BD1070" s="156" t="n"/>
      <c r="BE1070" s="156" t="n"/>
      <c r="BF1070" s="156" t="n"/>
      <c r="BG1070" s="156" t="n"/>
      <c r="BH1070" s="156" t="n"/>
      <c r="BI1070" s="157"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69" t="inlineStr">
        <is>
          <t>平成</t>
        </is>
      </c>
      <c r="M1071" s="149" t="n"/>
      <c r="N1071" s="149" t="n"/>
      <c r="O1071" s="149" t="n"/>
      <c r="P1071" s="18" t="n"/>
      <c r="Q1071" s="18" t="n"/>
      <c r="R1071" s="18" t="n"/>
      <c r="S1071" s="18" t="n"/>
      <c r="T1071" s="18" t="n"/>
      <c r="U1071" s="18" t="n"/>
      <c r="V1071" s="18" t="n"/>
      <c r="W1071" s="18" t="n"/>
      <c r="X1071" s="35" t="n"/>
      <c r="Y1071" s="180">
        <f>計算!$BW$14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8">
        <f>計算!$BU$14</f>
        <v/>
      </c>
      <c r="S1073" s="61" t="inlineStr">
        <is>
          <t>年</t>
        </is>
      </c>
      <c r="U1073" s="190">
        <f>計算!$BV$14</f>
        <v/>
      </c>
      <c r="W1073" s="62"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74"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5" t="n"/>
      <c r="M1076" s="156" t="n"/>
      <c r="N1076" s="156" t="n"/>
      <c r="O1076" s="156" t="n"/>
      <c r="P1076" s="20" t="n"/>
      <c r="Q1076" s="20" t="n"/>
      <c r="R1076" s="20" t="n"/>
      <c r="S1076" s="20" t="n"/>
      <c r="T1076" s="20" t="n"/>
      <c r="U1076" s="20" t="n"/>
      <c r="V1076" s="20" t="n"/>
      <c r="W1076" s="20" t="n"/>
      <c r="X1076" s="39" t="n"/>
      <c r="Y1076" s="155" t="n"/>
      <c r="Z1076" s="156" t="n"/>
      <c r="AA1076" s="156" t="n"/>
      <c r="AB1076" s="156" t="n"/>
      <c r="AC1076" s="156" t="n"/>
      <c r="AD1076" s="156" t="n"/>
      <c r="AE1076" s="156" t="n"/>
      <c r="AF1076" s="156" t="n"/>
      <c r="AG1076" s="156" t="n"/>
      <c r="AH1076" s="156" t="n"/>
      <c r="AI1076" s="156" t="n"/>
      <c r="AJ1076" s="156" t="n"/>
      <c r="AK1076" s="156" t="n"/>
      <c r="AL1076" s="156" t="n"/>
      <c r="AM1076" s="156" t="n"/>
      <c r="AN1076" s="156" t="n"/>
      <c r="AO1076" s="156" t="n"/>
      <c r="AP1076" s="156" t="n"/>
      <c r="AQ1076" s="156" t="n"/>
      <c r="AR1076" s="156" t="n"/>
      <c r="AS1076" s="156" t="n"/>
      <c r="AT1076" s="156" t="n"/>
      <c r="AU1076" s="156" t="n"/>
      <c r="AV1076" s="156" t="n"/>
      <c r="AW1076" s="156" t="n"/>
      <c r="AX1076" s="156" t="n"/>
      <c r="AY1076" s="156" t="n"/>
      <c r="AZ1076" s="156" t="n"/>
      <c r="BA1076" s="156" t="n"/>
      <c r="BB1076" s="156" t="n"/>
      <c r="BC1076" s="156" t="n"/>
      <c r="BD1076" s="156" t="n"/>
      <c r="BE1076" s="156" t="n"/>
      <c r="BF1076" s="156" t="n"/>
      <c r="BG1076" s="156" t="n"/>
      <c r="BH1076" s="156" t="n"/>
      <c r="BI1076" s="157" t="n"/>
      <c r="BJ1076" s="2" t="n"/>
      <c r="BK1076" s="2" t="n"/>
      <c r="BL1076" s="2" t="n"/>
      <c r="BM1076" s="2" t="n"/>
      <c r="BN1076" s="2" t="n"/>
      <c r="BO1076" s="2" t="n"/>
      <c r="BP1076" s="155" t="n"/>
      <c r="BQ1076" s="156" t="n"/>
      <c r="BR1076" s="156" t="n"/>
      <c r="BS1076" s="156" t="n"/>
      <c r="BT1076" s="156" t="n"/>
      <c r="BU1076" s="42" t="n"/>
      <c r="BV1076" s="45" t="n"/>
      <c r="BW1076" s="156" t="n"/>
      <c r="BX1076" s="156" t="n"/>
      <c r="BY1076" s="156" t="n"/>
      <c r="BZ1076" s="156" t="n"/>
      <c r="CA1076" s="156" t="n"/>
      <c r="CB1076" s="156" t="n"/>
      <c r="CC1076" s="156" t="n"/>
      <c r="CD1076" s="156" t="n"/>
      <c r="CE1076" s="156" t="n"/>
      <c r="CF1076" s="156" t="n"/>
      <c r="CG1076" s="156" t="n"/>
      <c r="CH1076" s="156" t="n"/>
      <c r="CI1076" s="156" t="n"/>
      <c r="CJ1076" s="156" t="n"/>
      <c r="CK1076" s="156" t="n"/>
      <c r="CL1076" s="156" t="n"/>
      <c r="CM1076" s="156" t="n"/>
      <c r="CN1076" s="156" t="n"/>
      <c r="CO1076" s="156" t="n"/>
      <c r="CP1076" s="156" t="n"/>
      <c r="CQ1076" s="156" t="n"/>
      <c r="CR1076" s="156" t="n"/>
      <c r="CS1076" s="156" t="n"/>
      <c r="CT1076" s="156" t="n"/>
      <c r="CU1076" s="156" t="n"/>
      <c r="CV1076" s="156" t="n"/>
      <c r="CW1076" s="156" t="n"/>
      <c r="CX1076" s="156" t="n"/>
      <c r="CY1076" s="156" t="n"/>
      <c r="CZ1076" s="156" t="n"/>
      <c r="DA1076" s="156" t="n"/>
      <c r="DB1076" s="156" t="n"/>
      <c r="DC1076" s="156" t="n"/>
      <c r="DD1076" s="156" t="n"/>
      <c r="DE1076" s="156" t="n"/>
      <c r="DF1076" s="156" t="n"/>
      <c r="DG1076" s="156" t="n"/>
      <c r="DH1076" s="156" t="n"/>
      <c r="DI1076" s="156" t="n"/>
      <c r="DJ1076" s="156" t="n"/>
      <c r="DK1076" s="156" t="n"/>
      <c r="DL1076" s="156" t="n"/>
      <c r="DM1076" s="156" t="n"/>
      <c r="DN1076" s="156" t="n"/>
      <c r="DO1076" s="156" t="n"/>
      <c r="DP1076" s="156" t="n"/>
      <c r="DQ1076" s="156" t="n"/>
      <c r="DR1076" s="156" t="n"/>
      <c r="DS1076" s="156" t="n"/>
      <c r="DT1076" s="156" t="n"/>
      <c r="DU1076" s="157" t="n"/>
      <c r="DV1076" s="2" t="n"/>
      <c r="DW1076" s="2" t="n"/>
      <c r="DX1076" s="2" t="n"/>
      <c r="DY1076" s="2" t="n"/>
      <c r="DZ1076" s="2" t="n"/>
      <c r="EA1076" s="2" t="n"/>
      <c r="EB1076" s="2" t="n"/>
      <c r="EC1076" s="2" t="n"/>
    </row>
    <row r="1077" ht="6.75" customHeight="1" s="118">
      <c r="A1077" s="2" t="n"/>
      <c r="B1077" s="2" t="n"/>
      <c r="C1077" s="2" t="n"/>
      <c r="D1077" s="2" t="n"/>
      <c r="E1077" s="152" t="n"/>
      <c r="K1077" s="153" t="n"/>
      <c r="L1077" s="69"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5">
        <f>計算!$BQ$14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61" t="inlineStr">
        <is>
          <t>年</t>
        </is>
      </c>
      <c r="U1079" s="11" t="n"/>
      <c r="V1079" s="11" t="n"/>
      <c r="W1079" s="62"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74"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5" t="n"/>
      <c r="M1082" s="156" t="n"/>
      <c r="N1082" s="156" t="n"/>
      <c r="O1082" s="156"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69"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61" t="inlineStr">
        <is>
          <t>年</t>
        </is>
      </c>
      <c r="U1085" s="11" t="n"/>
      <c r="V1085" s="11" t="n"/>
      <c r="W1085" s="62"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74"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61" t="n"/>
      <c r="T1087" s="61" t="n"/>
      <c r="U1087" s="11" t="n"/>
      <c r="V1087" s="11" t="n"/>
      <c r="W1087" s="61" t="n"/>
      <c r="X1087" s="62"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5" t="n"/>
      <c r="F1088" s="156" t="n"/>
      <c r="G1088" s="156" t="n"/>
      <c r="H1088" s="156" t="n"/>
      <c r="I1088" s="156" t="n"/>
      <c r="J1088" s="156" t="n"/>
      <c r="K1088" s="157" t="n"/>
      <c r="L1088" s="155" t="n"/>
      <c r="M1088" s="156" t="n"/>
      <c r="N1088" s="156" t="n"/>
      <c r="O1088" s="156"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5" t="n"/>
      <c r="BQ1088" s="156" t="n"/>
      <c r="BR1088" s="156" t="n"/>
      <c r="BS1088" s="156" t="n"/>
      <c r="BT1088" s="156" t="n"/>
      <c r="BU1088" s="156" t="n"/>
      <c r="BV1088" s="157" t="n"/>
      <c r="BW1088" s="156" t="n"/>
      <c r="BX1088" s="156" t="n"/>
      <c r="BY1088" s="156" t="n"/>
      <c r="BZ1088" s="156" t="n"/>
      <c r="CA1088" s="156" t="n"/>
      <c r="CB1088" s="156" t="n"/>
      <c r="CC1088" s="156" t="n"/>
      <c r="CD1088" s="156" t="n"/>
      <c r="CE1088" s="156" t="n"/>
      <c r="CF1088" s="156" t="n"/>
      <c r="CG1088" s="156" t="n"/>
      <c r="CH1088" s="156" t="n"/>
      <c r="CI1088" s="156" t="n"/>
      <c r="CJ1088" s="156" t="n"/>
      <c r="CK1088" s="156" t="n"/>
      <c r="CL1088" s="156" t="n"/>
      <c r="CM1088" s="156" t="n"/>
      <c r="CN1088" s="156" t="n"/>
      <c r="CO1088" s="156" t="n"/>
      <c r="CP1088" s="156" t="n"/>
      <c r="CQ1088" s="156" t="n"/>
      <c r="CR1088" s="156" t="n"/>
      <c r="CS1088" s="156" t="n"/>
      <c r="CT1088" s="156" t="n"/>
      <c r="CU1088" s="156" t="n"/>
      <c r="CV1088" s="156" t="n"/>
      <c r="CW1088" s="156" t="n"/>
      <c r="CX1088" s="156" t="n"/>
      <c r="CY1088" s="156" t="n"/>
      <c r="CZ1088" s="156" t="n"/>
      <c r="DA1088" s="156" t="n"/>
      <c r="DB1088" s="156" t="n"/>
      <c r="DC1088" s="156" t="n"/>
      <c r="DD1088" s="156" t="n"/>
      <c r="DE1088" s="156" t="n"/>
      <c r="DF1088" s="156" t="n"/>
      <c r="DG1088" s="156" t="n"/>
      <c r="DH1088" s="156" t="n"/>
      <c r="DI1088" s="156" t="n"/>
      <c r="DJ1088" s="156" t="n"/>
      <c r="DK1088" s="156" t="n"/>
      <c r="DL1088" s="156" t="n"/>
      <c r="DM1088" s="156" t="n"/>
      <c r="DN1088" s="156" t="n"/>
      <c r="DO1088" s="156" t="n"/>
      <c r="DP1088" s="156" t="n"/>
      <c r="DQ1088" s="156" t="n"/>
      <c r="DR1088" s="156" t="n"/>
      <c r="DS1088" s="156" t="n"/>
      <c r="DT1088" s="156" t="n"/>
      <c r="DU1088" s="157"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87" t="inlineStr">
        <is>
          <t xml:space="preserve">    (近畿高等学校統一用紙　  その２ 　  令和７年度改定)　</t>
        </is>
      </c>
      <c r="DV1090" s="2" t="n"/>
      <c r="DW1090" s="2" t="n"/>
      <c r="DX1090" s="2" t="n"/>
      <c r="DY1090" s="2" t="n"/>
      <c r="DZ1090" s="2" t="n"/>
      <c r="EA1090" s="2" t="n"/>
      <c r="EB1090" s="2" t="n"/>
      <c r="EC1090" s="2" t="n"/>
    </row>
    <row r="1091" hidden="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idden="1"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47"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64" t="inlineStr">
        <is>
          <t>令和</t>
        </is>
      </c>
      <c r="AD1100" s="154">
        <f>IF(入力!$D$17="","",IF(N(設定!$B$3)=0,"",YEAR(設定!$B$3)-2018))&amp;""</f>
        <v/>
      </c>
      <c r="AG1100" s="64" t="inlineStr">
        <is>
          <t>年</t>
        </is>
      </c>
      <c r="AI1100" s="154">
        <f>IF(入力!$D$17="","",IF(N(設定!$B$3)=0,"",MONTH(設定!$B$3)))&amp;""</f>
        <v/>
      </c>
      <c r="AL1100" s="64" t="inlineStr">
        <is>
          <t>月</t>
        </is>
      </c>
      <c r="AN1100" s="154">
        <f>IF(入力!$D$17="","",IF(N(設定!$B$3)=0,"",DAY(設定!$B$3)))&amp;""</f>
        <v/>
      </c>
      <c r="AP1100" s="64"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5" t="n"/>
      <c r="BX1100" s="156" t="n"/>
      <c r="BY1100" s="156" t="n"/>
      <c r="BZ1100" s="156" t="n"/>
      <c r="CA1100" s="156" t="n"/>
      <c r="CB1100" s="156" t="n"/>
      <c r="CC1100" s="156" t="n"/>
      <c r="CD1100" s="156" t="n"/>
      <c r="CE1100" s="156" t="n"/>
      <c r="CF1100" s="156" t="n"/>
      <c r="CG1100" s="157" t="n"/>
      <c r="CH1100" s="155" t="n"/>
      <c r="CI1100" s="156" t="n"/>
      <c r="CJ1100" s="156" t="n"/>
      <c r="CK1100" s="156" t="n"/>
      <c r="CL1100" s="156" t="n"/>
      <c r="CM1100" s="156" t="n"/>
      <c r="CN1100" s="156" t="n"/>
      <c r="CO1100" s="156" t="n"/>
      <c r="CP1100" s="156" t="n"/>
      <c r="CQ1100" s="156" t="n"/>
      <c r="CR1100" s="156" t="n"/>
      <c r="CS1100" s="156" t="n"/>
      <c r="CT1100" s="156" t="n"/>
      <c r="CU1100" s="156" t="n"/>
      <c r="CV1100" s="156" t="n"/>
      <c r="CW1100" s="156" t="n"/>
      <c r="CX1100" s="156" t="n"/>
      <c r="CY1100" s="156" t="n"/>
      <c r="CZ1100" s="156" t="n"/>
      <c r="DA1100" s="156" t="n"/>
      <c r="DB1100" s="156" t="n"/>
      <c r="DC1100" s="156" t="n"/>
      <c r="DD1100" s="156" t="n"/>
      <c r="DE1100" s="156" t="n"/>
      <c r="DF1100" s="156" t="n"/>
      <c r="DG1100" s="156" t="n"/>
      <c r="DH1100" s="156" t="n"/>
      <c r="DI1100" s="156" t="n"/>
      <c r="DJ1100" s="156" t="n"/>
      <c r="DK1100" s="156" t="n"/>
      <c r="DL1100" s="156" t="n"/>
      <c r="DM1100" s="156" t="n"/>
      <c r="DN1100" s="156" t="n"/>
      <c r="DO1100" s="156" t="n"/>
      <c r="DP1100" s="156" t="n"/>
      <c r="DQ1100" s="156" t="n"/>
      <c r="DR1100" s="156" t="n"/>
      <c r="DS1100" s="156" t="n"/>
      <c r="DT1100" s="156" t="n"/>
      <c r="DU1100" s="157"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68" t="inlineStr">
        <is>
          <t>写真をはる位置</t>
        </is>
      </c>
      <c r="BI1101" s="8" t="n"/>
      <c r="BJ1101" s="7" t="n"/>
      <c r="BK1101" s="2" t="n"/>
      <c r="BL1101" s="2" t="n"/>
      <c r="BM1101" s="2" t="n"/>
      <c r="BN1101" s="2" t="n"/>
      <c r="BO1101" s="2" t="n"/>
      <c r="BP1101" s="152" t="n"/>
      <c r="BV1101" s="153" t="n"/>
      <c r="BW1101" s="158">
        <f>計算!$CB$15</f>
        <v/>
      </c>
      <c r="CG1101" s="153" t="n"/>
      <c r="CH1101" s="159">
        <f>計算!$CC$15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6" t="n"/>
      <c r="AA1102" s="156" t="n"/>
      <c r="AB1102" s="156" t="n"/>
      <c r="AC1102" s="156" t="n"/>
      <c r="AD1102" s="156" t="n"/>
      <c r="AE1102" s="156" t="n"/>
      <c r="AF1102" s="156" t="n"/>
      <c r="AG1102" s="156" t="n"/>
      <c r="AH1102" s="156" t="n"/>
      <c r="AI1102" s="156" t="n"/>
      <c r="AJ1102" s="156" t="n"/>
      <c r="AK1102" s="156" t="n"/>
      <c r="AL1102" s="156" t="n"/>
      <c r="AM1102" s="156" t="n"/>
      <c r="AN1102" s="156" t="n"/>
      <c r="AO1102" s="156" t="n"/>
      <c r="AP1102" s="156" t="n"/>
      <c r="AQ1102" s="156" t="n"/>
      <c r="AR1102" s="156" t="n"/>
      <c r="AS1102" s="156" t="n"/>
      <c r="AT1102" s="156"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0">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5" t="n"/>
      <c r="F1106" s="156" t="n"/>
      <c r="G1106" s="156" t="n"/>
      <c r="H1106" s="156" t="n"/>
      <c r="I1106" s="156" t="n"/>
      <c r="J1106" s="156" t="n"/>
      <c r="K1106" s="157" t="n"/>
      <c r="L1106" s="156" t="n"/>
      <c r="M1106" s="156" t="n"/>
      <c r="N1106" s="156" t="n"/>
      <c r="O1106" s="156" t="n"/>
      <c r="P1106" s="156" t="n"/>
      <c r="Q1106" s="156" t="n"/>
      <c r="R1106" s="156" t="n"/>
      <c r="S1106" s="156" t="n"/>
      <c r="T1106" s="156" t="n"/>
      <c r="U1106" s="156" t="n"/>
      <c r="V1106" s="156" t="n"/>
      <c r="W1106" s="156" t="n"/>
      <c r="X1106" s="156" t="n"/>
      <c r="Y1106" s="156" t="n"/>
      <c r="Z1106" s="156" t="n"/>
      <c r="AA1106" s="156" t="n"/>
      <c r="AB1106" s="156" t="n"/>
      <c r="AC1106" s="156" t="n"/>
      <c r="AD1106" s="156" t="n"/>
      <c r="AE1106" s="156" t="n"/>
      <c r="AF1106" s="156" t="n"/>
      <c r="AG1106" s="156" t="n"/>
      <c r="AH1106" s="156" t="n"/>
      <c r="AI1106" s="156" t="n"/>
      <c r="AJ1106" s="156" t="n"/>
      <c r="AK1106" s="156" t="n"/>
      <c r="AL1106" s="156" t="n"/>
      <c r="AM1106" s="156" t="n"/>
      <c r="AN1106" s="156" t="n"/>
      <c r="AO1106" s="156" t="n"/>
      <c r="AP1106" s="156" t="n"/>
      <c r="AQ1106" s="156" t="n"/>
      <c r="AR1106" s="156" t="n"/>
      <c r="AS1106" s="156" t="n"/>
      <c r="AT1106" s="157"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1" t="inlineStr">
        <is>
          <t>名　前</t>
        </is>
      </c>
      <c r="F1107" s="149" t="n"/>
      <c r="G1107" s="149" t="n"/>
      <c r="H1107" s="149" t="n"/>
      <c r="I1107" s="149" t="n"/>
      <c r="J1107" s="149" t="n"/>
      <c r="K1107" s="150" t="n"/>
      <c r="L1107" s="162">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61"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5" t="n"/>
      <c r="F1112" s="156" t="n"/>
      <c r="G1112" s="156" t="n"/>
      <c r="H1112" s="156" t="n"/>
      <c r="I1112" s="156" t="n"/>
      <c r="J1112" s="156" t="n"/>
      <c r="K1112" s="157" t="n"/>
      <c r="L1112" s="155" t="n"/>
      <c r="M1112" s="156" t="n"/>
      <c r="N1112" s="156" t="n"/>
      <c r="O1112" s="156" t="n"/>
      <c r="P1112" s="156" t="n"/>
      <c r="Q1112" s="156" t="n"/>
      <c r="R1112" s="156" t="n"/>
      <c r="S1112" s="156" t="n"/>
      <c r="T1112" s="156" t="n"/>
      <c r="U1112" s="156" t="n"/>
      <c r="V1112" s="156" t="n"/>
      <c r="W1112" s="156" t="n"/>
      <c r="X1112" s="156" t="n"/>
      <c r="Y1112" s="156" t="n"/>
      <c r="Z1112" s="156" t="n"/>
      <c r="AA1112" s="156" t="n"/>
      <c r="AB1112" s="156" t="n"/>
      <c r="AC1112" s="156" t="n"/>
      <c r="AD1112" s="156" t="n"/>
      <c r="AE1112" s="156" t="n"/>
      <c r="AF1112" s="156" t="n"/>
      <c r="AG1112" s="156" t="n"/>
      <c r="AH1112" s="156" t="n"/>
      <c r="AI1112" s="156" t="n"/>
      <c r="AJ1112" s="156" t="n"/>
      <c r="AK1112" s="156" t="n"/>
      <c r="AL1112" s="156" t="n"/>
      <c r="AM1112" s="156" t="n"/>
      <c r="AN1112" s="156" t="n"/>
      <c r="AO1112" s="156" t="n"/>
      <c r="AP1112" s="156" t="n"/>
      <c r="AQ1112" s="156" t="n"/>
      <c r="AR1112" s="156" t="n"/>
      <c r="AS1112" s="156" t="n"/>
      <c r="AT1112" s="157"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1" t="inlineStr">
        <is>
          <t>生年月日</t>
        </is>
      </c>
      <c r="F1113" s="149" t="n"/>
      <c r="G1113" s="149" t="n"/>
      <c r="H1113" s="149" t="n"/>
      <c r="I1113" s="149" t="n"/>
      <c r="J1113" s="149" t="n"/>
      <c r="K1113" s="150" t="n"/>
      <c r="L1113" s="163" t="inlineStr">
        <is>
          <t>昭和 ・ 平成</t>
        </is>
      </c>
      <c r="M1113" s="149" t="n"/>
      <c r="N1113" s="149" t="n"/>
      <c r="O1113" s="149" t="n"/>
      <c r="P1113" s="149" t="n"/>
      <c r="Q1113" s="149" t="n"/>
      <c r="R1113" s="149" t="n"/>
      <c r="S1113" s="149" t="n"/>
      <c r="T1113" s="149" t="n"/>
      <c r="U1113" s="149" t="n"/>
      <c r="V1113" s="164">
        <f>計算!$D$15</f>
        <v/>
      </c>
      <c r="W1113" s="149" t="n"/>
      <c r="X1113" s="165" t="inlineStr">
        <is>
          <t>年</t>
        </is>
      </c>
      <c r="Y1113" s="149" t="n"/>
      <c r="Z1113" s="166">
        <f>計算!$E$15</f>
        <v/>
      </c>
      <c r="AA1113" s="149" t="n"/>
      <c r="AB1113" s="149" t="n"/>
      <c r="AC1113" s="165" t="inlineStr">
        <is>
          <t>月</t>
        </is>
      </c>
      <c r="AD1113" s="149" t="n"/>
      <c r="AE1113" s="166">
        <f>計算!$F$15</f>
        <v/>
      </c>
      <c r="AF1113" s="149" t="n"/>
      <c r="AG1113" s="149" t="n"/>
      <c r="AH1113" s="165" t="inlineStr">
        <is>
          <t>日　生 （満</t>
        </is>
      </c>
      <c r="AI1113" s="149" t="n"/>
      <c r="AJ1113" s="149" t="n"/>
      <c r="AK1113" s="149" t="n"/>
      <c r="AL1113" s="149" t="n"/>
      <c r="AM1113" s="149" t="n"/>
      <c r="AN1113" s="149" t="n"/>
      <c r="AO1113" s="149" t="n"/>
      <c r="AP1113" s="167">
        <f>計算!$G$15</f>
        <v/>
      </c>
      <c r="AQ1113" s="149" t="n"/>
      <c r="AR1113" s="168"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5" t="n"/>
      <c r="F1116" s="156" t="n"/>
      <c r="G1116" s="156" t="n"/>
      <c r="H1116" s="156" t="n"/>
      <c r="I1116" s="156" t="n"/>
      <c r="J1116" s="156" t="n"/>
      <c r="K1116" s="157" t="n"/>
      <c r="L1116" s="155" t="n"/>
      <c r="M1116" s="156" t="n"/>
      <c r="N1116" s="156" t="n"/>
      <c r="O1116" s="156" t="n"/>
      <c r="P1116" s="156" t="n"/>
      <c r="Q1116" s="156" t="n"/>
      <c r="R1116" s="156" t="n"/>
      <c r="S1116" s="156" t="n"/>
      <c r="T1116" s="156" t="n"/>
      <c r="U1116" s="156" t="n"/>
      <c r="X1116" s="156" t="n"/>
      <c r="Y1116" s="156" t="n"/>
      <c r="AC1116" s="156" t="n"/>
      <c r="AD1116" s="156" t="n"/>
      <c r="AH1116" s="156" t="n"/>
      <c r="AI1116" s="156" t="n"/>
      <c r="AJ1116" s="156" t="n"/>
      <c r="AK1116" s="156" t="n"/>
      <c r="AL1116" s="156" t="n"/>
      <c r="AM1116" s="156" t="n"/>
      <c r="AN1116" s="156" t="n"/>
      <c r="AO1116" s="156" t="n"/>
      <c r="AP1116" s="156" t="n"/>
      <c r="AQ1116" s="156" t="n"/>
      <c r="AR1116" s="156" t="n"/>
      <c r="AS1116" s="156" t="n"/>
      <c r="AT1116" s="157"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69" t="inlineStr">
        <is>
          <t>ふ り が な</t>
        </is>
      </c>
      <c r="F1117" s="149" t="n"/>
      <c r="G1117" s="149" t="n"/>
      <c r="H1117" s="149" t="n"/>
      <c r="I1117" s="149" t="n"/>
      <c r="J1117" s="149" t="n"/>
      <c r="K1117" s="150" t="n"/>
      <c r="L1117" s="170">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1" t="n"/>
      <c r="F1119" s="172" t="n"/>
      <c r="G1119" s="172" t="n"/>
      <c r="H1119" s="172" t="n"/>
      <c r="I1119" s="172" t="n"/>
      <c r="J1119" s="172" t="n"/>
      <c r="K1119" s="173" t="n"/>
      <c r="L1119" s="172" t="n"/>
      <c r="M1119" s="172" t="n"/>
      <c r="N1119" s="172" t="n"/>
      <c r="O1119" s="172" t="n"/>
      <c r="P1119" s="172" t="n"/>
      <c r="Q1119" s="172" t="n"/>
      <c r="R1119" s="172" t="n"/>
      <c r="S1119" s="172" t="n"/>
      <c r="T1119" s="172" t="n"/>
      <c r="U1119" s="172" t="n"/>
      <c r="V1119" s="172" t="n"/>
      <c r="W1119" s="172" t="n"/>
      <c r="X1119" s="172" t="n"/>
      <c r="Y1119" s="172" t="n"/>
      <c r="Z1119" s="172" t="n"/>
      <c r="AA1119" s="172" t="n"/>
      <c r="AB1119" s="172" t="n"/>
      <c r="AC1119" s="172" t="n"/>
      <c r="AD1119" s="172" t="n"/>
      <c r="AE1119" s="172" t="n"/>
      <c r="AF1119" s="172" t="n"/>
      <c r="AG1119" s="172" t="n"/>
      <c r="AH1119" s="172" t="n"/>
      <c r="AI1119" s="172" t="n"/>
      <c r="AJ1119" s="172" t="n"/>
      <c r="AK1119" s="172" t="n"/>
      <c r="AL1119" s="172" t="n"/>
      <c r="AM1119" s="172" t="n"/>
      <c r="AN1119" s="172" t="n"/>
      <c r="AO1119" s="172" t="n"/>
      <c r="AP1119" s="172" t="n"/>
      <c r="AQ1119" s="172" t="n"/>
      <c r="AR1119" s="172" t="n"/>
      <c r="AS1119" s="172" t="n"/>
      <c r="AT1119" s="172" t="n"/>
      <c r="AU1119" s="172" t="n"/>
      <c r="AV1119" s="172" t="n"/>
      <c r="AW1119" s="172" t="n"/>
      <c r="AX1119" s="172" t="n"/>
      <c r="AY1119" s="172" t="n"/>
      <c r="AZ1119" s="172" t="n"/>
      <c r="BA1119" s="172" t="n"/>
      <c r="BB1119" s="172" t="n"/>
      <c r="BC1119" s="172" t="n"/>
      <c r="BD1119" s="172" t="n"/>
      <c r="BE1119" s="172" t="n"/>
      <c r="BF1119" s="172" t="n"/>
      <c r="BG1119" s="172" t="n"/>
      <c r="BH1119" s="172" t="n"/>
      <c r="BI1119" s="173"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4" t="inlineStr">
        <is>
          <t>現住所</t>
        </is>
      </c>
      <c r="F1120" s="175" t="n"/>
      <c r="G1120" s="175" t="n"/>
      <c r="H1120" s="175" t="n"/>
      <c r="I1120" s="175" t="n"/>
      <c r="J1120" s="175" t="n"/>
      <c r="K1120" s="176" t="n"/>
      <c r="L1120" s="83" t="inlineStr">
        <is>
          <t>〒</t>
        </is>
      </c>
      <c r="M1120" s="175" t="n"/>
      <c r="N1120" s="175" t="n"/>
      <c r="O1120" s="175" t="n"/>
      <c r="P1120" s="177">
        <f>計算!$H$15</f>
        <v/>
      </c>
      <c r="Q1120" s="175" t="n"/>
      <c r="R1120" s="175" t="n"/>
      <c r="S1120" s="175" t="n"/>
      <c r="T1120" s="175" t="n"/>
      <c r="U1120" s="175" t="n"/>
      <c r="V1120" s="175" t="n"/>
      <c r="W1120" s="175" t="n"/>
      <c r="X1120" s="175" t="n"/>
      <c r="Y1120" s="175" t="n"/>
      <c r="Z1120" s="175" t="n"/>
      <c r="AA1120" s="175" t="n"/>
      <c r="AB1120" s="175" t="n"/>
      <c r="AC1120" s="175" t="n"/>
      <c r="AD1120" s="175" t="n"/>
      <c r="AE1120" s="175" t="n"/>
      <c r="AF1120" s="175" t="n"/>
      <c r="AG1120" s="175" t="n"/>
      <c r="AH1120" s="175" t="n"/>
      <c r="AI1120" s="175" t="n"/>
      <c r="AJ1120" s="175"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5" t="n"/>
      <c r="BQ1121" s="156" t="n"/>
      <c r="BR1121" s="156" t="n"/>
      <c r="BS1121" s="156" t="n"/>
      <c r="BT1121" s="156" t="n"/>
      <c r="BU1121" s="156" t="n"/>
      <c r="BV1121" s="157" t="n"/>
      <c r="BW1121" s="155" t="n"/>
      <c r="BX1121" s="156" t="n"/>
      <c r="BY1121" s="156" t="n"/>
      <c r="BZ1121" s="156" t="n"/>
      <c r="CA1121" s="156" t="n"/>
      <c r="CB1121" s="156" t="n"/>
      <c r="CC1121" s="156" t="n"/>
      <c r="CD1121" s="156" t="n"/>
      <c r="CE1121" s="156" t="n"/>
      <c r="CF1121" s="156" t="n"/>
      <c r="CG1121" s="157"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8" t="inlineStr">
        <is>
          <t>校内外の諸活動</t>
        </is>
      </c>
      <c r="BQ1122" s="149" t="n"/>
      <c r="BR1122" s="149" t="n"/>
      <c r="BS1122" s="149" t="n"/>
      <c r="BT1122" s="149" t="n"/>
      <c r="BU1122" s="149" t="n"/>
      <c r="BV1122" s="150" t="n"/>
      <c r="BW1122" s="179">
        <f>計算!$BO$15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0">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5" t="n"/>
      <c r="F1125" s="156" t="n"/>
      <c r="G1125" s="156" t="n"/>
      <c r="H1125" s="156" t="n"/>
      <c r="I1125" s="156" t="n"/>
      <c r="J1125" s="156" t="n"/>
      <c r="K1125" s="157" t="n"/>
      <c r="L1125" s="155" t="n"/>
      <c r="M1125" s="156" t="n"/>
      <c r="N1125" s="156" t="n"/>
      <c r="O1125" s="156" t="n"/>
      <c r="P1125" s="156" t="n"/>
      <c r="Q1125" s="156" t="n"/>
      <c r="R1125" s="156" t="n"/>
      <c r="S1125" s="156" t="n"/>
      <c r="T1125" s="156" t="n"/>
      <c r="U1125" s="156" t="n"/>
      <c r="V1125" s="156" t="n"/>
      <c r="W1125" s="156" t="n"/>
      <c r="X1125" s="156" t="n"/>
      <c r="Y1125" s="156" t="n"/>
      <c r="Z1125" s="156" t="n"/>
      <c r="AA1125" s="156" t="n"/>
      <c r="AB1125" s="156" t="n"/>
      <c r="AC1125" s="156" t="n"/>
      <c r="AD1125" s="156" t="n"/>
      <c r="AE1125" s="156" t="n"/>
      <c r="AF1125" s="156" t="n"/>
      <c r="AG1125" s="156" t="n"/>
      <c r="AH1125" s="156" t="n"/>
      <c r="AI1125" s="156" t="n"/>
      <c r="AJ1125" s="156" t="n"/>
      <c r="AK1125" s="156" t="n"/>
      <c r="AL1125" s="156" t="n"/>
      <c r="AM1125" s="156" t="n"/>
      <c r="AN1125" s="156" t="n"/>
      <c r="AO1125" s="156" t="n"/>
      <c r="AP1125" s="156" t="n"/>
      <c r="AQ1125" s="156" t="n"/>
      <c r="AR1125" s="156" t="n"/>
      <c r="AS1125" s="156" t="n"/>
      <c r="AT1125" s="156" t="n"/>
      <c r="AU1125" s="156" t="n"/>
      <c r="AV1125" s="156" t="n"/>
      <c r="AW1125" s="156" t="n"/>
      <c r="AX1125" s="156" t="n"/>
      <c r="AY1125" s="156" t="n"/>
      <c r="AZ1125" s="156" t="n"/>
      <c r="BA1125" s="156" t="n"/>
      <c r="BB1125" s="156" t="n"/>
      <c r="BC1125" s="156" t="n"/>
      <c r="BD1125" s="156" t="n"/>
      <c r="BE1125" s="156" t="n"/>
      <c r="BF1125" s="156" t="n"/>
      <c r="BG1125" s="156" t="n"/>
      <c r="BH1125" s="156" t="n"/>
      <c r="BI1125" s="157"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69" t="inlineStr">
        <is>
          <t>ふ り が な</t>
        </is>
      </c>
      <c r="F1126" s="149" t="n"/>
      <c r="G1126" s="149" t="n"/>
      <c r="H1126" s="149" t="n"/>
      <c r="I1126" s="149" t="n"/>
      <c r="J1126" s="149" t="n"/>
      <c r="K1126" s="150" t="n"/>
      <c r="L1126" s="170">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1" t="n"/>
      <c r="F1128" s="172" t="n"/>
      <c r="G1128" s="172" t="n"/>
      <c r="H1128" s="172" t="n"/>
      <c r="I1128" s="172" t="n"/>
      <c r="J1128" s="172" t="n"/>
      <c r="K1128" s="173" t="n"/>
      <c r="L1128" s="172" t="n"/>
      <c r="M1128" s="172" t="n"/>
      <c r="N1128" s="172" t="n"/>
      <c r="O1128" s="172" t="n"/>
      <c r="P1128" s="172" t="n"/>
      <c r="Q1128" s="172" t="n"/>
      <c r="R1128" s="172" t="n"/>
      <c r="S1128" s="172" t="n"/>
      <c r="T1128" s="172" t="n"/>
      <c r="U1128" s="172" t="n"/>
      <c r="V1128" s="172" t="n"/>
      <c r="W1128" s="172" t="n"/>
      <c r="X1128" s="172" t="n"/>
      <c r="Y1128" s="172" t="n"/>
      <c r="Z1128" s="172" t="n"/>
      <c r="AA1128" s="172" t="n"/>
      <c r="AB1128" s="172" t="n"/>
      <c r="AC1128" s="172" t="n"/>
      <c r="AD1128" s="172" t="n"/>
      <c r="AE1128" s="172" t="n"/>
      <c r="AF1128" s="172" t="n"/>
      <c r="AG1128" s="172" t="n"/>
      <c r="AH1128" s="172" t="n"/>
      <c r="AI1128" s="172" t="n"/>
      <c r="AJ1128" s="172" t="n"/>
      <c r="AK1128" s="172" t="n"/>
      <c r="AL1128" s="172" t="n"/>
      <c r="AM1128" s="172" t="n"/>
      <c r="AN1128" s="172" t="n"/>
      <c r="AO1128" s="172" t="n"/>
      <c r="AP1128" s="172" t="n"/>
      <c r="AQ1128" s="172" t="n"/>
      <c r="AR1128" s="172" t="n"/>
      <c r="AS1128" s="172" t="n"/>
      <c r="AT1128" s="172" t="n"/>
      <c r="AU1128" s="172" t="n"/>
      <c r="AV1128" s="172" t="n"/>
      <c r="AW1128" s="172" t="n"/>
      <c r="AX1128" s="172" t="n"/>
      <c r="AY1128" s="172" t="n"/>
      <c r="AZ1128" s="172" t="n"/>
      <c r="BA1128" s="172" t="n"/>
      <c r="BB1128" s="172" t="n"/>
      <c r="BC1128" s="172" t="n"/>
      <c r="BD1128" s="172" t="n"/>
      <c r="BE1128" s="172" t="n"/>
      <c r="BF1128" s="172" t="n"/>
      <c r="BG1128" s="172" t="n"/>
      <c r="BH1128" s="172" t="n"/>
      <c r="BI1128" s="173"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4" t="inlineStr">
        <is>
          <t>連絡先</t>
        </is>
      </c>
      <c r="F1129" s="175" t="n"/>
      <c r="G1129" s="175" t="n"/>
      <c r="H1129" s="175" t="n"/>
      <c r="I1129" s="175" t="n"/>
      <c r="J1129" s="175" t="n"/>
      <c r="K1129" s="176" t="n"/>
      <c r="L1129" s="83" t="inlineStr">
        <is>
          <t>〒</t>
        </is>
      </c>
      <c r="M1129" s="175" t="n"/>
      <c r="N1129" s="175" t="n"/>
      <c r="O1129" s="175" t="n"/>
      <c r="P1129" s="181">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2">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5" t="n"/>
      <c r="F1133" s="156" t="n"/>
      <c r="G1133" s="156" t="n"/>
      <c r="H1133" s="156" t="n"/>
      <c r="I1133" s="156" t="n"/>
      <c r="J1133" s="156" t="n"/>
      <c r="K1133" s="157" t="n"/>
      <c r="L1133" s="156" t="n"/>
      <c r="M1133" s="156" t="n"/>
      <c r="N1133" s="156" t="n"/>
      <c r="O1133" s="156" t="n"/>
      <c r="P1133" s="156" t="n"/>
      <c r="Q1133" s="156" t="n"/>
      <c r="R1133" s="156" t="n"/>
      <c r="S1133" s="156" t="n"/>
      <c r="T1133" s="156" t="n"/>
      <c r="U1133" s="156" t="n"/>
      <c r="V1133" s="156" t="n"/>
      <c r="W1133" s="156" t="n"/>
      <c r="X1133" s="156" t="n"/>
      <c r="Y1133" s="156" t="n"/>
      <c r="Z1133" s="156" t="n"/>
      <c r="AA1133" s="156" t="n"/>
      <c r="AB1133" s="156" t="n"/>
      <c r="AC1133" s="156" t="n"/>
      <c r="AD1133" s="156" t="n"/>
      <c r="AE1133" s="156" t="n"/>
      <c r="AF1133" s="156" t="n"/>
      <c r="AG1133" s="156" t="n"/>
      <c r="AH1133" s="156" t="n"/>
      <c r="AI1133" s="156" t="n"/>
      <c r="AJ1133" s="156" t="n"/>
      <c r="AK1133" s="156" t="n"/>
      <c r="AL1133" s="156" t="n"/>
      <c r="AM1133" s="156" t="n"/>
      <c r="AN1133" s="156" t="n"/>
      <c r="AO1133" s="156" t="n"/>
      <c r="AP1133" s="156" t="n"/>
      <c r="AQ1133" s="156" t="n"/>
      <c r="AR1133" s="156" t="n"/>
      <c r="AS1133" s="156" t="n"/>
      <c r="AT1133" s="156" t="n"/>
      <c r="AU1133" s="156" t="n"/>
      <c r="AV1133" s="156" t="n"/>
      <c r="AW1133" s="156" t="n"/>
      <c r="AX1133" s="156" t="n"/>
      <c r="AY1133" s="156" t="n"/>
      <c r="AZ1133" s="156" t="n"/>
      <c r="BA1133" s="156" t="n"/>
      <c r="BB1133" s="156" t="n"/>
      <c r="BC1133" s="156" t="n"/>
      <c r="BD1133" s="156" t="n"/>
      <c r="BE1133" s="156" t="n"/>
      <c r="BF1133" s="156" t="n"/>
      <c r="BG1133" s="156" t="n"/>
      <c r="BH1133" s="156" t="n"/>
      <c r="BI1133" s="157"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86"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3" t="n"/>
      <c r="BQ1139" s="149" t="n"/>
      <c r="BR1139" s="184" t="n"/>
      <c r="BS1139" s="149" t="n"/>
      <c r="BT1139" s="149" t="n"/>
      <c r="BU1139" s="28" t="n"/>
      <c r="BV1139" s="29" t="n"/>
      <c r="BW1139" s="185">
        <f>計算!$BP$15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115"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6"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107"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7">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188">
        <f>IF(入力!$D$17="","",設定!$B$6)&amp;""</f>
        <v/>
      </c>
      <c r="S1147" s="11" t="n"/>
      <c r="T1147" s="11" t="n"/>
      <c r="U1147" s="188">
        <f>IF(入力!$D$17="","",設定!$B$7)&amp;""</f>
        <v/>
      </c>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110" t="inlineStr">
        <is>
          <t>令和</t>
        </is>
      </c>
      <c r="S1148" s="61" t="inlineStr">
        <is>
          <t>年</t>
        </is>
      </c>
      <c r="W1148" s="62"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90"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5" t="n"/>
      <c r="F1152" s="156" t="n"/>
      <c r="G1152" s="156" t="n"/>
      <c r="H1152" s="156" t="n"/>
      <c r="I1152" s="156" t="n"/>
      <c r="J1152" s="156" t="n"/>
      <c r="K1152" s="157"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6" t="n"/>
      <c r="AX1152" s="156" t="n"/>
      <c r="AY1152" s="156" t="n"/>
      <c r="AZ1152" s="156" t="n"/>
      <c r="BA1152" s="156" t="n"/>
      <c r="BB1152" s="156" t="n"/>
      <c r="BC1152" s="156" t="n"/>
      <c r="BD1152" s="156" t="n"/>
      <c r="BE1152" s="156" t="n"/>
      <c r="BF1152" s="156" t="n"/>
      <c r="BG1152" s="156" t="n"/>
      <c r="BH1152" s="156" t="n"/>
      <c r="BI1152" s="157"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58" t="n"/>
      <c r="T1153" s="149" t="n"/>
      <c r="U1153" s="17" t="n"/>
      <c r="V1153" s="17" t="n"/>
      <c r="W1153" s="58"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89" t="inlineStr">
        <is>
          <t>職　歴</t>
        </is>
      </c>
      <c r="K1156" s="153" t="n"/>
      <c r="L1156" s="69" t="inlineStr">
        <is>
          <t>平成</t>
        </is>
      </c>
      <c r="M1156" s="149" t="n"/>
      <c r="N1156" s="149" t="n"/>
      <c r="O1156" s="149" t="n"/>
      <c r="P1156" s="19" t="n"/>
      <c r="Q1156" s="19" t="n"/>
      <c r="R1156" s="19" t="n"/>
      <c r="S1156" s="19" t="n"/>
      <c r="T1156" s="19" t="n"/>
      <c r="U1156" s="19" t="n"/>
      <c r="V1156" s="19" t="n"/>
      <c r="W1156" s="19" t="n"/>
      <c r="X1156" s="37" t="n"/>
      <c r="Y1156" s="180">
        <f>計算!$BT$15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8">
        <f>計算!$BR$15</f>
        <v/>
      </c>
      <c r="S1158" s="61" t="inlineStr">
        <is>
          <t>年</t>
        </is>
      </c>
      <c r="U1158" s="190">
        <f>計算!$BS$15</f>
        <v/>
      </c>
      <c r="W1158" s="62"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74"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5" t="n"/>
      <c r="M1161" s="156" t="n"/>
      <c r="N1161" s="156" t="n"/>
      <c r="O1161" s="156" t="n"/>
      <c r="P1161" s="20" t="n"/>
      <c r="Q1161" s="20" t="n"/>
      <c r="R1161" s="20" t="n"/>
      <c r="S1161" s="20" t="n"/>
      <c r="T1161" s="20" t="n"/>
      <c r="U1161" s="20" t="n"/>
      <c r="V1161" s="20" t="n"/>
      <c r="W1161" s="20" t="n"/>
      <c r="X1161" s="39" t="n"/>
      <c r="Y1161" s="155" t="n"/>
      <c r="Z1161" s="156" t="n"/>
      <c r="AA1161" s="156" t="n"/>
      <c r="AB1161" s="156" t="n"/>
      <c r="AC1161" s="156" t="n"/>
      <c r="AD1161" s="156" t="n"/>
      <c r="AE1161" s="156" t="n"/>
      <c r="AF1161" s="156" t="n"/>
      <c r="AG1161" s="156" t="n"/>
      <c r="AH1161" s="156" t="n"/>
      <c r="AI1161" s="156" t="n"/>
      <c r="AJ1161" s="156" t="n"/>
      <c r="AK1161" s="156" t="n"/>
      <c r="AL1161" s="156" t="n"/>
      <c r="AM1161" s="156" t="n"/>
      <c r="AN1161" s="156" t="n"/>
      <c r="AO1161" s="156" t="n"/>
      <c r="AP1161" s="156" t="n"/>
      <c r="AQ1161" s="156" t="n"/>
      <c r="AR1161" s="156" t="n"/>
      <c r="AS1161" s="156" t="n"/>
      <c r="AT1161" s="156" t="n"/>
      <c r="AU1161" s="156" t="n"/>
      <c r="AV1161" s="156" t="n"/>
      <c r="AW1161" s="156" t="n"/>
      <c r="AX1161" s="156" t="n"/>
      <c r="AY1161" s="156" t="n"/>
      <c r="AZ1161" s="156" t="n"/>
      <c r="BA1161" s="156" t="n"/>
      <c r="BB1161" s="156" t="n"/>
      <c r="BC1161" s="156" t="n"/>
      <c r="BD1161" s="156" t="n"/>
      <c r="BE1161" s="156" t="n"/>
      <c r="BF1161" s="156" t="n"/>
      <c r="BG1161" s="156" t="n"/>
      <c r="BH1161" s="156" t="n"/>
      <c r="BI1161" s="157"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69" t="inlineStr">
        <is>
          <t>平成</t>
        </is>
      </c>
      <c r="M1162" s="149" t="n"/>
      <c r="N1162" s="149" t="n"/>
      <c r="O1162" s="149" t="n"/>
      <c r="P1162" s="18" t="n"/>
      <c r="Q1162" s="18" t="n"/>
      <c r="R1162" s="18" t="n"/>
      <c r="S1162" s="18" t="n"/>
      <c r="T1162" s="18" t="n"/>
      <c r="U1162" s="18" t="n"/>
      <c r="V1162" s="18" t="n"/>
      <c r="W1162" s="18" t="n"/>
      <c r="X1162" s="35" t="n"/>
      <c r="Y1162" s="180">
        <f>計算!$BW$15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8">
        <f>計算!$BU$15</f>
        <v/>
      </c>
      <c r="S1164" s="61" t="inlineStr">
        <is>
          <t>年</t>
        </is>
      </c>
      <c r="U1164" s="190">
        <f>計算!$BV$15</f>
        <v/>
      </c>
      <c r="W1164" s="62"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74"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5" t="n"/>
      <c r="M1167" s="156" t="n"/>
      <c r="N1167" s="156" t="n"/>
      <c r="O1167" s="156" t="n"/>
      <c r="P1167" s="20" t="n"/>
      <c r="Q1167" s="20" t="n"/>
      <c r="R1167" s="20" t="n"/>
      <c r="S1167" s="20" t="n"/>
      <c r="T1167" s="20" t="n"/>
      <c r="U1167" s="20" t="n"/>
      <c r="V1167" s="20" t="n"/>
      <c r="W1167" s="20" t="n"/>
      <c r="X1167" s="39" t="n"/>
      <c r="Y1167" s="155" t="n"/>
      <c r="Z1167" s="156" t="n"/>
      <c r="AA1167" s="156" t="n"/>
      <c r="AB1167" s="156" t="n"/>
      <c r="AC1167" s="156" t="n"/>
      <c r="AD1167" s="156" t="n"/>
      <c r="AE1167" s="156" t="n"/>
      <c r="AF1167" s="156" t="n"/>
      <c r="AG1167" s="156" t="n"/>
      <c r="AH1167" s="156" t="n"/>
      <c r="AI1167" s="156" t="n"/>
      <c r="AJ1167" s="156" t="n"/>
      <c r="AK1167" s="156" t="n"/>
      <c r="AL1167" s="156" t="n"/>
      <c r="AM1167" s="156" t="n"/>
      <c r="AN1167" s="156" t="n"/>
      <c r="AO1167" s="156" t="n"/>
      <c r="AP1167" s="156" t="n"/>
      <c r="AQ1167" s="156" t="n"/>
      <c r="AR1167" s="156" t="n"/>
      <c r="AS1167" s="156" t="n"/>
      <c r="AT1167" s="156" t="n"/>
      <c r="AU1167" s="156" t="n"/>
      <c r="AV1167" s="156" t="n"/>
      <c r="AW1167" s="156" t="n"/>
      <c r="AX1167" s="156" t="n"/>
      <c r="AY1167" s="156" t="n"/>
      <c r="AZ1167" s="156" t="n"/>
      <c r="BA1167" s="156" t="n"/>
      <c r="BB1167" s="156" t="n"/>
      <c r="BC1167" s="156" t="n"/>
      <c r="BD1167" s="156" t="n"/>
      <c r="BE1167" s="156" t="n"/>
      <c r="BF1167" s="156" t="n"/>
      <c r="BG1167" s="156" t="n"/>
      <c r="BH1167" s="156" t="n"/>
      <c r="BI1167" s="157" t="n"/>
      <c r="BJ1167" s="2" t="n"/>
      <c r="BK1167" s="2" t="n"/>
      <c r="BL1167" s="2" t="n"/>
      <c r="BM1167" s="2" t="n"/>
      <c r="BN1167" s="2" t="n"/>
      <c r="BO1167" s="2" t="n"/>
      <c r="BP1167" s="155" t="n"/>
      <c r="BQ1167" s="156" t="n"/>
      <c r="BR1167" s="156" t="n"/>
      <c r="BS1167" s="156" t="n"/>
      <c r="BT1167" s="156" t="n"/>
      <c r="BU1167" s="42" t="n"/>
      <c r="BV1167" s="45" t="n"/>
      <c r="BW1167" s="156" t="n"/>
      <c r="BX1167" s="156" t="n"/>
      <c r="BY1167" s="156" t="n"/>
      <c r="BZ1167" s="156" t="n"/>
      <c r="CA1167" s="156" t="n"/>
      <c r="CB1167" s="156" t="n"/>
      <c r="CC1167" s="156" t="n"/>
      <c r="CD1167" s="156" t="n"/>
      <c r="CE1167" s="156" t="n"/>
      <c r="CF1167" s="156" t="n"/>
      <c r="CG1167" s="156" t="n"/>
      <c r="CH1167" s="156" t="n"/>
      <c r="CI1167" s="156" t="n"/>
      <c r="CJ1167" s="156" t="n"/>
      <c r="CK1167" s="156" t="n"/>
      <c r="CL1167" s="156" t="n"/>
      <c r="CM1167" s="156" t="n"/>
      <c r="CN1167" s="156" t="n"/>
      <c r="CO1167" s="156" t="n"/>
      <c r="CP1167" s="156" t="n"/>
      <c r="CQ1167" s="156" t="n"/>
      <c r="CR1167" s="156" t="n"/>
      <c r="CS1167" s="156" t="n"/>
      <c r="CT1167" s="156" t="n"/>
      <c r="CU1167" s="156" t="n"/>
      <c r="CV1167" s="156" t="n"/>
      <c r="CW1167" s="156" t="n"/>
      <c r="CX1167" s="156" t="n"/>
      <c r="CY1167" s="156" t="n"/>
      <c r="CZ1167" s="156" t="n"/>
      <c r="DA1167" s="156" t="n"/>
      <c r="DB1167" s="156" t="n"/>
      <c r="DC1167" s="156" t="n"/>
      <c r="DD1167" s="156" t="n"/>
      <c r="DE1167" s="156" t="n"/>
      <c r="DF1167" s="156" t="n"/>
      <c r="DG1167" s="156" t="n"/>
      <c r="DH1167" s="156" t="n"/>
      <c r="DI1167" s="156" t="n"/>
      <c r="DJ1167" s="156" t="n"/>
      <c r="DK1167" s="156" t="n"/>
      <c r="DL1167" s="156" t="n"/>
      <c r="DM1167" s="156" t="n"/>
      <c r="DN1167" s="156" t="n"/>
      <c r="DO1167" s="156" t="n"/>
      <c r="DP1167" s="156" t="n"/>
      <c r="DQ1167" s="156" t="n"/>
      <c r="DR1167" s="156" t="n"/>
      <c r="DS1167" s="156" t="n"/>
      <c r="DT1167" s="156" t="n"/>
      <c r="DU1167" s="157" t="n"/>
      <c r="DV1167" s="2" t="n"/>
      <c r="DW1167" s="2" t="n"/>
      <c r="DX1167" s="2" t="n"/>
      <c r="DY1167" s="2" t="n"/>
      <c r="DZ1167" s="2" t="n"/>
      <c r="EA1167" s="2" t="n"/>
      <c r="EB1167" s="2" t="n"/>
      <c r="EC1167" s="2" t="n"/>
    </row>
    <row r="1168" ht="6.75" customHeight="1" s="118">
      <c r="A1168" s="2" t="n"/>
      <c r="B1168" s="2" t="n"/>
      <c r="C1168" s="2" t="n"/>
      <c r="D1168" s="2" t="n"/>
      <c r="E1168" s="152" t="n"/>
      <c r="K1168" s="153" t="n"/>
      <c r="L1168" s="69"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5">
        <f>計算!$BQ$15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61" t="inlineStr">
        <is>
          <t>年</t>
        </is>
      </c>
      <c r="U1170" s="11" t="n"/>
      <c r="V1170" s="11" t="n"/>
      <c r="W1170" s="62"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74"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5" t="n"/>
      <c r="M1173" s="156" t="n"/>
      <c r="N1173" s="156" t="n"/>
      <c r="O1173" s="156"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69"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61" t="inlineStr">
        <is>
          <t>年</t>
        </is>
      </c>
      <c r="U1176" s="11" t="n"/>
      <c r="V1176" s="11" t="n"/>
      <c r="W1176" s="62"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74"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61" t="n"/>
      <c r="T1178" s="61" t="n"/>
      <c r="U1178" s="11" t="n"/>
      <c r="V1178" s="11" t="n"/>
      <c r="W1178" s="61" t="n"/>
      <c r="X1178" s="62"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5" t="n"/>
      <c r="F1179" s="156" t="n"/>
      <c r="G1179" s="156" t="n"/>
      <c r="H1179" s="156" t="n"/>
      <c r="I1179" s="156" t="n"/>
      <c r="J1179" s="156" t="n"/>
      <c r="K1179" s="157" t="n"/>
      <c r="L1179" s="155" t="n"/>
      <c r="M1179" s="156" t="n"/>
      <c r="N1179" s="156" t="n"/>
      <c r="O1179" s="156"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5" t="n"/>
      <c r="BQ1179" s="156" t="n"/>
      <c r="BR1179" s="156" t="n"/>
      <c r="BS1179" s="156" t="n"/>
      <c r="BT1179" s="156" t="n"/>
      <c r="BU1179" s="156" t="n"/>
      <c r="BV1179" s="157" t="n"/>
      <c r="BW1179" s="156" t="n"/>
      <c r="BX1179" s="156" t="n"/>
      <c r="BY1179" s="156" t="n"/>
      <c r="BZ1179" s="156" t="n"/>
      <c r="CA1179" s="156" t="n"/>
      <c r="CB1179" s="156" t="n"/>
      <c r="CC1179" s="156" t="n"/>
      <c r="CD1179" s="156" t="n"/>
      <c r="CE1179" s="156" t="n"/>
      <c r="CF1179" s="156" t="n"/>
      <c r="CG1179" s="156" t="n"/>
      <c r="CH1179" s="156" t="n"/>
      <c r="CI1179" s="156" t="n"/>
      <c r="CJ1179" s="156" t="n"/>
      <c r="CK1179" s="156" t="n"/>
      <c r="CL1179" s="156" t="n"/>
      <c r="CM1179" s="156" t="n"/>
      <c r="CN1179" s="156" t="n"/>
      <c r="CO1179" s="156" t="n"/>
      <c r="CP1179" s="156" t="n"/>
      <c r="CQ1179" s="156" t="n"/>
      <c r="CR1179" s="156" t="n"/>
      <c r="CS1179" s="156" t="n"/>
      <c r="CT1179" s="156" t="n"/>
      <c r="CU1179" s="156" t="n"/>
      <c r="CV1179" s="156" t="n"/>
      <c r="CW1179" s="156" t="n"/>
      <c r="CX1179" s="156" t="n"/>
      <c r="CY1179" s="156" t="n"/>
      <c r="CZ1179" s="156" t="n"/>
      <c r="DA1179" s="156" t="n"/>
      <c r="DB1179" s="156" t="n"/>
      <c r="DC1179" s="156" t="n"/>
      <c r="DD1179" s="156" t="n"/>
      <c r="DE1179" s="156" t="n"/>
      <c r="DF1179" s="156" t="n"/>
      <c r="DG1179" s="156" t="n"/>
      <c r="DH1179" s="156" t="n"/>
      <c r="DI1179" s="156" t="n"/>
      <c r="DJ1179" s="156" t="n"/>
      <c r="DK1179" s="156" t="n"/>
      <c r="DL1179" s="156" t="n"/>
      <c r="DM1179" s="156" t="n"/>
      <c r="DN1179" s="156" t="n"/>
      <c r="DO1179" s="156" t="n"/>
      <c r="DP1179" s="156" t="n"/>
      <c r="DQ1179" s="156" t="n"/>
      <c r="DR1179" s="156" t="n"/>
      <c r="DS1179" s="156" t="n"/>
      <c r="DT1179" s="156" t="n"/>
      <c r="DU1179" s="157"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87" t="inlineStr">
        <is>
          <t xml:space="preserve">    (近畿高等学校統一用紙　  その２ 　  令和７年度改定)　</t>
        </is>
      </c>
      <c r="DV1181" s="2" t="n"/>
      <c r="DW1181" s="2" t="n"/>
      <c r="DX1181" s="2" t="n"/>
      <c r="DY1181" s="2" t="n"/>
      <c r="DZ1181" s="2" t="n"/>
      <c r="EA1181" s="2" t="n"/>
      <c r="EB1181" s="2" t="n"/>
      <c r="EC1181" s="2" t="n"/>
    </row>
    <row r="1182" hidden="1"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idden="1"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47"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64" t="inlineStr">
        <is>
          <t>令和</t>
        </is>
      </c>
      <c r="AD1191" s="154">
        <f>IF(入力!$D$18="","",IF(N(設定!$B$3)=0,"",YEAR(設定!$B$3)-2018))&amp;""</f>
        <v/>
      </c>
      <c r="AG1191" s="64" t="inlineStr">
        <is>
          <t>年</t>
        </is>
      </c>
      <c r="AI1191" s="154">
        <f>IF(入力!$D$18="","",IF(N(設定!$B$3)=0,"",MONTH(設定!$B$3)))&amp;""</f>
        <v/>
      </c>
      <c r="AL1191" s="64" t="inlineStr">
        <is>
          <t>月</t>
        </is>
      </c>
      <c r="AN1191" s="154">
        <f>IF(入力!$D$18="","",IF(N(設定!$B$3)=0,"",DAY(設定!$B$3)))&amp;""</f>
        <v/>
      </c>
      <c r="AP1191" s="64"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5" t="n"/>
      <c r="BX1191" s="156" t="n"/>
      <c r="BY1191" s="156" t="n"/>
      <c r="BZ1191" s="156" t="n"/>
      <c r="CA1191" s="156" t="n"/>
      <c r="CB1191" s="156" t="n"/>
      <c r="CC1191" s="156" t="n"/>
      <c r="CD1191" s="156" t="n"/>
      <c r="CE1191" s="156" t="n"/>
      <c r="CF1191" s="156" t="n"/>
      <c r="CG1191" s="157" t="n"/>
      <c r="CH1191" s="155" t="n"/>
      <c r="CI1191" s="156" t="n"/>
      <c r="CJ1191" s="156" t="n"/>
      <c r="CK1191" s="156" t="n"/>
      <c r="CL1191" s="156" t="n"/>
      <c r="CM1191" s="156" t="n"/>
      <c r="CN1191" s="156" t="n"/>
      <c r="CO1191" s="156" t="n"/>
      <c r="CP1191" s="156" t="n"/>
      <c r="CQ1191" s="156" t="n"/>
      <c r="CR1191" s="156" t="n"/>
      <c r="CS1191" s="156" t="n"/>
      <c r="CT1191" s="156" t="n"/>
      <c r="CU1191" s="156" t="n"/>
      <c r="CV1191" s="156" t="n"/>
      <c r="CW1191" s="156" t="n"/>
      <c r="CX1191" s="156" t="n"/>
      <c r="CY1191" s="156" t="n"/>
      <c r="CZ1191" s="156" t="n"/>
      <c r="DA1191" s="156" t="n"/>
      <c r="DB1191" s="156" t="n"/>
      <c r="DC1191" s="156" t="n"/>
      <c r="DD1191" s="156" t="n"/>
      <c r="DE1191" s="156" t="n"/>
      <c r="DF1191" s="156" t="n"/>
      <c r="DG1191" s="156" t="n"/>
      <c r="DH1191" s="156" t="n"/>
      <c r="DI1191" s="156" t="n"/>
      <c r="DJ1191" s="156" t="n"/>
      <c r="DK1191" s="156" t="n"/>
      <c r="DL1191" s="156" t="n"/>
      <c r="DM1191" s="156" t="n"/>
      <c r="DN1191" s="156" t="n"/>
      <c r="DO1191" s="156" t="n"/>
      <c r="DP1191" s="156" t="n"/>
      <c r="DQ1191" s="156" t="n"/>
      <c r="DR1191" s="156" t="n"/>
      <c r="DS1191" s="156" t="n"/>
      <c r="DT1191" s="156" t="n"/>
      <c r="DU1191" s="157"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68" t="inlineStr">
        <is>
          <t>写真をはる位置</t>
        </is>
      </c>
      <c r="BI1192" s="8" t="n"/>
      <c r="BJ1192" s="7" t="n"/>
      <c r="BK1192" s="2" t="n"/>
      <c r="BL1192" s="2" t="n"/>
      <c r="BM1192" s="2" t="n"/>
      <c r="BN1192" s="2" t="n"/>
      <c r="BO1192" s="2" t="n"/>
      <c r="BP1192" s="152" t="n"/>
      <c r="BV1192" s="153" t="n"/>
      <c r="BW1192" s="158">
        <f>計算!$CB$16</f>
        <v/>
      </c>
      <c r="CG1192" s="153" t="n"/>
      <c r="CH1192" s="159">
        <f>計算!$CC$16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6" t="n"/>
      <c r="AA1193" s="156" t="n"/>
      <c r="AB1193" s="156" t="n"/>
      <c r="AC1193" s="156" t="n"/>
      <c r="AD1193" s="156" t="n"/>
      <c r="AE1193" s="156" t="n"/>
      <c r="AF1193" s="156" t="n"/>
      <c r="AG1193" s="156" t="n"/>
      <c r="AH1193" s="156" t="n"/>
      <c r="AI1193" s="156" t="n"/>
      <c r="AJ1193" s="156" t="n"/>
      <c r="AK1193" s="156" t="n"/>
      <c r="AL1193" s="156" t="n"/>
      <c r="AM1193" s="156" t="n"/>
      <c r="AN1193" s="156" t="n"/>
      <c r="AO1193" s="156" t="n"/>
      <c r="AP1193" s="156" t="n"/>
      <c r="AQ1193" s="156" t="n"/>
      <c r="AR1193" s="156" t="n"/>
      <c r="AS1193" s="156" t="n"/>
      <c r="AT1193" s="156"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0">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5" t="n"/>
      <c r="F1197" s="156" t="n"/>
      <c r="G1197" s="156" t="n"/>
      <c r="H1197" s="156" t="n"/>
      <c r="I1197" s="156" t="n"/>
      <c r="J1197" s="156" t="n"/>
      <c r="K1197" s="157" t="n"/>
      <c r="L1197" s="156" t="n"/>
      <c r="M1197" s="156" t="n"/>
      <c r="N1197" s="156" t="n"/>
      <c r="O1197" s="156" t="n"/>
      <c r="P1197" s="156" t="n"/>
      <c r="Q1197" s="156" t="n"/>
      <c r="R1197" s="156" t="n"/>
      <c r="S1197" s="156" t="n"/>
      <c r="T1197" s="156" t="n"/>
      <c r="U1197" s="156" t="n"/>
      <c r="V1197" s="156" t="n"/>
      <c r="W1197" s="156" t="n"/>
      <c r="X1197" s="156" t="n"/>
      <c r="Y1197" s="156" t="n"/>
      <c r="Z1197" s="156" t="n"/>
      <c r="AA1197" s="156" t="n"/>
      <c r="AB1197" s="156" t="n"/>
      <c r="AC1197" s="156" t="n"/>
      <c r="AD1197" s="156" t="n"/>
      <c r="AE1197" s="156" t="n"/>
      <c r="AF1197" s="156" t="n"/>
      <c r="AG1197" s="156" t="n"/>
      <c r="AH1197" s="156" t="n"/>
      <c r="AI1197" s="156" t="n"/>
      <c r="AJ1197" s="156" t="n"/>
      <c r="AK1197" s="156" t="n"/>
      <c r="AL1197" s="156" t="n"/>
      <c r="AM1197" s="156" t="n"/>
      <c r="AN1197" s="156" t="n"/>
      <c r="AO1197" s="156" t="n"/>
      <c r="AP1197" s="156" t="n"/>
      <c r="AQ1197" s="156" t="n"/>
      <c r="AR1197" s="156" t="n"/>
      <c r="AS1197" s="156" t="n"/>
      <c r="AT1197" s="157"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1" t="inlineStr">
        <is>
          <t>名　前</t>
        </is>
      </c>
      <c r="F1198" s="149" t="n"/>
      <c r="G1198" s="149" t="n"/>
      <c r="H1198" s="149" t="n"/>
      <c r="I1198" s="149" t="n"/>
      <c r="J1198" s="149" t="n"/>
      <c r="K1198" s="150" t="n"/>
      <c r="L1198" s="162">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61"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5" t="n"/>
      <c r="F1203" s="156" t="n"/>
      <c r="G1203" s="156" t="n"/>
      <c r="H1203" s="156" t="n"/>
      <c r="I1203" s="156" t="n"/>
      <c r="J1203" s="156" t="n"/>
      <c r="K1203" s="157" t="n"/>
      <c r="L1203" s="155" t="n"/>
      <c r="M1203" s="156" t="n"/>
      <c r="N1203" s="156" t="n"/>
      <c r="O1203" s="156" t="n"/>
      <c r="P1203" s="156" t="n"/>
      <c r="Q1203" s="156" t="n"/>
      <c r="R1203" s="156" t="n"/>
      <c r="S1203" s="156" t="n"/>
      <c r="T1203" s="156" t="n"/>
      <c r="U1203" s="156" t="n"/>
      <c r="V1203" s="156" t="n"/>
      <c r="W1203" s="156" t="n"/>
      <c r="X1203" s="156" t="n"/>
      <c r="Y1203" s="156" t="n"/>
      <c r="Z1203" s="156" t="n"/>
      <c r="AA1203" s="156" t="n"/>
      <c r="AB1203" s="156" t="n"/>
      <c r="AC1203" s="156" t="n"/>
      <c r="AD1203" s="156" t="n"/>
      <c r="AE1203" s="156" t="n"/>
      <c r="AF1203" s="156" t="n"/>
      <c r="AG1203" s="156" t="n"/>
      <c r="AH1203" s="156" t="n"/>
      <c r="AI1203" s="156" t="n"/>
      <c r="AJ1203" s="156" t="n"/>
      <c r="AK1203" s="156" t="n"/>
      <c r="AL1203" s="156" t="n"/>
      <c r="AM1203" s="156" t="n"/>
      <c r="AN1203" s="156" t="n"/>
      <c r="AO1203" s="156" t="n"/>
      <c r="AP1203" s="156" t="n"/>
      <c r="AQ1203" s="156" t="n"/>
      <c r="AR1203" s="156" t="n"/>
      <c r="AS1203" s="156" t="n"/>
      <c r="AT1203" s="157"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1" t="inlineStr">
        <is>
          <t>生年月日</t>
        </is>
      </c>
      <c r="F1204" s="149" t="n"/>
      <c r="G1204" s="149" t="n"/>
      <c r="H1204" s="149" t="n"/>
      <c r="I1204" s="149" t="n"/>
      <c r="J1204" s="149" t="n"/>
      <c r="K1204" s="150" t="n"/>
      <c r="L1204" s="163" t="inlineStr">
        <is>
          <t>昭和 ・ 平成</t>
        </is>
      </c>
      <c r="M1204" s="149" t="n"/>
      <c r="N1204" s="149" t="n"/>
      <c r="O1204" s="149" t="n"/>
      <c r="P1204" s="149" t="n"/>
      <c r="Q1204" s="149" t="n"/>
      <c r="R1204" s="149" t="n"/>
      <c r="S1204" s="149" t="n"/>
      <c r="T1204" s="149" t="n"/>
      <c r="U1204" s="149" t="n"/>
      <c r="V1204" s="164">
        <f>計算!$D$16</f>
        <v/>
      </c>
      <c r="W1204" s="149" t="n"/>
      <c r="X1204" s="165" t="inlineStr">
        <is>
          <t>年</t>
        </is>
      </c>
      <c r="Y1204" s="149" t="n"/>
      <c r="Z1204" s="166">
        <f>計算!$E$16</f>
        <v/>
      </c>
      <c r="AA1204" s="149" t="n"/>
      <c r="AB1204" s="149" t="n"/>
      <c r="AC1204" s="165" t="inlineStr">
        <is>
          <t>月</t>
        </is>
      </c>
      <c r="AD1204" s="149" t="n"/>
      <c r="AE1204" s="166">
        <f>計算!$F$16</f>
        <v/>
      </c>
      <c r="AF1204" s="149" t="n"/>
      <c r="AG1204" s="149" t="n"/>
      <c r="AH1204" s="165" t="inlineStr">
        <is>
          <t>日　生 （満</t>
        </is>
      </c>
      <c r="AI1204" s="149" t="n"/>
      <c r="AJ1204" s="149" t="n"/>
      <c r="AK1204" s="149" t="n"/>
      <c r="AL1204" s="149" t="n"/>
      <c r="AM1204" s="149" t="n"/>
      <c r="AN1204" s="149" t="n"/>
      <c r="AO1204" s="149" t="n"/>
      <c r="AP1204" s="167">
        <f>計算!$G$16</f>
        <v/>
      </c>
      <c r="AQ1204" s="149" t="n"/>
      <c r="AR1204" s="168"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5" t="n"/>
      <c r="F1207" s="156" t="n"/>
      <c r="G1207" s="156" t="n"/>
      <c r="H1207" s="156" t="n"/>
      <c r="I1207" s="156" t="n"/>
      <c r="J1207" s="156" t="n"/>
      <c r="K1207" s="157" t="n"/>
      <c r="L1207" s="155" t="n"/>
      <c r="M1207" s="156" t="n"/>
      <c r="N1207" s="156" t="n"/>
      <c r="O1207" s="156" t="n"/>
      <c r="P1207" s="156" t="n"/>
      <c r="Q1207" s="156" t="n"/>
      <c r="R1207" s="156" t="n"/>
      <c r="S1207" s="156" t="n"/>
      <c r="T1207" s="156" t="n"/>
      <c r="U1207" s="156" t="n"/>
      <c r="X1207" s="156" t="n"/>
      <c r="Y1207" s="156" t="n"/>
      <c r="AC1207" s="156" t="n"/>
      <c r="AD1207" s="156" t="n"/>
      <c r="AH1207" s="156" t="n"/>
      <c r="AI1207" s="156" t="n"/>
      <c r="AJ1207" s="156" t="n"/>
      <c r="AK1207" s="156" t="n"/>
      <c r="AL1207" s="156" t="n"/>
      <c r="AM1207" s="156" t="n"/>
      <c r="AN1207" s="156" t="n"/>
      <c r="AO1207" s="156" t="n"/>
      <c r="AP1207" s="156" t="n"/>
      <c r="AQ1207" s="156" t="n"/>
      <c r="AR1207" s="156" t="n"/>
      <c r="AS1207" s="156" t="n"/>
      <c r="AT1207" s="157"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69" t="inlineStr">
        <is>
          <t>ふ り が な</t>
        </is>
      </c>
      <c r="F1208" s="149" t="n"/>
      <c r="G1208" s="149" t="n"/>
      <c r="H1208" s="149" t="n"/>
      <c r="I1208" s="149" t="n"/>
      <c r="J1208" s="149" t="n"/>
      <c r="K1208" s="150" t="n"/>
      <c r="L1208" s="170">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1" t="n"/>
      <c r="F1210" s="172" t="n"/>
      <c r="G1210" s="172" t="n"/>
      <c r="H1210" s="172" t="n"/>
      <c r="I1210" s="172" t="n"/>
      <c r="J1210" s="172" t="n"/>
      <c r="K1210" s="173" t="n"/>
      <c r="L1210" s="172" t="n"/>
      <c r="M1210" s="172" t="n"/>
      <c r="N1210" s="172" t="n"/>
      <c r="O1210" s="172" t="n"/>
      <c r="P1210" s="172" t="n"/>
      <c r="Q1210" s="172" t="n"/>
      <c r="R1210" s="172" t="n"/>
      <c r="S1210" s="172" t="n"/>
      <c r="T1210" s="172" t="n"/>
      <c r="U1210" s="172" t="n"/>
      <c r="V1210" s="172" t="n"/>
      <c r="W1210" s="172" t="n"/>
      <c r="X1210" s="172" t="n"/>
      <c r="Y1210" s="172" t="n"/>
      <c r="Z1210" s="172" t="n"/>
      <c r="AA1210" s="172" t="n"/>
      <c r="AB1210" s="172" t="n"/>
      <c r="AC1210" s="172" t="n"/>
      <c r="AD1210" s="172" t="n"/>
      <c r="AE1210" s="172" t="n"/>
      <c r="AF1210" s="172" t="n"/>
      <c r="AG1210" s="172" t="n"/>
      <c r="AH1210" s="172" t="n"/>
      <c r="AI1210" s="172" t="n"/>
      <c r="AJ1210" s="172" t="n"/>
      <c r="AK1210" s="172" t="n"/>
      <c r="AL1210" s="172" t="n"/>
      <c r="AM1210" s="172" t="n"/>
      <c r="AN1210" s="172" t="n"/>
      <c r="AO1210" s="172" t="n"/>
      <c r="AP1210" s="172" t="n"/>
      <c r="AQ1210" s="172" t="n"/>
      <c r="AR1210" s="172" t="n"/>
      <c r="AS1210" s="172" t="n"/>
      <c r="AT1210" s="172" t="n"/>
      <c r="AU1210" s="172" t="n"/>
      <c r="AV1210" s="172" t="n"/>
      <c r="AW1210" s="172" t="n"/>
      <c r="AX1210" s="172" t="n"/>
      <c r="AY1210" s="172" t="n"/>
      <c r="AZ1210" s="172" t="n"/>
      <c r="BA1210" s="172" t="n"/>
      <c r="BB1210" s="172" t="n"/>
      <c r="BC1210" s="172" t="n"/>
      <c r="BD1210" s="172" t="n"/>
      <c r="BE1210" s="172" t="n"/>
      <c r="BF1210" s="172" t="n"/>
      <c r="BG1210" s="172" t="n"/>
      <c r="BH1210" s="172" t="n"/>
      <c r="BI1210" s="173"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4" t="inlineStr">
        <is>
          <t>現住所</t>
        </is>
      </c>
      <c r="F1211" s="175" t="n"/>
      <c r="G1211" s="175" t="n"/>
      <c r="H1211" s="175" t="n"/>
      <c r="I1211" s="175" t="n"/>
      <c r="J1211" s="175" t="n"/>
      <c r="K1211" s="176" t="n"/>
      <c r="L1211" s="83" t="inlineStr">
        <is>
          <t>〒</t>
        </is>
      </c>
      <c r="M1211" s="175" t="n"/>
      <c r="N1211" s="175" t="n"/>
      <c r="O1211" s="175" t="n"/>
      <c r="P1211" s="177">
        <f>計算!$H$16</f>
        <v/>
      </c>
      <c r="Q1211" s="175" t="n"/>
      <c r="R1211" s="175" t="n"/>
      <c r="S1211" s="175" t="n"/>
      <c r="T1211" s="175" t="n"/>
      <c r="U1211" s="175" t="n"/>
      <c r="V1211" s="175" t="n"/>
      <c r="W1211" s="175" t="n"/>
      <c r="X1211" s="175" t="n"/>
      <c r="Y1211" s="175" t="n"/>
      <c r="Z1211" s="175" t="n"/>
      <c r="AA1211" s="175" t="n"/>
      <c r="AB1211" s="175" t="n"/>
      <c r="AC1211" s="175" t="n"/>
      <c r="AD1211" s="175" t="n"/>
      <c r="AE1211" s="175" t="n"/>
      <c r="AF1211" s="175" t="n"/>
      <c r="AG1211" s="175" t="n"/>
      <c r="AH1211" s="175" t="n"/>
      <c r="AI1211" s="175" t="n"/>
      <c r="AJ1211" s="175"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5" t="n"/>
      <c r="BQ1212" s="156" t="n"/>
      <c r="BR1212" s="156" t="n"/>
      <c r="BS1212" s="156" t="n"/>
      <c r="BT1212" s="156" t="n"/>
      <c r="BU1212" s="156" t="n"/>
      <c r="BV1212" s="157" t="n"/>
      <c r="BW1212" s="155" t="n"/>
      <c r="BX1212" s="156" t="n"/>
      <c r="BY1212" s="156" t="n"/>
      <c r="BZ1212" s="156" t="n"/>
      <c r="CA1212" s="156" t="n"/>
      <c r="CB1212" s="156" t="n"/>
      <c r="CC1212" s="156" t="n"/>
      <c r="CD1212" s="156" t="n"/>
      <c r="CE1212" s="156" t="n"/>
      <c r="CF1212" s="156" t="n"/>
      <c r="CG1212" s="157"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8" t="inlineStr">
        <is>
          <t>校内外の諸活動</t>
        </is>
      </c>
      <c r="BQ1213" s="149" t="n"/>
      <c r="BR1213" s="149" t="n"/>
      <c r="BS1213" s="149" t="n"/>
      <c r="BT1213" s="149" t="n"/>
      <c r="BU1213" s="149" t="n"/>
      <c r="BV1213" s="150" t="n"/>
      <c r="BW1213" s="179">
        <f>計算!$BO$16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0">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5" t="n"/>
      <c r="F1216" s="156" t="n"/>
      <c r="G1216" s="156" t="n"/>
      <c r="H1216" s="156" t="n"/>
      <c r="I1216" s="156" t="n"/>
      <c r="J1216" s="156" t="n"/>
      <c r="K1216" s="157" t="n"/>
      <c r="L1216" s="155" t="n"/>
      <c r="M1216" s="156" t="n"/>
      <c r="N1216" s="156" t="n"/>
      <c r="O1216" s="156" t="n"/>
      <c r="P1216" s="156" t="n"/>
      <c r="Q1216" s="156" t="n"/>
      <c r="R1216" s="156" t="n"/>
      <c r="S1216" s="156" t="n"/>
      <c r="T1216" s="156" t="n"/>
      <c r="U1216" s="156" t="n"/>
      <c r="V1216" s="156" t="n"/>
      <c r="W1216" s="156" t="n"/>
      <c r="X1216" s="156" t="n"/>
      <c r="Y1216" s="156" t="n"/>
      <c r="Z1216" s="156" t="n"/>
      <c r="AA1216" s="156" t="n"/>
      <c r="AB1216" s="156" t="n"/>
      <c r="AC1216" s="156" t="n"/>
      <c r="AD1216" s="156" t="n"/>
      <c r="AE1216" s="156" t="n"/>
      <c r="AF1216" s="156" t="n"/>
      <c r="AG1216" s="156" t="n"/>
      <c r="AH1216" s="156" t="n"/>
      <c r="AI1216" s="156" t="n"/>
      <c r="AJ1216" s="156" t="n"/>
      <c r="AK1216" s="156" t="n"/>
      <c r="AL1216" s="156" t="n"/>
      <c r="AM1216" s="156" t="n"/>
      <c r="AN1216" s="156" t="n"/>
      <c r="AO1216" s="156" t="n"/>
      <c r="AP1216" s="156" t="n"/>
      <c r="AQ1216" s="156" t="n"/>
      <c r="AR1216" s="156" t="n"/>
      <c r="AS1216" s="156" t="n"/>
      <c r="AT1216" s="156" t="n"/>
      <c r="AU1216" s="156" t="n"/>
      <c r="AV1216" s="156" t="n"/>
      <c r="AW1216" s="156" t="n"/>
      <c r="AX1216" s="156" t="n"/>
      <c r="AY1216" s="156" t="n"/>
      <c r="AZ1216" s="156" t="n"/>
      <c r="BA1216" s="156" t="n"/>
      <c r="BB1216" s="156" t="n"/>
      <c r="BC1216" s="156" t="n"/>
      <c r="BD1216" s="156" t="n"/>
      <c r="BE1216" s="156" t="n"/>
      <c r="BF1216" s="156" t="n"/>
      <c r="BG1216" s="156" t="n"/>
      <c r="BH1216" s="156" t="n"/>
      <c r="BI1216" s="157"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69" t="inlineStr">
        <is>
          <t>ふ り が な</t>
        </is>
      </c>
      <c r="F1217" s="149" t="n"/>
      <c r="G1217" s="149" t="n"/>
      <c r="H1217" s="149" t="n"/>
      <c r="I1217" s="149" t="n"/>
      <c r="J1217" s="149" t="n"/>
      <c r="K1217" s="150" t="n"/>
      <c r="L1217" s="170">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1" t="n"/>
      <c r="F1219" s="172" t="n"/>
      <c r="G1219" s="172" t="n"/>
      <c r="H1219" s="172" t="n"/>
      <c r="I1219" s="172" t="n"/>
      <c r="J1219" s="172" t="n"/>
      <c r="K1219" s="173" t="n"/>
      <c r="L1219" s="172" t="n"/>
      <c r="M1219" s="172" t="n"/>
      <c r="N1219" s="172" t="n"/>
      <c r="O1219" s="172" t="n"/>
      <c r="P1219" s="172" t="n"/>
      <c r="Q1219" s="172" t="n"/>
      <c r="R1219" s="172" t="n"/>
      <c r="S1219" s="172" t="n"/>
      <c r="T1219" s="172" t="n"/>
      <c r="U1219" s="172" t="n"/>
      <c r="V1219" s="172" t="n"/>
      <c r="W1219" s="172" t="n"/>
      <c r="X1219" s="172" t="n"/>
      <c r="Y1219" s="172" t="n"/>
      <c r="Z1219" s="172" t="n"/>
      <c r="AA1219" s="172" t="n"/>
      <c r="AB1219" s="172" t="n"/>
      <c r="AC1219" s="172" t="n"/>
      <c r="AD1219" s="172" t="n"/>
      <c r="AE1219" s="172" t="n"/>
      <c r="AF1219" s="172" t="n"/>
      <c r="AG1219" s="172" t="n"/>
      <c r="AH1219" s="172" t="n"/>
      <c r="AI1219" s="172" t="n"/>
      <c r="AJ1219" s="172" t="n"/>
      <c r="AK1219" s="172" t="n"/>
      <c r="AL1219" s="172" t="n"/>
      <c r="AM1219" s="172" t="n"/>
      <c r="AN1219" s="172" t="n"/>
      <c r="AO1219" s="172" t="n"/>
      <c r="AP1219" s="172" t="n"/>
      <c r="AQ1219" s="172" t="n"/>
      <c r="AR1219" s="172" t="n"/>
      <c r="AS1219" s="172" t="n"/>
      <c r="AT1219" s="172" t="n"/>
      <c r="AU1219" s="172" t="n"/>
      <c r="AV1219" s="172" t="n"/>
      <c r="AW1219" s="172" t="n"/>
      <c r="AX1219" s="172" t="n"/>
      <c r="AY1219" s="172" t="n"/>
      <c r="AZ1219" s="172" t="n"/>
      <c r="BA1219" s="172" t="n"/>
      <c r="BB1219" s="172" t="n"/>
      <c r="BC1219" s="172" t="n"/>
      <c r="BD1219" s="172" t="n"/>
      <c r="BE1219" s="172" t="n"/>
      <c r="BF1219" s="172" t="n"/>
      <c r="BG1219" s="172" t="n"/>
      <c r="BH1219" s="172" t="n"/>
      <c r="BI1219" s="173"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4" t="inlineStr">
        <is>
          <t>連絡先</t>
        </is>
      </c>
      <c r="F1220" s="175" t="n"/>
      <c r="G1220" s="175" t="n"/>
      <c r="H1220" s="175" t="n"/>
      <c r="I1220" s="175" t="n"/>
      <c r="J1220" s="175" t="n"/>
      <c r="K1220" s="176" t="n"/>
      <c r="L1220" s="83" t="inlineStr">
        <is>
          <t>〒</t>
        </is>
      </c>
      <c r="M1220" s="175" t="n"/>
      <c r="N1220" s="175" t="n"/>
      <c r="O1220" s="175" t="n"/>
      <c r="P1220" s="181">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2">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5" t="n"/>
      <c r="F1224" s="156" t="n"/>
      <c r="G1224" s="156" t="n"/>
      <c r="H1224" s="156" t="n"/>
      <c r="I1224" s="156" t="n"/>
      <c r="J1224" s="156" t="n"/>
      <c r="K1224" s="157" t="n"/>
      <c r="L1224" s="156" t="n"/>
      <c r="M1224" s="156" t="n"/>
      <c r="N1224" s="156" t="n"/>
      <c r="O1224" s="156" t="n"/>
      <c r="P1224" s="156" t="n"/>
      <c r="Q1224" s="156" t="n"/>
      <c r="R1224" s="156" t="n"/>
      <c r="S1224" s="156" t="n"/>
      <c r="T1224" s="156" t="n"/>
      <c r="U1224" s="156" t="n"/>
      <c r="V1224" s="156" t="n"/>
      <c r="W1224" s="156" t="n"/>
      <c r="X1224" s="156" t="n"/>
      <c r="Y1224" s="156" t="n"/>
      <c r="Z1224" s="156" t="n"/>
      <c r="AA1224" s="156" t="n"/>
      <c r="AB1224" s="156" t="n"/>
      <c r="AC1224" s="156" t="n"/>
      <c r="AD1224" s="156" t="n"/>
      <c r="AE1224" s="156" t="n"/>
      <c r="AF1224" s="156" t="n"/>
      <c r="AG1224" s="156" t="n"/>
      <c r="AH1224" s="156" t="n"/>
      <c r="AI1224" s="156" t="n"/>
      <c r="AJ1224" s="156" t="n"/>
      <c r="AK1224" s="156" t="n"/>
      <c r="AL1224" s="156" t="n"/>
      <c r="AM1224" s="156" t="n"/>
      <c r="AN1224" s="156" t="n"/>
      <c r="AO1224" s="156" t="n"/>
      <c r="AP1224" s="156" t="n"/>
      <c r="AQ1224" s="156" t="n"/>
      <c r="AR1224" s="156" t="n"/>
      <c r="AS1224" s="156" t="n"/>
      <c r="AT1224" s="156" t="n"/>
      <c r="AU1224" s="156" t="n"/>
      <c r="AV1224" s="156" t="n"/>
      <c r="AW1224" s="156" t="n"/>
      <c r="AX1224" s="156" t="n"/>
      <c r="AY1224" s="156" t="n"/>
      <c r="AZ1224" s="156" t="n"/>
      <c r="BA1224" s="156" t="n"/>
      <c r="BB1224" s="156" t="n"/>
      <c r="BC1224" s="156" t="n"/>
      <c r="BD1224" s="156" t="n"/>
      <c r="BE1224" s="156" t="n"/>
      <c r="BF1224" s="156" t="n"/>
      <c r="BG1224" s="156" t="n"/>
      <c r="BH1224" s="156" t="n"/>
      <c r="BI1224" s="157"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86"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3" t="n"/>
      <c r="BQ1230" s="149" t="n"/>
      <c r="BR1230" s="184" t="n"/>
      <c r="BS1230" s="149" t="n"/>
      <c r="BT1230" s="149" t="n"/>
      <c r="BU1230" s="28" t="n"/>
      <c r="BV1230" s="29" t="n"/>
      <c r="BW1230" s="185">
        <f>計算!$BP$16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115"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6"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107"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7">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188">
        <f>IF(入力!$D$18="","",設定!$B$6)&amp;""</f>
        <v/>
      </c>
      <c r="S1238" s="11" t="n"/>
      <c r="T1238" s="11" t="n"/>
      <c r="U1238" s="188">
        <f>IF(入力!$D$18="","",設定!$B$7)&amp;""</f>
        <v/>
      </c>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110" t="inlineStr">
        <is>
          <t>令和</t>
        </is>
      </c>
      <c r="S1239" s="61" t="inlineStr">
        <is>
          <t>年</t>
        </is>
      </c>
      <c r="W1239" s="62"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90"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5" t="n"/>
      <c r="F1243" s="156" t="n"/>
      <c r="G1243" s="156" t="n"/>
      <c r="H1243" s="156" t="n"/>
      <c r="I1243" s="156" t="n"/>
      <c r="J1243" s="156" t="n"/>
      <c r="K1243" s="157"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6" t="n"/>
      <c r="AX1243" s="156" t="n"/>
      <c r="AY1243" s="156" t="n"/>
      <c r="AZ1243" s="156" t="n"/>
      <c r="BA1243" s="156" t="n"/>
      <c r="BB1243" s="156" t="n"/>
      <c r="BC1243" s="156" t="n"/>
      <c r="BD1243" s="156" t="n"/>
      <c r="BE1243" s="156" t="n"/>
      <c r="BF1243" s="156" t="n"/>
      <c r="BG1243" s="156" t="n"/>
      <c r="BH1243" s="156" t="n"/>
      <c r="BI1243" s="157"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58" t="n"/>
      <c r="T1244" s="149" t="n"/>
      <c r="U1244" s="17" t="n"/>
      <c r="V1244" s="17" t="n"/>
      <c r="W1244" s="58"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89" t="inlineStr">
        <is>
          <t>職　歴</t>
        </is>
      </c>
      <c r="K1247" s="153" t="n"/>
      <c r="L1247" s="69" t="inlineStr">
        <is>
          <t>平成</t>
        </is>
      </c>
      <c r="M1247" s="149" t="n"/>
      <c r="N1247" s="149" t="n"/>
      <c r="O1247" s="149" t="n"/>
      <c r="P1247" s="19" t="n"/>
      <c r="Q1247" s="19" t="n"/>
      <c r="R1247" s="19" t="n"/>
      <c r="S1247" s="19" t="n"/>
      <c r="T1247" s="19" t="n"/>
      <c r="U1247" s="19" t="n"/>
      <c r="V1247" s="19" t="n"/>
      <c r="W1247" s="19" t="n"/>
      <c r="X1247" s="37" t="n"/>
      <c r="Y1247" s="180">
        <f>計算!$BT$16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8">
        <f>計算!$BR$16</f>
        <v/>
      </c>
      <c r="S1249" s="61" t="inlineStr">
        <is>
          <t>年</t>
        </is>
      </c>
      <c r="U1249" s="190">
        <f>計算!$BS$16</f>
        <v/>
      </c>
      <c r="W1249" s="62"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74"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5" t="n"/>
      <c r="M1252" s="156" t="n"/>
      <c r="N1252" s="156" t="n"/>
      <c r="O1252" s="156" t="n"/>
      <c r="P1252" s="20" t="n"/>
      <c r="Q1252" s="20" t="n"/>
      <c r="R1252" s="20" t="n"/>
      <c r="S1252" s="20" t="n"/>
      <c r="T1252" s="20" t="n"/>
      <c r="U1252" s="20" t="n"/>
      <c r="V1252" s="20" t="n"/>
      <c r="W1252" s="20" t="n"/>
      <c r="X1252" s="39" t="n"/>
      <c r="Y1252" s="155" t="n"/>
      <c r="Z1252" s="156" t="n"/>
      <c r="AA1252" s="156" t="n"/>
      <c r="AB1252" s="156" t="n"/>
      <c r="AC1252" s="156" t="n"/>
      <c r="AD1252" s="156" t="n"/>
      <c r="AE1252" s="156" t="n"/>
      <c r="AF1252" s="156" t="n"/>
      <c r="AG1252" s="156" t="n"/>
      <c r="AH1252" s="156" t="n"/>
      <c r="AI1252" s="156" t="n"/>
      <c r="AJ1252" s="156" t="n"/>
      <c r="AK1252" s="156" t="n"/>
      <c r="AL1252" s="156" t="n"/>
      <c r="AM1252" s="156" t="n"/>
      <c r="AN1252" s="156" t="n"/>
      <c r="AO1252" s="156" t="n"/>
      <c r="AP1252" s="156" t="n"/>
      <c r="AQ1252" s="156" t="n"/>
      <c r="AR1252" s="156" t="n"/>
      <c r="AS1252" s="156" t="n"/>
      <c r="AT1252" s="156" t="n"/>
      <c r="AU1252" s="156" t="n"/>
      <c r="AV1252" s="156" t="n"/>
      <c r="AW1252" s="156" t="n"/>
      <c r="AX1252" s="156" t="n"/>
      <c r="AY1252" s="156" t="n"/>
      <c r="AZ1252" s="156" t="n"/>
      <c r="BA1252" s="156" t="n"/>
      <c r="BB1252" s="156" t="n"/>
      <c r="BC1252" s="156" t="n"/>
      <c r="BD1252" s="156" t="n"/>
      <c r="BE1252" s="156" t="n"/>
      <c r="BF1252" s="156" t="n"/>
      <c r="BG1252" s="156" t="n"/>
      <c r="BH1252" s="156" t="n"/>
      <c r="BI1252" s="157"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69" t="inlineStr">
        <is>
          <t>平成</t>
        </is>
      </c>
      <c r="M1253" s="149" t="n"/>
      <c r="N1253" s="149" t="n"/>
      <c r="O1253" s="149" t="n"/>
      <c r="P1253" s="18" t="n"/>
      <c r="Q1253" s="18" t="n"/>
      <c r="R1253" s="18" t="n"/>
      <c r="S1253" s="18" t="n"/>
      <c r="T1253" s="18" t="n"/>
      <c r="U1253" s="18" t="n"/>
      <c r="V1253" s="18" t="n"/>
      <c r="W1253" s="18" t="n"/>
      <c r="X1253" s="35" t="n"/>
      <c r="Y1253" s="180">
        <f>計算!$BW$16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8">
        <f>計算!$BU$16</f>
        <v/>
      </c>
      <c r="S1255" s="61" t="inlineStr">
        <is>
          <t>年</t>
        </is>
      </c>
      <c r="U1255" s="190">
        <f>計算!$BV$16</f>
        <v/>
      </c>
      <c r="W1255" s="62"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74"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5" t="n"/>
      <c r="M1258" s="156" t="n"/>
      <c r="N1258" s="156" t="n"/>
      <c r="O1258" s="156" t="n"/>
      <c r="P1258" s="20" t="n"/>
      <c r="Q1258" s="20" t="n"/>
      <c r="R1258" s="20" t="n"/>
      <c r="S1258" s="20" t="n"/>
      <c r="T1258" s="20" t="n"/>
      <c r="U1258" s="20" t="n"/>
      <c r="V1258" s="20" t="n"/>
      <c r="W1258" s="20" t="n"/>
      <c r="X1258" s="39" t="n"/>
      <c r="Y1258" s="155" t="n"/>
      <c r="Z1258" s="156" t="n"/>
      <c r="AA1258" s="156" t="n"/>
      <c r="AB1258" s="156" t="n"/>
      <c r="AC1258" s="156" t="n"/>
      <c r="AD1258" s="156" t="n"/>
      <c r="AE1258" s="156" t="n"/>
      <c r="AF1258" s="156" t="n"/>
      <c r="AG1258" s="156" t="n"/>
      <c r="AH1258" s="156" t="n"/>
      <c r="AI1258" s="156" t="n"/>
      <c r="AJ1258" s="156" t="n"/>
      <c r="AK1258" s="156" t="n"/>
      <c r="AL1258" s="156" t="n"/>
      <c r="AM1258" s="156" t="n"/>
      <c r="AN1258" s="156" t="n"/>
      <c r="AO1258" s="156" t="n"/>
      <c r="AP1258" s="156" t="n"/>
      <c r="AQ1258" s="156" t="n"/>
      <c r="AR1258" s="156" t="n"/>
      <c r="AS1258" s="156" t="n"/>
      <c r="AT1258" s="156" t="n"/>
      <c r="AU1258" s="156" t="n"/>
      <c r="AV1258" s="156" t="n"/>
      <c r="AW1258" s="156" t="n"/>
      <c r="AX1258" s="156" t="n"/>
      <c r="AY1258" s="156" t="n"/>
      <c r="AZ1258" s="156" t="n"/>
      <c r="BA1258" s="156" t="n"/>
      <c r="BB1258" s="156" t="n"/>
      <c r="BC1258" s="156" t="n"/>
      <c r="BD1258" s="156" t="n"/>
      <c r="BE1258" s="156" t="n"/>
      <c r="BF1258" s="156" t="n"/>
      <c r="BG1258" s="156" t="n"/>
      <c r="BH1258" s="156" t="n"/>
      <c r="BI1258" s="157" t="n"/>
      <c r="BJ1258" s="2" t="n"/>
      <c r="BK1258" s="2" t="n"/>
      <c r="BL1258" s="2" t="n"/>
      <c r="BM1258" s="2" t="n"/>
      <c r="BN1258" s="2" t="n"/>
      <c r="BO1258" s="2" t="n"/>
      <c r="BP1258" s="155" t="n"/>
      <c r="BQ1258" s="156" t="n"/>
      <c r="BR1258" s="156" t="n"/>
      <c r="BS1258" s="156" t="n"/>
      <c r="BT1258" s="156" t="n"/>
      <c r="BU1258" s="42" t="n"/>
      <c r="BV1258" s="45" t="n"/>
      <c r="BW1258" s="156" t="n"/>
      <c r="BX1258" s="156" t="n"/>
      <c r="BY1258" s="156" t="n"/>
      <c r="BZ1258" s="156" t="n"/>
      <c r="CA1258" s="156" t="n"/>
      <c r="CB1258" s="156" t="n"/>
      <c r="CC1258" s="156" t="n"/>
      <c r="CD1258" s="156" t="n"/>
      <c r="CE1258" s="156" t="n"/>
      <c r="CF1258" s="156" t="n"/>
      <c r="CG1258" s="156" t="n"/>
      <c r="CH1258" s="156" t="n"/>
      <c r="CI1258" s="156" t="n"/>
      <c r="CJ1258" s="156" t="n"/>
      <c r="CK1258" s="156" t="n"/>
      <c r="CL1258" s="156" t="n"/>
      <c r="CM1258" s="156" t="n"/>
      <c r="CN1258" s="156" t="n"/>
      <c r="CO1258" s="156" t="n"/>
      <c r="CP1258" s="156" t="n"/>
      <c r="CQ1258" s="156" t="n"/>
      <c r="CR1258" s="156" t="n"/>
      <c r="CS1258" s="156" t="n"/>
      <c r="CT1258" s="156" t="n"/>
      <c r="CU1258" s="156" t="n"/>
      <c r="CV1258" s="156" t="n"/>
      <c r="CW1258" s="156" t="n"/>
      <c r="CX1258" s="156" t="n"/>
      <c r="CY1258" s="156" t="n"/>
      <c r="CZ1258" s="156" t="n"/>
      <c r="DA1258" s="156" t="n"/>
      <c r="DB1258" s="156" t="n"/>
      <c r="DC1258" s="156" t="n"/>
      <c r="DD1258" s="156" t="n"/>
      <c r="DE1258" s="156" t="n"/>
      <c r="DF1258" s="156" t="n"/>
      <c r="DG1258" s="156" t="n"/>
      <c r="DH1258" s="156" t="n"/>
      <c r="DI1258" s="156" t="n"/>
      <c r="DJ1258" s="156" t="n"/>
      <c r="DK1258" s="156" t="n"/>
      <c r="DL1258" s="156" t="n"/>
      <c r="DM1258" s="156" t="n"/>
      <c r="DN1258" s="156" t="n"/>
      <c r="DO1258" s="156" t="n"/>
      <c r="DP1258" s="156" t="n"/>
      <c r="DQ1258" s="156" t="n"/>
      <c r="DR1258" s="156" t="n"/>
      <c r="DS1258" s="156" t="n"/>
      <c r="DT1258" s="156" t="n"/>
      <c r="DU1258" s="157" t="n"/>
      <c r="DV1258" s="2" t="n"/>
      <c r="DW1258" s="2" t="n"/>
      <c r="DX1258" s="2" t="n"/>
      <c r="DY1258" s="2" t="n"/>
      <c r="DZ1258" s="2" t="n"/>
      <c r="EA1258" s="2" t="n"/>
      <c r="EB1258" s="2" t="n"/>
      <c r="EC1258" s="2" t="n"/>
    </row>
    <row r="1259" ht="6.75" customHeight="1" s="118">
      <c r="A1259" s="2" t="n"/>
      <c r="B1259" s="2" t="n"/>
      <c r="C1259" s="2" t="n"/>
      <c r="D1259" s="2" t="n"/>
      <c r="E1259" s="152" t="n"/>
      <c r="K1259" s="153" t="n"/>
      <c r="L1259" s="69"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5">
        <f>計算!$BQ$16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61" t="inlineStr">
        <is>
          <t>年</t>
        </is>
      </c>
      <c r="U1261" s="11" t="n"/>
      <c r="V1261" s="11" t="n"/>
      <c r="W1261" s="62"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74"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5" t="n"/>
      <c r="M1264" s="156" t="n"/>
      <c r="N1264" s="156" t="n"/>
      <c r="O1264" s="156"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69"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61" t="inlineStr">
        <is>
          <t>年</t>
        </is>
      </c>
      <c r="U1267" s="11" t="n"/>
      <c r="V1267" s="11" t="n"/>
      <c r="W1267" s="62"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74"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61" t="n"/>
      <c r="T1269" s="61" t="n"/>
      <c r="U1269" s="11" t="n"/>
      <c r="V1269" s="11" t="n"/>
      <c r="W1269" s="61" t="n"/>
      <c r="X1269" s="62"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5" t="n"/>
      <c r="F1270" s="156" t="n"/>
      <c r="G1270" s="156" t="n"/>
      <c r="H1270" s="156" t="n"/>
      <c r="I1270" s="156" t="n"/>
      <c r="J1270" s="156" t="n"/>
      <c r="K1270" s="157" t="n"/>
      <c r="L1270" s="155" t="n"/>
      <c r="M1270" s="156" t="n"/>
      <c r="N1270" s="156" t="n"/>
      <c r="O1270" s="156"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5" t="n"/>
      <c r="BQ1270" s="156" t="n"/>
      <c r="BR1270" s="156" t="n"/>
      <c r="BS1270" s="156" t="n"/>
      <c r="BT1270" s="156" t="n"/>
      <c r="BU1270" s="156" t="n"/>
      <c r="BV1270" s="157" t="n"/>
      <c r="BW1270" s="156" t="n"/>
      <c r="BX1270" s="156" t="n"/>
      <c r="BY1270" s="156" t="n"/>
      <c r="BZ1270" s="156" t="n"/>
      <c r="CA1270" s="156" t="n"/>
      <c r="CB1270" s="156" t="n"/>
      <c r="CC1270" s="156" t="n"/>
      <c r="CD1270" s="156" t="n"/>
      <c r="CE1270" s="156" t="n"/>
      <c r="CF1270" s="156" t="n"/>
      <c r="CG1270" s="156" t="n"/>
      <c r="CH1270" s="156" t="n"/>
      <c r="CI1270" s="156" t="n"/>
      <c r="CJ1270" s="156" t="n"/>
      <c r="CK1270" s="156" t="n"/>
      <c r="CL1270" s="156" t="n"/>
      <c r="CM1270" s="156" t="n"/>
      <c r="CN1270" s="156" t="n"/>
      <c r="CO1270" s="156" t="n"/>
      <c r="CP1270" s="156" t="n"/>
      <c r="CQ1270" s="156" t="n"/>
      <c r="CR1270" s="156" t="n"/>
      <c r="CS1270" s="156" t="n"/>
      <c r="CT1270" s="156" t="n"/>
      <c r="CU1270" s="156" t="n"/>
      <c r="CV1270" s="156" t="n"/>
      <c r="CW1270" s="156" t="n"/>
      <c r="CX1270" s="156" t="n"/>
      <c r="CY1270" s="156" t="n"/>
      <c r="CZ1270" s="156" t="n"/>
      <c r="DA1270" s="156" t="n"/>
      <c r="DB1270" s="156" t="n"/>
      <c r="DC1270" s="156" t="n"/>
      <c r="DD1270" s="156" t="n"/>
      <c r="DE1270" s="156" t="n"/>
      <c r="DF1270" s="156" t="n"/>
      <c r="DG1270" s="156" t="n"/>
      <c r="DH1270" s="156" t="n"/>
      <c r="DI1270" s="156" t="n"/>
      <c r="DJ1270" s="156" t="n"/>
      <c r="DK1270" s="156" t="n"/>
      <c r="DL1270" s="156" t="n"/>
      <c r="DM1270" s="156" t="n"/>
      <c r="DN1270" s="156" t="n"/>
      <c r="DO1270" s="156" t="n"/>
      <c r="DP1270" s="156" t="n"/>
      <c r="DQ1270" s="156" t="n"/>
      <c r="DR1270" s="156" t="n"/>
      <c r="DS1270" s="156" t="n"/>
      <c r="DT1270" s="156" t="n"/>
      <c r="DU1270" s="157"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87" t="inlineStr">
        <is>
          <t xml:space="preserve">    (近畿高等学校統一用紙　  その２ 　  令和７年度改定)　</t>
        </is>
      </c>
      <c r="DV1272" s="2" t="n"/>
      <c r="DW1272" s="2" t="n"/>
      <c r="DX1272" s="2" t="n"/>
      <c r="DY1272" s="2" t="n"/>
      <c r="DZ1272" s="2" t="n"/>
      <c r="EA1272" s="2" t="n"/>
      <c r="EB1272" s="2" t="n"/>
      <c r="EC1272" s="2" t="n"/>
    </row>
    <row r="1273" hidden="1"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idden="1"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47"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64" t="inlineStr">
        <is>
          <t>令和</t>
        </is>
      </c>
      <c r="AD1282" s="154">
        <f>IF(入力!$D$19="","",IF(N(設定!$B$3)=0,"",YEAR(設定!$B$3)-2018))&amp;""</f>
        <v/>
      </c>
      <c r="AG1282" s="64" t="inlineStr">
        <is>
          <t>年</t>
        </is>
      </c>
      <c r="AI1282" s="154">
        <f>IF(入力!$D$19="","",IF(N(設定!$B$3)=0,"",MONTH(設定!$B$3)))&amp;""</f>
        <v/>
      </c>
      <c r="AL1282" s="64" t="inlineStr">
        <is>
          <t>月</t>
        </is>
      </c>
      <c r="AN1282" s="154">
        <f>IF(入力!$D$19="","",IF(N(設定!$B$3)=0,"",DAY(設定!$B$3)))&amp;""</f>
        <v/>
      </c>
      <c r="AP1282" s="64"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5" t="n"/>
      <c r="BX1282" s="156" t="n"/>
      <c r="BY1282" s="156" t="n"/>
      <c r="BZ1282" s="156" t="n"/>
      <c r="CA1282" s="156" t="n"/>
      <c r="CB1282" s="156" t="n"/>
      <c r="CC1282" s="156" t="n"/>
      <c r="CD1282" s="156" t="n"/>
      <c r="CE1282" s="156" t="n"/>
      <c r="CF1282" s="156" t="n"/>
      <c r="CG1282" s="157" t="n"/>
      <c r="CH1282" s="155" t="n"/>
      <c r="CI1282" s="156" t="n"/>
      <c r="CJ1282" s="156" t="n"/>
      <c r="CK1282" s="156" t="n"/>
      <c r="CL1282" s="156" t="n"/>
      <c r="CM1282" s="156" t="n"/>
      <c r="CN1282" s="156" t="n"/>
      <c r="CO1282" s="156" t="n"/>
      <c r="CP1282" s="156" t="n"/>
      <c r="CQ1282" s="156" t="n"/>
      <c r="CR1282" s="156" t="n"/>
      <c r="CS1282" s="156" t="n"/>
      <c r="CT1282" s="156" t="n"/>
      <c r="CU1282" s="156" t="n"/>
      <c r="CV1282" s="156" t="n"/>
      <c r="CW1282" s="156" t="n"/>
      <c r="CX1282" s="156" t="n"/>
      <c r="CY1282" s="156" t="n"/>
      <c r="CZ1282" s="156" t="n"/>
      <c r="DA1282" s="156" t="n"/>
      <c r="DB1282" s="156" t="n"/>
      <c r="DC1282" s="156" t="n"/>
      <c r="DD1282" s="156" t="n"/>
      <c r="DE1282" s="156" t="n"/>
      <c r="DF1282" s="156" t="n"/>
      <c r="DG1282" s="156" t="n"/>
      <c r="DH1282" s="156" t="n"/>
      <c r="DI1282" s="156" t="n"/>
      <c r="DJ1282" s="156" t="n"/>
      <c r="DK1282" s="156" t="n"/>
      <c r="DL1282" s="156" t="n"/>
      <c r="DM1282" s="156" t="n"/>
      <c r="DN1282" s="156" t="n"/>
      <c r="DO1282" s="156" t="n"/>
      <c r="DP1282" s="156" t="n"/>
      <c r="DQ1282" s="156" t="n"/>
      <c r="DR1282" s="156" t="n"/>
      <c r="DS1282" s="156" t="n"/>
      <c r="DT1282" s="156" t="n"/>
      <c r="DU1282" s="157"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68" t="inlineStr">
        <is>
          <t>写真をはる位置</t>
        </is>
      </c>
      <c r="BI1283" s="8" t="n"/>
      <c r="BJ1283" s="7" t="n"/>
      <c r="BK1283" s="2" t="n"/>
      <c r="BL1283" s="2" t="n"/>
      <c r="BM1283" s="2" t="n"/>
      <c r="BN1283" s="2" t="n"/>
      <c r="BO1283" s="2" t="n"/>
      <c r="BP1283" s="152" t="n"/>
      <c r="BV1283" s="153" t="n"/>
      <c r="BW1283" s="158">
        <f>計算!$CB$17</f>
        <v/>
      </c>
      <c r="CG1283" s="153" t="n"/>
      <c r="CH1283" s="159">
        <f>計算!$CC$17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6" t="n"/>
      <c r="AA1284" s="156" t="n"/>
      <c r="AB1284" s="156" t="n"/>
      <c r="AC1284" s="156" t="n"/>
      <c r="AD1284" s="156" t="n"/>
      <c r="AE1284" s="156" t="n"/>
      <c r="AF1284" s="156" t="n"/>
      <c r="AG1284" s="156" t="n"/>
      <c r="AH1284" s="156" t="n"/>
      <c r="AI1284" s="156" t="n"/>
      <c r="AJ1284" s="156" t="n"/>
      <c r="AK1284" s="156" t="n"/>
      <c r="AL1284" s="156" t="n"/>
      <c r="AM1284" s="156" t="n"/>
      <c r="AN1284" s="156" t="n"/>
      <c r="AO1284" s="156" t="n"/>
      <c r="AP1284" s="156" t="n"/>
      <c r="AQ1284" s="156" t="n"/>
      <c r="AR1284" s="156" t="n"/>
      <c r="AS1284" s="156" t="n"/>
      <c r="AT1284" s="156"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0">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5" t="n"/>
      <c r="F1288" s="156" t="n"/>
      <c r="G1288" s="156" t="n"/>
      <c r="H1288" s="156" t="n"/>
      <c r="I1288" s="156" t="n"/>
      <c r="J1288" s="156" t="n"/>
      <c r="K1288" s="157" t="n"/>
      <c r="L1288" s="156" t="n"/>
      <c r="M1288" s="156" t="n"/>
      <c r="N1288" s="156" t="n"/>
      <c r="O1288" s="156" t="n"/>
      <c r="P1288" s="156" t="n"/>
      <c r="Q1288" s="156" t="n"/>
      <c r="R1288" s="156" t="n"/>
      <c r="S1288" s="156" t="n"/>
      <c r="T1288" s="156" t="n"/>
      <c r="U1288" s="156" t="n"/>
      <c r="V1288" s="156" t="n"/>
      <c r="W1288" s="156" t="n"/>
      <c r="X1288" s="156" t="n"/>
      <c r="Y1288" s="156" t="n"/>
      <c r="Z1288" s="156" t="n"/>
      <c r="AA1288" s="156" t="n"/>
      <c r="AB1288" s="156" t="n"/>
      <c r="AC1288" s="156" t="n"/>
      <c r="AD1288" s="156" t="n"/>
      <c r="AE1288" s="156" t="n"/>
      <c r="AF1288" s="156" t="n"/>
      <c r="AG1288" s="156" t="n"/>
      <c r="AH1288" s="156" t="n"/>
      <c r="AI1288" s="156" t="n"/>
      <c r="AJ1288" s="156" t="n"/>
      <c r="AK1288" s="156" t="n"/>
      <c r="AL1288" s="156" t="n"/>
      <c r="AM1288" s="156" t="n"/>
      <c r="AN1288" s="156" t="n"/>
      <c r="AO1288" s="156" t="n"/>
      <c r="AP1288" s="156" t="n"/>
      <c r="AQ1288" s="156" t="n"/>
      <c r="AR1288" s="156" t="n"/>
      <c r="AS1288" s="156" t="n"/>
      <c r="AT1288" s="157"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1" t="inlineStr">
        <is>
          <t>名　前</t>
        </is>
      </c>
      <c r="F1289" s="149" t="n"/>
      <c r="G1289" s="149" t="n"/>
      <c r="H1289" s="149" t="n"/>
      <c r="I1289" s="149" t="n"/>
      <c r="J1289" s="149" t="n"/>
      <c r="K1289" s="150" t="n"/>
      <c r="L1289" s="162">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61"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5" t="n"/>
      <c r="F1294" s="156" t="n"/>
      <c r="G1294" s="156" t="n"/>
      <c r="H1294" s="156" t="n"/>
      <c r="I1294" s="156" t="n"/>
      <c r="J1294" s="156" t="n"/>
      <c r="K1294" s="157" t="n"/>
      <c r="L1294" s="155" t="n"/>
      <c r="M1294" s="156" t="n"/>
      <c r="N1294" s="156" t="n"/>
      <c r="O1294" s="156" t="n"/>
      <c r="P1294" s="156" t="n"/>
      <c r="Q1294" s="156" t="n"/>
      <c r="R1294" s="156" t="n"/>
      <c r="S1294" s="156" t="n"/>
      <c r="T1294" s="156" t="n"/>
      <c r="U1294" s="156" t="n"/>
      <c r="V1294" s="156" t="n"/>
      <c r="W1294" s="156" t="n"/>
      <c r="X1294" s="156" t="n"/>
      <c r="Y1294" s="156" t="n"/>
      <c r="Z1294" s="156" t="n"/>
      <c r="AA1294" s="156" t="n"/>
      <c r="AB1294" s="156" t="n"/>
      <c r="AC1294" s="156" t="n"/>
      <c r="AD1294" s="156" t="n"/>
      <c r="AE1294" s="156" t="n"/>
      <c r="AF1294" s="156" t="n"/>
      <c r="AG1294" s="156" t="n"/>
      <c r="AH1294" s="156" t="n"/>
      <c r="AI1294" s="156" t="n"/>
      <c r="AJ1294" s="156" t="n"/>
      <c r="AK1294" s="156" t="n"/>
      <c r="AL1294" s="156" t="n"/>
      <c r="AM1294" s="156" t="n"/>
      <c r="AN1294" s="156" t="n"/>
      <c r="AO1294" s="156" t="n"/>
      <c r="AP1294" s="156" t="n"/>
      <c r="AQ1294" s="156" t="n"/>
      <c r="AR1294" s="156" t="n"/>
      <c r="AS1294" s="156" t="n"/>
      <c r="AT1294" s="157"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1" t="inlineStr">
        <is>
          <t>生年月日</t>
        </is>
      </c>
      <c r="F1295" s="149" t="n"/>
      <c r="G1295" s="149" t="n"/>
      <c r="H1295" s="149" t="n"/>
      <c r="I1295" s="149" t="n"/>
      <c r="J1295" s="149" t="n"/>
      <c r="K1295" s="150" t="n"/>
      <c r="L1295" s="163" t="inlineStr">
        <is>
          <t>昭和 ・ 平成</t>
        </is>
      </c>
      <c r="M1295" s="149" t="n"/>
      <c r="N1295" s="149" t="n"/>
      <c r="O1295" s="149" t="n"/>
      <c r="P1295" s="149" t="n"/>
      <c r="Q1295" s="149" t="n"/>
      <c r="R1295" s="149" t="n"/>
      <c r="S1295" s="149" t="n"/>
      <c r="T1295" s="149" t="n"/>
      <c r="U1295" s="149" t="n"/>
      <c r="V1295" s="164">
        <f>計算!$D$17</f>
        <v/>
      </c>
      <c r="W1295" s="149" t="n"/>
      <c r="X1295" s="165" t="inlineStr">
        <is>
          <t>年</t>
        </is>
      </c>
      <c r="Y1295" s="149" t="n"/>
      <c r="Z1295" s="166">
        <f>計算!$E$17</f>
        <v/>
      </c>
      <c r="AA1295" s="149" t="n"/>
      <c r="AB1295" s="149" t="n"/>
      <c r="AC1295" s="165" t="inlineStr">
        <is>
          <t>月</t>
        </is>
      </c>
      <c r="AD1295" s="149" t="n"/>
      <c r="AE1295" s="166">
        <f>計算!$F$17</f>
        <v/>
      </c>
      <c r="AF1295" s="149" t="n"/>
      <c r="AG1295" s="149" t="n"/>
      <c r="AH1295" s="165" t="inlineStr">
        <is>
          <t>日　生 （満</t>
        </is>
      </c>
      <c r="AI1295" s="149" t="n"/>
      <c r="AJ1295" s="149" t="n"/>
      <c r="AK1295" s="149" t="n"/>
      <c r="AL1295" s="149" t="n"/>
      <c r="AM1295" s="149" t="n"/>
      <c r="AN1295" s="149" t="n"/>
      <c r="AO1295" s="149" t="n"/>
      <c r="AP1295" s="167">
        <f>計算!$G$17</f>
        <v/>
      </c>
      <c r="AQ1295" s="149" t="n"/>
      <c r="AR1295" s="168"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5" t="n"/>
      <c r="F1298" s="156" t="n"/>
      <c r="G1298" s="156" t="n"/>
      <c r="H1298" s="156" t="n"/>
      <c r="I1298" s="156" t="n"/>
      <c r="J1298" s="156" t="n"/>
      <c r="K1298" s="157" t="n"/>
      <c r="L1298" s="155" t="n"/>
      <c r="M1298" s="156" t="n"/>
      <c r="N1298" s="156" t="n"/>
      <c r="O1298" s="156" t="n"/>
      <c r="P1298" s="156" t="n"/>
      <c r="Q1298" s="156" t="n"/>
      <c r="R1298" s="156" t="n"/>
      <c r="S1298" s="156" t="n"/>
      <c r="T1298" s="156" t="n"/>
      <c r="U1298" s="156" t="n"/>
      <c r="X1298" s="156" t="n"/>
      <c r="Y1298" s="156" t="n"/>
      <c r="AC1298" s="156" t="n"/>
      <c r="AD1298" s="156" t="n"/>
      <c r="AH1298" s="156" t="n"/>
      <c r="AI1298" s="156" t="n"/>
      <c r="AJ1298" s="156" t="n"/>
      <c r="AK1298" s="156" t="n"/>
      <c r="AL1298" s="156" t="n"/>
      <c r="AM1298" s="156" t="n"/>
      <c r="AN1298" s="156" t="n"/>
      <c r="AO1298" s="156" t="n"/>
      <c r="AP1298" s="156" t="n"/>
      <c r="AQ1298" s="156" t="n"/>
      <c r="AR1298" s="156" t="n"/>
      <c r="AS1298" s="156" t="n"/>
      <c r="AT1298" s="157"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69" t="inlineStr">
        <is>
          <t>ふ り が な</t>
        </is>
      </c>
      <c r="F1299" s="149" t="n"/>
      <c r="G1299" s="149" t="n"/>
      <c r="H1299" s="149" t="n"/>
      <c r="I1299" s="149" t="n"/>
      <c r="J1299" s="149" t="n"/>
      <c r="K1299" s="150" t="n"/>
      <c r="L1299" s="170">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1" t="n"/>
      <c r="F1301" s="172" t="n"/>
      <c r="G1301" s="172" t="n"/>
      <c r="H1301" s="172" t="n"/>
      <c r="I1301" s="172" t="n"/>
      <c r="J1301" s="172" t="n"/>
      <c r="K1301" s="173" t="n"/>
      <c r="L1301" s="172" t="n"/>
      <c r="M1301" s="172" t="n"/>
      <c r="N1301" s="172" t="n"/>
      <c r="O1301" s="172" t="n"/>
      <c r="P1301" s="172" t="n"/>
      <c r="Q1301" s="172" t="n"/>
      <c r="R1301" s="172" t="n"/>
      <c r="S1301" s="172" t="n"/>
      <c r="T1301" s="172" t="n"/>
      <c r="U1301" s="172" t="n"/>
      <c r="V1301" s="172" t="n"/>
      <c r="W1301" s="172" t="n"/>
      <c r="X1301" s="172" t="n"/>
      <c r="Y1301" s="172" t="n"/>
      <c r="Z1301" s="172" t="n"/>
      <c r="AA1301" s="172" t="n"/>
      <c r="AB1301" s="172" t="n"/>
      <c r="AC1301" s="172" t="n"/>
      <c r="AD1301" s="172" t="n"/>
      <c r="AE1301" s="172" t="n"/>
      <c r="AF1301" s="172" t="n"/>
      <c r="AG1301" s="172" t="n"/>
      <c r="AH1301" s="172" t="n"/>
      <c r="AI1301" s="172" t="n"/>
      <c r="AJ1301" s="172" t="n"/>
      <c r="AK1301" s="172" t="n"/>
      <c r="AL1301" s="172" t="n"/>
      <c r="AM1301" s="172" t="n"/>
      <c r="AN1301" s="172" t="n"/>
      <c r="AO1301" s="172" t="n"/>
      <c r="AP1301" s="172" t="n"/>
      <c r="AQ1301" s="172" t="n"/>
      <c r="AR1301" s="172" t="n"/>
      <c r="AS1301" s="172" t="n"/>
      <c r="AT1301" s="172" t="n"/>
      <c r="AU1301" s="172" t="n"/>
      <c r="AV1301" s="172" t="n"/>
      <c r="AW1301" s="172" t="n"/>
      <c r="AX1301" s="172" t="n"/>
      <c r="AY1301" s="172" t="n"/>
      <c r="AZ1301" s="172" t="n"/>
      <c r="BA1301" s="172" t="n"/>
      <c r="BB1301" s="172" t="n"/>
      <c r="BC1301" s="172" t="n"/>
      <c r="BD1301" s="172" t="n"/>
      <c r="BE1301" s="172" t="n"/>
      <c r="BF1301" s="172" t="n"/>
      <c r="BG1301" s="172" t="n"/>
      <c r="BH1301" s="172" t="n"/>
      <c r="BI1301" s="173"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4" t="inlineStr">
        <is>
          <t>現住所</t>
        </is>
      </c>
      <c r="F1302" s="175" t="n"/>
      <c r="G1302" s="175" t="n"/>
      <c r="H1302" s="175" t="n"/>
      <c r="I1302" s="175" t="n"/>
      <c r="J1302" s="175" t="n"/>
      <c r="K1302" s="176" t="n"/>
      <c r="L1302" s="83" t="inlineStr">
        <is>
          <t>〒</t>
        </is>
      </c>
      <c r="M1302" s="175" t="n"/>
      <c r="N1302" s="175" t="n"/>
      <c r="O1302" s="175" t="n"/>
      <c r="P1302" s="177">
        <f>計算!$H$17</f>
        <v/>
      </c>
      <c r="Q1302" s="175" t="n"/>
      <c r="R1302" s="175" t="n"/>
      <c r="S1302" s="175" t="n"/>
      <c r="T1302" s="175" t="n"/>
      <c r="U1302" s="175" t="n"/>
      <c r="V1302" s="175" t="n"/>
      <c r="W1302" s="175" t="n"/>
      <c r="X1302" s="175" t="n"/>
      <c r="Y1302" s="175" t="n"/>
      <c r="Z1302" s="175" t="n"/>
      <c r="AA1302" s="175" t="n"/>
      <c r="AB1302" s="175" t="n"/>
      <c r="AC1302" s="175" t="n"/>
      <c r="AD1302" s="175" t="n"/>
      <c r="AE1302" s="175" t="n"/>
      <c r="AF1302" s="175" t="n"/>
      <c r="AG1302" s="175" t="n"/>
      <c r="AH1302" s="175" t="n"/>
      <c r="AI1302" s="175" t="n"/>
      <c r="AJ1302" s="175"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5" t="n"/>
      <c r="BQ1303" s="156" t="n"/>
      <c r="BR1303" s="156" t="n"/>
      <c r="BS1303" s="156" t="n"/>
      <c r="BT1303" s="156" t="n"/>
      <c r="BU1303" s="156" t="n"/>
      <c r="BV1303" s="157" t="n"/>
      <c r="BW1303" s="155" t="n"/>
      <c r="BX1303" s="156" t="n"/>
      <c r="BY1303" s="156" t="n"/>
      <c r="BZ1303" s="156" t="n"/>
      <c r="CA1303" s="156" t="n"/>
      <c r="CB1303" s="156" t="n"/>
      <c r="CC1303" s="156" t="n"/>
      <c r="CD1303" s="156" t="n"/>
      <c r="CE1303" s="156" t="n"/>
      <c r="CF1303" s="156" t="n"/>
      <c r="CG1303" s="157"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8" t="inlineStr">
        <is>
          <t>校内外の諸活動</t>
        </is>
      </c>
      <c r="BQ1304" s="149" t="n"/>
      <c r="BR1304" s="149" t="n"/>
      <c r="BS1304" s="149" t="n"/>
      <c r="BT1304" s="149" t="n"/>
      <c r="BU1304" s="149" t="n"/>
      <c r="BV1304" s="150" t="n"/>
      <c r="BW1304" s="179">
        <f>計算!$BO$17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0">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5" t="n"/>
      <c r="F1307" s="156" t="n"/>
      <c r="G1307" s="156" t="n"/>
      <c r="H1307" s="156" t="n"/>
      <c r="I1307" s="156" t="n"/>
      <c r="J1307" s="156" t="n"/>
      <c r="K1307" s="157" t="n"/>
      <c r="L1307" s="155" t="n"/>
      <c r="M1307" s="156" t="n"/>
      <c r="N1307" s="156" t="n"/>
      <c r="O1307" s="156" t="n"/>
      <c r="P1307" s="156" t="n"/>
      <c r="Q1307" s="156" t="n"/>
      <c r="R1307" s="156" t="n"/>
      <c r="S1307" s="156" t="n"/>
      <c r="T1307" s="156" t="n"/>
      <c r="U1307" s="156" t="n"/>
      <c r="V1307" s="156" t="n"/>
      <c r="W1307" s="156" t="n"/>
      <c r="X1307" s="156" t="n"/>
      <c r="Y1307" s="156" t="n"/>
      <c r="Z1307" s="156" t="n"/>
      <c r="AA1307" s="156" t="n"/>
      <c r="AB1307" s="156" t="n"/>
      <c r="AC1307" s="156" t="n"/>
      <c r="AD1307" s="156" t="n"/>
      <c r="AE1307" s="156" t="n"/>
      <c r="AF1307" s="156" t="n"/>
      <c r="AG1307" s="156" t="n"/>
      <c r="AH1307" s="156" t="n"/>
      <c r="AI1307" s="156" t="n"/>
      <c r="AJ1307" s="156" t="n"/>
      <c r="AK1307" s="156" t="n"/>
      <c r="AL1307" s="156" t="n"/>
      <c r="AM1307" s="156" t="n"/>
      <c r="AN1307" s="156" t="n"/>
      <c r="AO1307" s="156" t="n"/>
      <c r="AP1307" s="156" t="n"/>
      <c r="AQ1307" s="156" t="n"/>
      <c r="AR1307" s="156" t="n"/>
      <c r="AS1307" s="156" t="n"/>
      <c r="AT1307" s="156" t="n"/>
      <c r="AU1307" s="156" t="n"/>
      <c r="AV1307" s="156" t="n"/>
      <c r="AW1307" s="156" t="n"/>
      <c r="AX1307" s="156" t="n"/>
      <c r="AY1307" s="156" t="n"/>
      <c r="AZ1307" s="156" t="n"/>
      <c r="BA1307" s="156" t="n"/>
      <c r="BB1307" s="156" t="n"/>
      <c r="BC1307" s="156" t="n"/>
      <c r="BD1307" s="156" t="n"/>
      <c r="BE1307" s="156" t="n"/>
      <c r="BF1307" s="156" t="n"/>
      <c r="BG1307" s="156" t="n"/>
      <c r="BH1307" s="156" t="n"/>
      <c r="BI1307" s="157"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69" t="inlineStr">
        <is>
          <t>ふ り が な</t>
        </is>
      </c>
      <c r="F1308" s="149" t="n"/>
      <c r="G1308" s="149" t="n"/>
      <c r="H1308" s="149" t="n"/>
      <c r="I1308" s="149" t="n"/>
      <c r="J1308" s="149" t="n"/>
      <c r="K1308" s="150" t="n"/>
      <c r="L1308" s="170">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1" t="n"/>
      <c r="F1310" s="172" t="n"/>
      <c r="G1310" s="172" t="n"/>
      <c r="H1310" s="172" t="n"/>
      <c r="I1310" s="172" t="n"/>
      <c r="J1310" s="172" t="n"/>
      <c r="K1310" s="173" t="n"/>
      <c r="L1310" s="172" t="n"/>
      <c r="M1310" s="172" t="n"/>
      <c r="N1310" s="172" t="n"/>
      <c r="O1310" s="172" t="n"/>
      <c r="P1310" s="172" t="n"/>
      <c r="Q1310" s="172" t="n"/>
      <c r="R1310" s="172" t="n"/>
      <c r="S1310" s="172" t="n"/>
      <c r="T1310" s="172" t="n"/>
      <c r="U1310" s="172" t="n"/>
      <c r="V1310" s="172" t="n"/>
      <c r="W1310" s="172" t="n"/>
      <c r="X1310" s="172" t="n"/>
      <c r="Y1310" s="172" t="n"/>
      <c r="Z1310" s="172" t="n"/>
      <c r="AA1310" s="172" t="n"/>
      <c r="AB1310" s="172" t="n"/>
      <c r="AC1310" s="172" t="n"/>
      <c r="AD1310" s="172" t="n"/>
      <c r="AE1310" s="172" t="n"/>
      <c r="AF1310" s="172" t="n"/>
      <c r="AG1310" s="172" t="n"/>
      <c r="AH1310" s="172" t="n"/>
      <c r="AI1310" s="172" t="n"/>
      <c r="AJ1310" s="172" t="n"/>
      <c r="AK1310" s="172" t="n"/>
      <c r="AL1310" s="172" t="n"/>
      <c r="AM1310" s="172" t="n"/>
      <c r="AN1310" s="172" t="n"/>
      <c r="AO1310" s="172" t="n"/>
      <c r="AP1310" s="172" t="n"/>
      <c r="AQ1310" s="172" t="n"/>
      <c r="AR1310" s="172" t="n"/>
      <c r="AS1310" s="172" t="n"/>
      <c r="AT1310" s="172" t="n"/>
      <c r="AU1310" s="172" t="n"/>
      <c r="AV1310" s="172" t="n"/>
      <c r="AW1310" s="172" t="n"/>
      <c r="AX1310" s="172" t="n"/>
      <c r="AY1310" s="172" t="n"/>
      <c r="AZ1310" s="172" t="n"/>
      <c r="BA1310" s="172" t="n"/>
      <c r="BB1310" s="172" t="n"/>
      <c r="BC1310" s="172" t="n"/>
      <c r="BD1310" s="172" t="n"/>
      <c r="BE1310" s="172" t="n"/>
      <c r="BF1310" s="172" t="n"/>
      <c r="BG1310" s="172" t="n"/>
      <c r="BH1310" s="172" t="n"/>
      <c r="BI1310" s="173"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4" t="inlineStr">
        <is>
          <t>連絡先</t>
        </is>
      </c>
      <c r="F1311" s="175" t="n"/>
      <c r="G1311" s="175" t="n"/>
      <c r="H1311" s="175" t="n"/>
      <c r="I1311" s="175" t="n"/>
      <c r="J1311" s="175" t="n"/>
      <c r="K1311" s="176" t="n"/>
      <c r="L1311" s="83" t="inlineStr">
        <is>
          <t>〒</t>
        </is>
      </c>
      <c r="M1311" s="175" t="n"/>
      <c r="N1311" s="175" t="n"/>
      <c r="O1311" s="175" t="n"/>
      <c r="P1311" s="181">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2">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5" t="n"/>
      <c r="F1315" s="156" t="n"/>
      <c r="G1315" s="156" t="n"/>
      <c r="H1315" s="156" t="n"/>
      <c r="I1315" s="156" t="n"/>
      <c r="J1315" s="156" t="n"/>
      <c r="K1315" s="157" t="n"/>
      <c r="L1315" s="156" t="n"/>
      <c r="M1315" s="156" t="n"/>
      <c r="N1315" s="156" t="n"/>
      <c r="O1315" s="156" t="n"/>
      <c r="P1315" s="156" t="n"/>
      <c r="Q1315" s="156" t="n"/>
      <c r="R1315" s="156" t="n"/>
      <c r="S1315" s="156" t="n"/>
      <c r="T1315" s="156" t="n"/>
      <c r="U1315" s="156" t="n"/>
      <c r="V1315" s="156" t="n"/>
      <c r="W1315" s="156" t="n"/>
      <c r="X1315" s="156" t="n"/>
      <c r="Y1315" s="156" t="n"/>
      <c r="Z1315" s="156" t="n"/>
      <c r="AA1315" s="156" t="n"/>
      <c r="AB1315" s="156" t="n"/>
      <c r="AC1315" s="156" t="n"/>
      <c r="AD1315" s="156" t="n"/>
      <c r="AE1315" s="156" t="n"/>
      <c r="AF1315" s="156" t="n"/>
      <c r="AG1315" s="156" t="n"/>
      <c r="AH1315" s="156" t="n"/>
      <c r="AI1315" s="156" t="n"/>
      <c r="AJ1315" s="156" t="n"/>
      <c r="AK1315" s="156" t="n"/>
      <c r="AL1315" s="156" t="n"/>
      <c r="AM1315" s="156" t="n"/>
      <c r="AN1315" s="156" t="n"/>
      <c r="AO1315" s="156" t="n"/>
      <c r="AP1315" s="156" t="n"/>
      <c r="AQ1315" s="156" t="n"/>
      <c r="AR1315" s="156" t="n"/>
      <c r="AS1315" s="156" t="n"/>
      <c r="AT1315" s="156" t="n"/>
      <c r="AU1315" s="156" t="n"/>
      <c r="AV1315" s="156" t="n"/>
      <c r="AW1315" s="156" t="n"/>
      <c r="AX1315" s="156" t="n"/>
      <c r="AY1315" s="156" t="n"/>
      <c r="AZ1315" s="156" t="n"/>
      <c r="BA1315" s="156" t="n"/>
      <c r="BB1315" s="156" t="n"/>
      <c r="BC1315" s="156" t="n"/>
      <c r="BD1315" s="156" t="n"/>
      <c r="BE1315" s="156" t="n"/>
      <c r="BF1315" s="156" t="n"/>
      <c r="BG1315" s="156" t="n"/>
      <c r="BH1315" s="156" t="n"/>
      <c r="BI1315" s="157"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86"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3" t="n"/>
      <c r="BQ1321" s="149" t="n"/>
      <c r="BR1321" s="184" t="n"/>
      <c r="BS1321" s="149" t="n"/>
      <c r="BT1321" s="149" t="n"/>
      <c r="BU1321" s="28" t="n"/>
      <c r="BV1321" s="29" t="n"/>
      <c r="BW1321" s="185">
        <f>計算!$BP$17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115"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6"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107"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7">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188">
        <f>IF(入力!$D$19="","",設定!$B$6)&amp;""</f>
        <v/>
      </c>
      <c r="S1329" s="11" t="n"/>
      <c r="T1329" s="11" t="n"/>
      <c r="U1329" s="188">
        <f>IF(入力!$D$19="","",設定!$B$7)&amp;""</f>
        <v/>
      </c>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110" t="inlineStr">
        <is>
          <t>令和</t>
        </is>
      </c>
      <c r="S1330" s="61" t="inlineStr">
        <is>
          <t>年</t>
        </is>
      </c>
      <c r="W1330" s="62"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90"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5" t="n"/>
      <c r="F1334" s="156" t="n"/>
      <c r="G1334" s="156" t="n"/>
      <c r="H1334" s="156" t="n"/>
      <c r="I1334" s="156" t="n"/>
      <c r="J1334" s="156" t="n"/>
      <c r="K1334" s="157"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6" t="n"/>
      <c r="AX1334" s="156" t="n"/>
      <c r="AY1334" s="156" t="n"/>
      <c r="AZ1334" s="156" t="n"/>
      <c r="BA1334" s="156" t="n"/>
      <c r="BB1334" s="156" t="n"/>
      <c r="BC1334" s="156" t="n"/>
      <c r="BD1334" s="156" t="n"/>
      <c r="BE1334" s="156" t="n"/>
      <c r="BF1334" s="156" t="n"/>
      <c r="BG1334" s="156" t="n"/>
      <c r="BH1334" s="156" t="n"/>
      <c r="BI1334" s="157"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58" t="n"/>
      <c r="T1335" s="149" t="n"/>
      <c r="U1335" s="17" t="n"/>
      <c r="V1335" s="17" t="n"/>
      <c r="W1335" s="58"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89" t="inlineStr">
        <is>
          <t>職　歴</t>
        </is>
      </c>
      <c r="K1338" s="153" t="n"/>
      <c r="L1338" s="69" t="inlineStr">
        <is>
          <t>平成</t>
        </is>
      </c>
      <c r="M1338" s="149" t="n"/>
      <c r="N1338" s="149" t="n"/>
      <c r="O1338" s="149" t="n"/>
      <c r="P1338" s="19" t="n"/>
      <c r="Q1338" s="19" t="n"/>
      <c r="R1338" s="19" t="n"/>
      <c r="S1338" s="19" t="n"/>
      <c r="T1338" s="19" t="n"/>
      <c r="U1338" s="19" t="n"/>
      <c r="V1338" s="19" t="n"/>
      <c r="W1338" s="19" t="n"/>
      <c r="X1338" s="37" t="n"/>
      <c r="Y1338" s="180">
        <f>計算!$BT$17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8">
        <f>計算!$BR$17</f>
        <v/>
      </c>
      <c r="S1340" s="61" t="inlineStr">
        <is>
          <t>年</t>
        </is>
      </c>
      <c r="U1340" s="190">
        <f>計算!$BS$17</f>
        <v/>
      </c>
      <c r="W1340" s="62"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74"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5" t="n"/>
      <c r="M1343" s="156" t="n"/>
      <c r="N1343" s="156" t="n"/>
      <c r="O1343" s="156" t="n"/>
      <c r="P1343" s="20" t="n"/>
      <c r="Q1343" s="20" t="n"/>
      <c r="R1343" s="20" t="n"/>
      <c r="S1343" s="20" t="n"/>
      <c r="T1343" s="20" t="n"/>
      <c r="U1343" s="20" t="n"/>
      <c r="V1343" s="20" t="n"/>
      <c r="W1343" s="20" t="n"/>
      <c r="X1343" s="39" t="n"/>
      <c r="Y1343" s="155" t="n"/>
      <c r="Z1343" s="156" t="n"/>
      <c r="AA1343" s="156" t="n"/>
      <c r="AB1343" s="156" t="n"/>
      <c r="AC1343" s="156" t="n"/>
      <c r="AD1343" s="156" t="n"/>
      <c r="AE1343" s="156" t="n"/>
      <c r="AF1343" s="156" t="n"/>
      <c r="AG1343" s="156" t="n"/>
      <c r="AH1343" s="156" t="n"/>
      <c r="AI1343" s="156" t="n"/>
      <c r="AJ1343" s="156" t="n"/>
      <c r="AK1343" s="156" t="n"/>
      <c r="AL1343" s="156" t="n"/>
      <c r="AM1343" s="156" t="n"/>
      <c r="AN1343" s="156" t="n"/>
      <c r="AO1343" s="156" t="n"/>
      <c r="AP1343" s="156" t="n"/>
      <c r="AQ1343" s="156" t="n"/>
      <c r="AR1343" s="156" t="n"/>
      <c r="AS1343" s="156" t="n"/>
      <c r="AT1343" s="156" t="n"/>
      <c r="AU1343" s="156" t="n"/>
      <c r="AV1343" s="156" t="n"/>
      <c r="AW1343" s="156" t="n"/>
      <c r="AX1343" s="156" t="n"/>
      <c r="AY1343" s="156" t="n"/>
      <c r="AZ1343" s="156" t="n"/>
      <c r="BA1343" s="156" t="n"/>
      <c r="BB1343" s="156" t="n"/>
      <c r="BC1343" s="156" t="n"/>
      <c r="BD1343" s="156" t="n"/>
      <c r="BE1343" s="156" t="n"/>
      <c r="BF1343" s="156" t="n"/>
      <c r="BG1343" s="156" t="n"/>
      <c r="BH1343" s="156" t="n"/>
      <c r="BI1343" s="157"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69" t="inlineStr">
        <is>
          <t>平成</t>
        </is>
      </c>
      <c r="M1344" s="149" t="n"/>
      <c r="N1344" s="149" t="n"/>
      <c r="O1344" s="149" t="n"/>
      <c r="P1344" s="18" t="n"/>
      <c r="Q1344" s="18" t="n"/>
      <c r="R1344" s="18" t="n"/>
      <c r="S1344" s="18" t="n"/>
      <c r="T1344" s="18" t="n"/>
      <c r="U1344" s="18" t="n"/>
      <c r="V1344" s="18" t="n"/>
      <c r="W1344" s="18" t="n"/>
      <c r="X1344" s="35" t="n"/>
      <c r="Y1344" s="180">
        <f>計算!$BW$17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8">
        <f>計算!$BU$17</f>
        <v/>
      </c>
      <c r="S1346" s="61" t="inlineStr">
        <is>
          <t>年</t>
        </is>
      </c>
      <c r="U1346" s="190">
        <f>計算!$BV$17</f>
        <v/>
      </c>
      <c r="W1346" s="62"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74"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5" t="n"/>
      <c r="M1349" s="156" t="n"/>
      <c r="N1349" s="156" t="n"/>
      <c r="O1349" s="156" t="n"/>
      <c r="P1349" s="20" t="n"/>
      <c r="Q1349" s="20" t="n"/>
      <c r="R1349" s="20" t="n"/>
      <c r="S1349" s="20" t="n"/>
      <c r="T1349" s="20" t="n"/>
      <c r="U1349" s="20" t="n"/>
      <c r="V1349" s="20" t="n"/>
      <c r="W1349" s="20" t="n"/>
      <c r="X1349" s="39" t="n"/>
      <c r="Y1349" s="155" t="n"/>
      <c r="Z1349" s="156" t="n"/>
      <c r="AA1349" s="156" t="n"/>
      <c r="AB1349" s="156" t="n"/>
      <c r="AC1349" s="156" t="n"/>
      <c r="AD1349" s="156" t="n"/>
      <c r="AE1349" s="156" t="n"/>
      <c r="AF1349" s="156" t="n"/>
      <c r="AG1349" s="156" t="n"/>
      <c r="AH1349" s="156" t="n"/>
      <c r="AI1349" s="156" t="n"/>
      <c r="AJ1349" s="156" t="n"/>
      <c r="AK1349" s="156" t="n"/>
      <c r="AL1349" s="156" t="n"/>
      <c r="AM1349" s="156" t="n"/>
      <c r="AN1349" s="156" t="n"/>
      <c r="AO1349" s="156" t="n"/>
      <c r="AP1349" s="156" t="n"/>
      <c r="AQ1349" s="156" t="n"/>
      <c r="AR1349" s="156" t="n"/>
      <c r="AS1349" s="156" t="n"/>
      <c r="AT1349" s="156" t="n"/>
      <c r="AU1349" s="156" t="n"/>
      <c r="AV1349" s="156" t="n"/>
      <c r="AW1349" s="156" t="n"/>
      <c r="AX1349" s="156" t="n"/>
      <c r="AY1349" s="156" t="n"/>
      <c r="AZ1349" s="156" t="n"/>
      <c r="BA1349" s="156" t="n"/>
      <c r="BB1349" s="156" t="n"/>
      <c r="BC1349" s="156" t="n"/>
      <c r="BD1349" s="156" t="n"/>
      <c r="BE1349" s="156" t="n"/>
      <c r="BF1349" s="156" t="n"/>
      <c r="BG1349" s="156" t="n"/>
      <c r="BH1349" s="156" t="n"/>
      <c r="BI1349" s="157" t="n"/>
      <c r="BJ1349" s="2" t="n"/>
      <c r="BK1349" s="2" t="n"/>
      <c r="BL1349" s="2" t="n"/>
      <c r="BM1349" s="2" t="n"/>
      <c r="BN1349" s="2" t="n"/>
      <c r="BO1349" s="2" t="n"/>
      <c r="BP1349" s="155" t="n"/>
      <c r="BQ1349" s="156" t="n"/>
      <c r="BR1349" s="156" t="n"/>
      <c r="BS1349" s="156" t="n"/>
      <c r="BT1349" s="156" t="n"/>
      <c r="BU1349" s="42" t="n"/>
      <c r="BV1349" s="45" t="n"/>
      <c r="BW1349" s="156" t="n"/>
      <c r="BX1349" s="156" t="n"/>
      <c r="BY1349" s="156" t="n"/>
      <c r="BZ1349" s="156" t="n"/>
      <c r="CA1349" s="156" t="n"/>
      <c r="CB1349" s="156" t="n"/>
      <c r="CC1349" s="156" t="n"/>
      <c r="CD1349" s="156" t="n"/>
      <c r="CE1349" s="156" t="n"/>
      <c r="CF1349" s="156" t="n"/>
      <c r="CG1349" s="156" t="n"/>
      <c r="CH1349" s="156" t="n"/>
      <c r="CI1349" s="156" t="n"/>
      <c r="CJ1349" s="156" t="n"/>
      <c r="CK1349" s="156" t="n"/>
      <c r="CL1349" s="156" t="n"/>
      <c r="CM1349" s="156" t="n"/>
      <c r="CN1349" s="156" t="n"/>
      <c r="CO1349" s="156" t="n"/>
      <c r="CP1349" s="156" t="n"/>
      <c r="CQ1349" s="156" t="n"/>
      <c r="CR1349" s="156" t="n"/>
      <c r="CS1349" s="156" t="n"/>
      <c r="CT1349" s="156" t="n"/>
      <c r="CU1349" s="156" t="n"/>
      <c r="CV1349" s="156" t="n"/>
      <c r="CW1349" s="156" t="n"/>
      <c r="CX1349" s="156" t="n"/>
      <c r="CY1349" s="156" t="n"/>
      <c r="CZ1349" s="156" t="n"/>
      <c r="DA1349" s="156" t="n"/>
      <c r="DB1349" s="156" t="n"/>
      <c r="DC1349" s="156" t="n"/>
      <c r="DD1349" s="156" t="n"/>
      <c r="DE1349" s="156" t="n"/>
      <c r="DF1349" s="156" t="n"/>
      <c r="DG1349" s="156" t="n"/>
      <c r="DH1349" s="156" t="n"/>
      <c r="DI1349" s="156" t="n"/>
      <c r="DJ1349" s="156" t="n"/>
      <c r="DK1349" s="156" t="n"/>
      <c r="DL1349" s="156" t="n"/>
      <c r="DM1349" s="156" t="n"/>
      <c r="DN1349" s="156" t="n"/>
      <c r="DO1349" s="156" t="n"/>
      <c r="DP1349" s="156" t="n"/>
      <c r="DQ1349" s="156" t="n"/>
      <c r="DR1349" s="156" t="n"/>
      <c r="DS1349" s="156" t="n"/>
      <c r="DT1349" s="156" t="n"/>
      <c r="DU1349" s="157" t="n"/>
      <c r="DV1349" s="2" t="n"/>
      <c r="DW1349" s="2" t="n"/>
      <c r="DX1349" s="2" t="n"/>
      <c r="DY1349" s="2" t="n"/>
      <c r="DZ1349" s="2" t="n"/>
      <c r="EA1349" s="2" t="n"/>
      <c r="EB1349" s="2" t="n"/>
      <c r="EC1349" s="2" t="n"/>
    </row>
    <row r="1350" ht="6.75" customHeight="1" s="118">
      <c r="A1350" s="2" t="n"/>
      <c r="B1350" s="2" t="n"/>
      <c r="C1350" s="2" t="n"/>
      <c r="D1350" s="2" t="n"/>
      <c r="E1350" s="152" t="n"/>
      <c r="K1350" s="153" t="n"/>
      <c r="L1350" s="69"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5">
        <f>計算!$BQ$17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61" t="inlineStr">
        <is>
          <t>年</t>
        </is>
      </c>
      <c r="U1352" s="11" t="n"/>
      <c r="V1352" s="11" t="n"/>
      <c r="W1352" s="62"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74"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5" t="n"/>
      <c r="M1355" s="156" t="n"/>
      <c r="N1355" s="156" t="n"/>
      <c r="O1355" s="156"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69"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61" t="inlineStr">
        <is>
          <t>年</t>
        </is>
      </c>
      <c r="U1358" s="11" t="n"/>
      <c r="V1358" s="11" t="n"/>
      <c r="W1358" s="62"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74"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61" t="n"/>
      <c r="T1360" s="61" t="n"/>
      <c r="U1360" s="11" t="n"/>
      <c r="V1360" s="11" t="n"/>
      <c r="W1360" s="61" t="n"/>
      <c r="X1360" s="62"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5" t="n"/>
      <c r="F1361" s="156" t="n"/>
      <c r="G1361" s="156" t="n"/>
      <c r="H1361" s="156" t="n"/>
      <c r="I1361" s="156" t="n"/>
      <c r="J1361" s="156" t="n"/>
      <c r="K1361" s="157" t="n"/>
      <c r="L1361" s="155" t="n"/>
      <c r="M1361" s="156" t="n"/>
      <c r="N1361" s="156" t="n"/>
      <c r="O1361" s="156"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5" t="n"/>
      <c r="BQ1361" s="156" t="n"/>
      <c r="BR1361" s="156" t="n"/>
      <c r="BS1361" s="156" t="n"/>
      <c r="BT1361" s="156" t="n"/>
      <c r="BU1361" s="156" t="n"/>
      <c r="BV1361" s="157" t="n"/>
      <c r="BW1361" s="156" t="n"/>
      <c r="BX1361" s="156" t="n"/>
      <c r="BY1361" s="156" t="n"/>
      <c r="BZ1361" s="156" t="n"/>
      <c r="CA1361" s="156" t="n"/>
      <c r="CB1361" s="156" t="n"/>
      <c r="CC1361" s="156" t="n"/>
      <c r="CD1361" s="156" t="n"/>
      <c r="CE1361" s="156" t="n"/>
      <c r="CF1361" s="156" t="n"/>
      <c r="CG1361" s="156" t="n"/>
      <c r="CH1361" s="156" t="n"/>
      <c r="CI1361" s="156" t="n"/>
      <c r="CJ1361" s="156" t="n"/>
      <c r="CK1361" s="156" t="n"/>
      <c r="CL1361" s="156" t="n"/>
      <c r="CM1361" s="156" t="n"/>
      <c r="CN1361" s="156" t="n"/>
      <c r="CO1361" s="156" t="n"/>
      <c r="CP1361" s="156" t="n"/>
      <c r="CQ1361" s="156" t="n"/>
      <c r="CR1361" s="156" t="n"/>
      <c r="CS1361" s="156" t="n"/>
      <c r="CT1361" s="156" t="n"/>
      <c r="CU1361" s="156" t="n"/>
      <c r="CV1361" s="156" t="n"/>
      <c r="CW1361" s="156" t="n"/>
      <c r="CX1361" s="156" t="n"/>
      <c r="CY1361" s="156" t="n"/>
      <c r="CZ1361" s="156" t="n"/>
      <c r="DA1361" s="156" t="n"/>
      <c r="DB1361" s="156" t="n"/>
      <c r="DC1361" s="156" t="n"/>
      <c r="DD1361" s="156" t="n"/>
      <c r="DE1361" s="156" t="n"/>
      <c r="DF1361" s="156" t="n"/>
      <c r="DG1361" s="156" t="n"/>
      <c r="DH1361" s="156" t="n"/>
      <c r="DI1361" s="156" t="n"/>
      <c r="DJ1361" s="156" t="n"/>
      <c r="DK1361" s="156" t="n"/>
      <c r="DL1361" s="156" t="n"/>
      <c r="DM1361" s="156" t="n"/>
      <c r="DN1361" s="156" t="n"/>
      <c r="DO1361" s="156" t="n"/>
      <c r="DP1361" s="156" t="n"/>
      <c r="DQ1361" s="156" t="n"/>
      <c r="DR1361" s="156" t="n"/>
      <c r="DS1361" s="156" t="n"/>
      <c r="DT1361" s="156" t="n"/>
      <c r="DU1361" s="157"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87" t="inlineStr">
        <is>
          <t xml:space="preserve">    (近畿高等学校統一用紙　  その２ 　  令和７年度改定)　</t>
        </is>
      </c>
      <c r="DV1363" s="2" t="n"/>
      <c r="DW1363" s="2" t="n"/>
      <c r="DX1363" s="2" t="n"/>
      <c r="DY1363" s="2" t="n"/>
      <c r="DZ1363" s="2" t="n"/>
      <c r="EA1363" s="2" t="n"/>
      <c r="EB1363" s="2" t="n"/>
      <c r="EC1363" s="2" t="n"/>
    </row>
    <row r="1364" hidden="1"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idden="1"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47"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64" t="inlineStr">
        <is>
          <t>令和</t>
        </is>
      </c>
      <c r="AD1373" s="154">
        <f>IF(入力!$D$20="","",IF(N(設定!$B$3)=0,"",YEAR(設定!$B$3)-2018))&amp;""</f>
        <v/>
      </c>
      <c r="AG1373" s="64" t="inlineStr">
        <is>
          <t>年</t>
        </is>
      </c>
      <c r="AI1373" s="154">
        <f>IF(入力!$D$20="","",IF(N(設定!$B$3)=0,"",MONTH(設定!$B$3)))&amp;""</f>
        <v/>
      </c>
      <c r="AL1373" s="64" t="inlineStr">
        <is>
          <t>月</t>
        </is>
      </c>
      <c r="AN1373" s="154">
        <f>IF(入力!$D$20="","",IF(N(設定!$B$3)=0,"",DAY(設定!$B$3)))&amp;""</f>
        <v/>
      </c>
      <c r="AP1373" s="64"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5" t="n"/>
      <c r="BX1373" s="156" t="n"/>
      <c r="BY1373" s="156" t="n"/>
      <c r="BZ1373" s="156" t="n"/>
      <c r="CA1373" s="156" t="n"/>
      <c r="CB1373" s="156" t="n"/>
      <c r="CC1373" s="156" t="n"/>
      <c r="CD1373" s="156" t="n"/>
      <c r="CE1373" s="156" t="n"/>
      <c r="CF1373" s="156" t="n"/>
      <c r="CG1373" s="157" t="n"/>
      <c r="CH1373" s="155" t="n"/>
      <c r="CI1373" s="156" t="n"/>
      <c r="CJ1373" s="156" t="n"/>
      <c r="CK1373" s="156" t="n"/>
      <c r="CL1373" s="156" t="n"/>
      <c r="CM1373" s="156" t="n"/>
      <c r="CN1373" s="156" t="n"/>
      <c r="CO1373" s="156" t="n"/>
      <c r="CP1373" s="156" t="n"/>
      <c r="CQ1373" s="156" t="n"/>
      <c r="CR1373" s="156" t="n"/>
      <c r="CS1373" s="156" t="n"/>
      <c r="CT1373" s="156" t="n"/>
      <c r="CU1373" s="156" t="n"/>
      <c r="CV1373" s="156" t="n"/>
      <c r="CW1373" s="156" t="n"/>
      <c r="CX1373" s="156" t="n"/>
      <c r="CY1373" s="156" t="n"/>
      <c r="CZ1373" s="156" t="n"/>
      <c r="DA1373" s="156" t="n"/>
      <c r="DB1373" s="156" t="n"/>
      <c r="DC1373" s="156" t="n"/>
      <c r="DD1373" s="156" t="n"/>
      <c r="DE1373" s="156" t="n"/>
      <c r="DF1373" s="156" t="n"/>
      <c r="DG1373" s="156" t="n"/>
      <c r="DH1373" s="156" t="n"/>
      <c r="DI1373" s="156" t="n"/>
      <c r="DJ1373" s="156" t="n"/>
      <c r="DK1373" s="156" t="n"/>
      <c r="DL1373" s="156" t="n"/>
      <c r="DM1373" s="156" t="n"/>
      <c r="DN1373" s="156" t="n"/>
      <c r="DO1373" s="156" t="n"/>
      <c r="DP1373" s="156" t="n"/>
      <c r="DQ1373" s="156" t="n"/>
      <c r="DR1373" s="156" t="n"/>
      <c r="DS1373" s="156" t="n"/>
      <c r="DT1373" s="156" t="n"/>
      <c r="DU1373" s="157"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68" t="inlineStr">
        <is>
          <t>写真をはる位置</t>
        </is>
      </c>
      <c r="BI1374" s="8" t="n"/>
      <c r="BJ1374" s="7" t="n"/>
      <c r="BK1374" s="2" t="n"/>
      <c r="BL1374" s="2" t="n"/>
      <c r="BM1374" s="2" t="n"/>
      <c r="BN1374" s="2" t="n"/>
      <c r="BO1374" s="2" t="n"/>
      <c r="BP1374" s="152" t="n"/>
      <c r="BV1374" s="153" t="n"/>
      <c r="BW1374" s="158">
        <f>計算!$CB$18</f>
        <v/>
      </c>
      <c r="CG1374" s="153" t="n"/>
      <c r="CH1374" s="159">
        <f>計算!$CC$18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6" t="n"/>
      <c r="AA1375" s="156" t="n"/>
      <c r="AB1375" s="156" t="n"/>
      <c r="AC1375" s="156" t="n"/>
      <c r="AD1375" s="156" t="n"/>
      <c r="AE1375" s="156" t="n"/>
      <c r="AF1375" s="156" t="n"/>
      <c r="AG1375" s="156" t="n"/>
      <c r="AH1375" s="156" t="n"/>
      <c r="AI1375" s="156" t="n"/>
      <c r="AJ1375" s="156" t="n"/>
      <c r="AK1375" s="156" t="n"/>
      <c r="AL1375" s="156" t="n"/>
      <c r="AM1375" s="156" t="n"/>
      <c r="AN1375" s="156" t="n"/>
      <c r="AO1375" s="156" t="n"/>
      <c r="AP1375" s="156" t="n"/>
      <c r="AQ1375" s="156" t="n"/>
      <c r="AR1375" s="156" t="n"/>
      <c r="AS1375" s="156" t="n"/>
      <c r="AT1375" s="156"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0">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5" t="n"/>
      <c r="F1379" s="156" t="n"/>
      <c r="G1379" s="156" t="n"/>
      <c r="H1379" s="156" t="n"/>
      <c r="I1379" s="156" t="n"/>
      <c r="J1379" s="156" t="n"/>
      <c r="K1379" s="157" t="n"/>
      <c r="L1379" s="156" t="n"/>
      <c r="M1379" s="156" t="n"/>
      <c r="N1379" s="156" t="n"/>
      <c r="O1379" s="156" t="n"/>
      <c r="P1379" s="156" t="n"/>
      <c r="Q1379" s="156" t="n"/>
      <c r="R1379" s="156" t="n"/>
      <c r="S1379" s="156" t="n"/>
      <c r="T1379" s="156" t="n"/>
      <c r="U1379" s="156" t="n"/>
      <c r="V1379" s="156" t="n"/>
      <c r="W1379" s="156" t="n"/>
      <c r="X1379" s="156" t="n"/>
      <c r="Y1379" s="156" t="n"/>
      <c r="Z1379" s="156" t="n"/>
      <c r="AA1379" s="156" t="n"/>
      <c r="AB1379" s="156" t="n"/>
      <c r="AC1379" s="156" t="n"/>
      <c r="AD1379" s="156" t="n"/>
      <c r="AE1379" s="156" t="n"/>
      <c r="AF1379" s="156" t="n"/>
      <c r="AG1379" s="156" t="n"/>
      <c r="AH1379" s="156" t="n"/>
      <c r="AI1379" s="156" t="n"/>
      <c r="AJ1379" s="156" t="n"/>
      <c r="AK1379" s="156" t="n"/>
      <c r="AL1379" s="156" t="n"/>
      <c r="AM1379" s="156" t="n"/>
      <c r="AN1379" s="156" t="n"/>
      <c r="AO1379" s="156" t="n"/>
      <c r="AP1379" s="156" t="n"/>
      <c r="AQ1379" s="156" t="n"/>
      <c r="AR1379" s="156" t="n"/>
      <c r="AS1379" s="156" t="n"/>
      <c r="AT1379" s="157"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1" t="inlineStr">
        <is>
          <t>名　前</t>
        </is>
      </c>
      <c r="F1380" s="149" t="n"/>
      <c r="G1380" s="149" t="n"/>
      <c r="H1380" s="149" t="n"/>
      <c r="I1380" s="149" t="n"/>
      <c r="J1380" s="149" t="n"/>
      <c r="K1380" s="150" t="n"/>
      <c r="L1380" s="162">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61"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5" t="n"/>
      <c r="F1385" s="156" t="n"/>
      <c r="G1385" s="156" t="n"/>
      <c r="H1385" s="156" t="n"/>
      <c r="I1385" s="156" t="n"/>
      <c r="J1385" s="156" t="n"/>
      <c r="K1385" s="157" t="n"/>
      <c r="L1385" s="155" t="n"/>
      <c r="M1385" s="156" t="n"/>
      <c r="N1385" s="156" t="n"/>
      <c r="O1385" s="156" t="n"/>
      <c r="P1385" s="156" t="n"/>
      <c r="Q1385" s="156" t="n"/>
      <c r="R1385" s="156" t="n"/>
      <c r="S1385" s="156" t="n"/>
      <c r="T1385" s="156" t="n"/>
      <c r="U1385" s="156" t="n"/>
      <c r="V1385" s="156" t="n"/>
      <c r="W1385" s="156" t="n"/>
      <c r="X1385" s="156" t="n"/>
      <c r="Y1385" s="156" t="n"/>
      <c r="Z1385" s="156" t="n"/>
      <c r="AA1385" s="156" t="n"/>
      <c r="AB1385" s="156" t="n"/>
      <c r="AC1385" s="156" t="n"/>
      <c r="AD1385" s="156" t="n"/>
      <c r="AE1385" s="156" t="n"/>
      <c r="AF1385" s="156" t="n"/>
      <c r="AG1385" s="156" t="n"/>
      <c r="AH1385" s="156" t="n"/>
      <c r="AI1385" s="156" t="n"/>
      <c r="AJ1385" s="156" t="n"/>
      <c r="AK1385" s="156" t="n"/>
      <c r="AL1385" s="156" t="n"/>
      <c r="AM1385" s="156" t="n"/>
      <c r="AN1385" s="156" t="n"/>
      <c r="AO1385" s="156" t="n"/>
      <c r="AP1385" s="156" t="n"/>
      <c r="AQ1385" s="156" t="n"/>
      <c r="AR1385" s="156" t="n"/>
      <c r="AS1385" s="156" t="n"/>
      <c r="AT1385" s="157"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1" t="inlineStr">
        <is>
          <t>生年月日</t>
        </is>
      </c>
      <c r="F1386" s="149" t="n"/>
      <c r="G1386" s="149" t="n"/>
      <c r="H1386" s="149" t="n"/>
      <c r="I1386" s="149" t="n"/>
      <c r="J1386" s="149" t="n"/>
      <c r="K1386" s="150" t="n"/>
      <c r="L1386" s="163" t="inlineStr">
        <is>
          <t>昭和 ・ 平成</t>
        </is>
      </c>
      <c r="M1386" s="149" t="n"/>
      <c r="N1386" s="149" t="n"/>
      <c r="O1386" s="149" t="n"/>
      <c r="P1386" s="149" t="n"/>
      <c r="Q1386" s="149" t="n"/>
      <c r="R1386" s="149" t="n"/>
      <c r="S1386" s="149" t="n"/>
      <c r="T1386" s="149" t="n"/>
      <c r="U1386" s="149" t="n"/>
      <c r="V1386" s="164">
        <f>計算!$D$18</f>
        <v/>
      </c>
      <c r="W1386" s="149" t="n"/>
      <c r="X1386" s="165" t="inlineStr">
        <is>
          <t>年</t>
        </is>
      </c>
      <c r="Y1386" s="149" t="n"/>
      <c r="Z1386" s="166">
        <f>計算!$E$18</f>
        <v/>
      </c>
      <c r="AA1386" s="149" t="n"/>
      <c r="AB1386" s="149" t="n"/>
      <c r="AC1386" s="165" t="inlineStr">
        <is>
          <t>月</t>
        </is>
      </c>
      <c r="AD1386" s="149" t="n"/>
      <c r="AE1386" s="166">
        <f>計算!$F$18</f>
        <v/>
      </c>
      <c r="AF1386" s="149" t="n"/>
      <c r="AG1386" s="149" t="n"/>
      <c r="AH1386" s="165" t="inlineStr">
        <is>
          <t>日　生 （満</t>
        </is>
      </c>
      <c r="AI1386" s="149" t="n"/>
      <c r="AJ1386" s="149" t="n"/>
      <c r="AK1386" s="149" t="n"/>
      <c r="AL1386" s="149" t="n"/>
      <c r="AM1386" s="149" t="n"/>
      <c r="AN1386" s="149" t="n"/>
      <c r="AO1386" s="149" t="n"/>
      <c r="AP1386" s="167">
        <f>計算!$G$18</f>
        <v/>
      </c>
      <c r="AQ1386" s="149" t="n"/>
      <c r="AR1386" s="168"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5" t="n"/>
      <c r="F1389" s="156" t="n"/>
      <c r="G1389" s="156" t="n"/>
      <c r="H1389" s="156" t="n"/>
      <c r="I1389" s="156" t="n"/>
      <c r="J1389" s="156" t="n"/>
      <c r="K1389" s="157" t="n"/>
      <c r="L1389" s="155" t="n"/>
      <c r="M1389" s="156" t="n"/>
      <c r="N1389" s="156" t="n"/>
      <c r="O1389" s="156" t="n"/>
      <c r="P1389" s="156" t="n"/>
      <c r="Q1389" s="156" t="n"/>
      <c r="R1389" s="156" t="n"/>
      <c r="S1389" s="156" t="n"/>
      <c r="T1389" s="156" t="n"/>
      <c r="U1389" s="156" t="n"/>
      <c r="X1389" s="156" t="n"/>
      <c r="Y1389" s="156" t="n"/>
      <c r="AC1389" s="156" t="n"/>
      <c r="AD1389" s="156" t="n"/>
      <c r="AH1389" s="156" t="n"/>
      <c r="AI1389" s="156" t="n"/>
      <c r="AJ1389" s="156" t="n"/>
      <c r="AK1389" s="156" t="n"/>
      <c r="AL1389" s="156" t="n"/>
      <c r="AM1389" s="156" t="n"/>
      <c r="AN1389" s="156" t="n"/>
      <c r="AO1389" s="156" t="n"/>
      <c r="AP1389" s="156" t="n"/>
      <c r="AQ1389" s="156" t="n"/>
      <c r="AR1389" s="156" t="n"/>
      <c r="AS1389" s="156" t="n"/>
      <c r="AT1389" s="157"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69" t="inlineStr">
        <is>
          <t>ふ り が な</t>
        </is>
      </c>
      <c r="F1390" s="149" t="n"/>
      <c r="G1390" s="149" t="n"/>
      <c r="H1390" s="149" t="n"/>
      <c r="I1390" s="149" t="n"/>
      <c r="J1390" s="149" t="n"/>
      <c r="K1390" s="150" t="n"/>
      <c r="L1390" s="170">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1" t="n"/>
      <c r="F1392" s="172" t="n"/>
      <c r="G1392" s="172" t="n"/>
      <c r="H1392" s="172" t="n"/>
      <c r="I1392" s="172" t="n"/>
      <c r="J1392" s="172" t="n"/>
      <c r="K1392" s="173" t="n"/>
      <c r="L1392" s="172" t="n"/>
      <c r="M1392" s="172" t="n"/>
      <c r="N1392" s="172" t="n"/>
      <c r="O1392" s="172" t="n"/>
      <c r="P1392" s="172" t="n"/>
      <c r="Q1392" s="172" t="n"/>
      <c r="R1392" s="172" t="n"/>
      <c r="S1392" s="172" t="n"/>
      <c r="T1392" s="172" t="n"/>
      <c r="U1392" s="172" t="n"/>
      <c r="V1392" s="172" t="n"/>
      <c r="W1392" s="172" t="n"/>
      <c r="X1392" s="172" t="n"/>
      <c r="Y1392" s="172" t="n"/>
      <c r="Z1392" s="172" t="n"/>
      <c r="AA1392" s="172" t="n"/>
      <c r="AB1392" s="172" t="n"/>
      <c r="AC1392" s="172" t="n"/>
      <c r="AD1392" s="172" t="n"/>
      <c r="AE1392" s="172" t="n"/>
      <c r="AF1392" s="172" t="n"/>
      <c r="AG1392" s="172" t="n"/>
      <c r="AH1392" s="172" t="n"/>
      <c r="AI1392" s="172" t="n"/>
      <c r="AJ1392" s="172" t="n"/>
      <c r="AK1392" s="172" t="n"/>
      <c r="AL1392" s="172" t="n"/>
      <c r="AM1392" s="172" t="n"/>
      <c r="AN1392" s="172" t="n"/>
      <c r="AO1392" s="172" t="n"/>
      <c r="AP1392" s="172" t="n"/>
      <c r="AQ1392" s="172" t="n"/>
      <c r="AR1392" s="172" t="n"/>
      <c r="AS1392" s="172" t="n"/>
      <c r="AT1392" s="172" t="n"/>
      <c r="AU1392" s="172" t="n"/>
      <c r="AV1392" s="172" t="n"/>
      <c r="AW1392" s="172" t="n"/>
      <c r="AX1392" s="172" t="n"/>
      <c r="AY1392" s="172" t="n"/>
      <c r="AZ1392" s="172" t="n"/>
      <c r="BA1392" s="172" t="n"/>
      <c r="BB1392" s="172" t="n"/>
      <c r="BC1392" s="172" t="n"/>
      <c r="BD1392" s="172" t="n"/>
      <c r="BE1392" s="172" t="n"/>
      <c r="BF1392" s="172" t="n"/>
      <c r="BG1392" s="172" t="n"/>
      <c r="BH1392" s="172" t="n"/>
      <c r="BI1392" s="173"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4" t="inlineStr">
        <is>
          <t>現住所</t>
        </is>
      </c>
      <c r="F1393" s="175" t="n"/>
      <c r="G1393" s="175" t="n"/>
      <c r="H1393" s="175" t="n"/>
      <c r="I1393" s="175" t="n"/>
      <c r="J1393" s="175" t="n"/>
      <c r="K1393" s="176" t="n"/>
      <c r="L1393" s="83" t="inlineStr">
        <is>
          <t>〒</t>
        </is>
      </c>
      <c r="M1393" s="175" t="n"/>
      <c r="N1393" s="175" t="n"/>
      <c r="O1393" s="175" t="n"/>
      <c r="P1393" s="177">
        <f>計算!$H$18</f>
        <v/>
      </c>
      <c r="Q1393" s="175" t="n"/>
      <c r="R1393" s="175" t="n"/>
      <c r="S1393" s="175" t="n"/>
      <c r="T1393" s="175" t="n"/>
      <c r="U1393" s="175" t="n"/>
      <c r="V1393" s="175" t="n"/>
      <c r="W1393" s="175" t="n"/>
      <c r="X1393" s="175" t="n"/>
      <c r="Y1393" s="175" t="n"/>
      <c r="Z1393" s="175" t="n"/>
      <c r="AA1393" s="175" t="n"/>
      <c r="AB1393" s="175" t="n"/>
      <c r="AC1393" s="175" t="n"/>
      <c r="AD1393" s="175" t="n"/>
      <c r="AE1393" s="175" t="n"/>
      <c r="AF1393" s="175" t="n"/>
      <c r="AG1393" s="175" t="n"/>
      <c r="AH1393" s="175" t="n"/>
      <c r="AI1393" s="175" t="n"/>
      <c r="AJ1393" s="175"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5" t="n"/>
      <c r="BQ1394" s="156" t="n"/>
      <c r="BR1394" s="156" t="n"/>
      <c r="BS1394" s="156" t="n"/>
      <c r="BT1394" s="156" t="n"/>
      <c r="BU1394" s="156" t="n"/>
      <c r="BV1394" s="157" t="n"/>
      <c r="BW1394" s="155" t="n"/>
      <c r="BX1394" s="156" t="n"/>
      <c r="BY1394" s="156" t="n"/>
      <c r="BZ1394" s="156" t="n"/>
      <c r="CA1394" s="156" t="n"/>
      <c r="CB1394" s="156" t="n"/>
      <c r="CC1394" s="156" t="n"/>
      <c r="CD1394" s="156" t="n"/>
      <c r="CE1394" s="156" t="n"/>
      <c r="CF1394" s="156" t="n"/>
      <c r="CG1394" s="157"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8" t="inlineStr">
        <is>
          <t>校内外の諸活動</t>
        </is>
      </c>
      <c r="BQ1395" s="149" t="n"/>
      <c r="BR1395" s="149" t="n"/>
      <c r="BS1395" s="149" t="n"/>
      <c r="BT1395" s="149" t="n"/>
      <c r="BU1395" s="149" t="n"/>
      <c r="BV1395" s="150" t="n"/>
      <c r="BW1395" s="179">
        <f>計算!$BO$18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0">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5" t="n"/>
      <c r="F1398" s="156" t="n"/>
      <c r="G1398" s="156" t="n"/>
      <c r="H1398" s="156" t="n"/>
      <c r="I1398" s="156" t="n"/>
      <c r="J1398" s="156" t="n"/>
      <c r="K1398" s="157" t="n"/>
      <c r="L1398" s="155" t="n"/>
      <c r="M1398" s="156" t="n"/>
      <c r="N1398" s="156" t="n"/>
      <c r="O1398" s="156" t="n"/>
      <c r="P1398" s="156" t="n"/>
      <c r="Q1398" s="156" t="n"/>
      <c r="R1398" s="156" t="n"/>
      <c r="S1398" s="156" t="n"/>
      <c r="T1398" s="156" t="n"/>
      <c r="U1398" s="156" t="n"/>
      <c r="V1398" s="156" t="n"/>
      <c r="W1398" s="156" t="n"/>
      <c r="X1398" s="156" t="n"/>
      <c r="Y1398" s="156" t="n"/>
      <c r="Z1398" s="156" t="n"/>
      <c r="AA1398" s="156" t="n"/>
      <c r="AB1398" s="156" t="n"/>
      <c r="AC1398" s="156" t="n"/>
      <c r="AD1398" s="156" t="n"/>
      <c r="AE1398" s="156" t="n"/>
      <c r="AF1398" s="156" t="n"/>
      <c r="AG1398" s="156" t="n"/>
      <c r="AH1398" s="156" t="n"/>
      <c r="AI1398" s="156" t="n"/>
      <c r="AJ1398" s="156" t="n"/>
      <c r="AK1398" s="156" t="n"/>
      <c r="AL1398" s="156" t="n"/>
      <c r="AM1398" s="156" t="n"/>
      <c r="AN1398" s="156" t="n"/>
      <c r="AO1398" s="156" t="n"/>
      <c r="AP1398" s="156" t="n"/>
      <c r="AQ1398" s="156" t="n"/>
      <c r="AR1398" s="156" t="n"/>
      <c r="AS1398" s="156" t="n"/>
      <c r="AT1398" s="156" t="n"/>
      <c r="AU1398" s="156" t="n"/>
      <c r="AV1398" s="156" t="n"/>
      <c r="AW1398" s="156" t="n"/>
      <c r="AX1398" s="156" t="n"/>
      <c r="AY1398" s="156" t="n"/>
      <c r="AZ1398" s="156" t="n"/>
      <c r="BA1398" s="156" t="n"/>
      <c r="BB1398" s="156" t="n"/>
      <c r="BC1398" s="156" t="n"/>
      <c r="BD1398" s="156" t="n"/>
      <c r="BE1398" s="156" t="n"/>
      <c r="BF1398" s="156" t="n"/>
      <c r="BG1398" s="156" t="n"/>
      <c r="BH1398" s="156" t="n"/>
      <c r="BI1398" s="157"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69" t="inlineStr">
        <is>
          <t>ふ り が な</t>
        </is>
      </c>
      <c r="F1399" s="149" t="n"/>
      <c r="G1399" s="149" t="n"/>
      <c r="H1399" s="149" t="n"/>
      <c r="I1399" s="149" t="n"/>
      <c r="J1399" s="149" t="n"/>
      <c r="K1399" s="150" t="n"/>
      <c r="L1399" s="170">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1" t="n"/>
      <c r="F1401" s="172" t="n"/>
      <c r="G1401" s="172" t="n"/>
      <c r="H1401" s="172" t="n"/>
      <c r="I1401" s="172" t="n"/>
      <c r="J1401" s="172" t="n"/>
      <c r="K1401" s="173" t="n"/>
      <c r="L1401" s="172" t="n"/>
      <c r="M1401" s="172" t="n"/>
      <c r="N1401" s="172" t="n"/>
      <c r="O1401" s="172" t="n"/>
      <c r="P1401" s="172" t="n"/>
      <c r="Q1401" s="172" t="n"/>
      <c r="R1401" s="172" t="n"/>
      <c r="S1401" s="172" t="n"/>
      <c r="T1401" s="172" t="n"/>
      <c r="U1401" s="172" t="n"/>
      <c r="V1401" s="172" t="n"/>
      <c r="W1401" s="172" t="n"/>
      <c r="X1401" s="172" t="n"/>
      <c r="Y1401" s="172" t="n"/>
      <c r="Z1401" s="172" t="n"/>
      <c r="AA1401" s="172" t="n"/>
      <c r="AB1401" s="172" t="n"/>
      <c r="AC1401" s="172" t="n"/>
      <c r="AD1401" s="172" t="n"/>
      <c r="AE1401" s="172" t="n"/>
      <c r="AF1401" s="172" t="n"/>
      <c r="AG1401" s="172" t="n"/>
      <c r="AH1401" s="172" t="n"/>
      <c r="AI1401" s="172" t="n"/>
      <c r="AJ1401" s="172" t="n"/>
      <c r="AK1401" s="172" t="n"/>
      <c r="AL1401" s="172" t="n"/>
      <c r="AM1401" s="172" t="n"/>
      <c r="AN1401" s="172" t="n"/>
      <c r="AO1401" s="172" t="n"/>
      <c r="AP1401" s="172" t="n"/>
      <c r="AQ1401" s="172" t="n"/>
      <c r="AR1401" s="172" t="n"/>
      <c r="AS1401" s="172" t="n"/>
      <c r="AT1401" s="172" t="n"/>
      <c r="AU1401" s="172" t="n"/>
      <c r="AV1401" s="172" t="n"/>
      <c r="AW1401" s="172" t="n"/>
      <c r="AX1401" s="172" t="n"/>
      <c r="AY1401" s="172" t="n"/>
      <c r="AZ1401" s="172" t="n"/>
      <c r="BA1401" s="172" t="n"/>
      <c r="BB1401" s="172" t="n"/>
      <c r="BC1401" s="172" t="n"/>
      <c r="BD1401" s="172" t="n"/>
      <c r="BE1401" s="172" t="n"/>
      <c r="BF1401" s="172" t="n"/>
      <c r="BG1401" s="172" t="n"/>
      <c r="BH1401" s="172" t="n"/>
      <c r="BI1401" s="173"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4" t="inlineStr">
        <is>
          <t>連絡先</t>
        </is>
      </c>
      <c r="F1402" s="175" t="n"/>
      <c r="G1402" s="175" t="n"/>
      <c r="H1402" s="175" t="n"/>
      <c r="I1402" s="175" t="n"/>
      <c r="J1402" s="175" t="n"/>
      <c r="K1402" s="176" t="n"/>
      <c r="L1402" s="83" t="inlineStr">
        <is>
          <t>〒</t>
        </is>
      </c>
      <c r="M1402" s="175" t="n"/>
      <c r="N1402" s="175" t="n"/>
      <c r="O1402" s="175" t="n"/>
      <c r="P1402" s="181">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2">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5" t="n"/>
      <c r="F1406" s="156" t="n"/>
      <c r="G1406" s="156" t="n"/>
      <c r="H1406" s="156" t="n"/>
      <c r="I1406" s="156" t="n"/>
      <c r="J1406" s="156" t="n"/>
      <c r="K1406" s="157" t="n"/>
      <c r="L1406" s="156" t="n"/>
      <c r="M1406" s="156" t="n"/>
      <c r="N1406" s="156" t="n"/>
      <c r="O1406" s="156" t="n"/>
      <c r="P1406" s="156" t="n"/>
      <c r="Q1406" s="156" t="n"/>
      <c r="R1406" s="156" t="n"/>
      <c r="S1406" s="156" t="n"/>
      <c r="T1406" s="156" t="n"/>
      <c r="U1406" s="156" t="n"/>
      <c r="V1406" s="156" t="n"/>
      <c r="W1406" s="156" t="n"/>
      <c r="X1406" s="156" t="n"/>
      <c r="Y1406" s="156" t="n"/>
      <c r="Z1406" s="156" t="n"/>
      <c r="AA1406" s="156" t="n"/>
      <c r="AB1406" s="156" t="n"/>
      <c r="AC1406" s="156" t="n"/>
      <c r="AD1406" s="156" t="n"/>
      <c r="AE1406" s="156" t="n"/>
      <c r="AF1406" s="156" t="n"/>
      <c r="AG1406" s="156" t="n"/>
      <c r="AH1406" s="156" t="n"/>
      <c r="AI1406" s="156" t="n"/>
      <c r="AJ1406" s="156" t="n"/>
      <c r="AK1406" s="156" t="n"/>
      <c r="AL1406" s="156" t="n"/>
      <c r="AM1406" s="156" t="n"/>
      <c r="AN1406" s="156" t="n"/>
      <c r="AO1406" s="156" t="n"/>
      <c r="AP1406" s="156" t="n"/>
      <c r="AQ1406" s="156" t="n"/>
      <c r="AR1406" s="156" t="n"/>
      <c r="AS1406" s="156" t="n"/>
      <c r="AT1406" s="156" t="n"/>
      <c r="AU1406" s="156" t="n"/>
      <c r="AV1406" s="156" t="n"/>
      <c r="AW1406" s="156" t="n"/>
      <c r="AX1406" s="156" t="n"/>
      <c r="AY1406" s="156" t="n"/>
      <c r="AZ1406" s="156" t="n"/>
      <c r="BA1406" s="156" t="n"/>
      <c r="BB1406" s="156" t="n"/>
      <c r="BC1406" s="156" t="n"/>
      <c r="BD1406" s="156" t="n"/>
      <c r="BE1406" s="156" t="n"/>
      <c r="BF1406" s="156" t="n"/>
      <c r="BG1406" s="156" t="n"/>
      <c r="BH1406" s="156" t="n"/>
      <c r="BI1406" s="157"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86"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3" t="n"/>
      <c r="BQ1412" s="149" t="n"/>
      <c r="BR1412" s="184" t="n"/>
      <c r="BS1412" s="149" t="n"/>
      <c r="BT1412" s="149" t="n"/>
      <c r="BU1412" s="28" t="n"/>
      <c r="BV1412" s="29" t="n"/>
      <c r="BW1412" s="185">
        <f>計算!$BP$18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115"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6"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107"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7">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188">
        <f>IF(入力!$D$20="","",設定!$B$6)&amp;""</f>
        <v/>
      </c>
      <c r="S1420" s="11" t="n"/>
      <c r="T1420" s="11" t="n"/>
      <c r="U1420" s="188">
        <f>IF(入力!$D$20="","",設定!$B$7)&amp;""</f>
        <v/>
      </c>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110" t="inlineStr">
        <is>
          <t>令和</t>
        </is>
      </c>
      <c r="S1421" s="61" t="inlineStr">
        <is>
          <t>年</t>
        </is>
      </c>
      <c r="W1421" s="62"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90"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5" t="n"/>
      <c r="F1425" s="156" t="n"/>
      <c r="G1425" s="156" t="n"/>
      <c r="H1425" s="156" t="n"/>
      <c r="I1425" s="156" t="n"/>
      <c r="J1425" s="156" t="n"/>
      <c r="K1425" s="157"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6" t="n"/>
      <c r="AX1425" s="156" t="n"/>
      <c r="AY1425" s="156" t="n"/>
      <c r="AZ1425" s="156" t="n"/>
      <c r="BA1425" s="156" t="n"/>
      <c r="BB1425" s="156" t="n"/>
      <c r="BC1425" s="156" t="n"/>
      <c r="BD1425" s="156" t="n"/>
      <c r="BE1425" s="156" t="n"/>
      <c r="BF1425" s="156" t="n"/>
      <c r="BG1425" s="156" t="n"/>
      <c r="BH1425" s="156" t="n"/>
      <c r="BI1425" s="157"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58" t="n"/>
      <c r="T1426" s="149" t="n"/>
      <c r="U1426" s="17" t="n"/>
      <c r="V1426" s="17" t="n"/>
      <c r="W1426" s="58"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89" t="inlineStr">
        <is>
          <t>職　歴</t>
        </is>
      </c>
      <c r="K1429" s="153" t="n"/>
      <c r="L1429" s="69" t="inlineStr">
        <is>
          <t>平成</t>
        </is>
      </c>
      <c r="M1429" s="149" t="n"/>
      <c r="N1429" s="149" t="n"/>
      <c r="O1429" s="149" t="n"/>
      <c r="P1429" s="19" t="n"/>
      <c r="Q1429" s="19" t="n"/>
      <c r="R1429" s="19" t="n"/>
      <c r="S1429" s="19" t="n"/>
      <c r="T1429" s="19" t="n"/>
      <c r="U1429" s="19" t="n"/>
      <c r="V1429" s="19" t="n"/>
      <c r="W1429" s="19" t="n"/>
      <c r="X1429" s="37" t="n"/>
      <c r="Y1429" s="180">
        <f>計算!$BT$18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8">
        <f>計算!$BR$18</f>
        <v/>
      </c>
      <c r="S1431" s="61" t="inlineStr">
        <is>
          <t>年</t>
        </is>
      </c>
      <c r="U1431" s="190">
        <f>計算!$BS$18</f>
        <v/>
      </c>
      <c r="W1431" s="62"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74"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5" t="n"/>
      <c r="M1434" s="156" t="n"/>
      <c r="N1434" s="156" t="n"/>
      <c r="O1434" s="156" t="n"/>
      <c r="P1434" s="20" t="n"/>
      <c r="Q1434" s="20" t="n"/>
      <c r="R1434" s="20" t="n"/>
      <c r="S1434" s="20" t="n"/>
      <c r="T1434" s="20" t="n"/>
      <c r="U1434" s="20" t="n"/>
      <c r="V1434" s="20" t="n"/>
      <c r="W1434" s="20" t="n"/>
      <c r="X1434" s="39" t="n"/>
      <c r="Y1434" s="155" t="n"/>
      <c r="Z1434" s="156" t="n"/>
      <c r="AA1434" s="156" t="n"/>
      <c r="AB1434" s="156" t="n"/>
      <c r="AC1434" s="156" t="n"/>
      <c r="AD1434" s="156" t="n"/>
      <c r="AE1434" s="156" t="n"/>
      <c r="AF1434" s="156" t="n"/>
      <c r="AG1434" s="156" t="n"/>
      <c r="AH1434" s="156" t="n"/>
      <c r="AI1434" s="156" t="n"/>
      <c r="AJ1434" s="156" t="n"/>
      <c r="AK1434" s="156" t="n"/>
      <c r="AL1434" s="156" t="n"/>
      <c r="AM1434" s="156" t="n"/>
      <c r="AN1434" s="156" t="n"/>
      <c r="AO1434" s="156" t="n"/>
      <c r="AP1434" s="156" t="n"/>
      <c r="AQ1434" s="156" t="n"/>
      <c r="AR1434" s="156" t="n"/>
      <c r="AS1434" s="156" t="n"/>
      <c r="AT1434" s="156" t="n"/>
      <c r="AU1434" s="156" t="n"/>
      <c r="AV1434" s="156" t="n"/>
      <c r="AW1434" s="156" t="n"/>
      <c r="AX1434" s="156" t="n"/>
      <c r="AY1434" s="156" t="n"/>
      <c r="AZ1434" s="156" t="n"/>
      <c r="BA1434" s="156" t="n"/>
      <c r="BB1434" s="156" t="n"/>
      <c r="BC1434" s="156" t="n"/>
      <c r="BD1434" s="156" t="n"/>
      <c r="BE1434" s="156" t="n"/>
      <c r="BF1434" s="156" t="n"/>
      <c r="BG1434" s="156" t="n"/>
      <c r="BH1434" s="156" t="n"/>
      <c r="BI1434" s="157"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69" t="inlineStr">
        <is>
          <t>平成</t>
        </is>
      </c>
      <c r="M1435" s="149" t="n"/>
      <c r="N1435" s="149" t="n"/>
      <c r="O1435" s="149" t="n"/>
      <c r="P1435" s="18" t="n"/>
      <c r="Q1435" s="18" t="n"/>
      <c r="R1435" s="18" t="n"/>
      <c r="S1435" s="18" t="n"/>
      <c r="T1435" s="18" t="n"/>
      <c r="U1435" s="18" t="n"/>
      <c r="V1435" s="18" t="n"/>
      <c r="W1435" s="18" t="n"/>
      <c r="X1435" s="35" t="n"/>
      <c r="Y1435" s="180">
        <f>計算!$BW$18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8">
        <f>計算!$BU$18</f>
        <v/>
      </c>
      <c r="S1437" s="61" t="inlineStr">
        <is>
          <t>年</t>
        </is>
      </c>
      <c r="U1437" s="190">
        <f>計算!$BV$18</f>
        <v/>
      </c>
      <c r="W1437" s="62"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74"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5" t="n"/>
      <c r="M1440" s="156" t="n"/>
      <c r="N1440" s="156" t="n"/>
      <c r="O1440" s="156" t="n"/>
      <c r="P1440" s="20" t="n"/>
      <c r="Q1440" s="20" t="n"/>
      <c r="R1440" s="20" t="n"/>
      <c r="S1440" s="20" t="n"/>
      <c r="T1440" s="20" t="n"/>
      <c r="U1440" s="20" t="n"/>
      <c r="V1440" s="20" t="n"/>
      <c r="W1440" s="20" t="n"/>
      <c r="X1440" s="39" t="n"/>
      <c r="Y1440" s="155" t="n"/>
      <c r="Z1440" s="156" t="n"/>
      <c r="AA1440" s="156" t="n"/>
      <c r="AB1440" s="156" t="n"/>
      <c r="AC1440" s="156" t="n"/>
      <c r="AD1440" s="156" t="n"/>
      <c r="AE1440" s="156" t="n"/>
      <c r="AF1440" s="156" t="n"/>
      <c r="AG1440" s="156" t="n"/>
      <c r="AH1440" s="156" t="n"/>
      <c r="AI1440" s="156" t="n"/>
      <c r="AJ1440" s="156" t="n"/>
      <c r="AK1440" s="156" t="n"/>
      <c r="AL1440" s="156" t="n"/>
      <c r="AM1440" s="156" t="n"/>
      <c r="AN1440" s="156" t="n"/>
      <c r="AO1440" s="156" t="n"/>
      <c r="AP1440" s="156" t="n"/>
      <c r="AQ1440" s="156" t="n"/>
      <c r="AR1440" s="156" t="n"/>
      <c r="AS1440" s="156" t="n"/>
      <c r="AT1440" s="156" t="n"/>
      <c r="AU1440" s="156" t="n"/>
      <c r="AV1440" s="156" t="n"/>
      <c r="AW1440" s="156" t="n"/>
      <c r="AX1440" s="156" t="n"/>
      <c r="AY1440" s="156" t="n"/>
      <c r="AZ1440" s="156" t="n"/>
      <c r="BA1440" s="156" t="n"/>
      <c r="BB1440" s="156" t="n"/>
      <c r="BC1440" s="156" t="n"/>
      <c r="BD1440" s="156" t="n"/>
      <c r="BE1440" s="156" t="n"/>
      <c r="BF1440" s="156" t="n"/>
      <c r="BG1440" s="156" t="n"/>
      <c r="BH1440" s="156" t="n"/>
      <c r="BI1440" s="157" t="n"/>
      <c r="BJ1440" s="2" t="n"/>
      <c r="BK1440" s="2" t="n"/>
      <c r="BL1440" s="2" t="n"/>
      <c r="BM1440" s="2" t="n"/>
      <c r="BN1440" s="2" t="n"/>
      <c r="BO1440" s="2" t="n"/>
      <c r="BP1440" s="155" t="n"/>
      <c r="BQ1440" s="156" t="n"/>
      <c r="BR1440" s="156" t="n"/>
      <c r="BS1440" s="156" t="n"/>
      <c r="BT1440" s="156" t="n"/>
      <c r="BU1440" s="42" t="n"/>
      <c r="BV1440" s="45" t="n"/>
      <c r="BW1440" s="156" t="n"/>
      <c r="BX1440" s="156" t="n"/>
      <c r="BY1440" s="156" t="n"/>
      <c r="BZ1440" s="156" t="n"/>
      <c r="CA1440" s="156" t="n"/>
      <c r="CB1440" s="156" t="n"/>
      <c r="CC1440" s="156" t="n"/>
      <c r="CD1440" s="156" t="n"/>
      <c r="CE1440" s="156" t="n"/>
      <c r="CF1440" s="156" t="n"/>
      <c r="CG1440" s="156" t="n"/>
      <c r="CH1440" s="156" t="n"/>
      <c r="CI1440" s="156" t="n"/>
      <c r="CJ1440" s="156" t="n"/>
      <c r="CK1440" s="156" t="n"/>
      <c r="CL1440" s="156" t="n"/>
      <c r="CM1440" s="156" t="n"/>
      <c r="CN1440" s="156" t="n"/>
      <c r="CO1440" s="156" t="n"/>
      <c r="CP1440" s="156" t="n"/>
      <c r="CQ1440" s="156" t="n"/>
      <c r="CR1440" s="156" t="n"/>
      <c r="CS1440" s="156" t="n"/>
      <c r="CT1440" s="156" t="n"/>
      <c r="CU1440" s="156" t="n"/>
      <c r="CV1440" s="156" t="n"/>
      <c r="CW1440" s="156" t="n"/>
      <c r="CX1440" s="156" t="n"/>
      <c r="CY1440" s="156" t="n"/>
      <c r="CZ1440" s="156" t="n"/>
      <c r="DA1440" s="156" t="n"/>
      <c r="DB1440" s="156" t="n"/>
      <c r="DC1440" s="156" t="n"/>
      <c r="DD1440" s="156" t="n"/>
      <c r="DE1440" s="156" t="n"/>
      <c r="DF1440" s="156" t="n"/>
      <c r="DG1440" s="156" t="n"/>
      <c r="DH1440" s="156" t="n"/>
      <c r="DI1440" s="156" t="n"/>
      <c r="DJ1440" s="156" t="n"/>
      <c r="DK1440" s="156" t="n"/>
      <c r="DL1440" s="156" t="n"/>
      <c r="DM1440" s="156" t="n"/>
      <c r="DN1440" s="156" t="n"/>
      <c r="DO1440" s="156" t="n"/>
      <c r="DP1440" s="156" t="n"/>
      <c r="DQ1440" s="156" t="n"/>
      <c r="DR1440" s="156" t="n"/>
      <c r="DS1440" s="156" t="n"/>
      <c r="DT1440" s="156" t="n"/>
      <c r="DU1440" s="157" t="n"/>
      <c r="DV1440" s="2" t="n"/>
      <c r="DW1440" s="2" t="n"/>
      <c r="DX1440" s="2" t="n"/>
      <c r="DY1440" s="2" t="n"/>
      <c r="DZ1440" s="2" t="n"/>
      <c r="EA1440" s="2" t="n"/>
      <c r="EB1440" s="2" t="n"/>
      <c r="EC1440" s="2" t="n"/>
    </row>
    <row r="1441" ht="6.75" customHeight="1" s="118">
      <c r="A1441" s="2" t="n"/>
      <c r="B1441" s="2" t="n"/>
      <c r="C1441" s="2" t="n"/>
      <c r="D1441" s="2" t="n"/>
      <c r="E1441" s="152" t="n"/>
      <c r="K1441" s="153" t="n"/>
      <c r="L1441" s="69"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5">
        <f>計算!$BQ$18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61" t="inlineStr">
        <is>
          <t>年</t>
        </is>
      </c>
      <c r="U1443" s="11" t="n"/>
      <c r="V1443" s="11" t="n"/>
      <c r="W1443" s="62"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74"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5" t="n"/>
      <c r="M1446" s="156" t="n"/>
      <c r="N1446" s="156" t="n"/>
      <c r="O1446" s="156"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69"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61" t="inlineStr">
        <is>
          <t>年</t>
        </is>
      </c>
      <c r="U1449" s="11" t="n"/>
      <c r="V1449" s="11" t="n"/>
      <c r="W1449" s="62"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74"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61" t="n"/>
      <c r="T1451" s="61" t="n"/>
      <c r="U1451" s="11" t="n"/>
      <c r="V1451" s="11" t="n"/>
      <c r="W1451" s="61" t="n"/>
      <c r="X1451" s="62"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5" t="n"/>
      <c r="F1452" s="156" t="n"/>
      <c r="G1452" s="156" t="n"/>
      <c r="H1452" s="156" t="n"/>
      <c r="I1452" s="156" t="n"/>
      <c r="J1452" s="156" t="n"/>
      <c r="K1452" s="157" t="n"/>
      <c r="L1452" s="155" t="n"/>
      <c r="M1452" s="156" t="n"/>
      <c r="N1452" s="156" t="n"/>
      <c r="O1452" s="156"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5" t="n"/>
      <c r="BQ1452" s="156" t="n"/>
      <c r="BR1452" s="156" t="n"/>
      <c r="BS1452" s="156" t="n"/>
      <c r="BT1452" s="156" t="n"/>
      <c r="BU1452" s="156" t="n"/>
      <c r="BV1452" s="157" t="n"/>
      <c r="BW1452" s="156" t="n"/>
      <c r="BX1452" s="156" t="n"/>
      <c r="BY1452" s="156" t="n"/>
      <c r="BZ1452" s="156" t="n"/>
      <c r="CA1452" s="156" t="n"/>
      <c r="CB1452" s="156" t="n"/>
      <c r="CC1452" s="156" t="n"/>
      <c r="CD1452" s="156" t="n"/>
      <c r="CE1452" s="156" t="n"/>
      <c r="CF1452" s="156" t="n"/>
      <c r="CG1452" s="156" t="n"/>
      <c r="CH1452" s="156" t="n"/>
      <c r="CI1452" s="156" t="n"/>
      <c r="CJ1452" s="156" t="n"/>
      <c r="CK1452" s="156" t="n"/>
      <c r="CL1452" s="156" t="n"/>
      <c r="CM1452" s="156" t="n"/>
      <c r="CN1452" s="156" t="n"/>
      <c r="CO1452" s="156" t="n"/>
      <c r="CP1452" s="156" t="n"/>
      <c r="CQ1452" s="156" t="n"/>
      <c r="CR1452" s="156" t="n"/>
      <c r="CS1452" s="156" t="n"/>
      <c r="CT1452" s="156" t="n"/>
      <c r="CU1452" s="156" t="n"/>
      <c r="CV1452" s="156" t="n"/>
      <c r="CW1452" s="156" t="n"/>
      <c r="CX1452" s="156" t="n"/>
      <c r="CY1452" s="156" t="n"/>
      <c r="CZ1452" s="156" t="n"/>
      <c r="DA1452" s="156" t="n"/>
      <c r="DB1452" s="156" t="n"/>
      <c r="DC1452" s="156" t="n"/>
      <c r="DD1452" s="156" t="n"/>
      <c r="DE1452" s="156" t="n"/>
      <c r="DF1452" s="156" t="n"/>
      <c r="DG1452" s="156" t="n"/>
      <c r="DH1452" s="156" t="n"/>
      <c r="DI1452" s="156" t="n"/>
      <c r="DJ1452" s="156" t="n"/>
      <c r="DK1452" s="156" t="n"/>
      <c r="DL1452" s="156" t="n"/>
      <c r="DM1452" s="156" t="n"/>
      <c r="DN1452" s="156" t="n"/>
      <c r="DO1452" s="156" t="n"/>
      <c r="DP1452" s="156" t="n"/>
      <c r="DQ1452" s="156" t="n"/>
      <c r="DR1452" s="156" t="n"/>
      <c r="DS1452" s="156" t="n"/>
      <c r="DT1452" s="156" t="n"/>
      <c r="DU1452" s="157"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87" t="inlineStr">
        <is>
          <t xml:space="preserve">    (近畿高等学校統一用紙　  その２ 　  令和７年度改定)　</t>
        </is>
      </c>
      <c r="DV1454" s="2" t="n"/>
      <c r="DW1454" s="2" t="n"/>
      <c r="DX1454" s="2" t="n"/>
      <c r="DY1454" s="2" t="n"/>
      <c r="DZ1454" s="2" t="n"/>
      <c r="EA1454" s="2" t="n"/>
      <c r="EB1454" s="2" t="n"/>
      <c r="EC1454" s="2" t="n"/>
    </row>
    <row r="1455" hidden="1"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idden="1"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47"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64" t="inlineStr">
        <is>
          <t>令和</t>
        </is>
      </c>
      <c r="AD1464" s="154">
        <f>IF(入力!$D$21="","",IF(N(設定!$B$3)=0,"",YEAR(設定!$B$3)-2018))&amp;""</f>
        <v/>
      </c>
      <c r="AG1464" s="64" t="inlineStr">
        <is>
          <t>年</t>
        </is>
      </c>
      <c r="AI1464" s="154">
        <f>IF(入力!$D$21="","",IF(N(設定!$B$3)=0,"",MONTH(設定!$B$3)))&amp;""</f>
        <v/>
      </c>
      <c r="AL1464" s="64" t="inlineStr">
        <is>
          <t>月</t>
        </is>
      </c>
      <c r="AN1464" s="154">
        <f>IF(入力!$D$21="","",IF(N(設定!$B$3)=0,"",DAY(設定!$B$3)))&amp;""</f>
        <v/>
      </c>
      <c r="AP1464" s="64"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5" t="n"/>
      <c r="BX1464" s="156" t="n"/>
      <c r="BY1464" s="156" t="n"/>
      <c r="BZ1464" s="156" t="n"/>
      <c r="CA1464" s="156" t="n"/>
      <c r="CB1464" s="156" t="n"/>
      <c r="CC1464" s="156" t="n"/>
      <c r="CD1464" s="156" t="n"/>
      <c r="CE1464" s="156" t="n"/>
      <c r="CF1464" s="156" t="n"/>
      <c r="CG1464" s="157" t="n"/>
      <c r="CH1464" s="155" t="n"/>
      <c r="CI1464" s="156" t="n"/>
      <c r="CJ1464" s="156" t="n"/>
      <c r="CK1464" s="156" t="n"/>
      <c r="CL1464" s="156" t="n"/>
      <c r="CM1464" s="156" t="n"/>
      <c r="CN1464" s="156" t="n"/>
      <c r="CO1464" s="156" t="n"/>
      <c r="CP1464" s="156" t="n"/>
      <c r="CQ1464" s="156" t="n"/>
      <c r="CR1464" s="156" t="n"/>
      <c r="CS1464" s="156" t="n"/>
      <c r="CT1464" s="156" t="n"/>
      <c r="CU1464" s="156" t="n"/>
      <c r="CV1464" s="156" t="n"/>
      <c r="CW1464" s="156" t="n"/>
      <c r="CX1464" s="156" t="n"/>
      <c r="CY1464" s="156" t="n"/>
      <c r="CZ1464" s="156" t="n"/>
      <c r="DA1464" s="156" t="n"/>
      <c r="DB1464" s="156" t="n"/>
      <c r="DC1464" s="156" t="n"/>
      <c r="DD1464" s="156" t="n"/>
      <c r="DE1464" s="156" t="n"/>
      <c r="DF1464" s="156" t="n"/>
      <c r="DG1464" s="156" t="n"/>
      <c r="DH1464" s="156" t="n"/>
      <c r="DI1464" s="156" t="n"/>
      <c r="DJ1464" s="156" t="n"/>
      <c r="DK1464" s="156" t="n"/>
      <c r="DL1464" s="156" t="n"/>
      <c r="DM1464" s="156" t="n"/>
      <c r="DN1464" s="156" t="n"/>
      <c r="DO1464" s="156" t="n"/>
      <c r="DP1464" s="156" t="n"/>
      <c r="DQ1464" s="156" t="n"/>
      <c r="DR1464" s="156" t="n"/>
      <c r="DS1464" s="156" t="n"/>
      <c r="DT1464" s="156" t="n"/>
      <c r="DU1464" s="157"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68" t="inlineStr">
        <is>
          <t>写真をはる位置</t>
        </is>
      </c>
      <c r="BI1465" s="8" t="n"/>
      <c r="BJ1465" s="7" t="n"/>
      <c r="BK1465" s="2" t="n"/>
      <c r="BL1465" s="2" t="n"/>
      <c r="BM1465" s="2" t="n"/>
      <c r="BN1465" s="2" t="n"/>
      <c r="BO1465" s="2" t="n"/>
      <c r="BP1465" s="152" t="n"/>
      <c r="BV1465" s="153" t="n"/>
      <c r="BW1465" s="158">
        <f>計算!$CB$19</f>
        <v/>
      </c>
      <c r="CG1465" s="153" t="n"/>
      <c r="CH1465" s="159">
        <f>計算!$CC$19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6" t="n"/>
      <c r="AA1466" s="156" t="n"/>
      <c r="AB1466" s="156" t="n"/>
      <c r="AC1466" s="156" t="n"/>
      <c r="AD1466" s="156" t="n"/>
      <c r="AE1466" s="156" t="n"/>
      <c r="AF1466" s="156" t="n"/>
      <c r="AG1466" s="156" t="n"/>
      <c r="AH1466" s="156" t="n"/>
      <c r="AI1466" s="156" t="n"/>
      <c r="AJ1466" s="156" t="n"/>
      <c r="AK1466" s="156" t="n"/>
      <c r="AL1466" s="156" t="n"/>
      <c r="AM1466" s="156" t="n"/>
      <c r="AN1466" s="156" t="n"/>
      <c r="AO1466" s="156" t="n"/>
      <c r="AP1466" s="156" t="n"/>
      <c r="AQ1466" s="156" t="n"/>
      <c r="AR1466" s="156" t="n"/>
      <c r="AS1466" s="156" t="n"/>
      <c r="AT1466" s="156"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0">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5" t="n"/>
      <c r="F1470" s="156" t="n"/>
      <c r="G1470" s="156" t="n"/>
      <c r="H1470" s="156" t="n"/>
      <c r="I1470" s="156" t="n"/>
      <c r="J1470" s="156" t="n"/>
      <c r="K1470" s="157" t="n"/>
      <c r="L1470" s="156" t="n"/>
      <c r="M1470" s="156" t="n"/>
      <c r="N1470" s="156" t="n"/>
      <c r="O1470" s="156" t="n"/>
      <c r="P1470" s="156" t="n"/>
      <c r="Q1470" s="156" t="n"/>
      <c r="R1470" s="156" t="n"/>
      <c r="S1470" s="156" t="n"/>
      <c r="T1470" s="156" t="n"/>
      <c r="U1470" s="156" t="n"/>
      <c r="V1470" s="156" t="n"/>
      <c r="W1470" s="156" t="n"/>
      <c r="X1470" s="156" t="n"/>
      <c r="Y1470" s="156" t="n"/>
      <c r="Z1470" s="156" t="n"/>
      <c r="AA1470" s="156" t="n"/>
      <c r="AB1470" s="156" t="n"/>
      <c r="AC1470" s="156" t="n"/>
      <c r="AD1470" s="156" t="n"/>
      <c r="AE1470" s="156" t="n"/>
      <c r="AF1470" s="156" t="n"/>
      <c r="AG1470" s="156" t="n"/>
      <c r="AH1470" s="156" t="n"/>
      <c r="AI1470" s="156" t="n"/>
      <c r="AJ1470" s="156" t="n"/>
      <c r="AK1470" s="156" t="n"/>
      <c r="AL1470" s="156" t="n"/>
      <c r="AM1470" s="156" t="n"/>
      <c r="AN1470" s="156" t="n"/>
      <c r="AO1470" s="156" t="n"/>
      <c r="AP1470" s="156" t="n"/>
      <c r="AQ1470" s="156" t="n"/>
      <c r="AR1470" s="156" t="n"/>
      <c r="AS1470" s="156" t="n"/>
      <c r="AT1470" s="157"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1" t="inlineStr">
        <is>
          <t>名　前</t>
        </is>
      </c>
      <c r="F1471" s="149" t="n"/>
      <c r="G1471" s="149" t="n"/>
      <c r="H1471" s="149" t="n"/>
      <c r="I1471" s="149" t="n"/>
      <c r="J1471" s="149" t="n"/>
      <c r="K1471" s="150" t="n"/>
      <c r="L1471" s="162">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61"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5" t="n"/>
      <c r="F1476" s="156" t="n"/>
      <c r="G1476" s="156" t="n"/>
      <c r="H1476" s="156" t="n"/>
      <c r="I1476" s="156" t="n"/>
      <c r="J1476" s="156" t="n"/>
      <c r="K1476" s="157" t="n"/>
      <c r="L1476" s="155" t="n"/>
      <c r="M1476" s="156" t="n"/>
      <c r="N1476" s="156" t="n"/>
      <c r="O1476" s="156" t="n"/>
      <c r="P1476" s="156" t="n"/>
      <c r="Q1476" s="156" t="n"/>
      <c r="R1476" s="156" t="n"/>
      <c r="S1476" s="156" t="n"/>
      <c r="T1476" s="156" t="n"/>
      <c r="U1476" s="156" t="n"/>
      <c r="V1476" s="156" t="n"/>
      <c r="W1476" s="156" t="n"/>
      <c r="X1476" s="156" t="n"/>
      <c r="Y1476" s="156" t="n"/>
      <c r="Z1476" s="156" t="n"/>
      <c r="AA1476" s="156" t="n"/>
      <c r="AB1476" s="156" t="n"/>
      <c r="AC1476" s="156" t="n"/>
      <c r="AD1476" s="156" t="n"/>
      <c r="AE1476" s="156" t="n"/>
      <c r="AF1476" s="156" t="n"/>
      <c r="AG1476" s="156" t="n"/>
      <c r="AH1476" s="156" t="n"/>
      <c r="AI1476" s="156" t="n"/>
      <c r="AJ1476" s="156" t="n"/>
      <c r="AK1476" s="156" t="n"/>
      <c r="AL1476" s="156" t="n"/>
      <c r="AM1476" s="156" t="n"/>
      <c r="AN1476" s="156" t="n"/>
      <c r="AO1476" s="156" t="n"/>
      <c r="AP1476" s="156" t="n"/>
      <c r="AQ1476" s="156" t="n"/>
      <c r="AR1476" s="156" t="n"/>
      <c r="AS1476" s="156" t="n"/>
      <c r="AT1476" s="157"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1" t="inlineStr">
        <is>
          <t>生年月日</t>
        </is>
      </c>
      <c r="F1477" s="149" t="n"/>
      <c r="G1477" s="149" t="n"/>
      <c r="H1477" s="149" t="n"/>
      <c r="I1477" s="149" t="n"/>
      <c r="J1477" s="149" t="n"/>
      <c r="K1477" s="150" t="n"/>
      <c r="L1477" s="163" t="inlineStr">
        <is>
          <t>昭和 ・ 平成</t>
        </is>
      </c>
      <c r="M1477" s="149" t="n"/>
      <c r="N1477" s="149" t="n"/>
      <c r="O1477" s="149" t="n"/>
      <c r="P1477" s="149" t="n"/>
      <c r="Q1477" s="149" t="n"/>
      <c r="R1477" s="149" t="n"/>
      <c r="S1477" s="149" t="n"/>
      <c r="T1477" s="149" t="n"/>
      <c r="U1477" s="149" t="n"/>
      <c r="V1477" s="164">
        <f>計算!$D$19</f>
        <v/>
      </c>
      <c r="W1477" s="149" t="n"/>
      <c r="X1477" s="165" t="inlineStr">
        <is>
          <t>年</t>
        </is>
      </c>
      <c r="Y1477" s="149" t="n"/>
      <c r="Z1477" s="166">
        <f>計算!$E$19</f>
        <v/>
      </c>
      <c r="AA1477" s="149" t="n"/>
      <c r="AB1477" s="149" t="n"/>
      <c r="AC1477" s="165" t="inlineStr">
        <is>
          <t>月</t>
        </is>
      </c>
      <c r="AD1477" s="149" t="n"/>
      <c r="AE1477" s="166">
        <f>計算!$F$19</f>
        <v/>
      </c>
      <c r="AF1477" s="149" t="n"/>
      <c r="AG1477" s="149" t="n"/>
      <c r="AH1477" s="165" t="inlineStr">
        <is>
          <t>日　生 （満</t>
        </is>
      </c>
      <c r="AI1477" s="149" t="n"/>
      <c r="AJ1477" s="149" t="n"/>
      <c r="AK1477" s="149" t="n"/>
      <c r="AL1477" s="149" t="n"/>
      <c r="AM1477" s="149" t="n"/>
      <c r="AN1477" s="149" t="n"/>
      <c r="AO1477" s="149" t="n"/>
      <c r="AP1477" s="167">
        <f>計算!$G$19</f>
        <v/>
      </c>
      <c r="AQ1477" s="149" t="n"/>
      <c r="AR1477" s="168"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5" t="n"/>
      <c r="F1480" s="156" t="n"/>
      <c r="G1480" s="156" t="n"/>
      <c r="H1480" s="156" t="n"/>
      <c r="I1480" s="156" t="n"/>
      <c r="J1480" s="156" t="n"/>
      <c r="K1480" s="157" t="n"/>
      <c r="L1480" s="155" t="n"/>
      <c r="M1480" s="156" t="n"/>
      <c r="N1480" s="156" t="n"/>
      <c r="O1480" s="156" t="n"/>
      <c r="P1480" s="156" t="n"/>
      <c r="Q1480" s="156" t="n"/>
      <c r="R1480" s="156" t="n"/>
      <c r="S1480" s="156" t="n"/>
      <c r="T1480" s="156" t="n"/>
      <c r="U1480" s="156" t="n"/>
      <c r="X1480" s="156" t="n"/>
      <c r="Y1480" s="156" t="n"/>
      <c r="AC1480" s="156" t="n"/>
      <c r="AD1480" s="156" t="n"/>
      <c r="AH1480" s="156" t="n"/>
      <c r="AI1480" s="156" t="n"/>
      <c r="AJ1480" s="156" t="n"/>
      <c r="AK1480" s="156" t="n"/>
      <c r="AL1480" s="156" t="n"/>
      <c r="AM1480" s="156" t="n"/>
      <c r="AN1480" s="156" t="n"/>
      <c r="AO1480" s="156" t="n"/>
      <c r="AP1480" s="156" t="n"/>
      <c r="AQ1480" s="156" t="n"/>
      <c r="AR1480" s="156" t="n"/>
      <c r="AS1480" s="156" t="n"/>
      <c r="AT1480" s="157"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69" t="inlineStr">
        <is>
          <t>ふ り が な</t>
        </is>
      </c>
      <c r="F1481" s="149" t="n"/>
      <c r="G1481" s="149" t="n"/>
      <c r="H1481" s="149" t="n"/>
      <c r="I1481" s="149" t="n"/>
      <c r="J1481" s="149" t="n"/>
      <c r="K1481" s="150" t="n"/>
      <c r="L1481" s="170">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1" t="n"/>
      <c r="F1483" s="172" t="n"/>
      <c r="G1483" s="172" t="n"/>
      <c r="H1483" s="172" t="n"/>
      <c r="I1483" s="172" t="n"/>
      <c r="J1483" s="172" t="n"/>
      <c r="K1483" s="173" t="n"/>
      <c r="L1483" s="172" t="n"/>
      <c r="M1483" s="172" t="n"/>
      <c r="N1483" s="172" t="n"/>
      <c r="O1483" s="172" t="n"/>
      <c r="P1483" s="172" t="n"/>
      <c r="Q1483" s="172" t="n"/>
      <c r="R1483" s="172" t="n"/>
      <c r="S1483" s="172" t="n"/>
      <c r="T1483" s="172" t="n"/>
      <c r="U1483" s="172" t="n"/>
      <c r="V1483" s="172" t="n"/>
      <c r="W1483" s="172" t="n"/>
      <c r="X1483" s="172" t="n"/>
      <c r="Y1483" s="172" t="n"/>
      <c r="Z1483" s="172" t="n"/>
      <c r="AA1483" s="172" t="n"/>
      <c r="AB1483" s="172" t="n"/>
      <c r="AC1483" s="172" t="n"/>
      <c r="AD1483" s="172" t="n"/>
      <c r="AE1483" s="172" t="n"/>
      <c r="AF1483" s="172" t="n"/>
      <c r="AG1483" s="172" t="n"/>
      <c r="AH1483" s="172" t="n"/>
      <c r="AI1483" s="172" t="n"/>
      <c r="AJ1483" s="172" t="n"/>
      <c r="AK1483" s="172" t="n"/>
      <c r="AL1483" s="172" t="n"/>
      <c r="AM1483" s="172" t="n"/>
      <c r="AN1483" s="172" t="n"/>
      <c r="AO1483" s="172" t="n"/>
      <c r="AP1483" s="172" t="n"/>
      <c r="AQ1483" s="172" t="n"/>
      <c r="AR1483" s="172" t="n"/>
      <c r="AS1483" s="172" t="n"/>
      <c r="AT1483" s="172" t="n"/>
      <c r="AU1483" s="172" t="n"/>
      <c r="AV1483" s="172" t="n"/>
      <c r="AW1483" s="172" t="n"/>
      <c r="AX1483" s="172" t="n"/>
      <c r="AY1483" s="172" t="n"/>
      <c r="AZ1483" s="172" t="n"/>
      <c r="BA1483" s="172" t="n"/>
      <c r="BB1483" s="172" t="n"/>
      <c r="BC1483" s="172" t="n"/>
      <c r="BD1483" s="172" t="n"/>
      <c r="BE1483" s="172" t="n"/>
      <c r="BF1483" s="172" t="n"/>
      <c r="BG1483" s="172" t="n"/>
      <c r="BH1483" s="172" t="n"/>
      <c r="BI1483" s="173"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4" t="inlineStr">
        <is>
          <t>現住所</t>
        </is>
      </c>
      <c r="F1484" s="175" t="n"/>
      <c r="G1484" s="175" t="n"/>
      <c r="H1484" s="175" t="n"/>
      <c r="I1484" s="175" t="n"/>
      <c r="J1484" s="175" t="n"/>
      <c r="K1484" s="176" t="n"/>
      <c r="L1484" s="83" t="inlineStr">
        <is>
          <t>〒</t>
        </is>
      </c>
      <c r="M1484" s="175" t="n"/>
      <c r="N1484" s="175" t="n"/>
      <c r="O1484" s="175" t="n"/>
      <c r="P1484" s="177">
        <f>計算!$H$19</f>
        <v/>
      </c>
      <c r="Q1484" s="175" t="n"/>
      <c r="R1484" s="175" t="n"/>
      <c r="S1484" s="175" t="n"/>
      <c r="T1484" s="175" t="n"/>
      <c r="U1484" s="175" t="n"/>
      <c r="V1484" s="175" t="n"/>
      <c r="W1484" s="175" t="n"/>
      <c r="X1484" s="175" t="n"/>
      <c r="Y1484" s="175" t="n"/>
      <c r="Z1484" s="175" t="n"/>
      <c r="AA1484" s="175" t="n"/>
      <c r="AB1484" s="175" t="n"/>
      <c r="AC1484" s="175" t="n"/>
      <c r="AD1484" s="175" t="n"/>
      <c r="AE1484" s="175" t="n"/>
      <c r="AF1484" s="175" t="n"/>
      <c r="AG1484" s="175" t="n"/>
      <c r="AH1484" s="175" t="n"/>
      <c r="AI1484" s="175" t="n"/>
      <c r="AJ1484" s="175"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5" t="n"/>
      <c r="BQ1485" s="156" t="n"/>
      <c r="BR1485" s="156" t="n"/>
      <c r="BS1485" s="156" t="n"/>
      <c r="BT1485" s="156" t="n"/>
      <c r="BU1485" s="156" t="n"/>
      <c r="BV1485" s="157" t="n"/>
      <c r="BW1485" s="155" t="n"/>
      <c r="BX1485" s="156" t="n"/>
      <c r="BY1485" s="156" t="n"/>
      <c r="BZ1485" s="156" t="n"/>
      <c r="CA1485" s="156" t="n"/>
      <c r="CB1485" s="156" t="n"/>
      <c r="CC1485" s="156" t="n"/>
      <c r="CD1485" s="156" t="n"/>
      <c r="CE1485" s="156" t="n"/>
      <c r="CF1485" s="156" t="n"/>
      <c r="CG1485" s="157"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8" t="inlineStr">
        <is>
          <t>校内外の諸活動</t>
        </is>
      </c>
      <c r="BQ1486" s="149" t="n"/>
      <c r="BR1486" s="149" t="n"/>
      <c r="BS1486" s="149" t="n"/>
      <c r="BT1486" s="149" t="n"/>
      <c r="BU1486" s="149" t="n"/>
      <c r="BV1486" s="150" t="n"/>
      <c r="BW1486" s="179">
        <f>計算!$BO$19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0">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5" t="n"/>
      <c r="F1489" s="156" t="n"/>
      <c r="G1489" s="156" t="n"/>
      <c r="H1489" s="156" t="n"/>
      <c r="I1489" s="156" t="n"/>
      <c r="J1489" s="156" t="n"/>
      <c r="K1489" s="157" t="n"/>
      <c r="L1489" s="155" t="n"/>
      <c r="M1489" s="156" t="n"/>
      <c r="N1489" s="156" t="n"/>
      <c r="O1489" s="156" t="n"/>
      <c r="P1489" s="156" t="n"/>
      <c r="Q1489" s="156" t="n"/>
      <c r="R1489" s="156" t="n"/>
      <c r="S1489" s="156" t="n"/>
      <c r="T1489" s="156" t="n"/>
      <c r="U1489" s="156" t="n"/>
      <c r="V1489" s="156" t="n"/>
      <c r="W1489" s="156" t="n"/>
      <c r="X1489" s="156" t="n"/>
      <c r="Y1489" s="156" t="n"/>
      <c r="Z1489" s="156" t="n"/>
      <c r="AA1489" s="156" t="n"/>
      <c r="AB1489" s="156" t="n"/>
      <c r="AC1489" s="156" t="n"/>
      <c r="AD1489" s="156" t="n"/>
      <c r="AE1489" s="156" t="n"/>
      <c r="AF1489" s="156" t="n"/>
      <c r="AG1489" s="156" t="n"/>
      <c r="AH1489" s="156" t="n"/>
      <c r="AI1489" s="156" t="n"/>
      <c r="AJ1489" s="156" t="n"/>
      <c r="AK1489" s="156" t="n"/>
      <c r="AL1489" s="156" t="n"/>
      <c r="AM1489" s="156" t="n"/>
      <c r="AN1489" s="156" t="n"/>
      <c r="AO1489" s="156" t="n"/>
      <c r="AP1489" s="156" t="n"/>
      <c r="AQ1489" s="156" t="n"/>
      <c r="AR1489" s="156" t="n"/>
      <c r="AS1489" s="156" t="n"/>
      <c r="AT1489" s="156" t="n"/>
      <c r="AU1489" s="156" t="n"/>
      <c r="AV1489" s="156" t="n"/>
      <c r="AW1489" s="156" t="n"/>
      <c r="AX1489" s="156" t="n"/>
      <c r="AY1489" s="156" t="n"/>
      <c r="AZ1489" s="156" t="n"/>
      <c r="BA1489" s="156" t="n"/>
      <c r="BB1489" s="156" t="n"/>
      <c r="BC1489" s="156" t="n"/>
      <c r="BD1489" s="156" t="n"/>
      <c r="BE1489" s="156" t="n"/>
      <c r="BF1489" s="156" t="n"/>
      <c r="BG1489" s="156" t="n"/>
      <c r="BH1489" s="156" t="n"/>
      <c r="BI1489" s="157"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69" t="inlineStr">
        <is>
          <t>ふ り が な</t>
        </is>
      </c>
      <c r="F1490" s="149" t="n"/>
      <c r="G1490" s="149" t="n"/>
      <c r="H1490" s="149" t="n"/>
      <c r="I1490" s="149" t="n"/>
      <c r="J1490" s="149" t="n"/>
      <c r="K1490" s="150" t="n"/>
      <c r="L1490" s="170">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1" t="n"/>
      <c r="F1492" s="172" t="n"/>
      <c r="G1492" s="172" t="n"/>
      <c r="H1492" s="172" t="n"/>
      <c r="I1492" s="172" t="n"/>
      <c r="J1492" s="172" t="n"/>
      <c r="K1492" s="173" t="n"/>
      <c r="L1492" s="172" t="n"/>
      <c r="M1492" s="172" t="n"/>
      <c r="N1492" s="172" t="n"/>
      <c r="O1492" s="172" t="n"/>
      <c r="P1492" s="172" t="n"/>
      <c r="Q1492" s="172" t="n"/>
      <c r="R1492" s="172" t="n"/>
      <c r="S1492" s="172" t="n"/>
      <c r="T1492" s="172" t="n"/>
      <c r="U1492" s="172" t="n"/>
      <c r="V1492" s="172" t="n"/>
      <c r="W1492" s="172" t="n"/>
      <c r="X1492" s="172" t="n"/>
      <c r="Y1492" s="172" t="n"/>
      <c r="Z1492" s="172" t="n"/>
      <c r="AA1492" s="172" t="n"/>
      <c r="AB1492" s="172" t="n"/>
      <c r="AC1492" s="172" t="n"/>
      <c r="AD1492" s="172" t="n"/>
      <c r="AE1492" s="172" t="n"/>
      <c r="AF1492" s="172" t="n"/>
      <c r="AG1492" s="172" t="n"/>
      <c r="AH1492" s="172" t="n"/>
      <c r="AI1492" s="172" t="n"/>
      <c r="AJ1492" s="172" t="n"/>
      <c r="AK1492" s="172" t="n"/>
      <c r="AL1492" s="172" t="n"/>
      <c r="AM1492" s="172" t="n"/>
      <c r="AN1492" s="172" t="n"/>
      <c r="AO1492" s="172" t="n"/>
      <c r="AP1492" s="172" t="n"/>
      <c r="AQ1492" s="172" t="n"/>
      <c r="AR1492" s="172" t="n"/>
      <c r="AS1492" s="172" t="n"/>
      <c r="AT1492" s="172" t="n"/>
      <c r="AU1492" s="172" t="n"/>
      <c r="AV1492" s="172" t="n"/>
      <c r="AW1492" s="172" t="n"/>
      <c r="AX1492" s="172" t="n"/>
      <c r="AY1492" s="172" t="n"/>
      <c r="AZ1492" s="172" t="n"/>
      <c r="BA1492" s="172" t="n"/>
      <c r="BB1492" s="172" t="n"/>
      <c r="BC1492" s="172" t="n"/>
      <c r="BD1492" s="172" t="n"/>
      <c r="BE1492" s="172" t="n"/>
      <c r="BF1492" s="172" t="n"/>
      <c r="BG1492" s="172" t="n"/>
      <c r="BH1492" s="172" t="n"/>
      <c r="BI1492" s="173"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4" t="inlineStr">
        <is>
          <t>連絡先</t>
        </is>
      </c>
      <c r="F1493" s="175" t="n"/>
      <c r="G1493" s="175" t="n"/>
      <c r="H1493" s="175" t="n"/>
      <c r="I1493" s="175" t="n"/>
      <c r="J1493" s="175" t="n"/>
      <c r="K1493" s="176" t="n"/>
      <c r="L1493" s="83" t="inlineStr">
        <is>
          <t>〒</t>
        </is>
      </c>
      <c r="M1493" s="175" t="n"/>
      <c r="N1493" s="175" t="n"/>
      <c r="O1493" s="175" t="n"/>
      <c r="P1493" s="181">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2">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5" t="n"/>
      <c r="F1497" s="156" t="n"/>
      <c r="G1497" s="156" t="n"/>
      <c r="H1497" s="156" t="n"/>
      <c r="I1497" s="156" t="n"/>
      <c r="J1497" s="156" t="n"/>
      <c r="K1497" s="157" t="n"/>
      <c r="L1497" s="156" t="n"/>
      <c r="M1497" s="156" t="n"/>
      <c r="N1497" s="156" t="n"/>
      <c r="O1497" s="156" t="n"/>
      <c r="P1497" s="156" t="n"/>
      <c r="Q1497" s="156" t="n"/>
      <c r="R1497" s="156" t="n"/>
      <c r="S1497" s="156" t="n"/>
      <c r="T1497" s="156" t="n"/>
      <c r="U1497" s="156" t="n"/>
      <c r="V1497" s="156" t="n"/>
      <c r="W1497" s="156" t="n"/>
      <c r="X1497" s="156" t="n"/>
      <c r="Y1497" s="156" t="n"/>
      <c r="Z1497" s="156" t="n"/>
      <c r="AA1497" s="156" t="n"/>
      <c r="AB1497" s="156" t="n"/>
      <c r="AC1497" s="156" t="n"/>
      <c r="AD1497" s="156" t="n"/>
      <c r="AE1497" s="156" t="n"/>
      <c r="AF1497" s="156" t="n"/>
      <c r="AG1497" s="156" t="n"/>
      <c r="AH1497" s="156" t="n"/>
      <c r="AI1497" s="156" t="n"/>
      <c r="AJ1497" s="156" t="n"/>
      <c r="AK1497" s="156" t="n"/>
      <c r="AL1497" s="156" t="n"/>
      <c r="AM1497" s="156" t="n"/>
      <c r="AN1497" s="156" t="n"/>
      <c r="AO1497" s="156" t="n"/>
      <c r="AP1497" s="156" t="n"/>
      <c r="AQ1497" s="156" t="n"/>
      <c r="AR1497" s="156" t="n"/>
      <c r="AS1497" s="156" t="n"/>
      <c r="AT1497" s="156" t="n"/>
      <c r="AU1497" s="156" t="n"/>
      <c r="AV1497" s="156" t="n"/>
      <c r="AW1497" s="156" t="n"/>
      <c r="AX1497" s="156" t="n"/>
      <c r="AY1497" s="156" t="n"/>
      <c r="AZ1497" s="156" t="n"/>
      <c r="BA1497" s="156" t="n"/>
      <c r="BB1497" s="156" t="n"/>
      <c r="BC1497" s="156" t="n"/>
      <c r="BD1497" s="156" t="n"/>
      <c r="BE1497" s="156" t="n"/>
      <c r="BF1497" s="156" t="n"/>
      <c r="BG1497" s="156" t="n"/>
      <c r="BH1497" s="156" t="n"/>
      <c r="BI1497" s="157"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86"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3" t="n"/>
      <c r="BQ1503" s="149" t="n"/>
      <c r="BR1503" s="184" t="n"/>
      <c r="BS1503" s="149" t="n"/>
      <c r="BT1503" s="149" t="n"/>
      <c r="BU1503" s="28" t="n"/>
      <c r="BV1503" s="29" t="n"/>
      <c r="BW1503" s="185">
        <f>計算!$BP$19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115"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6"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107"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7">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188">
        <f>IF(入力!$D$21="","",設定!$B$6)&amp;""</f>
        <v/>
      </c>
      <c r="S1511" s="11" t="n"/>
      <c r="T1511" s="11" t="n"/>
      <c r="U1511" s="188">
        <f>IF(入力!$D$21="","",設定!$B$7)&amp;""</f>
        <v/>
      </c>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110" t="inlineStr">
        <is>
          <t>令和</t>
        </is>
      </c>
      <c r="S1512" s="61" t="inlineStr">
        <is>
          <t>年</t>
        </is>
      </c>
      <c r="W1512" s="62"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90"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5" t="n"/>
      <c r="F1516" s="156" t="n"/>
      <c r="G1516" s="156" t="n"/>
      <c r="H1516" s="156" t="n"/>
      <c r="I1516" s="156" t="n"/>
      <c r="J1516" s="156" t="n"/>
      <c r="K1516" s="157"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6" t="n"/>
      <c r="AX1516" s="156" t="n"/>
      <c r="AY1516" s="156" t="n"/>
      <c r="AZ1516" s="156" t="n"/>
      <c r="BA1516" s="156" t="n"/>
      <c r="BB1516" s="156" t="n"/>
      <c r="BC1516" s="156" t="n"/>
      <c r="BD1516" s="156" t="n"/>
      <c r="BE1516" s="156" t="n"/>
      <c r="BF1516" s="156" t="n"/>
      <c r="BG1516" s="156" t="n"/>
      <c r="BH1516" s="156" t="n"/>
      <c r="BI1516" s="157"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58" t="n"/>
      <c r="T1517" s="149" t="n"/>
      <c r="U1517" s="17" t="n"/>
      <c r="V1517" s="17" t="n"/>
      <c r="W1517" s="58"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89" t="inlineStr">
        <is>
          <t>職　歴</t>
        </is>
      </c>
      <c r="K1520" s="153" t="n"/>
      <c r="L1520" s="69" t="inlineStr">
        <is>
          <t>平成</t>
        </is>
      </c>
      <c r="M1520" s="149" t="n"/>
      <c r="N1520" s="149" t="n"/>
      <c r="O1520" s="149" t="n"/>
      <c r="P1520" s="19" t="n"/>
      <c r="Q1520" s="19" t="n"/>
      <c r="R1520" s="19" t="n"/>
      <c r="S1520" s="19" t="n"/>
      <c r="T1520" s="19" t="n"/>
      <c r="U1520" s="19" t="n"/>
      <c r="V1520" s="19" t="n"/>
      <c r="W1520" s="19" t="n"/>
      <c r="X1520" s="37" t="n"/>
      <c r="Y1520" s="180">
        <f>計算!$BT$19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8">
        <f>計算!$BR$19</f>
        <v/>
      </c>
      <c r="S1522" s="61" t="inlineStr">
        <is>
          <t>年</t>
        </is>
      </c>
      <c r="U1522" s="190">
        <f>計算!$BS$19</f>
        <v/>
      </c>
      <c r="W1522" s="62"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74"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5" t="n"/>
      <c r="M1525" s="156" t="n"/>
      <c r="N1525" s="156" t="n"/>
      <c r="O1525" s="156" t="n"/>
      <c r="P1525" s="20" t="n"/>
      <c r="Q1525" s="20" t="n"/>
      <c r="R1525" s="20" t="n"/>
      <c r="S1525" s="20" t="n"/>
      <c r="T1525" s="20" t="n"/>
      <c r="U1525" s="20" t="n"/>
      <c r="V1525" s="20" t="n"/>
      <c r="W1525" s="20" t="n"/>
      <c r="X1525" s="39" t="n"/>
      <c r="Y1525" s="155" t="n"/>
      <c r="Z1525" s="156" t="n"/>
      <c r="AA1525" s="156" t="n"/>
      <c r="AB1525" s="156" t="n"/>
      <c r="AC1525" s="156" t="n"/>
      <c r="AD1525" s="156" t="n"/>
      <c r="AE1525" s="156" t="n"/>
      <c r="AF1525" s="156" t="n"/>
      <c r="AG1525" s="156" t="n"/>
      <c r="AH1525" s="156" t="n"/>
      <c r="AI1525" s="156" t="n"/>
      <c r="AJ1525" s="156" t="n"/>
      <c r="AK1525" s="156" t="n"/>
      <c r="AL1525" s="156" t="n"/>
      <c r="AM1525" s="156" t="n"/>
      <c r="AN1525" s="156" t="n"/>
      <c r="AO1525" s="156" t="n"/>
      <c r="AP1525" s="156" t="n"/>
      <c r="AQ1525" s="156" t="n"/>
      <c r="AR1525" s="156" t="n"/>
      <c r="AS1525" s="156" t="n"/>
      <c r="AT1525" s="156" t="n"/>
      <c r="AU1525" s="156" t="n"/>
      <c r="AV1525" s="156" t="n"/>
      <c r="AW1525" s="156" t="n"/>
      <c r="AX1525" s="156" t="n"/>
      <c r="AY1525" s="156" t="n"/>
      <c r="AZ1525" s="156" t="n"/>
      <c r="BA1525" s="156" t="n"/>
      <c r="BB1525" s="156" t="n"/>
      <c r="BC1525" s="156" t="n"/>
      <c r="BD1525" s="156" t="n"/>
      <c r="BE1525" s="156" t="n"/>
      <c r="BF1525" s="156" t="n"/>
      <c r="BG1525" s="156" t="n"/>
      <c r="BH1525" s="156" t="n"/>
      <c r="BI1525" s="157"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69" t="inlineStr">
        <is>
          <t>平成</t>
        </is>
      </c>
      <c r="M1526" s="149" t="n"/>
      <c r="N1526" s="149" t="n"/>
      <c r="O1526" s="149" t="n"/>
      <c r="P1526" s="18" t="n"/>
      <c r="Q1526" s="18" t="n"/>
      <c r="R1526" s="18" t="n"/>
      <c r="S1526" s="18" t="n"/>
      <c r="T1526" s="18" t="n"/>
      <c r="U1526" s="18" t="n"/>
      <c r="V1526" s="18" t="n"/>
      <c r="W1526" s="18" t="n"/>
      <c r="X1526" s="35" t="n"/>
      <c r="Y1526" s="180">
        <f>計算!$BW$19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8">
        <f>計算!$BU$19</f>
        <v/>
      </c>
      <c r="S1528" s="61" t="inlineStr">
        <is>
          <t>年</t>
        </is>
      </c>
      <c r="U1528" s="190">
        <f>計算!$BV$19</f>
        <v/>
      </c>
      <c r="W1528" s="62"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74"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5" t="n"/>
      <c r="M1531" s="156" t="n"/>
      <c r="N1531" s="156" t="n"/>
      <c r="O1531" s="156" t="n"/>
      <c r="P1531" s="20" t="n"/>
      <c r="Q1531" s="20" t="n"/>
      <c r="R1531" s="20" t="n"/>
      <c r="S1531" s="20" t="n"/>
      <c r="T1531" s="20" t="n"/>
      <c r="U1531" s="20" t="n"/>
      <c r="V1531" s="20" t="n"/>
      <c r="W1531" s="20" t="n"/>
      <c r="X1531" s="39" t="n"/>
      <c r="Y1531" s="155" t="n"/>
      <c r="Z1531" s="156" t="n"/>
      <c r="AA1531" s="156" t="n"/>
      <c r="AB1531" s="156" t="n"/>
      <c r="AC1531" s="156" t="n"/>
      <c r="AD1531" s="156" t="n"/>
      <c r="AE1531" s="156" t="n"/>
      <c r="AF1531" s="156" t="n"/>
      <c r="AG1531" s="156" t="n"/>
      <c r="AH1531" s="156" t="n"/>
      <c r="AI1531" s="156" t="n"/>
      <c r="AJ1531" s="156" t="n"/>
      <c r="AK1531" s="156" t="n"/>
      <c r="AL1531" s="156" t="n"/>
      <c r="AM1531" s="156" t="n"/>
      <c r="AN1531" s="156" t="n"/>
      <c r="AO1531" s="156" t="n"/>
      <c r="AP1531" s="156" t="n"/>
      <c r="AQ1531" s="156" t="n"/>
      <c r="AR1531" s="156" t="n"/>
      <c r="AS1531" s="156" t="n"/>
      <c r="AT1531" s="156" t="n"/>
      <c r="AU1531" s="156" t="n"/>
      <c r="AV1531" s="156" t="n"/>
      <c r="AW1531" s="156" t="n"/>
      <c r="AX1531" s="156" t="n"/>
      <c r="AY1531" s="156" t="n"/>
      <c r="AZ1531" s="156" t="n"/>
      <c r="BA1531" s="156" t="n"/>
      <c r="BB1531" s="156" t="n"/>
      <c r="BC1531" s="156" t="n"/>
      <c r="BD1531" s="156" t="n"/>
      <c r="BE1531" s="156" t="n"/>
      <c r="BF1531" s="156" t="n"/>
      <c r="BG1531" s="156" t="n"/>
      <c r="BH1531" s="156" t="n"/>
      <c r="BI1531" s="157" t="n"/>
      <c r="BJ1531" s="2" t="n"/>
      <c r="BK1531" s="2" t="n"/>
      <c r="BL1531" s="2" t="n"/>
      <c r="BM1531" s="2" t="n"/>
      <c r="BN1531" s="2" t="n"/>
      <c r="BO1531" s="2" t="n"/>
      <c r="BP1531" s="155" t="n"/>
      <c r="BQ1531" s="156" t="n"/>
      <c r="BR1531" s="156" t="n"/>
      <c r="BS1531" s="156" t="n"/>
      <c r="BT1531" s="156" t="n"/>
      <c r="BU1531" s="42" t="n"/>
      <c r="BV1531" s="45" t="n"/>
      <c r="BW1531" s="156" t="n"/>
      <c r="BX1531" s="156" t="n"/>
      <c r="BY1531" s="156" t="n"/>
      <c r="BZ1531" s="156" t="n"/>
      <c r="CA1531" s="156" t="n"/>
      <c r="CB1531" s="156" t="n"/>
      <c r="CC1531" s="156" t="n"/>
      <c r="CD1531" s="156" t="n"/>
      <c r="CE1531" s="156" t="n"/>
      <c r="CF1531" s="156" t="n"/>
      <c r="CG1531" s="156" t="n"/>
      <c r="CH1531" s="156" t="n"/>
      <c r="CI1531" s="156" t="n"/>
      <c r="CJ1531" s="156" t="n"/>
      <c r="CK1531" s="156" t="n"/>
      <c r="CL1531" s="156" t="n"/>
      <c r="CM1531" s="156" t="n"/>
      <c r="CN1531" s="156" t="n"/>
      <c r="CO1531" s="156" t="n"/>
      <c r="CP1531" s="156" t="n"/>
      <c r="CQ1531" s="156" t="n"/>
      <c r="CR1531" s="156" t="n"/>
      <c r="CS1531" s="156" t="n"/>
      <c r="CT1531" s="156" t="n"/>
      <c r="CU1531" s="156" t="n"/>
      <c r="CV1531" s="156" t="n"/>
      <c r="CW1531" s="156" t="n"/>
      <c r="CX1531" s="156" t="n"/>
      <c r="CY1531" s="156" t="n"/>
      <c r="CZ1531" s="156" t="n"/>
      <c r="DA1531" s="156" t="n"/>
      <c r="DB1531" s="156" t="n"/>
      <c r="DC1531" s="156" t="n"/>
      <c r="DD1531" s="156" t="n"/>
      <c r="DE1531" s="156" t="n"/>
      <c r="DF1531" s="156" t="n"/>
      <c r="DG1531" s="156" t="n"/>
      <c r="DH1531" s="156" t="n"/>
      <c r="DI1531" s="156" t="n"/>
      <c r="DJ1531" s="156" t="n"/>
      <c r="DK1531" s="156" t="n"/>
      <c r="DL1531" s="156" t="n"/>
      <c r="DM1531" s="156" t="n"/>
      <c r="DN1531" s="156" t="n"/>
      <c r="DO1531" s="156" t="n"/>
      <c r="DP1531" s="156" t="n"/>
      <c r="DQ1531" s="156" t="n"/>
      <c r="DR1531" s="156" t="n"/>
      <c r="DS1531" s="156" t="n"/>
      <c r="DT1531" s="156" t="n"/>
      <c r="DU1531" s="157" t="n"/>
      <c r="DV1531" s="2" t="n"/>
      <c r="DW1531" s="2" t="n"/>
      <c r="DX1531" s="2" t="n"/>
      <c r="DY1531" s="2" t="n"/>
      <c r="DZ1531" s="2" t="n"/>
      <c r="EA1531" s="2" t="n"/>
      <c r="EB1531" s="2" t="n"/>
      <c r="EC1531" s="2" t="n"/>
    </row>
    <row r="1532" ht="6.75" customHeight="1" s="118">
      <c r="A1532" s="2" t="n"/>
      <c r="B1532" s="2" t="n"/>
      <c r="C1532" s="2" t="n"/>
      <c r="D1532" s="2" t="n"/>
      <c r="E1532" s="152" t="n"/>
      <c r="K1532" s="153" t="n"/>
      <c r="L1532" s="69"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5">
        <f>計算!$BQ$19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61" t="inlineStr">
        <is>
          <t>年</t>
        </is>
      </c>
      <c r="U1534" s="11" t="n"/>
      <c r="V1534" s="11" t="n"/>
      <c r="W1534" s="62"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74"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5" t="n"/>
      <c r="M1537" s="156" t="n"/>
      <c r="N1537" s="156" t="n"/>
      <c r="O1537" s="156"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69"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61" t="inlineStr">
        <is>
          <t>年</t>
        </is>
      </c>
      <c r="U1540" s="11" t="n"/>
      <c r="V1540" s="11" t="n"/>
      <c r="W1540" s="62"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74"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61" t="n"/>
      <c r="T1542" s="61" t="n"/>
      <c r="U1542" s="11" t="n"/>
      <c r="V1542" s="11" t="n"/>
      <c r="W1542" s="61" t="n"/>
      <c r="X1542" s="62"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5" t="n"/>
      <c r="F1543" s="156" t="n"/>
      <c r="G1543" s="156" t="n"/>
      <c r="H1543" s="156" t="n"/>
      <c r="I1543" s="156" t="n"/>
      <c r="J1543" s="156" t="n"/>
      <c r="K1543" s="157" t="n"/>
      <c r="L1543" s="155" t="n"/>
      <c r="M1543" s="156" t="n"/>
      <c r="N1543" s="156" t="n"/>
      <c r="O1543" s="156"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5" t="n"/>
      <c r="BQ1543" s="156" t="n"/>
      <c r="BR1543" s="156" t="n"/>
      <c r="BS1543" s="156" t="n"/>
      <c r="BT1543" s="156" t="n"/>
      <c r="BU1543" s="156" t="n"/>
      <c r="BV1543" s="157" t="n"/>
      <c r="BW1543" s="156" t="n"/>
      <c r="BX1543" s="156" t="n"/>
      <c r="BY1543" s="156" t="n"/>
      <c r="BZ1543" s="156" t="n"/>
      <c r="CA1543" s="156" t="n"/>
      <c r="CB1543" s="156" t="n"/>
      <c r="CC1543" s="156" t="n"/>
      <c r="CD1543" s="156" t="n"/>
      <c r="CE1543" s="156" t="n"/>
      <c r="CF1543" s="156" t="n"/>
      <c r="CG1543" s="156" t="n"/>
      <c r="CH1543" s="156" t="n"/>
      <c r="CI1543" s="156" t="n"/>
      <c r="CJ1543" s="156" t="n"/>
      <c r="CK1543" s="156" t="n"/>
      <c r="CL1543" s="156" t="n"/>
      <c r="CM1543" s="156" t="n"/>
      <c r="CN1543" s="156" t="n"/>
      <c r="CO1543" s="156" t="n"/>
      <c r="CP1543" s="156" t="n"/>
      <c r="CQ1543" s="156" t="n"/>
      <c r="CR1543" s="156" t="n"/>
      <c r="CS1543" s="156" t="n"/>
      <c r="CT1543" s="156" t="n"/>
      <c r="CU1543" s="156" t="n"/>
      <c r="CV1543" s="156" t="n"/>
      <c r="CW1543" s="156" t="n"/>
      <c r="CX1543" s="156" t="n"/>
      <c r="CY1543" s="156" t="n"/>
      <c r="CZ1543" s="156" t="n"/>
      <c r="DA1543" s="156" t="n"/>
      <c r="DB1543" s="156" t="n"/>
      <c r="DC1543" s="156" t="n"/>
      <c r="DD1543" s="156" t="n"/>
      <c r="DE1543" s="156" t="n"/>
      <c r="DF1543" s="156" t="n"/>
      <c r="DG1543" s="156" t="n"/>
      <c r="DH1543" s="156" t="n"/>
      <c r="DI1543" s="156" t="n"/>
      <c r="DJ1543" s="156" t="n"/>
      <c r="DK1543" s="156" t="n"/>
      <c r="DL1543" s="156" t="n"/>
      <c r="DM1543" s="156" t="n"/>
      <c r="DN1543" s="156" t="n"/>
      <c r="DO1543" s="156" t="n"/>
      <c r="DP1543" s="156" t="n"/>
      <c r="DQ1543" s="156" t="n"/>
      <c r="DR1543" s="156" t="n"/>
      <c r="DS1543" s="156" t="n"/>
      <c r="DT1543" s="156" t="n"/>
      <c r="DU1543" s="157"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87" t="inlineStr">
        <is>
          <t xml:space="preserve">    (近畿高等学校統一用紙　  その２ 　  令和７年度改定)　</t>
        </is>
      </c>
      <c r="DV1545" s="2" t="n"/>
      <c r="DW1545" s="2" t="n"/>
      <c r="DX1545" s="2" t="n"/>
      <c r="DY1545" s="2" t="n"/>
      <c r="DZ1545" s="2" t="n"/>
      <c r="EA1545" s="2" t="n"/>
      <c r="EB1545" s="2" t="n"/>
      <c r="EC1545" s="2" t="n"/>
    </row>
    <row r="1546" hidden="1"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idden="1"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47"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64" t="inlineStr">
        <is>
          <t>令和</t>
        </is>
      </c>
      <c r="AD1555" s="154">
        <f>IF(入力!$D$22="","",IF(N(設定!$B$3)=0,"",YEAR(設定!$B$3)-2018))&amp;""</f>
        <v/>
      </c>
      <c r="AG1555" s="64" t="inlineStr">
        <is>
          <t>年</t>
        </is>
      </c>
      <c r="AI1555" s="154">
        <f>IF(入力!$D$22="","",IF(N(設定!$B$3)=0,"",MONTH(設定!$B$3)))&amp;""</f>
        <v/>
      </c>
      <c r="AL1555" s="64" t="inlineStr">
        <is>
          <t>月</t>
        </is>
      </c>
      <c r="AN1555" s="154">
        <f>IF(入力!$D$22="","",IF(N(設定!$B$3)=0,"",DAY(設定!$B$3)))&amp;""</f>
        <v/>
      </c>
      <c r="AP1555" s="64"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5" t="n"/>
      <c r="BX1555" s="156" t="n"/>
      <c r="BY1555" s="156" t="n"/>
      <c r="BZ1555" s="156" t="n"/>
      <c r="CA1555" s="156" t="n"/>
      <c r="CB1555" s="156" t="n"/>
      <c r="CC1555" s="156" t="n"/>
      <c r="CD1555" s="156" t="n"/>
      <c r="CE1555" s="156" t="n"/>
      <c r="CF1555" s="156" t="n"/>
      <c r="CG1555" s="157" t="n"/>
      <c r="CH1555" s="155" t="n"/>
      <c r="CI1555" s="156" t="n"/>
      <c r="CJ1555" s="156" t="n"/>
      <c r="CK1555" s="156" t="n"/>
      <c r="CL1555" s="156" t="n"/>
      <c r="CM1555" s="156" t="n"/>
      <c r="CN1555" s="156" t="n"/>
      <c r="CO1555" s="156" t="n"/>
      <c r="CP1555" s="156" t="n"/>
      <c r="CQ1555" s="156" t="n"/>
      <c r="CR1555" s="156" t="n"/>
      <c r="CS1555" s="156" t="n"/>
      <c r="CT1555" s="156" t="n"/>
      <c r="CU1555" s="156" t="n"/>
      <c r="CV1555" s="156" t="n"/>
      <c r="CW1555" s="156" t="n"/>
      <c r="CX1555" s="156" t="n"/>
      <c r="CY1555" s="156" t="n"/>
      <c r="CZ1555" s="156" t="n"/>
      <c r="DA1555" s="156" t="n"/>
      <c r="DB1555" s="156" t="n"/>
      <c r="DC1555" s="156" t="n"/>
      <c r="DD1555" s="156" t="n"/>
      <c r="DE1555" s="156" t="n"/>
      <c r="DF1555" s="156" t="n"/>
      <c r="DG1555" s="156" t="n"/>
      <c r="DH1555" s="156" t="n"/>
      <c r="DI1555" s="156" t="n"/>
      <c r="DJ1555" s="156" t="n"/>
      <c r="DK1555" s="156" t="n"/>
      <c r="DL1555" s="156" t="n"/>
      <c r="DM1555" s="156" t="n"/>
      <c r="DN1555" s="156" t="n"/>
      <c r="DO1555" s="156" t="n"/>
      <c r="DP1555" s="156" t="n"/>
      <c r="DQ1555" s="156" t="n"/>
      <c r="DR1555" s="156" t="n"/>
      <c r="DS1555" s="156" t="n"/>
      <c r="DT1555" s="156" t="n"/>
      <c r="DU1555" s="157"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68" t="inlineStr">
        <is>
          <t>写真をはる位置</t>
        </is>
      </c>
      <c r="BI1556" s="8" t="n"/>
      <c r="BJ1556" s="7" t="n"/>
      <c r="BK1556" s="2" t="n"/>
      <c r="BL1556" s="2" t="n"/>
      <c r="BM1556" s="2" t="n"/>
      <c r="BN1556" s="2" t="n"/>
      <c r="BO1556" s="2" t="n"/>
      <c r="BP1556" s="152" t="n"/>
      <c r="BV1556" s="153" t="n"/>
      <c r="BW1556" s="158">
        <f>計算!$CB$20</f>
        <v/>
      </c>
      <c r="CG1556" s="153" t="n"/>
      <c r="CH1556" s="159">
        <f>計算!$CC$20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6" t="n"/>
      <c r="AA1557" s="156" t="n"/>
      <c r="AB1557" s="156" t="n"/>
      <c r="AC1557" s="156" t="n"/>
      <c r="AD1557" s="156" t="n"/>
      <c r="AE1557" s="156" t="n"/>
      <c r="AF1557" s="156" t="n"/>
      <c r="AG1557" s="156" t="n"/>
      <c r="AH1557" s="156" t="n"/>
      <c r="AI1557" s="156" t="n"/>
      <c r="AJ1557" s="156" t="n"/>
      <c r="AK1557" s="156" t="n"/>
      <c r="AL1557" s="156" t="n"/>
      <c r="AM1557" s="156" t="n"/>
      <c r="AN1557" s="156" t="n"/>
      <c r="AO1557" s="156" t="n"/>
      <c r="AP1557" s="156" t="n"/>
      <c r="AQ1557" s="156" t="n"/>
      <c r="AR1557" s="156" t="n"/>
      <c r="AS1557" s="156" t="n"/>
      <c r="AT1557" s="156"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0">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5" t="n"/>
      <c r="F1561" s="156" t="n"/>
      <c r="G1561" s="156" t="n"/>
      <c r="H1561" s="156" t="n"/>
      <c r="I1561" s="156" t="n"/>
      <c r="J1561" s="156" t="n"/>
      <c r="K1561" s="157" t="n"/>
      <c r="L1561" s="156" t="n"/>
      <c r="M1561" s="156" t="n"/>
      <c r="N1561" s="156" t="n"/>
      <c r="O1561" s="156" t="n"/>
      <c r="P1561" s="156" t="n"/>
      <c r="Q1561" s="156" t="n"/>
      <c r="R1561" s="156" t="n"/>
      <c r="S1561" s="156" t="n"/>
      <c r="T1561" s="156" t="n"/>
      <c r="U1561" s="156" t="n"/>
      <c r="V1561" s="156" t="n"/>
      <c r="W1561" s="156" t="n"/>
      <c r="X1561" s="156" t="n"/>
      <c r="Y1561" s="156" t="n"/>
      <c r="Z1561" s="156" t="n"/>
      <c r="AA1561" s="156" t="n"/>
      <c r="AB1561" s="156" t="n"/>
      <c r="AC1561" s="156" t="n"/>
      <c r="AD1561" s="156" t="n"/>
      <c r="AE1561" s="156" t="n"/>
      <c r="AF1561" s="156" t="n"/>
      <c r="AG1561" s="156" t="n"/>
      <c r="AH1561" s="156" t="n"/>
      <c r="AI1561" s="156" t="n"/>
      <c r="AJ1561" s="156" t="n"/>
      <c r="AK1561" s="156" t="n"/>
      <c r="AL1561" s="156" t="n"/>
      <c r="AM1561" s="156" t="n"/>
      <c r="AN1561" s="156" t="n"/>
      <c r="AO1561" s="156" t="n"/>
      <c r="AP1561" s="156" t="n"/>
      <c r="AQ1561" s="156" t="n"/>
      <c r="AR1561" s="156" t="n"/>
      <c r="AS1561" s="156" t="n"/>
      <c r="AT1561" s="157"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1" t="inlineStr">
        <is>
          <t>名　前</t>
        </is>
      </c>
      <c r="F1562" s="149" t="n"/>
      <c r="G1562" s="149" t="n"/>
      <c r="H1562" s="149" t="n"/>
      <c r="I1562" s="149" t="n"/>
      <c r="J1562" s="149" t="n"/>
      <c r="K1562" s="150" t="n"/>
      <c r="L1562" s="162">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61"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5" t="n"/>
      <c r="F1567" s="156" t="n"/>
      <c r="G1567" s="156" t="n"/>
      <c r="H1567" s="156" t="n"/>
      <c r="I1567" s="156" t="n"/>
      <c r="J1567" s="156" t="n"/>
      <c r="K1567" s="157" t="n"/>
      <c r="L1567" s="155" t="n"/>
      <c r="M1567" s="156" t="n"/>
      <c r="N1567" s="156" t="n"/>
      <c r="O1567" s="156" t="n"/>
      <c r="P1567" s="156" t="n"/>
      <c r="Q1567" s="156" t="n"/>
      <c r="R1567" s="156" t="n"/>
      <c r="S1567" s="156" t="n"/>
      <c r="T1567" s="156" t="n"/>
      <c r="U1567" s="156" t="n"/>
      <c r="V1567" s="156" t="n"/>
      <c r="W1567" s="156" t="n"/>
      <c r="X1567" s="156" t="n"/>
      <c r="Y1567" s="156" t="n"/>
      <c r="Z1567" s="156" t="n"/>
      <c r="AA1567" s="156" t="n"/>
      <c r="AB1567" s="156" t="n"/>
      <c r="AC1567" s="156" t="n"/>
      <c r="AD1567" s="156" t="n"/>
      <c r="AE1567" s="156" t="n"/>
      <c r="AF1567" s="156" t="n"/>
      <c r="AG1567" s="156" t="n"/>
      <c r="AH1567" s="156" t="n"/>
      <c r="AI1567" s="156" t="n"/>
      <c r="AJ1567" s="156" t="n"/>
      <c r="AK1567" s="156" t="n"/>
      <c r="AL1567" s="156" t="n"/>
      <c r="AM1567" s="156" t="n"/>
      <c r="AN1567" s="156" t="n"/>
      <c r="AO1567" s="156" t="n"/>
      <c r="AP1567" s="156" t="n"/>
      <c r="AQ1567" s="156" t="n"/>
      <c r="AR1567" s="156" t="n"/>
      <c r="AS1567" s="156" t="n"/>
      <c r="AT1567" s="157"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1" t="inlineStr">
        <is>
          <t>生年月日</t>
        </is>
      </c>
      <c r="F1568" s="149" t="n"/>
      <c r="G1568" s="149" t="n"/>
      <c r="H1568" s="149" t="n"/>
      <c r="I1568" s="149" t="n"/>
      <c r="J1568" s="149" t="n"/>
      <c r="K1568" s="150" t="n"/>
      <c r="L1568" s="163" t="inlineStr">
        <is>
          <t>昭和 ・ 平成</t>
        </is>
      </c>
      <c r="M1568" s="149" t="n"/>
      <c r="N1568" s="149" t="n"/>
      <c r="O1568" s="149" t="n"/>
      <c r="P1568" s="149" t="n"/>
      <c r="Q1568" s="149" t="n"/>
      <c r="R1568" s="149" t="n"/>
      <c r="S1568" s="149" t="n"/>
      <c r="T1568" s="149" t="n"/>
      <c r="U1568" s="149" t="n"/>
      <c r="V1568" s="164">
        <f>計算!$D$20</f>
        <v/>
      </c>
      <c r="W1568" s="149" t="n"/>
      <c r="X1568" s="165" t="inlineStr">
        <is>
          <t>年</t>
        </is>
      </c>
      <c r="Y1568" s="149" t="n"/>
      <c r="Z1568" s="166">
        <f>計算!$E$20</f>
        <v/>
      </c>
      <c r="AA1568" s="149" t="n"/>
      <c r="AB1568" s="149" t="n"/>
      <c r="AC1568" s="165" t="inlineStr">
        <is>
          <t>月</t>
        </is>
      </c>
      <c r="AD1568" s="149" t="n"/>
      <c r="AE1568" s="166">
        <f>計算!$F$20</f>
        <v/>
      </c>
      <c r="AF1568" s="149" t="n"/>
      <c r="AG1568" s="149" t="n"/>
      <c r="AH1568" s="165" t="inlineStr">
        <is>
          <t>日　生 （満</t>
        </is>
      </c>
      <c r="AI1568" s="149" t="n"/>
      <c r="AJ1568" s="149" t="n"/>
      <c r="AK1568" s="149" t="n"/>
      <c r="AL1568" s="149" t="n"/>
      <c r="AM1568" s="149" t="n"/>
      <c r="AN1568" s="149" t="n"/>
      <c r="AO1568" s="149" t="n"/>
      <c r="AP1568" s="167">
        <f>計算!$G$20</f>
        <v/>
      </c>
      <c r="AQ1568" s="149" t="n"/>
      <c r="AR1568" s="168"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5" t="n"/>
      <c r="F1571" s="156" t="n"/>
      <c r="G1571" s="156" t="n"/>
      <c r="H1571" s="156" t="n"/>
      <c r="I1571" s="156" t="n"/>
      <c r="J1571" s="156" t="n"/>
      <c r="K1571" s="157" t="n"/>
      <c r="L1571" s="155" t="n"/>
      <c r="M1571" s="156" t="n"/>
      <c r="N1571" s="156" t="n"/>
      <c r="O1571" s="156" t="n"/>
      <c r="P1571" s="156" t="n"/>
      <c r="Q1571" s="156" t="n"/>
      <c r="R1571" s="156" t="n"/>
      <c r="S1571" s="156" t="n"/>
      <c r="T1571" s="156" t="n"/>
      <c r="U1571" s="156" t="n"/>
      <c r="X1571" s="156" t="n"/>
      <c r="Y1571" s="156" t="n"/>
      <c r="AC1571" s="156" t="n"/>
      <c r="AD1571" s="156" t="n"/>
      <c r="AH1571" s="156" t="n"/>
      <c r="AI1571" s="156" t="n"/>
      <c r="AJ1571" s="156" t="n"/>
      <c r="AK1571" s="156" t="n"/>
      <c r="AL1571" s="156" t="n"/>
      <c r="AM1571" s="156" t="n"/>
      <c r="AN1571" s="156" t="n"/>
      <c r="AO1571" s="156" t="n"/>
      <c r="AP1571" s="156" t="n"/>
      <c r="AQ1571" s="156" t="n"/>
      <c r="AR1571" s="156" t="n"/>
      <c r="AS1571" s="156" t="n"/>
      <c r="AT1571" s="157"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69" t="inlineStr">
        <is>
          <t>ふ り が な</t>
        </is>
      </c>
      <c r="F1572" s="149" t="n"/>
      <c r="G1572" s="149" t="n"/>
      <c r="H1572" s="149" t="n"/>
      <c r="I1572" s="149" t="n"/>
      <c r="J1572" s="149" t="n"/>
      <c r="K1572" s="150" t="n"/>
      <c r="L1572" s="170">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1" t="n"/>
      <c r="F1574" s="172" t="n"/>
      <c r="G1574" s="172" t="n"/>
      <c r="H1574" s="172" t="n"/>
      <c r="I1574" s="172" t="n"/>
      <c r="J1574" s="172" t="n"/>
      <c r="K1574" s="173" t="n"/>
      <c r="L1574" s="172" t="n"/>
      <c r="M1574" s="172" t="n"/>
      <c r="N1574" s="172" t="n"/>
      <c r="O1574" s="172" t="n"/>
      <c r="P1574" s="172" t="n"/>
      <c r="Q1574" s="172" t="n"/>
      <c r="R1574" s="172" t="n"/>
      <c r="S1574" s="172" t="n"/>
      <c r="T1574" s="172" t="n"/>
      <c r="U1574" s="172" t="n"/>
      <c r="V1574" s="172" t="n"/>
      <c r="W1574" s="172" t="n"/>
      <c r="X1574" s="172" t="n"/>
      <c r="Y1574" s="172" t="n"/>
      <c r="Z1574" s="172" t="n"/>
      <c r="AA1574" s="172" t="n"/>
      <c r="AB1574" s="172" t="n"/>
      <c r="AC1574" s="172" t="n"/>
      <c r="AD1574" s="172" t="n"/>
      <c r="AE1574" s="172" t="n"/>
      <c r="AF1574" s="172" t="n"/>
      <c r="AG1574" s="172" t="n"/>
      <c r="AH1574" s="172" t="n"/>
      <c r="AI1574" s="172" t="n"/>
      <c r="AJ1574" s="172" t="n"/>
      <c r="AK1574" s="172" t="n"/>
      <c r="AL1574" s="172" t="n"/>
      <c r="AM1574" s="172" t="n"/>
      <c r="AN1574" s="172" t="n"/>
      <c r="AO1574" s="172" t="n"/>
      <c r="AP1574" s="172" t="n"/>
      <c r="AQ1574" s="172" t="n"/>
      <c r="AR1574" s="172" t="n"/>
      <c r="AS1574" s="172" t="n"/>
      <c r="AT1574" s="172" t="n"/>
      <c r="AU1574" s="172" t="n"/>
      <c r="AV1574" s="172" t="n"/>
      <c r="AW1574" s="172" t="n"/>
      <c r="AX1574" s="172" t="n"/>
      <c r="AY1574" s="172" t="n"/>
      <c r="AZ1574" s="172" t="n"/>
      <c r="BA1574" s="172" t="n"/>
      <c r="BB1574" s="172" t="n"/>
      <c r="BC1574" s="172" t="n"/>
      <c r="BD1574" s="172" t="n"/>
      <c r="BE1574" s="172" t="n"/>
      <c r="BF1574" s="172" t="n"/>
      <c r="BG1574" s="172" t="n"/>
      <c r="BH1574" s="172" t="n"/>
      <c r="BI1574" s="173"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4" t="inlineStr">
        <is>
          <t>現住所</t>
        </is>
      </c>
      <c r="F1575" s="175" t="n"/>
      <c r="G1575" s="175" t="n"/>
      <c r="H1575" s="175" t="n"/>
      <c r="I1575" s="175" t="n"/>
      <c r="J1575" s="175" t="n"/>
      <c r="K1575" s="176" t="n"/>
      <c r="L1575" s="83" t="inlineStr">
        <is>
          <t>〒</t>
        </is>
      </c>
      <c r="M1575" s="175" t="n"/>
      <c r="N1575" s="175" t="n"/>
      <c r="O1575" s="175" t="n"/>
      <c r="P1575" s="177">
        <f>計算!$H$20</f>
        <v/>
      </c>
      <c r="Q1575" s="175" t="n"/>
      <c r="R1575" s="175" t="n"/>
      <c r="S1575" s="175" t="n"/>
      <c r="T1575" s="175" t="n"/>
      <c r="U1575" s="175" t="n"/>
      <c r="V1575" s="175" t="n"/>
      <c r="W1575" s="175" t="n"/>
      <c r="X1575" s="175" t="n"/>
      <c r="Y1575" s="175" t="n"/>
      <c r="Z1575" s="175" t="n"/>
      <c r="AA1575" s="175" t="n"/>
      <c r="AB1575" s="175" t="n"/>
      <c r="AC1575" s="175" t="n"/>
      <c r="AD1575" s="175" t="n"/>
      <c r="AE1575" s="175" t="n"/>
      <c r="AF1575" s="175" t="n"/>
      <c r="AG1575" s="175" t="n"/>
      <c r="AH1575" s="175" t="n"/>
      <c r="AI1575" s="175" t="n"/>
      <c r="AJ1575" s="175"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5" t="n"/>
      <c r="BQ1576" s="156" t="n"/>
      <c r="BR1576" s="156" t="n"/>
      <c r="BS1576" s="156" t="n"/>
      <c r="BT1576" s="156" t="n"/>
      <c r="BU1576" s="156" t="n"/>
      <c r="BV1576" s="157" t="n"/>
      <c r="BW1576" s="155" t="n"/>
      <c r="BX1576" s="156" t="n"/>
      <c r="BY1576" s="156" t="n"/>
      <c r="BZ1576" s="156" t="n"/>
      <c r="CA1576" s="156" t="n"/>
      <c r="CB1576" s="156" t="n"/>
      <c r="CC1576" s="156" t="n"/>
      <c r="CD1576" s="156" t="n"/>
      <c r="CE1576" s="156" t="n"/>
      <c r="CF1576" s="156" t="n"/>
      <c r="CG1576" s="157"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8" t="inlineStr">
        <is>
          <t>校内外の諸活動</t>
        </is>
      </c>
      <c r="BQ1577" s="149" t="n"/>
      <c r="BR1577" s="149" t="n"/>
      <c r="BS1577" s="149" t="n"/>
      <c r="BT1577" s="149" t="n"/>
      <c r="BU1577" s="149" t="n"/>
      <c r="BV1577" s="150" t="n"/>
      <c r="BW1577" s="179">
        <f>計算!$BO$20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0">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5" t="n"/>
      <c r="F1580" s="156" t="n"/>
      <c r="G1580" s="156" t="n"/>
      <c r="H1580" s="156" t="n"/>
      <c r="I1580" s="156" t="n"/>
      <c r="J1580" s="156" t="n"/>
      <c r="K1580" s="157" t="n"/>
      <c r="L1580" s="155" t="n"/>
      <c r="M1580" s="156" t="n"/>
      <c r="N1580" s="156" t="n"/>
      <c r="O1580" s="156" t="n"/>
      <c r="P1580" s="156" t="n"/>
      <c r="Q1580" s="156" t="n"/>
      <c r="R1580" s="156" t="n"/>
      <c r="S1580" s="156" t="n"/>
      <c r="T1580" s="156" t="n"/>
      <c r="U1580" s="156" t="n"/>
      <c r="V1580" s="156" t="n"/>
      <c r="W1580" s="156" t="n"/>
      <c r="X1580" s="156" t="n"/>
      <c r="Y1580" s="156" t="n"/>
      <c r="Z1580" s="156" t="n"/>
      <c r="AA1580" s="156" t="n"/>
      <c r="AB1580" s="156" t="n"/>
      <c r="AC1580" s="156" t="n"/>
      <c r="AD1580" s="156" t="n"/>
      <c r="AE1580" s="156" t="n"/>
      <c r="AF1580" s="156" t="n"/>
      <c r="AG1580" s="156" t="n"/>
      <c r="AH1580" s="156" t="n"/>
      <c r="AI1580" s="156" t="n"/>
      <c r="AJ1580" s="156" t="n"/>
      <c r="AK1580" s="156" t="n"/>
      <c r="AL1580" s="156" t="n"/>
      <c r="AM1580" s="156" t="n"/>
      <c r="AN1580" s="156" t="n"/>
      <c r="AO1580" s="156" t="n"/>
      <c r="AP1580" s="156" t="n"/>
      <c r="AQ1580" s="156" t="n"/>
      <c r="AR1580" s="156" t="n"/>
      <c r="AS1580" s="156" t="n"/>
      <c r="AT1580" s="156" t="n"/>
      <c r="AU1580" s="156" t="n"/>
      <c r="AV1580" s="156" t="n"/>
      <c r="AW1580" s="156" t="n"/>
      <c r="AX1580" s="156" t="n"/>
      <c r="AY1580" s="156" t="n"/>
      <c r="AZ1580" s="156" t="n"/>
      <c r="BA1580" s="156" t="n"/>
      <c r="BB1580" s="156" t="n"/>
      <c r="BC1580" s="156" t="n"/>
      <c r="BD1580" s="156" t="n"/>
      <c r="BE1580" s="156" t="n"/>
      <c r="BF1580" s="156" t="n"/>
      <c r="BG1580" s="156" t="n"/>
      <c r="BH1580" s="156" t="n"/>
      <c r="BI1580" s="157"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69" t="inlineStr">
        <is>
          <t>ふ り が な</t>
        </is>
      </c>
      <c r="F1581" s="149" t="n"/>
      <c r="G1581" s="149" t="n"/>
      <c r="H1581" s="149" t="n"/>
      <c r="I1581" s="149" t="n"/>
      <c r="J1581" s="149" t="n"/>
      <c r="K1581" s="150" t="n"/>
      <c r="L1581" s="170">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1" t="n"/>
      <c r="F1583" s="172" t="n"/>
      <c r="G1583" s="172" t="n"/>
      <c r="H1583" s="172" t="n"/>
      <c r="I1583" s="172" t="n"/>
      <c r="J1583" s="172" t="n"/>
      <c r="K1583" s="173" t="n"/>
      <c r="L1583" s="172" t="n"/>
      <c r="M1583" s="172" t="n"/>
      <c r="N1583" s="172" t="n"/>
      <c r="O1583" s="172" t="n"/>
      <c r="P1583" s="172" t="n"/>
      <c r="Q1583" s="172" t="n"/>
      <c r="R1583" s="172" t="n"/>
      <c r="S1583" s="172" t="n"/>
      <c r="T1583" s="172" t="n"/>
      <c r="U1583" s="172" t="n"/>
      <c r="V1583" s="172" t="n"/>
      <c r="W1583" s="172" t="n"/>
      <c r="X1583" s="172" t="n"/>
      <c r="Y1583" s="172" t="n"/>
      <c r="Z1583" s="172" t="n"/>
      <c r="AA1583" s="172" t="n"/>
      <c r="AB1583" s="172" t="n"/>
      <c r="AC1583" s="172" t="n"/>
      <c r="AD1583" s="172" t="n"/>
      <c r="AE1583" s="172" t="n"/>
      <c r="AF1583" s="172" t="n"/>
      <c r="AG1583" s="172" t="n"/>
      <c r="AH1583" s="172" t="n"/>
      <c r="AI1583" s="172" t="n"/>
      <c r="AJ1583" s="172" t="n"/>
      <c r="AK1583" s="172" t="n"/>
      <c r="AL1583" s="172" t="n"/>
      <c r="AM1583" s="172" t="n"/>
      <c r="AN1583" s="172" t="n"/>
      <c r="AO1583" s="172" t="n"/>
      <c r="AP1583" s="172" t="n"/>
      <c r="AQ1583" s="172" t="n"/>
      <c r="AR1583" s="172" t="n"/>
      <c r="AS1583" s="172" t="n"/>
      <c r="AT1583" s="172" t="n"/>
      <c r="AU1583" s="172" t="n"/>
      <c r="AV1583" s="172" t="n"/>
      <c r="AW1583" s="172" t="n"/>
      <c r="AX1583" s="172" t="n"/>
      <c r="AY1583" s="172" t="n"/>
      <c r="AZ1583" s="172" t="n"/>
      <c r="BA1583" s="172" t="n"/>
      <c r="BB1583" s="172" t="n"/>
      <c r="BC1583" s="172" t="n"/>
      <c r="BD1583" s="172" t="n"/>
      <c r="BE1583" s="172" t="n"/>
      <c r="BF1583" s="172" t="n"/>
      <c r="BG1583" s="172" t="n"/>
      <c r="BH1583" s="172" t="n"/>
      <c r="BI1583" s="173"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4" t="inlineStr">
        <is>
          <t>連絡先</t>
        </is>
      </c>
      <c r="F1584" s="175" t="n"/>
      <c r="G1584" s="175" t="n"/>
      <c r="H1584" s="175" t="n"/>
      <c r="I1584" s="175" t="n"/>
      <c r="J1584" s="175" t="n"/>
      <c r="K1584" s="176" t="n"/>
      <c r="L1584" s="83" t="inlineStr">
        <is>
          <t>〒</t>
        </is>
      </c>
      <c r="M1584" s="175" t="n"/>
      <c r="N1584" s="175" t="n"/>
      <c r="O1584" s="175" t="n"/>
      <c r="P1584" s="181">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2">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5" t="n"/>
      <c r="F1588" s="156" t="n"/>
      <c r="G1588" s="156" t="n"/>
      <c r="H1588" s="156" t="n"/>
      <c r="I1588" s="156" t="n"/>
      <c r="J1588" s="156" t="n"/>
      <c r="K1588" s="157" t="n"/>
      <c r="L1588" s="156" t="n"/>
      <c r="M1588" s="156" t="n"/>
      <c r="N1588" s="156" t="n"/>
      <c r="O1588" s="156" t="n"/>
      <c r="P1588" s="156" t="n"/>
      <c r="Q1588" s="156" t="n"/>
      <c r="R1588" s="156" t="n"/>
      <c r="S1588" s="156" t="n"/>
      <c r="T1588" s="156" t="n"/>
      <c r="U1588" s="156" t="n"/>
      <c r="V1588" s="156" t="n"/>
      <c r="W1588" s="156" t="n"/>
      <c r="X1588" s="156" t="n"/>
      <c r="Y1588" s="156" t="n"/>
      <c r="Z1588" s="156" t="n"/>
      <c r="AA1588" s="156" t="n"/>
      <c r="AB1588" s="156" t="n"/>
      <c r="AC1588" s="156" t="n"/>
      <c r="AD1588" s="156" t="n"/>
      <c r="AE1588" s="156" t="n"/>
      <c r="AF1588" s="156" t="n"/>
      <c r="AG1588" s="156" t="n"/>
      <c r="AH1588" s="156" t="n"/>
      <c r="AI1588" s="156" t="n"/>
      <c r="AJ1588" s="156" t="n"/>
      <c r="AK1588" s="156" t="n"/>
      <c r="AL1588" s="156" t="n"/>
      <c r="AM1588" s="156" t="n"/>
      <c r="AN1588" s="156" t="n"/>
      <c r="AO1588" s="156" t="n"/>
      <c r="AP1588" s="156" t="n"/>
      <c r="AQ1588" s="156" t="n"/>
      <c r="AR1588" s="156" t="n"/>
      <c r="AS1588" s="156" t="n"/>
      <c r="AT1588" s="156" t="n"/>
      <c r="AU1588" s="156" t="n"/>
      <c r="AV1588" s="156" t="n"/>
      <c r="AW1588" s="156" t="n"/>
      <c r="AX1588" s="156" t="n"/>
      <c r="AY1588" s="156" t="n"/>
      <c r="AZ1588" s="156" t="n"/>
      <c r="BA1588" s="156" t="n"/>
      <c r="BB1588" s="156" t="n"/>
      <c r="BC1588" s="156" t="n"/>
      <c r="BD1588" s="156" t="n"/>
      <c r="BE1588" s="156" t="n"/>
      <c r="BF1588" s="156" t="n"/>
      <c r="BG1588" s="156" t="n"/>
      <c r="BH1588" s="156" t="n"/>
      <c r="BI1588" s="157"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86"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3" t="n"/>
      <c r="BQ1594" s="149" t="n"/>
      <c r="BR1594" s="184" t="n"/>
      <c r="BS1594" s="149" t="n"/>
      <c r="BT1594" s="149" t="n"/>
      <c r="BU1594" s="28" t="n"/>
      <c r="BV1594" s="29" t="n"/>
      <c r="BW1594" s="185">
        <f>計算!$BP$20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115"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6"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107"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7">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188">
        <f>IF(入力!$D$22="","",設定!$B$6)&amp;""</f>
        <v/>
      </c>
      <c r="S1602" s="11" t="n"/>
      <c r="T1602" s="11" t="n"/>
      <c r="U1602" s="188">
        <f>IF(入力!$D$22="","",設定!$B$7)&amp;""</f>
        <v/>
      </c>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110" t="inlineStr">
        <is>
          <t>令和</t>
        </is>
      </c>
      <c r="S1603" s="61" t="inlineStr">
        <is>
          <t>年</t>
        </is>
      </c>
      <c r="W1603" s="62"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90"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5" t="n"/>
      <c r="F1607" s="156" t="n"/>
      <c r="G1607" s="156" t="n"/>
      <c r="H1607" s="156" t="n"/>
      <c r="I1607" s="156" t="n"/>
      <c r="J1607" s="156" t="n"/>
      <c r="K1607" s="157"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6" t="n"/>
      <c r="AX1607" s="156" t="n"/>
      <c r="AY1607" s="156" t="n"/>
      <c r="AZ1607" s="156" t="n"/>
      <c r="BA1607" s="156" t="n"/>
      <c r="BB1607" s="156" t="n"/>
      <c r="BC1607" s="156" t="n"/>
      <c r="BD1607" s="156" t="n"/>
      <c r="BE1607" s="156" t="n"/>
      <c r="BF1607" s="156" t="n"/>
      <c r="BG1607" s="156" t="n"/>
      <c r="BH1607" s="156" t="n"/>
      <c r="BI1607" s="157"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58" t="n"/>
      <c r="T1608" s="149" t="n"/>
      <c r="U1608" s="17" t="n"/>
      <c r="V1608" s="17" t="n"/>
      <c r="W1608" s="58"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89" t="inlineStr">
        <is>
          <t>職　歴</t>
        </is>
      </c>
      <c r="K1611" s="153" t="n"/>
      <c r="L1611" s="69" t="inlineStr">
        <is>
          <t>平成</t>
        </is>
      </c>
      <c r="M1611" s="149" t="n"/>
      <c r="N1611" s="149" t="n"/>
      <c r="O1611" s="149" t="n"/>
      <c r="P1611" s="19" t="n"/>
      <c r="Q1611" s="19" t="n"/>
      <c r="R1611" s="19" t="n"/>
      <c r="S1611" s="19" t="n"/>
      <c r="T1611" s="19" t="n"/>
      <c r="U1611" s="19" t="n"/>
      <c r="V1611" s="19" t="n"/>
      <c r="W1611" s="19" t="n"/>
      <c r="X1611" s="37" t="n"/>
      <c r="Y1611" s="180">
        <f>計算!$BT$20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8">
        <f>計算!$BR$20</f>
        <v/>
      </c>
      <c r="S1613" s="61" t="inlineStr">
        <is>
          <t>年</t>
        </is>
      </c>
      <c r="U1613" s="190">
        <f>計算!$BS$20</f>
        <v/>
      </c>
      <c r="W1613" s="62"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74"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5" t="n"/>
      <c r="M1616" s="156" t="n"/>
      <c r="N1616" s="156" t="n"/>
      <c r="O1616" s="156" t="n"/>
      <c r="P1616" s="20" t="n"/>
      <c r="Q1616" s="20" t="n"/>
      <c r="R1616" s="20" t="n"/>
      <c r="S1616" s="20" t="n"/>
      <c r="T1616" s="20" t="n"/>
      <c r="U1616" s="20" t="n"/>
      <c r="V1616" s="20" t="n"/>
      <c r="W1616" s="20" t="n"/>
      <c r="X1616" s="39" t="n"/>
      <c r="Y1616" s="155" t="n"/>
      <c r="Z1616" s="156" t="n"/>
      <c r="AA1616" s="156" t="n"/>
      <c r="AB1616" s="156" t="n"/>
      <c r="AC1616" s="156" t="n"/>
      <c r="AD1616" s="156" t="n"/>
      <c r="AE1616" s="156" t="n"/>
      <c r="AF1616" s="156" t="n"/>
      <c r="AG1616" s="156" t="n"/>
      <c r="AH1616" s="156" t="n"/>
      <c r="AI1616" s="156" t="n"/>
      <c r="AJ1616" s="156" t="n"/>
      <c r="AK1616" s="156" t="n"/>
      <c r="AL1616" s="156" t="n"/>
      <c r="AM1616" s="156" t="n"/>
      <c r="AN1616" s="156" t="n"/>
      <c r="AO1616" s="156" t="n"/>
      <c r="AP1616" s="156" t="n"/>
      <c r="AQ1616" s="156" t="n"/>
      <c r="AR1616" s="156" t="n"/>
      <c r="AS1616" s="156" t="n"/>
      <c r="AT1616" s="156" t="n"/>
      <c r="AU1616" s="156" t="n"/>
      <c r="AV1616" s="156" t="n"/>
      <c r="AW1616" s="156" t="n"/>
      <c r="AX1616" s="156" t="n"/>
      <c r="AY1616" s="156" t="n"/>
      <c r="AZ1616" s="156" t="n"/>
      <c r="BA1616" s="156" t="n"/>
      <c r="BB1616" s="156" t="n"/>
      <c r="BC1616" s="156" t="n"/>
      <c r="BD1616" s="156" t="n"/>
      <c r="BE1616" s="156" t="n"/>
      <c r="BF1616" s="156" t="n"/>
      <c r="BG1616" s="156" t="n"/>
      <c r="BH1616" s="156" t="n"/>
      <c r="BI1616" s="157"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69" t="inlineStr">
        <is>
          <t>平成</t>
        </is>
      </c>
      <c r="M1617" s="149" t="n"/>
      <c r="N1617" s="149" t="n"/>
      <c r="O1617" s="149" t="n"/>
      <c r="P1617" s="18" t="n"/>
      <c r="Q1617" s="18" t="n"/>
      <c r="R1617" s="18" t="n"/>
      <c r="S1617" s="18" t="n"/>
      <c r="T1617" s="18" t="n"/>
      <c r="U1617" s="18" t="n"/>
      <c r="V1617" s="18" t="n"/>
      <c r="W1617" s="18" t="n"/>
      <c r="X1617" s="35" t="n"/>
      <c r="Y1617" s="180">
        <f>計算!$BW$20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8">
        <f>計算!$BU$20</f>
        <v/>
      </c>
      <c r="S1619" s="61" t="inlineStr">
        <is>
          <t>年</t>
        </is>
      </c>
      <c r="U1619" s="190">
        <f>計算!$BV$20</f>
        <v/>
      </c>
      <c r="W1619" s="62"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74"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5" t="n"/>
      <c r="M1622" s="156" t="n"/>
      <c r="N1622" s="156" t="n"/>
      <c r="O1622" s="156" t="n"/>
      <c r="P1622" s="20" t="n"/>
      <c r="Q1622" s="20" t="n"/>
      <c r="R1622" s="20" t="n"/>
      <c r="S1622" s="20" t="n"/>
      <c r="T1622" s="20" t="n"/>
      <c r="U1622" s="20" t="n"/>
      <c r="V1622" s="20" t="n"/>
      <c r="W1622" s="20" t="n"/>
      <c r="X1622" s="39" t="n"/>
      <c r="Y1622" s="155" t="n"/>
      <c r="Z1622" s="156" t="n"/>
      <c r="AA1622" s="156" t="n"/>
      <c r="AB1622" s="156" t="n"/>
      <c r="AC1622" s="156" t="n"/>
      <c r="AD1622" s="156" t="n"/>
      <c r="AE1622" s="156" t="n"/>
      <c r="AF1622" s="156" t="n"/>
      <c r="AG1622" s="156" t="n"/>
      <c r="AH1622" s="156" t="n"/>
      <c r="AI1622" s="156" t="n"/>
      <c r="AJ1622" s="156" t="n"/>
      <c r="AK1622" s="156" t="n"/>
      <c r="AL1622" s="156" t="n"/>
      <c r="AM1622" s="156" t="n"/>
      <c r="AN1622" s="156" t="n"/>
      <c r="AO1622" s="156" t="n"/>
      <c r="AP1622" s="156" t="n"/>
      <c r="AQ1622" s="156" t="n"/>
      <c r="AR1622" s="156" t="n"/>
      <c r="AS1622" s="156" t="n"/>
      <c r="AT1622" s="156" t="n"/>
      <c r="AU1622" s="156" t="n"/>
      <c r="AV1622" s="156" t="n"/>
      <c r="AW1622" s="156" t="n"/>
      <c r="AX1622" s="156" t="n"/>
      <c r="AY1622" s="156" t="n"/>
      <c r="AZ1622" s="156" t="n"/>
      <c r="BA1622" s="156" t="n"/>
      <c r="BB1622" s="156" t="n"/>
      <c r="BC1622" s="156" t="n"/>
      <c r="BD1622" s="156" t="n"/>
      <c r="BE1622" s="156" t="n"/>
      <c r="BF1622" s="156" t="n"/>
      <c r="BG1622" s="156" t="n"/>
      <c r="BH1622" s="156" t="n"/>
      <c r="BI1622" s="157" t="n"/>
      <c r="BJ1622" s="2" t="n"/>
      <c r="BK1622" s="2" t="n"/>
      <c r="BL1622" s="2" t="n"/>
      <c r="BM1622" s="2" t="n"/>
      <c r="BN1622" s="2" t="n"/>
      <c r="BO1622" s="2" t="n"/>
      <c r="BP1622" s="155" t="n"/>
      <c r="BQ1622" s="156" t="n"/>
      <c r="BR1622" s="156" t="n"/>
      <c r="BS1622" s="156" t="n"/>
      <c r="BT1622" s="156" t="n"/>
      <c r="BU1622" s="42" t="n"/>
      <c r="BV1622" s="45" t="n"/>
      <c r="BW1622" s="156" t="n"/>
      <c r="BX1622" s="156" t="n"/>
      <c r="BY1622" s="156" t="n"/>
      <c r="BZ1622" s="156" t="n"/>
      <c r="CA1622" s="156" t="n"/>
      <c r="CB1622" s="156" t="n"/>
      <c r="CC1622" s="156" t="n"/>
      <c r="CD1622" s="156" t="n"/>
      <c r="CE1622" s="156" t="n"/>
      <c r="CF1622" s="156" t="n"/>
      <c r="CG1622" s="156" t="n"/>
      <c r="CH1622" s="156" t="n"/>
      <c r="CI1622" s="156" t="n"/>
      <c r="CJ1622" s="156" t="n"/>
      <c r="CK1622" s="156" t="n"/>
      <c r="CL1622" s="156" t="n"/>
      <c r="CM1622" s="156" t="n"/>
      <c r="CN1622" s="156" t="n"/>
      <c r="CO1622" s="156" t="n"/>
      <c r="CP1622" s="156" t="n"/>
      <c r="CQ1622" s="156" t="n"/>
      <c r="CR1622" s="156" t="n"/>
      <c r="CS1622" s="156" t="n"/>
      <c r="CT1622" s="156" t="n"/>
      <c r="CU1622" s="156" t="n"/>
      <c r="CV1622" s="156" t="n"/>
      <c r="CW1622" s="156" t="n"/>
      <c r="CX1622" s="156" t="n"/>
      <c r="CY1622" s="156" t="n"/>
      <c r="CZ1622" s="156" t="n"/>
      <c r="DA1622" s="156" t="n"/>
      <c r="DB1622" s="156" t="n"/>
      <c r="DC1622" s="156" t="n"/>
      <c r="DD1622" s="156" t="n"/>
      <c r="DE1622" s="156" t="n"/>
      <c r="DF1622" s="156" t="n"/>
      <c r="DG1622" s="156" t="n"/>
      <c r="DH1622" s="156" t="n"/>
      <c r="DI1622" s="156" t="n"/>
      <c r="DJ1622" s="156" t="n"/>
      <c r="DK1622" s="156" t="n"/>
      <c r="DL1622" s="156" t="n"/>
      <c r="DM1622" s="156" t="n"/>
      <c r="DN1622" s="156" t="n"/>
      <c r="DO1622" s="156" t="n"/>
      <c r="DP1622" s="156" t="n"/>
      <c r="DQ1622" s="156" t="n"/>
      <c r="DR1622" s="156" t="n"/>
      <c r="DS1622" s="156" t="n"/>
      <c r="DT1622" s="156" t="n"/>
      <c r="DU1622" s="157" t="n"/>
      <c r="DV1622" s="2" t="n"/>
      <c r="DW1622" s="2" t="n"/>
      <c r="DX1622" s="2" t="n"/>
      <c r="DY1622" s="2" t="n"/>
      <c r="DZ1622" s="2" t="n"/>
      <c r="EA1622" s="2" t="n"/>
      <c r="EB1622" s="2" t="n"/>
      <c r="EC1622" s="2" t="n"/>
    </row>
    <row r="1623" ht="6.75" customHeight="1" s="118">
      <c r="A1623" s="2" t="n"/>
      <c r="B1623" s="2" t="n"/>
      <c r="C1623" s="2" t="n"/>
      <c r="D1623" s="2" t="n"/>
      <c r="E1623" s="152" t="n"/>
      <c r="K1623" s="153" t="n"/>
      <c r="L1623" s="69"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5">
        <f>計算!$BQ$20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61" t="inlineStr">
        <is>
          <t>年</t>
        </is>
      </c>
      <c r="U1625" s="11" t="n"/>
      <c r="V1625" s="11" t="n"/>
      <c r="W1625" s="62"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74"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5" t="n"/>
      <c r="M1628" s="156" t="n"/>
      <c r="N1628" s="156" t="n"/>
      <c r="O1628" s="156"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69"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61" t="inlineStr">
        <is>
          <t>年</t>
        </is>
      </c>
      <c r="U1631" s="11" t="n"/>
      <c r="V1631" s="11" t="n"/>
      <c r="W1631" s="62"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74"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61" t="n"/>
      <c r="T1633" s="61" t="n"/>
      <c r="U1633" s="11" t="n"/>
      <c r="V1633" s="11" t="n"/>
      <c r="W1633" s="61" t="n"/>
      <c r="X1633" s="62"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5" t="n"/>
      <c r="F1634" s="156" t="n"/>
      <c r="G1634" s="156" t="n"/>
      <c r="H1634" s="156" t="n"/>
      <c r="I1634" s="156" t="n"/>
      <c r="J1634" s="156" t="n"/>
      <c r="K1634" s="157" t="n"/>
      <c r="L1634" s="155" t="n"/>
      <c r="M1634" s="156" t="n"/>
      <c r="N1634" s="156" t="n"/>
      <c r="O1634" s="156"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5" t="n"/>
      <c r="BQ1634" s="156" t="n"/>
      <c r="BR1634" s="156" t="n"/>
      <c r="BS1634" s="156" t="n"/>
      <c r="BT1634" s="156" t="n"/>
      <c r="BU1634" s="156" t="n"/>
      <c r="BV1634" s="157" t="n"/>
      <c r="BW1634" s="156" t="n"/>
      <c r="BX1634" s="156" t="n"/>
      <c r="BY1634" s="156" t="n"/>
      <c r="BZ1634" s="156" t="n"/>
      <c r="CA1634" s="156" t="n"/>
      <c r="CB1634" s="156" t="n"/>
      <c r="CC1634" s="156" t="n"/>
      <c r="CD1634" s="156" t="n"/>
      <c r="CE1634" s="156" t="n"/>
      <c r="CF1634" s="156" t="n"/>
      <c r="CG1634" s="156" t="n"/>
      <c r="CH1634" s="156" t="n"/>
      <c r="CI1634" s="156" t="n"/>
      <c r="CJ1634" s="156" t="n"/>
      <c r="CK1634" s="156" t="n"/>
      <c r="CL1634" s="156" t="n"/>
      <c r="CM1634" s="156" t="n"/>
      <c r="CN1634" s="156" t="n"/>
      <c r="CO1634" s="156" t="n"/>
      <c r="CP1634" s="156" t="n"/>
      <c r="CQ1634" s="156" t="n"/>
      <c r="CR1634" s="156" t="n"/>
      <c r="CS1634" s="156" t="n"/>
      <c r="CT1634" s="156" t="n"/>
      <c r="CU1634" s="156" t="n"/>
      <c r="CV1634" s="156" t="n"/>
      <c r="CW1634" s="156" t="n"/>
      <c r="CX1634" s="156" t="n"/>
      <c r="CY1634" s="156" t="n"/>
      <c r="CZ1634" s="156" t="n"/>
      <c r="DA1634" s="156" t="n"/>
      <c r="DB1634" s="156" t="n"/>
      <c r="DC1634" s="156" t="n"/>
      <c r="DD1634" s="156" t="n"/>
      <c r="DE1634" s="156" t="n"/>
      <c r="DF1634" s="156" t="n"/>
      <c r="DG1634" s="156" t="n"/>
      <c r="DH1634" s="156" t="n"/>
      <c r="DI1634" s="156" t="n"/>
      <c r="DJ1634" s="156" t="n"/>
      <c r="DK1634" s="156" t="n"/>
      <c r="DL1634" s="156" t="n"/>
      <c r="DM1634" s="156" t="n"/>
      <c r="DN1634" s="156" t="n"/>
      <c r="DO1634" s="156" t="n"/>
      <c r="DP1634" s="156" t="n"/>
      <c r="DQ1634" s="156" t="n"/>
      <c r="DR1634" s="156" t="n"/>
      <c r="DS1634" s="156" t="n"/>
      <c r="DT1634" s="156" t="n"/>
      <c r="DU1634" s="157"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87" t="inlineStr">
        <is>
          <t xml:space="preserve">    (近畿高等学校統一用紙　  その２ 　  令和７年度改定)　</t>
        </is>
      </c>
      <c r="DV1636" s="2" t="n"/>
      <c r="DW1636" s="2" t="n"/>
      <c r="DX1636" s="2" t="n"/>
      <c r="DY1636" s="2" t="n"/>
      <c r="DZ1636" s="2" t="n"/>
      <c r="EA1636" s="2" t="n"/>
      <c r="EB1636" s="2" t="n"/>
      <c r="EC1636" s="2" t="n"/>
    </row>
    <row r="1637" hidden="1"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idden="1"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47"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64" t="inlineStr">
        <is>
          <t>令和</t>
        </is>
      </c>
      <c r="AD1646" s="154">
        <f>IF(入力!$D$23="","",IF(N(設定!$B$3)=0,"",YEAR(設定!$B$3)-2018))&amp;""</f>
        <v/>
      </c>
      <c r="AG1646" s="64" t="inlineStr">
        <is>
          <t>年</t>
        </is>
      </c>
      <c r="AI1646" s="154">
        <f>IF(入力!$D$23="","",IF(N(設定!$B$3)=0,"",MONTH(設定!$B$3)))&amp;""</f>
        <v/>
      </c>
      <c r="AL1646" s="64" t="inlineStr">
        <is>
          <t>月</t>
        </is>
      </c>
      <c r="AN1646" s="154">
        <f>IF(入力!$D$23="","",IF(N(設定!$B$3)=0,"",DAY(設定!$B$3)))&amp;""</f>
        <v/>
      </c>
      <c r="AP1646" s="64"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5" t="n"/>
      <c r="BX1646" s="156" t="n"/>
      <c r="BY1646" s="156" t="n"/>
      <c r="BZ1646" s="156" t="n"/>
      <c r="CA1646" s="156" t="n"/>
      <c r="CB1646" s="156" t="n"/>
      <c r="CC1646" s="156" t="n"/>
      <c r="CD1646" s="156" t="n"/>
      <c r="CE1646" s="156" t="n"/>
      <c r="CF1646" s="156" t="n"/>
      <c r="CG1646" s="157" t="n"/>
      <c r="CH1646" s="155" t="n"/>
      <c r="CI1646" s="156" t="n"/>
      <c r="CJ1646" s="156" t="n"/>
      <c r="CK1646" s="156" t="n"/>
      <c r="CL1646" s="156" t="n"/>
      <c r="CM1646" s="156" t="n"/>
      <c r="CN1646" s="156" t="n"/>
      <c r="CO1646" s="156" t="n"/>
      <c r="CP1646" s="156" t="n"/>
      <c r="CQ1646" s="156" t="n"/>
      <c r="CR1646" s="156" t="n"/>
      <c r="CS1646" s="156" t="n"/>
      <c r="CT1646" s="156" t="n"/>
      <c r="CU1646" s="156" t="n"/>
      <c r="CV1646" s="156" t="n"/>
      <c r="CW1646" s="156" t="n"/>
      <c r="CX1646" s="156" t="n"/>
      <c r="CY1646" s="156" t="n"/>
      <c r="CZ1646" s="156" t="n"/>
      <c r="DA1646" s="156" t="n"/>
      <c r="DB1646" s="156" t="n"/>
      <c r="DC1646" s="156" t="n"/>
      <c r="DD1646" s="156" t="n"/>
      <c r="DE1646" s="156" t="n"/>
      <c r="DF1646" s="156" t="n"/>
      <c r="DG1646" s="156" t="n"/>
      <c r="DH1646" s="156" t="n"/>
      <c r="DI1646" s="156" t="n"/>
      <c r="DJ1646" s="156" t="n"/>
      <c r="DK1646" s="156" t="n"/>
      <c r="DL1646" s="156" t="n"/>
      <c r="DM1646" s="156" t="n"/>
      <c r="DN1646" s="156" t="n"/>
      <c r="DO1646" s="156" t="n"/>
      <c r="DP1646" s="156" t="n"/>
      <c r="DQ1646" s="156" t="n"/>
      <c r="DR1646" s="156" t="n"/>
      <c r="DS1646" s="156" t="n"/>
      <c r="DT1646" s="156" t="n"/>
      <c r="DU1646" s="157"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68" t="inlineStr">
        <is>
          <t>写真をはる位置</t>
        </is>
      </c>
      <c r="BI1647" s="8" t="n"/>
      <c r="BJ1647" s="7" t="n"/>
      <c r="BK1647" s="2" t="n"/>
      <c r="BL1647" s="2" t="n"/>
      <c r="BM1647" s="2" t="n"/>
      <c r="BN1647" s="2" t="n"/>
      <c r="BO1647" s="2" t="n"/>
      <c r="BP1647" s="152" t="n"/>
      <c r="BV1647" s="153" t="n"/>
      <c r="BW1647" s="158">
        <f>計算!$CB$21</f>
        <v/>
      </c>
      <c r="CG1647" s="153" t="n"/>
      <c r="CH1647" s="159">
        <f>計算!$CC$21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6" t="n"/>
      <c r="AA1648" s="156" t="n"/>
      <c r="AB1648" s="156" t="n"/>
      <c r="AC1648" s="156" t="n"/>
      <c r="AD1648" s="156" t="n"/>
      <c r="AE1648" s="156" t="n"/>
      <c r="AF1648" s="156" t="n"/>
      <c r="AG1648" s="156" t="n"/>
      <c r="AH1648" s="156" t="n"/>
      <c r="AI1648" s="156" t="n"/>
      <c r="AJ1648" s="156" t="n"/>
      <c r="AK1648" s="156" t="n"/>
      <c r="AL1648" s="156" t="n"/>
      <c r="AM1648" s="156" t="n"/>
      <c r="AN1648" s="156" t="n"/>
      <c r="AO1648" s="156" t="n"/>
      <c r="AP1648" s="156" t="n"/>
      <c r="AQ1648" s="156" t="n"/>
      <c r="AR1648" s="156" t="n"/>
      <c r="AS1648" s="156" t="n"/>
      <c r="AT1648" s="156"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0">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5" t="n"/>
      <c r="F1652" s="156" t="n"/>
      <c r="G1652" s="156" t="n"/>
      <c r="H1652" s="156" t="n"/>
      <c r="I1652" s="156" t="n"/>
      <c r="J1652" s="156" t="n"/>
      <c r="K1652" s="157" t="n"/>
      <c r="L1652" s="156" t="n"/>
      <c r="M1652" s="156" t="n"/>
      <c r="N1652" s="156" t="n"/>
      <c r="O1652" s="156" t="n"/>
      <c r="P1652" s="156" t="n"/>
      <c r="Q1652" s="156" t="n"/>
      <c r="R1652" s="156" t="n"/>
      <c r="S1652" s="156" t="n"/>
      <c r="T1652" s="156" t="n"/>
      <c r="U1652" s="156" t="n"/>
      <c r="V1652" s="156" t="n"/>
      <c r="W1652" s="156" t="n"/>
      <c r="X1652" s="156" t="n"/>
      <c r="Y1652" s="156" t="n"/>
      <c r="Z1652" s="156" t="n"/>
      <c r="AA1652" s="156" t="n"/>
      <c r="AB1652" s="156" t="n"/>
      <c r="AC1652" s="156" t="n"/>
      <c r="AD1652" s="156" t="n"/>
      <c r="AE1652" s="156" t="n"/>
      <c r="AF1652" s="156" t="n"/>
      <c r="AG1652" s="156" t="n"/>
      <c r="AH1652" s="156" t="n"/>
      <c r="AI1652" s="156" t="n"/>
      <c r="AJ1652" s="156" t="n"/>
      <c r="AK1652" s="156" t="n"/>
      <c r="AL1652" s="156" t="n"/>
      <c r="AM1652" s="156" t="n"/>
      <c r="AN1652" s="156" t="n"/>
      <c r="AO1652" s="156" t="n"/>
      <c r="AP1652" s="156" t="n"/>
      <c r="AQ1652" s="156" t="n"/>
      <c r="AR1652" s="156" t="n"/>
      <c r="AS1652" s="156" t="n"/>
      <c r="AT1652" s="157"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1" t="inlineStr">
        <is>
          <t>名　前</t>
        </is>
      </c>
      <c r="F1653" s="149" t="n"/>
      <c r="G1653" s="149" t="n"/>
      <c r="H1653" s="149" t="n"/>
      <c r="I1653" s="149" t="n"/>
      <c r="J1653" s="149" t="n"/>
      <c r="K1653" s="150" t="n"/>
      <c r="L1653" s="162">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61"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5" t="n"/>
      <c r="F1658" s="156" t="n"/>
      <c r="G1658" s="156" t="n"/>
      <c r="H1658" s="156" t="n"/>
      <c r="I1658" s="156" t="n"/>
      <c r="J1658" s="156" t="n"/>
      <c r="K1658" s="157" t="n"/>
      <c r="L1658" s="155" t="n"/>
      <c r="M1658" s="156" t="n"/>
      <c r="N1658" s="156" t="n"/>
      <c r="O1658" s="156" t="n"/>
      <c r="P1658" s="156" t="n"/>
      <c r="Q1658" s="156" t="n"/>
      <c r="R1658" s="156" t="n"/>
      <c r="S1658" s="156" t="n"/>
      <c r="T1658" s="156" t="n"/>
      <c r="U1658" s="156" t="n"/>
      <c r="V1658" s="156" t="n"/>
      <c r="W1658" s="156" t="n"/>
      <c r="X1658" s="156" t="n"/>
      <c r="Y1658" s="156" t="n"/>
      <c r="Z1658" s="156" t="n"/>
      <c r="AA1658" s="156" t="n"/>
      <c r="AB1658" s="156" t="n"/>
      <c r="AC1658" s="156" t="n"/>
      <c r="AD1658" s="156" t="n"/>
      <c r="AE1658" s="156" t="n"/>
      <c r="AF1658" s="156" t="n"/>
      <c r="AG1658" s="156" t="n"/>
      <c r="AH1658" s="156" t="n"/>
      <c r="AI1658" s="156" t="n"/>
      <c r="AJ1658" s="156" t="n"/>
      <c r="AK1658" s="156" t="n"/>
      <c r="AL1658" s="156" t="n"/>
      <c r="AM1658" s="156" t="n"/>
      <c r="AN1658" s="156" t="n"/>
      <c r="AO1658" s="156" t="n"/>
      <c r="AP1658" s="156" t="n"/>
      <c r="AQ1658" s="156" t="n"/>
      <c r="AR1658" s="156" t="n"/>
      <c r="AS1658" s="156" t="n"/>
      <c r="AT1658" s="157"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1" t="inlineStr">
        <is>
          <t>生年月日</t>
        </is>
      </c>
      <c r="F1659" s="149" t="n"/>
      <c r="G1659" s="149" t="n"/>
      <c r="H1659" s="149" t="n"/>
      <c r="I1659" s="149" t="n"/>
      <c r="J1659" s="149" t="n"/>
      <c r="K1659" s="150" t="n"/>
      <c r="L1659" s="163" t="inlineStr">
        <is>
          <t>昭和 ・ 平成</t>
        </is>
      </c>
      <c r="M1659" s="149" t="n"/>
      <c r="N1659" s="149" t="n"/>
      <c r="O1659" s="149" t="n"/>
      <c r="P1659" s="149" t="n"/>
      <c r="Q1659" s="149" t="n"/>
      <c r="R1659" s="149" t="n"/>
      <c r="S1659" s="149" t="n"/>
      <c r="T1659" s="149" t="n"/>
      <c r="U1659" s="149" t="n"/>
      <c r="V1659" s="164">
        <f>計算!$D$21</f>
        <v/>
      </c>
      <c r="W1659" s="149" t="n"/>
      <c r="X1659" s="165" t="inlineStr">
        <is>
          <t>年</t>
        </is>
      </c>
      <c r="Y1659" s="149" t="n"/>
      <c r="Z1659" s="166">
        <f>計算!$E$21</f>
        <v/>
      </c>
      <c r="AA1659" s="149" t="n"/>
      <c r="AB1659" s="149" t="n"/>
      <c r="AC1659" s="165" t="inlineStr">
        <is>
          <t>月</t>
        </is>
      </c>
      <c r="AD1659" s="149" t="n"/>
      <c r="AE1659" s="166">
        <f>計算!$F$21</f>
        <v/>
      </c>
      <c r="AF1659" s="149" t="n"/>
      <c r="AG1659" s="149" t="n"/>
      <c r="AH1659" s="165" t="inlineStr">
        <is>
          <t>日　生 （満</t>
        </is>
      </c>
      <c r="AI1659" s="149" t="n"/>
      <c r="AJ1659" s="149" t="n"/>
      <c r="AK1659" s="149" t="n"/>
      <c r="AL1659" s="149" t="n"/>
      <c r="AM1659" s="149" t="n"/>
      <c r="AN1659" s="149" t="n"/>
      <c r="AO1659" s="149" t="n"/>
      <c r="AP1659" s="167">
        <f>計算!$G$21</f>
        <v/>
      </c>
      <c r="AQ1659" s="149" t="n"/>
      <c r="AR1659" s="168"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5" t="n"/>
      <c r="F1662" s="156" t="n"/>
      <c r="G1662" s="156" t="n"/>
      <c r="H1662" s="156" t="n"/>
      <c r="I1662" s="156" t="n"/>
      <c r="J1662" s="156" t="n"/>
      <c r="K1662" s="157" t="n"/>
      <c r="L1662" s="155" t="n"/>
      <c r="M1662" s="156" t="n"/>
      <c r="N1662" s="156" t="n"/>
      <c r="O1662" s="156" t="n"/>
      <c r="P1662" s="156" t="n"/>
      <c r="Q1662" s="156" t="n"/>
      <c r="R1662" s="156" t="n"/>
      <c r="S1662" s="156" t="n"/>
      <c r="T1662" s="156" t="n"/>
      <c r="U1662" s="156" t="n"/>
      <c r="X1662" s="156" t="n"/>
      <c r="Y1662" s="156" t="n"/>
      <c r="AC1662" s="156" t="n"/>
      <c r="AD1662" s="156" t="n"/>
      <c r="AH1662" s="156" t="n"/>
      <c r="AI1662" s="156" t="n"/>
      <c r="AJ1662" s="156" t="n"/>
      <c r="AK1662" s="156" t="n"/>
      <c r="AL1662" s="156" t="n"/>
      <c r="AM1662" s="156" t="n"/>
      <c r="AN1662" s="156" t="n"/>
      <c r="AO1662" s="156" t="n"/>
      <c r="AP1662" s="156" t="n"/>
      <c r="AQ1662" s="156" t="n"/>
      <c r="AR1662" s="156" t="n"/>
      <c r="AS1662" s="156" t="n"/>
      <c r="AT1662" s="157"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69" t="inlineStr">
        <is>
          <t>ふ り が な</t>
        </is>
      </c>
      <c r="F1663" s="149" t="n"/>
      <c r="G1663" s="149" t="n"/>
      <c r="H1663" s="149" t="n"/>
      <c r="I1663" s="149" t="n"/>
      <c r="J1663" s="149" t="n"/>
      <c r="K1663" s="150" t="n"/>
      <c r="L1663" s="170">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1" t="n"/>
      <c r="F1665" s="172" t="n"/>
      <c r="G1665" s="172" t="n"/>
      <c r="H1665" s="172" t="n"/>
      <c r="I1665" s="172" t="n"/>
      <c r="J1665" s="172" t="n"/>
      <c r="K1665" s="173" t="n"/>
      <c r="L1665" s="172" t="n"/>
      <c r="M1665" s="172" t="n"/>
      <c r="N1665" s="172" t="n"/>
      <c r="O1665" s="172" t="n"/>
      <c r="P1665" s="172" t="n"/>
      <c r="Q1665" s="172" t="n"/>
      <c r="R1665" s="172" t="n"/>
      <c r="S1665" s="172" t="n"/>
      <c r="T1665" s="172" t="n"/>
      <c r="U1665" s="172" t="n"/>
      <c r="V1665" s="172" t="n"/>
      <c r="W1665" s="172" t="n"/>
      <c r="X1665" s="172" t="n"/>
      <c r="Y1665" s="172" t="n"/>
      <c r="Z1665" s="172" t="n"/>
      <c r="AA1665" s="172" t="n"/>
      <c r="AB1665" s="172" t="n"/>
      <c r="AC1665" s="172" t="n"/>
      <c r="AD1665" s="172" t="n"/>
      <c r="AE1665" s="172" t="n"/>
      <c r="AF1665" s="172" t="n"/>
      <c r="AG1665" s="172" t="n"/>
      <c r="AH1665" s="172" t="n"/>
      <c r="AI1665" s="172" t="n"/>
      <c r="AJ1665" s="172" t="n"/>
      <c r="AK1665" s="172" t="n"/>
      <c r="AL1665" s="172" t="n"/>
      <c r="AM1665" s="172" t="n"/>
      <c r="AN1665" s="172" t="n"/>
      <c r="AO1665" s="172" t="n"/>
      <c r="AP1665" s="172" t="n"/>
      <c r="AQ1665" s="172" t="n"/>
      <c r="AR1665" s="172" t="n"/>
      <c r="AS1665" s="172" t="n"/>
      <c r="AT1665" s="172" t="n"/>
      <c r="AU1665" s="172" t="n"/>
      <c r="AV1665" s="172" t="n"/>
      <c r="AW1665" s="172" t="n"/>
      <c r="AX1665" s="172" t="n"/>
      <c r="AY1665" s="172" t="n"/>
      <c r="AZ1665" s="172" t="n"/>
      <c r="BA1665" s="172" t="n"/>
      <c r="BB1665" s="172" t="n"/>
      <c r="BC1665" s="172" t="n"/>
      <c r="BD1665" s="172" t="n"/>
      <c r="BE1665" s="172" t="n"/>
      <c r="BF1665" s="172" t="n"/>
      <c r="BG1665" s="172" t="n"/>
      <c r="BH1665" s="172" t="n"/>
      <c r="BI1665" s="173"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4" t="inlineStr">
        <is>
          <t>現住所</t>
        </is>
      </c>
      <c r="F1666" s="175" t="n"/>
      <c r="G1666" s="175" t="n"/>
      <c r="H1666" s="175" t="n"/>
      <c r="I1666" s="175" t="n"/>
      <c r="J1666" s="175" t="n"/>
      <c r="K1666" s="176" t="n"/>
      <c r="L1666" s="83" t="inlineStr">
        <is>
          <t>〒</t>
        </is>
      </c>
      <c r="M1666" s="175" t="n"/>
      <c r="N1666" s="175" t="n"/>
      <c r="O1666" s="175" t="n"/>
      <c r="P1666" s="177">
        <f>計算!$H$21</f>
        <v/>
      </c>
      <c r="Q1666" s="175" t="n"/>
      <c r="R1666" s="175" t="n"/>
      <c r="S1666" s="175" t="n"/>
      <c r="T1666" s="175" t="n"/>
      <c r="U1666" s="175" t="n"/>
      <c r="V1666" s="175" t="n"/>
      <c r="W1666" s="175" t="n"/>
      <c r="X1666" s="175" t="n"/>
      <c r="Y1666" s="175" t="n"/>
      <c r="Z1666" s="175" t="n"/>
      <c r="AA1666" s="175" t="n"/>
      <c r="AB1666" s="175" t="n"/>
      <c r="AC1666" s="175" t="n"/>
      <c r="AD1666" s="175" t="n"/>
      <c r="AE1666" s="175" t="n"/>
      <c r="AF1666" s="175" t="n"/>
      <c r="AG1666" s="175" t="n"/>
      <c r="AH1666" s="175" t="n"/>
      <c r="AI1666" s="175" t="n"/>
      <c r="AJ1666" s="175"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5" t="n"/>
      <c r="BQ1667" s="156" t="n"/>
      <c r="BR1667" s="156" t="n"/>
      <c r="BS1667" s="156" t="n"/>
      <c r="BT1667" s="156" t="n"/>
      <c r="BU1667" s="156" t="n"/>
      <c r="BV1667" s="157" t="n"/>
      <c r="BW1667" s="155" t="n"/>
      <c r="BX1667" s="156" t="n"/>
      <c r="BY1667" s="156" t="n"/>
      <c r="BZ1667" s="156" t="n"/>
      <c r="CA1667" s="156" t="n"/>
      <c r="CB1667" s="156" t="n"/>
      <c r="CC1667" s="156" t="n"/>
      <c r="CD1667" s="156" t="n"/>
      <c r="CE1667" s="156" t="n"/>
      <c r="CF1667" s="156" t="n"/>
      <c r="CG1667" s="157"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8" t="inlineStr">
        <is>
          <t>校内外の諸活動</t>
        </is>
      </c>
      <c r="BQ1668" s="149" t="n"/>
      <c r="BR1668" s="149" t="n"/>
      <c r="BS1668" s="149" t="n"/>
      <c r="BT1668" s="149" t="n"/>
      <c r="BU1668" s="149" t="n"/>
      <c r="BV1668" s="150" t="n"/>
      <c r="BW1668" s="179">
        <f>計算!$BO$21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0">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5" t="n"/>
      <c r="F1671" s="156" t="n"/>
      <c r="G1671" s="156" t="n"/>
      <c r="H1671" s="156" t="n"/>
      <c r="I1671" s="156" t="n"/>
      <c r="J1671" s="156" t="n"/>
      <c r="K1671" s="157" t="n"/>
      <c r="L1671" s="155" t="n"/>
      <c r="M1671" s="156" t="n"/>
      <c r="N1671" s="156" t="n"/>
      <c r="O1671" s="156" t="n"/>
      <c r="P1671" s="156" t="n"/>
      <c r="Q1671" s="156" t="n"/>
      <c r="R1671" s="156" t="n"/>
      <c r="S1671" s="156" t="n"/>
      <c r="T1671" s="156" t="n"/>
      <c r="U1671" s="156" t="n"/>
      <c r="V1671" s="156" t="n"/>
      <c r="W1671" s="156" t="n"/>
      <c r="X1671" s="156" t="n"/>
      <c r="Y1671" s="156" t="n"/>
      <c r="Z1671" s="156" t="n"/>
      <c r="AA1671" s="156" t="n"/>
      <c r="AB1671" s="156" t="n"/>
      <c r="AC1671" s="156" t="n"/>
      <c r="AD1671" s="156" t="n"/>
      <c r="AE1671" s="156" t="n"/>
      <c r="AF1671" s="156" t="n"/>
      <c r="AG1671" s="156" t="n"/>
      <c r="AH1671" s="156" t="n"/>
      <c r="AI1671" s="156" t="n"/>
      <c r="AJ1671" s="156" t="n"/>
      <c r="AK1671" s="156" t="n"/>
      <c r="AL1671" s="156" t="n"/>
      <c r="AM1671" s="156" t="n"/>
      <c r="AN1671" s="156" t="n"/>
      <c r="AO1671" s="156" t="n"/>
      <c r="AP1671" s="156" t="n"/>
      <c r="AQ1671" s="156" t="n"/>
      <c r="AR1671" s="156" t="n"/>
      <c r="AS1671" s="156" t="n"/>
      <c r="AT1671" s="156" t="n"/>
      <c r="AU1671" s="156" t="n"/>
      <c r="AV1671" s="156" t="n"/>
      <c r="AW1671" s="156" t="n"/>
      <c r="AX1671" s="156" t="n"/>
      <c r="AY1671" s="156" t="n"/>
      <c r="AZ1671" s="156" t="n"/>
      <c r="BA1671" s="156" t="n"/>
      <c r="BB1671" s="156" t="n"/>
      <c r="BC1671" s="156" t="n"/>
      <c r="BD1671" s="156" t="n"/>
      <c r="BE1671" s="156" t="n"/>
      <c r="BF1671" s="156" t="n"/>
      <c r="BG1671" s="156" t="n"/>
      <c r="BH1671" s="156" t="n"/>
      <c r="BI1671" s="157"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69" t="inlineStr">
        <is>
          <t>ふ り が な</t>
        </is>
      </c>
      <c r="F1672" s="149" t="n"/>
      <c r="G1672" s="149" t="n"/>
      <c r="H1672" s="149" t="n"/>
      <c r="I1672" s="149" t="n"/>
      <c r="J1672" s="149" t="n"/>
      <c r="K1672" s="150" t="n"/>
      <c r="L1672" s="170">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1" t="n"/>
      <c r="F1674" s="172" t="n"/>
      <c r="G1674" s="172" t="n"/>
      <c r="H1674" s="172" t="n"/>
      <c r="I1674" s="172" t="n"/>
      <c r="J1674" s="172" t="n"/>
      <c r="K1674" s="173" t="n"/>
      <c r="L1674" s="172" t="n"/>
      <c r="M1674" s="172" t="n"/>
      <c r="N1674" s="172" t="n"/>
      <c r="O1674" s="172" t="n"/>
      <c r="P1674" s="172" t="n"/>
      <c r="Q1674" s="172" t="n"/>
      <c r="R1674" s="172" t="n"/>
      <c r="S1674" s="172" t="n"/>
      <c r="T1674" s="172" t="n"/>
      <c r="U1674" s="172" t="n"/>
      <c r="V1674" s="172" t="n"/>
      <c r="W1674" s="172" t="n"/>
      <c r="X1674" s="172" t="n"/>
      <c r="Y1674" s="172" t="n"/>
      <c r="Z1674" s="172" t="n"/>
      <c r="AA1674" s="172" t="n"/>
      <c r="AB1674" s="172" t="n"/>
      <c r="AC1674" s="172" t="n"/>
      <c r="AD1674" s="172" t="n"/>
      <c r="AE1674" s="172" t="n"/>
      <c r="AF1674" s="172" t="n"/>
      <c r="AG1674" s="172" t="n"/>
      <c r="AH1674" s="172" t="n"/>
      <c r="AI1674" s="172" t="n"/>
      <c r="AJ1674" s="172" t="n"/>
      <c r="AK1674" s="172" t="n"/>
      <c r="AL1674" s="172" t="n"/>
      <c r="AM1674" s="172" t="n"/>
      <c r="AN1674" s="172" t="n"/>
      <c r="AO1674" s="172" t="n"/>
      <c r="AP1674" s="172" t="n"/>
      <c r="AQ1674" s="172" t="n"/>
      <c r="AR1674" s="172" t="n"/>
      <c r="AS1674" s="172" t="n"/>
      <c r="AT1674" s="172" t="n"/>
      <c r="AU1674" s="172" t="n"/>
      <c r="AV1674" s="172" t="n"/>
      <c r="AW1674" s="172" t="n"/>
      <c r="AX1674" s="172" t="n"/>
      <c r="AY1674" s="172" t="n"/>
      <c r="AZ1674" s="172" t="n"/>
      <c r="BA1674" s="172" t="n"/>
      <c r="BB1674" s="172" t="n"/>
      <c r="BC1674" s="172" t="n"/>
      <c r="BD1674" s="172" t="n"/>
      <c r="BE1674" s="172" t="n"/>
      <c r="BF1674" s="172" t="n"/>
      <c r="BG1674" s="172" t="n"/>
      <c r="BH1674" s="172" t="n"/>
      <c r="BI1674" s="173"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4" t="inlineStr">
        <is>
          <t>連絡先</t>
        </is>
      </c>
      <c r="F1675" s="175" t="n"/>
      <c r="G1675" s="175" t="n"/>
      <c r="H1675" s="175" t="n"/>
      <c r="I1675" s="175" t="n"/>
      <c r="J1675" s="175" t="n"/>
      <c r="K1675" s="176" t="n"/>
      <c r="L1675" s="83" t="inlineStr">
        <is>
          <t>〒</t>
        </is>
      </c>
      <c r="M1675" s="175" t="n"/>
      <c r="N1675" s="175" t="n"/>
      <c r="O1675" s="175" t="n"/>
      <c r="P1675" s="181">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2">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5" t="n"/>
      <c r="F1679" s="156" t="n"/>
      <c r="G1679" s="156" t="n"/>
      <c r="H1679" s="156" t="n"/>
      <c r="I1679" s="156" t="n"/>
      <c r="J1679" s="156" t="n"/>
      <c r="K1679" s="157" t="n"/>
      <c r="L1679" s="156" t="n"/>
      <c r="M1679" s="156" t="n"/>
      <c r="N1679" s="156" t="n"/>
      <c r="O1679" s="156" t="n"/>
      <c r="P1679" s="156" t="n"/>
      <c r="Q1679" s="156" t="n"/>
      <c r="R1679" s="156" t="n"/>
      <c r="S1679" s="156" t="n"/>
      <c r="T1679" s="156" t="n"/>
      <c r="U1679" s="156" t="n"/>
      <c r="V1679" s="156" t="n"/>
      <c r="W1679" s="156" t="n"/>
      <c r="X1679" s="156" t="n"/>
      <c r="Y1679" s="156" t="n"/>
      <c r="Z1679" s="156" t="n"/>
      <c r="AA1679" s="156" t="n"/>
      <c r="AB1679" s="156" t="n"/>
      <c r="AC1679" s="156" t="n"/>
      <c r="AD1679" s="156" t="n"/>
      <c r="AE1679" s="156" t="n"/>
      <c r="AF1679" s="156" t="n"/>
      <c r="AG1679" s="156" t="n"/>
      <c r="AH1679" s="156" t="n"/>
      <c r="AI1679" s="156" t="n"/>
      <c r="AJ1679" s="156" t="n"/>
      <c r="AK1679" s="156" t="n"/>
      <c r="AL1679" s="156" t="n"/>
      <c r="AM1679" s="156" t="n"/>
      <c r="AN1679" s="156" t="n"/>
      <c r="AO1679" s="156" t="n"/>
      <c r="AP1679" s="156" t="n"/>
      <c r="AQ1679" s="156" t="n"/>
      <c r="AR1679" s="156" t="n"/>
      <c r="AS1679" s="156" t="n"/>
      <c r="AT1679" s="156" t="n"/>
      <c r="AU1679" s="156" t="n"/>
      <c r="AV1679" s="156" t="n"/>
      <c r="AW1679" s="156" t="n"/>
      <c r="AX1679" s="156" t="n"/>
      <c r="AY1679" s="156" t="n"/>
      <c r="AZ1679" s="156" t="n"/>
      <c r="BA1679" s="156" t="n"/>
      <c r="BB1679" s="156" t="n"/>
      <c r="BC1679" s="156" t="n"/>
      <c r="BD1679" s="156" t="n"/>
      <c r="BE1679" s="156" t="n"/>
      <c r="BF1679" s="156" t="n"/>
      <c r="BG1679" s="156" t="n"/>
      <c r="BH1679" s="156" t="n"/>
      <c r="BI1679" s="157"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86"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3" t="n"/>
      <c r="BQ1685" s="149" t="n"/>
      <c r="BR1685" s="184" t="n"/>
      <c r="BS1685" s="149" t="n"/>
      <c r="BT1685" s="149" t="n"/>
      <c r="BU1685" s="28" t="n"/>
      <c r="BV1685" s="29" t="n"/>
      <c r="BW1685" s="185">
        <f>計算!$BP$21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115"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6"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107"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7">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188">
        <f>IF(入力!$D$23="","",設定!$B$6)&amp;""</f>
        <v/>
      </c>
      <c r="S1693" s="11" t="n"/>
      <c r="T1693" s="11" t="n"/>
      <c r="U1693" s="188">
        <f>IF(入力!$D$23="","",設定!$B$7)&amp;""</f>
        <v/>
      </c>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110" t="inlineStr">
        <is>
          <t>令和</t>
        </is>
      </c>
      <c r="S1694" s="61" t="inlineStr">
        <is>
          <t>年</t>
        </is>
      </c>
      <c r="W1694" s="62"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90"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5" t="n"/>
      <c r="F1698" s="156" t="n"/>
      <c r="G1698" s="156" t="n"/>
      <c r="H1698" s="156" t="n"/>
      <c r="I1698" s="156" t="n"/>
      <c r="J1698" s="156" t="n"/>
      <c r="K1698" s="157"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6" t="n"/>
      <c r="AX1698" s="156" t="n"/>
      <c r="AY1698" s="156" t="n"/>
      <c r="AZ1698" s="156" t="n"/>
      <c r="BA1698" s="156" t="n"/>
      <c r="BB1698" s="156" t="n"/>
      <c r="BC1698" s="156" t="n"/>
      <c r="BD1698" s="156" t="n"/>
      <c r="BE1698" s="156" t="n"/>
      <c r="BF1698" s="156" t="n"/>
      <c r="BG1698" s="156" t="n"/>
      <c r="BH1698" s="156" t="n"/>
      <c r="BI1698" s="157"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58" t="n"/>
      <c r="T1699" s="149" t="n"/>
      <c r="U1699" s="17" t="n"/>
      <c r="V1699" s="17" t="n"/>
      <c r="W1699" s="58"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89" t="inlineStr">
        <is>
          <t>職　歴</t>
        </is>
      </c>
      <c r="K1702" s="153" t="n"/>
      <c r="L1702" s="69" t="inlineStr">
        <is>
          <t>平成</t>
        </is>
      </c>
      <c r="M1702" s="149" t="n"/>
      <c r="N1702" s="149" t="n"/>
      <c r="O1702" s="149" t="n"/>
      <c r="P1702" s="19" t="n"/>
      <c r="Q1702" s="19" t="n"/>
      <c r="R1702" s="19" t="n"/>
      <c r="S1702" s="19" t="n"/>
      <c r="T1702" s="19" t="n"/>
      <c r="U1702" s="19" t="n"/>
      <c r="V1702" s="19" t="n"/>
      <c r="W1702" s="19" t="n"/>
      <c r="X1702" s="37" t="n"/>
      <c r="Y1702" s="180">
        <f>計算!$BT$21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8">
        <f>計算!$BR$21</f>
        <v/>
      </c>
      <c r="S1704" s="61" t="inlineStr">
        <is>
          <t>年</t>
        </is>
      </c>
      <c r="U1704" s="190">
        <f>計算!$BS$21</f>
        <v/>
      </c>
      <c r="W1704" s="62"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74"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5" t="n"/>
      <c r="M1707" s="156" t="n"/>
      <c r="N1707" s="156" t="n"/>
      <c r="O1707" s="156" t="n"/>
      <c r="P1707" s="20" t="n"/>
      <c r="Q1707" s="20" t="n"/>
      <c r="R1707" s="20" t="n"/>
      <c r="S1707" s="20" t="n"/>
      <c r="T1707" s="20" t="n"/>
      <c r="U1707" s="20" t="n"/>
      <c r="V1707" s="20" t="n"/>
      <c r="W1707" s="20" t="n"/>
      <c r="X1707" s="39" t="n"/>
      <c r="Y1707" s="155" t="n"/>
      <c r="Z1707" s="156" t="n"/>
      <c r="AA1707" s="156" t="n"/>
      <c r="AB1707" s="156" t="n"/>
      <c r="AC1707" s="156" t="n"/>
      <c r="AD1707" s="156" t="n"/>
      <c r="AE1707" s="156" t="n"/>
      <c r="AF1707" s="156" t="n"/>
      <c r="AG1707" s="156" t="n"/>
      <c r="AH1707" s="156" t="n"/>
      <c r="AI1707" s="156" t="n"/>
      <c r="AJ1707" s="156" t="n"/>
      <c r="AK1707" s="156" t="n"/>
      <c r="AL1707" s="156" t="n"/>
      <c r="AM1707" s="156" t="n"/>
      <c r="AN1707" s="156" t="n"/>
      <c r="AO1707" s="156" t="n"/>
      <c r="AP1707" s="156" t="n"/>
      <c r="AQ1707" s="156" t="n"/>
      <c r="AR1707" s="156" t="n"/>
      <c r="AS1707" s="156" t="n"/>
      <c r="AT1707" s="156" t="n"/>
      <c r="AU1707" s="156" t="n"/>
      <c r="AV1707" s="156" t="n"/>
      <c r="AW1707" s="156" t="n"/>
      <c r="AX1707" s="156" t="n"/>
      <c r="AY1707" s="156" t="n"/>
      <c r="AZ1707" s="156" t="n"/>
      <c r="BA1707" s="156" t="n"/>
      <c r="BB1707" s="156" t="n"/>
      <c r="BC1707" s="156" t="n"/>
      <c r="BD1707" s="156" t="n"/>
      <c r="BE1707" s="156" t="n"/>
      <c r="BF1707" s="156" t="n"/>
      <c r="BG1707" s="156" t="n"/>
      <c r="BH1707" s="156" t="n"/>
      <c r="BI1707" s="157"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69" t="inlineStr">
        <is>
          <t>平成</t>
        </is>
      </c>
      <c r="M1708" s="149" t="n"/>
      <c r="N1708" s="149" t="n"/>
      <c r="O1708" s="149" t="n"/>
      <c r="P1708" s="18" t="n"/>
      <c r="Q1708" s="18" t="n"/>
      <c r="R1708" s="18" t="n"/>
      <c r="S1708" s="18" t="n"/>
      <c r="T1708" s="18" t="n"/>
      <c r="U1708" s="18" t="n"/>
      <c r="V1708" s="18" t="n"/>
      <c r="W1708" s="18" t="n"/>
      <c r="X1708" s="35" t="n"/>
      <c r="Y1708" s="180">
        <f>計算!$BW$21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8">
        <f>計算!$BU$21</f>
        <v/>
      </c>
      <c r="S1710" s="61" t="inlineStr">
        <is>
          <t>年</t>
        </is>
      </c>
      <c r="U1710" s="190">
        <f>計算!$BV$21</f>
        <v/>
      </c>
      <c r="W1710" s="62"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74"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5" t="n"/>
      <c r="M1713" s="156" t="n"/>
      <c r="N1713" s="156" t="n"/>
      <c r="O1713" s="156" t="n"/>
      <c r="P1713" s="20" t="n"/>
      <c r="Q1713" s="20" t="n"/>
      <c r="R1713" s="20" t="n"/>
      <c r="S1713" s="20" t="n"/>
      <c r="T1713" s="20" t="n"/>
      <c r="U1713" s="20" t="n"/>
      <c r="V1713" s="20" t="n"/>
      <c r="W1713" s="20" t="n"/>
      <c r="X1713" s="39" t="n"/>
      <c r="Y1713" s="155" t="n"/>
      <c r="Z1713" s="156" t="n"/>
      <c r="AA1713" s="156" t="n"/>
      <c r="AB1713" s="156" t="n"/>
      <c r="AC1713" s="156" t="n"/>
      <c r="AD1713" s="156" t="n"/>
      <c r="AE1713" s="156" t="n"/>
      <c r="AF1713" s="156" t="n"/>
      <c r="AG1713" s="156" t="n"/>
      <c r="AH1713" s="156" t="n"/>
      <c r="AI1713" s="156" t="n"/>
      <c r="AJ1713" s="156" t="n"/>
      <c r="AK1713" s="156" t="n"/>
      <c r="AL1713" s="156" t="n"/>
      <c r="AM1713" s="156" t="n"/>
      <c r="AN1713" s="156" t="n"/>
      <c r="AO1713" s="156" t="n"/>
      <c r="AP1713" s="156" t="n"/>
      <c r="AQ1713" s="156" t="n"/>
      <c r="AR1713" s="156" t="n"/>
      <c r="AS1713" s="156" t="n"/>
      <c r="AT1713" s="156" t="n"/>
      <c r="AU1713" s="156" t="n"/>
      <c r="AV1713" s="156" t="n"/>
      <c r="AW1713" s="156" t="n"/>
      <c r="AX1713" s="156" t="n"/>
      <c r="AY1713" s="156" t="n"/>
      <c r="AZ1713" s="156" t="n"/>
      <c r="BA1713" s="156" t="n"/>
      <c r="BB1713" s="156" t="n"/>
      <c r="BC1713" s="156" t="n"/>
      <c r="BD1713" s="156" t="n"/>
      <c r="BE1713" s="156" t="n"/>
      <c r="BF1713" s="156" t="n"/>
      <c r="BG1713" s="156" t="n"/>
      <c r="BH1713" s="156" t="n"/>
      <c r="BI1713" s="157" t="n"/>
      <c r="BJ1713" s="2" t="n"/>
      <c r="BK1713" s="2" t="n"/>
      <c r="BL1713" s="2" t="n"/>
      <c r="BM1713" s="2" t="n"/>
      <c r="BN1713" s="2" t="n"/>
      <c r="BO1713" s="2" t="n"/>
      <c r="BP1713" s="155" t="n"/>
      <c r="BQ1713" s="156" t="n"/>
      <c r="BR1713" s="156" t="n"/>
      <c r="BS1713" s="156" t="n"/>
      <c r="BT1713" s="156" t="n"/>
      <c r="BU1713" s="42" t="n"/>
      <c r="BV1713" s="45" t="n"/>
      <c r="BW1713" s="156" t="n"/>
      <c r="BX1713" s="156" t="n"/>
      <c r="BY1713" s="156" t="n"/>
      <c r="BZ1713" s="156" t="n"/>
      <c r="CA1713" s="156" t="n"/>
      <c r="CB1713" s="156" t="n"/>
      <c r="CC1713" s="156" t="n"/>
      <c r="CD1713" s="156" t="n"/>
      <c r="CE1713" s="156" t="n"/>
      <c r="CF1713" s="156" t="n"/>
      <c r="CG1713" s="156" t="n"/>
      <c r="CH1713" s="156" t="n"/>
      <c r="CI1713" s="156" t="n"/>
      <c r="CJ1713" s="156" t="n"/>
      <c r="CK1713" s="156" t="n"/>
      <c r="CL1713" s="156" t="n"/>
      <c r="CM1713" s="156" t="n"/>
      <c r="CN1713" s="156" t="n"/>
      <c r="CO1713" s="156" t="n"/>
      <c r="CP1713" s="156" t="n"/>
      <c r="CQ1713" s="156" t="n"/>
      <c r="CR1713" s="156" t="n"/>
      <c r="CS1713" s="156" t="n"/>
      <c r="CT1713" s="156" t="n"/>
      <c r="CU1713" s="156" t="n"/>
      <c r="CV1713" s="156" t="n"/>
      <c r="CW1713" s="156" t="n"/>
      <c r="CX1713" s="156" t="n"/>
      <c r="CY1713" s="156" t="n"/>
      <c r="CZ1713" s="156" t="n"/>
      <c r="DA1713" s="156" t="n"/>
      <c r="DB1713" s="156" t="n"/>
      <c r="DC1713" s="156" t="n"/>
      <c r="DD1713" s="156" t="n"/>
      <c r="DE1713" s="156" t="n"/>
      <c r="DF1713" s="156" t="n"/>
      <c r="DG1713" s="156" t="n"/>
      <c r="DH1713" s="156" t="n"/>
      <c r="DI1713" s="156" t="n"/>
      <c r="DJ1713" s="156" t="n"/>
      <c r="DK1713" s="156" t="n"/>
      <c r="DL1713" s="156" t="n"/>
      <c r="DM1713" s="156" t="n"/>
      <c r="DN1713" s="156" t="n"/>
      <c r="DO1713" s="156" t="n"/>
      <c r="DP1713" s="156" t="n"/>
      <c r="DQ1713" s="156" t="n"/>
      <c r="DR1713" s="156" t="n"/>
      <c r="DS1713" s="156" t="n"/>
      <c r="DT1713" s="156" t="n"/>
      <c r="DU1713" s="157" t="n"/>
      <c r="DV1713" s="2" t="n"/>
      <c r="DW1713" s="2" t="n"/>
      <c r="DX1713" s="2" t="n"/>
      <c r="DY1713" s="2" t="n"/>
      <c r="DZ1713" s="2" t="n"/>
      <c r="EA1713" s="2" t="n"/>
      <c r="EB1713" s="2" t="n"/>
      <c r="EC1713" s="2" t="n"/>
    </row>
    <row r="1714" ht="6.75" customHeight="1" s="118">
      <c r="A1714" s="2" t="n"/>
      <c r="B1714" s="2" t="n"/>
      <c r="C1714" s="2" t="n"/>
      <c r="D1714" s="2" t="n"/>
      <c r="E1714" s="152" t="n"/>
      <c r="K1714" s="153" t="n"/>
      <c r="L1714" s="69"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5">
        <f>計算!$BQ$21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61" t="inlineStr">
        <is>
          <t>年</t>
        </is>
      </c>
      <c r="U1716" s="11" t="n"/>
      <c r="V1716" s="11" t="n"/>
      <c r="W1716" s="62"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74"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5" t="n"/>
      <c r="M1719" s="156" t="n"/>
      <c r="N1719" s="156" t="n"/>
      <c r="O1719" s="156"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69"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61" t="inlineStr">
        <is>
          <t>年</t>
        </is>
      </c>
      <c r="U1722" s="11" t="n"/>
      <c r="V1722" s="11" t="n"/>
      <c r="W1722" s="62"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74"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61" t="n"/>
      <c r="T1724" s="61" t="n"/>
      <c r="U1724" s="11" t="n"/>
      <c r="V1724" s="11" t="n"/>
      <c r="W1724" s="61" t="n"/>
      <c r="X1724" s="62"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5" t="n"/>
      <c r="F1725" s="156" t="n"/>
      <c r="G1725" s="156" t="n"/>
      <c r="H1725" s="156" t="n"/>
      <c r="I1725" s="156" t="n"/>
      <c r="J1725" s="156" t="n"/>
      <c r="K1725" s="157" t="n"/>
      <c r="L1725" s="155" t="n"/>
      <c r="M1725" s="156" t="n"/>
      <c r="N1725" s="156" t="n"/>
      <c r="O1725" s="156"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5" t="n"/>
      <c r="BQ1725" s="156" t="n"/>
      <c r="BR1725" s="156" t="n"/>
      <c r="BS1725" s="156" t="n"/>
      <c r="BT1725" s="156" t="n"/>
      <c r="BU1725" s="156" t="n"/>
      <c r="BV1725" s="157" t="n"/>
      <c r="BW1725" s="156" t="n"/>
      <c r="BX1725" s="156" t="n"/>
      <c r="BY1725" s="156" t="n"/>
      <c r="BZ1725" s="156" t="n"/>
      <c r="CA1725" s="156" t="n"/>
      <c r="CB1725" s="156" t="n"/>
      <c r="CC1725" s="156" t="n"/>
      <c r="CD1725" s="156" t="n"/>
      <c r="CE1725" s="156" t="n"/>
      <c r="CF1725" s="156" t="n"/>
      <c r="CG1725" s="156" t="n"/>
      <c r="CH1725" s="156" t="n"/>
      <c r="CI1725" s="156" t="n"/>
      <c r="CJ1725" s="156" t="n"/>
      <c r="CK1725" s="156" t="n"/>
      <c r="CL1725" s="156" t="n"/>
      <c r="CM1725" s="156" t="n"/>
      <c r="CN1725" s="156" t="n"/>
      <c r="CO1725" s="156" t="n"/>
      <c r="CP1725" s="156" t="n"/>
      <c r="CQ1725" s="156" t="n"/>
      <c r="CR1725" s="156" t="n"/>
      <c r="CS1725" s="156" t="n"/>
      <c r="CT1725" s="156" t="n"/>
      <c r="CU1725" s="156" t="n"/>
      <c r="CV1725" s="156" t="n"/>
      <c r="CW1725" s="156" t="n"/>
      <c r="CX1725" s="156" t="n"/>
      <c r="CY1725" s="156" t="n"/>
      <c r="CZ1725" s="156" t="n"/>
      <c r="DA1725" s="156" t="n"/>
      <c r="DB1725" s="156" t="n"/>
      <c r="DC1725" s="156" t="n"/>
      <c r="DD1725" s="156" t="n"/>
      <c r="DE1725" s="156" t="n"/>
      <c r="DF1725" s="156" t="n"/>
      <c r="DG1725" s="156" t="n"/>
      <c r="DH1725" s="156" t="n"/>
      <c r="DI1725" s="156" t="n"/>
      <c r="DJ1725" s="156" t="n"/>
      <c r="DK1725" s="156" t="n"/>
      <c r="DL1725" s="156" t="n"/>
      <c r="DM1725" s="156" t="n"/>
      <c r="DN1725" s="156" t="n"/>
      <c r="DO1725" s="156" t="n"/>
      <c r="DP1725" s="156" t="n"/>
      <c r="DQ1725" s="156" t="n"/>
      <c r="DR1725" s="156" t="n"/>
      <c r="DS1725" s="156" t="n"/>
      <c r="DT1725" s="156" t="n"/>
      <c r="DU1725" s="157"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87" t="inlineStr">
        <is>
          <t xml:space="preserve">    (近畿高等学校統一用紙　  その２ 　  令和７年度改定)　</t>
        </is>
      </c>
      <c r="DV1727" s="2" t="n"/>
      <c r="DW1727" s="2" t="n"/>
      <c r="DX1727" s="2" t="n"/>
      <c r="DY1727" s="2" t="n"/>
      <c r="DZ1727" s="2" t="n"/>
      <c r="EA1727" s="2" t="n"/>
      <c r="EB1727" s="2" t="n"/>
      <c r="EC1727" s="2" t="n"/>
    </row>
    <row r="1728" hidden="1"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idden="1"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47"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64" t="inlineStr">
        <is>
          <t>令和</t>
        </is>
      </c>
      <c r="AD1737" s="154">
        <f>IF(入力!$D$24="","",IF(N(設定!$B$3)=0,"",YEAR(設定!$B$3)-2018))&amp;""</f>
        <v/>
      </c>
      <c r="AG1737" s="64" t="inlineStr">
        <is>
          <t>年</t>
        </is>
      </c>
      <c r="AI1737" s="154">
        <f>IF(入力!$D$24="","",IF(N(設定!$B$3)=0,"",MONTH(設定!$B$3)))&amp;""</f>
        <v/>
      </c>
      <c r="AL1737" s="64" t="inlineStr">
        <is>
          <t>月</t>
        </is>
      </c>
      <c r="AN1737" s="154">
        <f>IF(入力!$D$24="","",IF(N(設定!$B$3)=0,"",DAY(設定!$B$3)))&amp;""</f>
        <v/>
      </c>
      <c r="AP1737" s="64"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5" t="n"/>
      <c r="BX1737" s="156" t="n"/>
      <c r="BY1737" s="156" t="n"/>
      <c r="BZ1737" s="156" t="n"/>
      <c r="CA1737" s="156" t="n"/>
      <c r="CB1737" s="156" t="n"/>
      <c r="CC1737" s="156" t="n"/>
      <c r="CD1737" s="156" t="n"/>
      <c r="CE1737" s="156" t="n"/>
      <c r="CF1737" s="156" t="n"/>
      <c r="CG1737" s="157" t="n"/>
      <c r="CH1737" s="155" t="n"/>
      <c r="CI1737" s="156" t="n"/>
      <c r="CJ1737" s="156" t="n"/>
      <c r="CK1737" s="156" t="n"/>
      <c r="CL1737" s="156" t="n"/>
      <c r="CM1737" s="156" t="n"/>
      <c r="CN1737" s="156" t="n"/>
      <c r="CO1737" s="156" t="n"/>
      <c r="CP1737" s="156" t="n"/>
      <c r="CQ1737" s="156" t="n"/>
      <c r="CR1737" s="156" t="n"/>
      <c r="CS1737" s="156" t="n"/>
      <c r="CT1737" s="156" t="n"/>
      <c r="CU1737" s="156" t="n"/>
      <c r="CV1737" s="156" t="n"/>
      <c r="CW1737" s="156" t="n"/>
      <c r="CX1737" s="156" t="n"/>
      <c r="CY1737" s="156" t="n"/>
      <c r="CZ1737" s="156" t="n"/>
      <c r="DA1737" s="156" t="n"/>
      <c r="DB1737" s="156" t="n"/>
      <c r="DC1737" s="156" t="n"/>
      <c r="DD1737" s="156" t="n"/>
      <c r="DE1737" s="156" t="n"/>
      <c r="DF1737" s="156" t="n"/>
      <c r="DG1737" s="156" t="n"/>
      <c r="DH1737" s="156" t="n"/>
      <c r="DI1737" s="156" t="n"/>
      <c r="DJ1737" s="156" t="n"/>
      <c r="DK1737" s="156" t="n"/>
      <c r="DL1737" s="156" t="n"/>
      <c r="DM1737" s="156" t="n"/>
      <c r="DN1737" s="156" t="n"/>
      <c r="DO1737" s="156" t="n"/>
      <c r="DP1737" s="156" t="n"/>
      <c r="DQ1737" s="156" t="n"/>
      <c r="DR1737" s="156" t="n"/>
      <c r="DS1737" s="156" t="n"/>
      <c r="DT1737" s="156" t="n"/>
      <c r="DU1737" s="157"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68" t="inlineStr">
        <is>
          <t>写真をはる位置</t>
        </is>
      </c>
      <c r="BI1738" s="8" t="n"/>
      <c r="BJ1738" s="7" t="n"/>
      <c r="BK1738" s="2" t="n"/>
      <c r="BL1738" s="2" t="n"/>
      <c r="BM1738" s="2" t="n"/>
      <c r="BN1738" s="2" t="n"/>
      <c r="BO1738" s="2" t="n"/>
      <c r="BP1738" s="152" t="n"/>
      <c r="BV1738" s="153" t="n"/>
      <c r="BW1738" s="158">
        <f>計算!$CB$22</f>
        <v/>
      </c>
      <c r="CG1738" s="153" t="n"/>
      <c r="CH1738" s="159">
        <f>計算!$CC$22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6" t="n"/>
      <c r="AA1739" s="156" t="n"/>
      <c r="AB1739" s="156" t="n"/>
      <c r="AC1739" s="156" t="n"/>
      <c r="AD1739" s="156" t="n"/>
      <c r="AE1739" s="156" t="n"/>
      <c r="AF1739" s="156" t="n"/>
      <c r="AG1739" s="156" t="n"/>
      <c r="AH1739" s="156" t="n"/>
      <c r="AI1739" s="156" t="n"/>
      <c r="AJ1739" s="156" t="n"/>
      <c r="AK1739" s="156" t="n"/>
      <c r="AL1739" s="156" t="n"/>
      <c r="AM1739" s="156" t="n"/>
      <c r="AN1739" s="156" t="n"/>
      <c r="AO1739" s="156" t="n"/>
      <c r="AP1739" s="156" t="n"/>
      <c r="AQ1739" s="156" t="n"/>
      <c r="AR1739" s="156" t="n"/>
      <c r="AS1739" s="156" t="n"/>
      <c r="AT1739" s="156"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0">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5" t="n"/>
      <c r="F1743" s="156" t="n"/>
      <c r="G1743" s="156" t="n"/>
      <c r="H1743" s="156" t="n"/>
      <c r="I1743" s="156" t="n"/>
      <c r="J1743" s="156" t="n"/>
      <c r="K1743" s="157" t="n"/>
      <c r="L1743" s="156" t="n"/>
      <c r="M1743" s="156" t="n"/>
      <c r="N1743" s="156" t="n"/>
      <c r="O1743" s="156" t="n"/>
      <c r="P1743" s="156" t="n"/>
      <c r="Q1743" s="156" t="n"/>
      <c r="R1743" s="156" t="n"/>
      <c r="S1743" s="156" t="n"/>
      <c r="T1743" s="156" t="n"/>
      <c r="U1743" s="156" t="n"/>
      <c r="V1743" s="156" t="n"/>
      <c r="W1743" s="156" t="n"/>
      <c r="X1743" s="156" t="n"/>
      <c r="Y1743" s="156" t="n"/>
      <c r="Z1743" s="156" t="n"/>
      <c r="AA1743" s="156" t="n"/>
      <c r="AB1743" s="156" t="n"/>
      <c r="AC1743" s="156" t="n"/>
      <c r="AD1743" s="156" t="n"/>
      <c r="AE1743" s="156" t="n"/>
      <c r="AF1743" s="156" t="n"/>
      <c r="AG1743" s="156" t="n"/>
      <c r="AH1743" s="156" t="n"/>
      <c r="AI1743" s="156" t="n"/>
      <c r="AJ1743" s="156" t="n"/>
      <c r="AK1743" s="156" t="n"/>
      <c r="AL1743" s="156" t="n"/>
      <c r="AM1743" s="156" t="n"/>
      <c r="AN1743" s="156" t="n"/>
      <c r="AO1743" s="156" t="n"/>
      <c r="AP1743" s="156" t="n"/>
      <c r="AQ1743" s="156" t="n"/>
      <c r="AR1743" s="156" t="n"/>
      <c r="AS1743" s="156" t="n"/>
      <c r="AT1743" s="157"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1" t="inlineStr">
        <is>
          <t>名　前</t>
        </is>
      </c>
      <c r="F1744" s="149" t="n"/>
      <c r="G1744" s="149" t="n"/>
      <c r="H1744" s="149" t="n"/>
      <c r="I1744" s="149" t="n"/>
      <c r="J1744" s="149" t="n"/>
      <c r="K1744" s="150" t="n"/>
      <c r="L1744" s="162">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61"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5" t="n"/>
      <c r="F1749" s="156" t="n"/>
      <c r="G1749" s="156" t="n"/>
      <c r="H1749" s="156" t="n"/>
      <c r="I1749" s="156" t="n"/>
      <c r="J1749" s="156" t="n"/>
      <c r="K1749" s="157" t="n"/>
      <c r="L1749" s="155" t="n"/>
      <c r="M1749" s="156" t="n"/>
      <c r="N1749" s="156" t="n"/>
      <c r="O1749" s="156" t="n"/>
      <c r="P1749" s="156" t="n"/>
      <c r="Q1749" s="156" t="n"/>
      <c r="R1749" s="156" t="n"/>
      <c r="S1749" s="156" t="n"/>
      <c r="T1749" s="156" t="n"/>
      <c r="U1749" s="156" t="n"/>
      <c r="V1749" s="156" t="n"/>
      <c r="W1749" s="156" t="n"/>
      <c r="X1749" s="156" t="n"/>
      <c r="Y1749" s="156" t="n"/>
      <c r="Z1749" s="156" t="n"/>
      <c r="AA1749" s="156" t="n"/>
      <c r="AB1749" s="156" t="n"/>
      <c r="AC1749" s="156" t="n"/>
      <c r="AD1749" s="156" t="n"/>
      <c r="AE1749" s="156" t="n"/>
      <c r="AF1749" s="156" t="n"/>
      <c r="AG1749" s="156" t="n"/>
      <c r="AH1749" s="156" t="n"/>
      <c r="AI1749" s="156" t="n"/>
      <c r="AJ1749" s="156" t="n"/>
      <c r="AK1749" s="156" t="n"/>
      <c r="AL1749" s="156" t="n"/>
      <c r="AM1749" s="156" t="n"/>
      <c r="AN1749" s="156" t="n"/>
      <c r="AO1749" s="156" t="n"/>
      <c r="AP1749" s="156" t="n"/>
      <c r="AQ1749" s="156" t="n"/>
      <c r="AR1749" s="156" t="n"/>
      <c r="AS1749" s="156" t="n"/>
      <c r="AT1749" s="157"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1" t="inlineStr">
        <is>
          <t>生年月日</t>
        </is>
      </c>
      <c r="F1750" s="149" t="n"/>
      <c r="G1750" s="149" t="n"/>
      <c r="H1750" s="149" t="n"/>
      <c r="I1750" s="149" t="n"/>
      <c r="J1750" s="149" t="n"/>
      <c r="K1750" s="150" t="n"/>
      <c r="L1750" s="163" t="inlineStr">
        <is>
          <t>昭和 ・ 平成</t>
        </is>
      </c>
      <c r="M1750" s="149" t="n"/>
      <c r="N1750" s="149" t="n"/>
      <c r="O1750" s="149" t="n"/>
      <c r="P1750" s="149" t="n"/>
      <c r="Q1750" s="149" t="n"/>
      <c r="R1750" s="149" t="n"/>
      <c r="S1750" s="149" t="n"/>
      <c r="T1750" s="149" t="n"/>
      <c r="U1750" s="149" t="n"/>
      <c r="V1750" s="164">
        <f>計算!$D$22</f>
        <v/>
      </c>
      <c r="W1750" s="149" t="n"/>
      <c r="X1750" s="165" t="inlineStr">
        <is>
          <t>年</t>
        </is>
      </c>
      <c r="Y1750" s="149" t="n"/>
      <c r="Z1750" s="166">
        <f>計算!$E$22</f>
        <v/>
      </c>
      <c r="AA1750" s="149" t="n"/>
      <c r="AB1750" s="149" t="n"/>
      <c r="AC1750" s="165" t="inlineStr">
        <is>
          <t>月</t>
        </is>
      </c>
      <c r="AD1750" s="149" t="n"/>
      <c r="AE1750" s="166">
        <f>計算!$F$22</f>
        <v/>
      </c>
      <c r="AF1750" s="149" t="n"/>
      <c r="AG1750" s="149" t="n"/>
      <c r="AH1750" s="165" t="inlineStr">
        <is>
          <t>日　生 （満</t>
        </is>
      </c>
      <c r="AI1750" s="149" t="n"/>
      <c r="AJ1750" s="149" t="n"/>
      <c r="AK1750" s="149" t="n"/>
      <c r="AL1750" s="149" t="n"/>
      <c r="AM1750" s="149" t="n"/>
      <c r="AN1750" s="149" t="n"/>
      <c r="AO1750" s="149" t="n"/>
      <c r="AP1750" s="167">
        <f>計算!$G$22</f>
        <v/>
      </c>
      <c r="AQ1750" s="149" t="n"/>
      <c r="AR1750" s="168"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5" t="n"/>
      <c r="F1753" s="156" t="n"/>
      <c r="G1753" s="156" t="n"/>
      <c r="H1753" s="156" t="n"/>
      <c r="I1753" s="156" t="n"/>
      <c r="J1753" s="156" t="n"/>
      <c r="K1753" s="157" t="n"/>
      <c r="L1753" s="155" t="n"/>
      <c r="M1753" s="156" t="n"/>
      <c r="N1753" s="156" t="n"/>
      <c r="O1753" s="156" t="n"/>
      <c r="P1753" s="156" t="n"/>
      <c r="Q1753" s="156" t="n"/>
      <c r="R1753" s="156" t="n"/>
      <c r="S1753" s="156" t="n"/>
      <c r="T1753" s="156" t="n"/>
      <c r="U1753" s="156" t="n"/>
      <c r="X1753" s="156" t="n"/>
      <c r="Y1753" s="156" t="n"/>
      <c r="AC1753" s="156" t="n"/>
      <c r="AD1753" s="156" t="n"/>
      <c r="AH1753" s="156" t="n"/>
      <c r="AI1753" s="156" t="n"/>
      <c r="AJ1753" s="156" t="n"/>
      <c r="AK1753" s="156" t="n"/>
      <c r="AL1753" s="156" t="n"/>
      <c r="AM1753" s="156" t="n"/>
      <c r="AN1753" s="156" t="n"/>
      <c r="AO1753" s="156" t="n"/>
      <c r="AP1753" s="156" t="n"/>
      <c r="AQ1753" s="156" t="n"/>
      <c r="AR1753" s="156" t="n"/>
      <c r="AS1753" s="156" t="n"/>
      <c r="AT1753" s="157"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69" t="inlineStr">
        <is>
          <t>ふ り が な</t>
        </is>
      </c>
      <c r="F1754" s="149" t="n"/>
      <c r="G1754" s="149" t="n"/>
      <c r="H1754" s="149" t="n"/>
      <c r="I1754" s="149" t="n"/>
      <c r="J1754" s="149" t="n"/>
      <c r="K1754" s="150" t="n"/>
      <c r="L1754" s="170">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1" t="n"/>
      <c r="F1756" s="172" t="n"/>
      <c r="G1756" s="172" t="n"/>
      <c r="H1756" s="172" t="n"/>
      <c r="I1756" s="172" t="n"/>
      <c r="J1756" s="172" t="n"/>
      <c r="K1756" s="173" t="n"/>
      <c r="L1756" s="172" t="n"/>
      <c r="M1756" s="172" t="n"/>
      <c r="N1756" s="172" t="n"/>
      <c r="O1756" s="172" t="n"/>
      <c r="P1756" s="172" t="n"/>
      <c r="Q1756" s="172" t="n"/>
      <c r="R1756" s="172" t="n"/>
      <c r="S1756" s="172" t="n"/>
      <c r="T1756" s="172" t="n"/>
      <c r="U1756" s="172" t="n"/>
      <c r="V1756" s="172" t="n"/>
      <c r="W1756" s="172" t="n"/>
      <c r="X1756" s="172" t="n"/>
      <c r="Y1756" s="172" t="n"/>
      <c r="Z1756" s="172" t="n"/>
      <c r="AA1756" s="172" t="n"/>
      <c r="AB1756" s="172" t="n"/>
      <c r="AC1756" s="172" t="n"/>
      <c r="AD1756" s="172" t="n"/>
      <c r="AE1756" s="172" t="n"/>
      <c r="AF1756" s="172" t="n"/>
      <c r="AG1756" s="172" t="n"/>
      <c r="AH1756" s="172" t="n"/>
      <c r="AI1756" s="172" t="n"/>
      <c r="AJ1756" s="172" t="n"/>
      <c r="AK1756" s="172" t="n"/>
      <c r="AL1756" s="172" t="n"/>
      <c r="AM1756" s="172" t="n"/>
      <c r="AN1756" s="172" t="n"/>
      <c r="AO1756" s="172" t="n"/>
      <c r="AP1756" s="172" t="n"/>
      <c r="AQ1756" s="172" t="n"/>
      <c r="AR1756" s="172" t="n"/>
      <c r="AS1756" s="172" t="n"/>
      <c r="AT1756" s="172" t="n"/>
      <c r="AU1756" s="172" t="n"/>
      <c r="AV1756" s="172" t="n"/>
      <c r="AW1756" s="172" t="n"/>
      <c r="AX1756" s="172" t="n"/>
      <c r="AY1756" s="172" t="n"/>
      <c r="AZ1756" s="172" t="n"/>
      <c r="BA1756" s="172" t="n"/>
      <c r="BB1756" s="172" t="n"/>
      <c r="BC1756" s="172" t="n"/>
      <c r="BD1756" s="172" t="n"/>
      <c r="BE1756" s="172" t="n"/>
      <c r="BF1756" s="172" t="n"/>
      <c r="BG1756" s="172" t="n"/>
      <c r="BH1756" s="172" t="n"/>
      <c r="BI1756" s="173"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4" t="inlineStr">
        <is>
          <t>現住所</t>
        </is>
      </c>
      <c r="F1757" s="175" t="n"/>
      <c r="G1757" s="175" t="n"/>
      <c r="H1757" s="175" t="n"/>
      <c r="I1757" s="175" t="n"/>
      <c r="J1757" s="175" t="n"/>
      <c r="K1757" s="176" t="n"/>
      <c r="L1757" s="83" t="inlineStr">
        <is>
          <t>〒</t>
        </is>
      </c>
      <c r="M1757" s="175" t="n"/>
      <c r="N1757" s="175" t="n"/>
      <c r="O1757" s="175" t="n"/>
      <c r="P1757" s="177">
        <f>計算!$H$22</f>
        <v/>
      </c>
      <c r="Q1757" s="175" t="n"/>
      <c r="R1757" s="175" t="n"/>
      <c r="S1757" s="175" t="n"/>
      <c r="T1757" s="175" t="n"/>
      <c r="U1757" s="175" t="n"/>
      <c r="V1757" s="175" t="n"/>
      <c r="W1757" s="175" t="n"/>
      <c r="X1757" s="175" t="n"/>
      <c r="Y1757" s="175" t="n"/>
      <c r="Z1757" s="175" t="n"/>
      <c r="AA1757" s="175" t="n"/>
      <c r="AB1757" s="175" t="n"/>
      <c r="AC1757" s="175" t="n"/>
      <c r="AD1757" s="175" t="n"/>
      <c r="AE1757" s="175" t="n"/>
      <c r="AF1757" s="175" t="n"/>
      <c r="AG1757" s="175" t="n"/>
      <c r="AH1757" s="175" t="n"/>
      <c r="AI1757" s="175" t="n"/>
      <c r="AJ1757" s="175"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5" t="n"/>
      <c r="BQ1758" s="156" t="n"/>
      <c r="BR1758" s="156" t="n"/>
      <c r="BS1758" s="156" t="n"/>
      <c r="BT1758" s="156" t="n"/>
      <c r="BU1758" s="156" t="n"/>
      <c r="BV1758" s="157" t="n"/>
      <c r="BW1758" s="155" t="n"/>
      <c r="BX1758" s="156" t="n"/>
      <c r="BY1758" s="156" t="n"/>
      <c r="BZ1758" s="156" t="n"/>
      <c r="CA1758" s="156" t="n"/>
      <c r="CB1758" s="156" t="n"/>
      <c r="CC1758" s="156" t="n"/>
      <c r="CD1758" s="156" t="n"/>
      <c r="CE1758" s="156" t="n"/>
      <c r="CF1758" s="156" t="n"/>
      <c r="CG1758" s="157"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8" t="inlineStr">
        <is>
          <t>校内外の諸活動</t>
        </is>
      </c>
      <c r="BQ1759" s="149" t="n"/>
      <c r="BR1759" s="149" t="n"/>
      <c r="BS1759" s="149" t="n"/>
      <c r="BT1759" s="149" t="n"/>
      <c r="BU1759" s="149" t="n"/>
      <c r="BV1759" s="150" t="n"/>
      <c r="BW1759" s="179">
        <f>計算!$BO$22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0">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5" t="n"/>
      <c r="F1762" s="156" t="n"/>
      <c r="G1762" s="156" t="n"/>
      <c r="H1762" s="156" t="n"/>
      <c r="I1762" s="156" t="n"/>
      <c r="J1762" s="156" t="n"/>
      <c r="K1762" s="157" t="n"/>
      <c r="L1762" s="155" t="n"/>
      <c r="M1762" s="156" t="n"/>
      <c r="N1762" s="156" t="n"/>
      <c r="O1762" s="156" t="n"/>
      <c r="P1762" s="156" t="n"/>
      <c r="Q1762" s="156" t="n"/>
      <c r="R1762" s="156" t="n"/>
      <c r="S1762" s="156" t="n"/>
      <c r="T1762" s="156" t="n"/>
      <c r="U1762" s="156" t="n"/>
      <c r="V1762" s="156" t="n"/>
      <c r="W1762" s="156" t="n"/>
      <c r="X1762" s="156" t="n"/>
      <c r="Y1762" s="156" t="n"/>
      <c r="Z1762" s="156" t="n"/>
      <c r="AA1762" s="156" t="n"/>
      <c r="AB1762" s="156" t="n"/>
      <c r="AC1762" s="156" t="n"/>
      <c r="AD1762" s="156" t="n"/>
      <c r="AE1762" s="156" t="n"/>
      <c r="AF1762" s="156" t="n"/>
      <c r="AG1762" s="156" t="n"/>
      <c r="AH1762" s="156" t="n"/>
      <c r="AI1762" s="156" t="n"/>
      <c r="AJ1762" s="156" t="n"/>
      <c r="AK1762" s="156" t="n"/>
      <c r="AL1762" s="156" t="n"/>
      <c r="AM1762" s="156" t="n"/>
      <c r="AN1762" s="156" t="n"/>
      <c r="AO1762" s="156" t="n"/>
      <c r="AP1762" s="156" t="n"/>
      <c r="AQ1762" s="156" t="n"/>
      <c r="AR1762" s="156" t="n"/>
      <c r="AS1762" s="156" t="n"/>
      <c r="AT1762" s="156" t="n"/>
      <c r="AU1762" s="156" t="n"/>
      <c r="AV1762" s="156" t="n"/>
      <c r="AW1762" s="156" t="n"/>
      <c r="AX1762" s="156" t="n"/>
      <c r="AY1762" s="156" t="n"/>
      <c r="AZ1762" s="156" t="n"/>
      <c r="BA1762" s="156" t="n"/>
      <c r="BB1762" s="156" t="n"/>
      <c r="BC1762" s="156" t="n"/>
      <c r="BD1762" s="156" t="n"/>
      <c r="BE1762" s="156" t="n"/>
      <c r="BF1762" s="156" t="n"/>
      <c r="BG1762" s="156" t="n"/>
      <c r="BH1762" s="156" t="n"/>
      <c r="BI1762" s="157"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69" t="inlineStr">
        <is>
          <t>ふ り が な</t>
        </is>
      </c>
      <c r="F1763" s="149" t="n"/>
      <c r="G1763" s="149" t="n"/>
      <c r="H1763" s="149" t="n"/>
      <c r="I1763" s="149" t="n"/>
      <c r="J1763" s="149" t="n"/>
      <c r="K1763" s="150" t="n"/>
      <c r="L1763" s="170">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1" t="n"/>
      <c r="F1765" s="172" t="n"/>
      <c r="G1765" s="172" t="n"/>
      <c r="H1765" s="172" t="n"/>
      <c r="I1765" s="172" t="n"/>
      <c r="J1765" s="172" t="n"/>
      <c r="K1765" s="173" t="n"/>
      <c r="L1765" s="172" t="n"/>
      <c r="M1765" s="172" t="n"/>
      <c r="N1765" s="172" t="n"/>
      <c r="O1765" s="172" t="n"/>
      <c r="P1765" s="172" t="n"/>
      <c r="Q1765" s="172" t="n"/>
      <c r="R1765" s="172" t="n"/>
      <c r="S1765" s="172" t="n"/>
      <c r="T1765" s="172" t="n"/>
      <c r="U1765" s="172" t="n"/>
      <c r="V1765" s="172" t="n"/>
      <c r="W1765" s="172" t="n"/>
      <c r="X1765" s="172" t="n"/>
      <c r="Y1765" s="172" t="n"/>
      <c r="Z1765" s="172" t="n"/>
      <c r="AA1765" s="172" t="n"/>
      <c r="AB1765" s="172" t="n"/>
      <c r="AC1765" s="172" t="n"/>
      <c r="AD1765" s="172" t="n"/>
      <c r="AE1765" s="172" t="n"/>
      <c r="AF1765" s="172" t="n"/>
      <c r="AG1765" s="172" t="n"/>
      <c r="AH1765" s="172" t="n"/>
      <c r="AI1765" s="172" t="n"/>
      <c r="AJ1765" s="172" t="n"/>
      <c r="AK1765" s="172" t="n"/>
      <c r="AL1765" s="172" t="n"/>
      <c r="AM1765" s="172" t="n"/>
      <c r="AN1765" s="172" t="n"/>
      <c r="AO1765" s="172" t="n"/>
      <c r="AP1765" s="172" t="n"/>
      <c r="AQ1765" s="172" t="n"/>
      <c r="AR1765" s="172" t="n"/>
      <c r="AS1765" s="172" t="n"/>
      <c r="AT1765" s="172" t="n"/>
      <c r="AU1765" s="172" t="n"/>
      <c r="AV1765" s="172" t="n"/>
      <c r="AW1765" s="172" t="n"/>
      <c r="AX1765" s="172" t="n"/>
      <c r="AY1765" s="172" t="n"/>
      <c r="AZ1765" s="172" t="n"/>
      <c r="BA1765" s="172" t="n"/>
      <c r="BB1765" s="172" t="n"/>
      <c r="BC1765" s="172" t="n"/>
      <c r="BD1765" s="172" t="n"/>
      <c r="BE1765" s="172" t="n"/>
      <c r="BF1765" s="172" t="n"/>
      <c r="BG1765" s="172" t="n"/>
      <c r="BH1765" s="172" t="n"/>
      <c r="BI1765" s="173"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4" t="inlineStr">
        <is>
          <t>連絡先</t>
        </is>
      </c>
      <c r="F1766" s="175" t="n"/>
      <c r="G1766" s="175" t="n"/>
      <c r="H1766" s="175" t="n"/>
      <c r="I1766" s="175" t="n"/>
      <c r="J1766" s="175" t="n"/>
      <c r="K1766" s="176" t="n"/>
      <c r="L1766" s="83" t="inlineStr">
        <is>
          <t>〒</t>
        </is>
      </c>
      <c r="M1766" s="175" t="n"/>
      <c r="N1766" s="175" t="n"/>
      <c r="O1766" s="175" t="n"/>
      <c r="P1766" s="181">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2">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5" t="n"/>
      <c r="F1770" s="156" t="n"/>
      <c r="G1770" s="156" t="n"/>
      <c r="H1770" s="156" t="n"/>
      <c r="I1770" s="156" t="n"/>
      <c r="J1770" s="156" t="n"/>
      <c r="K1770" s="157" t="n"/>
      <c r="L1770" s="156" t="n"/>
      <c r="M1770" s="156" t="n"/>
      <c r="N1770" s="156" t="n"/>
      <c r="O1770" s="156" t="n"/>
      <c r="P1770" s="156" t="n"/>
      <c r="Q1770" s="156" t="n"/>
      <c r="R1770" s="156" t="n"/>
      <c r="S1770" s="156" t="n"/>
      <c r="T1770" s="156" t="n"/>
      <c r="U1770" s="156" t="n"/>
      <c r="V1770" s="156" t="n"/>
      <c r="W1770" s="156" t="n"/>
      <c r="X1770" s="156" t="n"/>
      <c r="Y1770" s="156" t="n"/>
      <c r="Z1770" s="156" t="n"/>
      <c r="AA1770" s="156" t="n"/>
      <c r="AB1770" s="156" t="n"/>
      <c r="AC1770" s="156" t="n"/>
      <c r="AD1770" s="156" t="n"/>
      <c r="AE1770" s="156" t="n"/>
      <c r="AF1770" s="156" t="n"/>
      <c r="AG1770" s="156" t="n"/>
      <c r="AH1770" s="156" t="n"/>
      <c r="AI1770" s="156" t="n"/>
      <c r="AJ1770" s="156" t="n"/>
      <c r="AK1770" s="156" t="n"/>
      <c r="AL1770" s="156" t="n"/>
      <c r="AM1770" s="156" t="n"/>
      <c r="AN1770" s="156" t="n"/>
      <c r="AO1770" s="156" t="n"/>
      <c r="AP1770" s="156" t="n"/>
      <c r="AQ1770" s="156" t="n"/>
      <c r="AR1770" s="156" t="n"/>
      <c r="AS1770" s="156" t="n"/>
      <c r="AT1770" s="156" t="n"/>
      <c r="AU1770" s="156" t="n"/>
      <c r="AV1770" s="156" t="n"/>
      <c r="AW1770" s="156" t="n"/>
      <c r="AX1770" s="156" t="n"/>
      <c r="AY1770" s="156" t="n"/>
      <c r="AZ1770" s="156" t="n"/>
      <c r="BA1770" s="156" t="n"/>
      <c r="BB1770" s="156" t="n"/>
      <c r="BC1770" s="156" t="n"/>
      <c r="BD1770" s="156" t="n"/>
      <c r="BE1770" s="156" t="n"/>
      <c r="BF1770" s="156" t="n"/>
      <c r="BG1770" s="156" t="n"/>
      <c r="BH1770" s="156" t="n"/>
      <c r="BI1770" s="157"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86"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3" t="n"/>
      <c r="BQ1776" s="149" t="n"/>
      <c r="BR1776" s="184" t="n"/>
      <c r="BS1776" s="149" t="n"/>
      <c r="BT1776" s="149" t="n"/>
      <c r="BU1776" s="28" t="n"/>
      <c r="BV1776" s="29" t="n"/>
      <c r="BW1776" s="185">
        <f>計算!$BP$22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115"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6"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107"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7">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188">
        <f>IF(入力!$D$24="","",設定!$B$6)&amp;""</f>
        <v/>
      </c>
      <c r="S1784" s="11" t="n"/>
      <c r="T1784" s="11" t="n"/>
      <c r="U1784" s="188">
        <f>IF(入力!$D$24="","",設定!$B$7)&amp;""</f>
        <v/>
      </c>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110" t="inlineStr">
        <is>
          <t>令和</t>
        </is>
      </c>
      <c r="S1785" s="61" t="inlineStr">
        <is>
          <t>年</t>
        </is>
      </c>
      <c r="W1785" s="62"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90"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5" t="n"/>
      <c r="F1789" s="156" t="n"/>
      <c r="G1789" s="156" t="n"/>
      <c r="H1789" s="156" t="n"/>
      <c r="I1789" s="156" t="n"/>
      <c r="J1789" s="156" t="n"/>
      <c r="K1789" s="157"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6" t="n"/>
      <c r="AX1789" s="156" t="n"/>
      <c r="AY1789" s="156" t="n"/>
      <c r="AZ1789" s="156" t="n"/>
      <c r="BA1789" s="156" t="n"/>
      <c r="BB1789" s="156" t="n"/>
      <c r="BC1789" s="156" t="n"/>
      <c r="BD1789" s="156" t="n"/>
      <c r="BE1789" s="156" t="n"/>
      <c r="BF1789" s="156" t="n"/>
      <c r="BG1789" s="156" t="n"/>
      <c r="BH1789" s="156" t="n"/>
      <c r="BI1789" s="157"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58" t="n"/>
      <c r="T1790" s="149" t="n"/>
      <c r="U1790" s="17" t="n"/>
      <c r="V1790" s="17" t="n"/>
      <c r="W1790" s="58"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89" t="inlineStr">
        <is>
          <t>職　歴</t>
        </is>
      </c>
      <c r="K1793" s="153" t="n"/>
      <c r="L1793" s="69" t="inlineStr">
        <is>
          <t>平成</t>
        </is>
      </c>
      <c r="M1793" s="149" t="n"/>
      <c r="N1793" s="149" t="n"/>
      <c r="O1793" s="149" t="n"/>
      <c r="P1793" s="19" t="n"/>
      <c r="Q1793" s="19" t="n"/>
      <c r="R1793" s="19" t="n"/>
      <c r="S1793" s="19" t="n"/>
      <c r="T1793" s="19" t="n"/>
      <c r="U1793" s="19" t="n"/>
      <c r="V1793" s="19" t="n"/>
      <c r="W1793" s="19" t="n"/>
      <c r="X1793" s="37" t="n"/>
      <c r="Y1793" s="180">
        <f>計算!$BT$22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8">
        <f>計算!$BR$22</f>
        <v/>
      </c>
      <c r="S1795" s="61" t="inlineStr">
        <is>
          <t>年</t>
        </is>
      </c>
      <c r="U1795" s="190">
        <f>計算!$BS$22</f>
        <v/>
      </c>
      <c r="W1795" s="62"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74"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5" t="n"/>
      <c r="M1798" s="156" t="n"/>
      <c r="N1798" s="156" t="n"/>
      <c r="O1798" s="156" t="n"/>
      <c r="P1798" s="20" t="n"/>
      <c r="Q1798" s="20" t="n"/>
      <c r="R1798" s="20" t="n"/>
      <c r="S1798" s="20" t="n"/>
      <c r="T1798" s="20" t="n"/>
      <c r="U1798" s="20" t="n"/>
      <c r="V1798" s="20" t="n"/>
      <c r="W1798" s="20" t="n"/>
      <c r="X1798" s="39" t="n"/>
      <c r="Y1798" s="155" t="n"/>
      <c r="Z1798" s="156" t="n"/>
      <c r="AA1798" s="156" t="n"/>
      <c r="AB1798" s="156" t="n"/>
      <c r="AC1798" s="156" t="n"/>
      <c r="AD1798" s="156" t="n"/>
      <c r="AE1798" s="156" t="n"/>
      <c r="AF1798" s="156" t="n"/>
      <c r="AG1798" s="156" t="n"/>
      <c r="AH1798" s="156" t="n"/>
      <c r="AI1798" s="156" t="n"/>
      <c r="AJ1798" s="156" t="n"/>
      <c r="AK1798" s="156" t="n"/>
      <c r="AL1798" s="156" t="n"/>
      <c r="AM1798" s="156" t="n"/>
      <c r="AN1798" s="156" t="n"/>
      <c r="AO1798" s="156" t="n"/>
      <c r="AP1798" s="156" t="n"/>
      <c r="AQ1798" s="156" t="n"/>
      <c r="AR1798" s="156" t="n"/>
      <c r="AS1798" s="156" t="n"/>
      <c r="AT1798" s="156" t="n"/>
      <c r="AU1798" s="156" t="n"/>
      <c r="AV1798" s="156" t="n"/>
      <c r="AW1798" s="156" t="n"/>
      <c r="AX1798" s="156" t="n"/>
      <c r="AY1798" s="156" t="n"/>
      <c r="AZ1798" s="156" t="n"/>
      <c r="BA1798" s="156" t="n"/>
      <c r="BB1798" s="156" t="n"/>
      <c r="BC1798" s="156" t="n"/>
      <c r="BD1798" s="156" t="n"/>
      <c r="BE1798" s="156" t="n"/>
      <c r="BF1798" s="156" t="n"/>
      <c r="BG1798" s="156" t="n"/>
      <c r="BH1798" s="156" t="n"/>
      <c r="BI1798" s="157"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69" t="inlineStr">
        <is>
          <t>平成</t>
        </is>
      </c>
      <c r="M1799" s="149" t="n"/>
      <c r="N1799" s="149" t="n"/>
      <c r="O1799" s="149" t="n"/>
      <c r="P1799" s="18" t="n"/>
      <c r="Q1799" s="18" t="n"/>
      <c r="R1799" s="18" t="n"/>
      <c r="S1799" s="18" t="n"/>
      <c r="T1799" s="18" t="n"/>
      <c r="U1799" s="18" t="n"/>
      <c r="V1799" s="18" t="n"/>
      <c r="W1799" s="18" t="n"/>
      <c r="X1799" s="35" t="n"/>
      <c r="Y1799" s="180">
        <f>計算!$BW$22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8">
        <f>計算!$BU$22</f>
        <v/>
      </c>
      <c r="S1801" s="61" t="inlineStr">
        <is>
          <t>年</t>
        </is>
      </c>
      <c r="U1801" s="190">
        <f>計算!$BV$22</f>
        <v/>
      </c>
      <c r="W1801" s="62"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74"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5" t="n"/>
      <c r="M1804" s="156" t="n"/>
      <c r="N1804" s="156" t="n"/>
      <c r="O1804" s="156" t="n"/>
      <c r="P1804" s="20" t="n"/>
      <c r="Q1804" s="20" t="n"/>
      <c r="R1804" s="20" t="n"/>
      <c r="S1804" s="20" t="n"/>
      <c r="T1804" s="20" t="n"/>
      <c r="U1804" s="20" t="n"/>
      <c r="V1804" s="20" t="n"/>
      <c r="W1804" s="20" t="n"/>
      <c r="X1804" s="39" t="n"/>
      <c r="Y1804" s="155" t="n"/>
      <c r="Z1804" s="156" t="n"/>
      <c r="AA1804" s="156" t="n"/>
      <c r="AB1804" s="156" t="n"/>
      <c r="AC1804" s="156" t="n"/>
      <c r="AD1804" s="156" t="n"/>
      <c r="AE1804" s="156" t="n"/>
      <c r="AF1804" s="156" t="n"/>
      <c r="AG1804" s="156" t="n"/>
      <c r="AH1804" s="156" t="n"/>
      <c r="AI1804" s="156" t="n"/>
      <c r="AJ1804" s="156" t="n"/>
      <c r="AK1804" s="156" t="n"/>
      <c r="AL1804" s="156" t="n"/>
      <c r="AM1804" s="156" t="n"/>
      <c r="AN1804" s="156" t="n"/>
      <c r="AO1804" s="156" t="n"/>
      <c r="AP1804" s="156" t="n"/>
      <c r="AQ1804" s="156" t="n"/>
      <c r="AR1804" s="156" t="n"/>
      <c r="AS1804" s="156" t="n"/>
      <c r="AT1804" s="156" t="n"/>
      <c r="AU1804" s="156" t="n"/>
      <c r="AV1804" s="156" t="n"/>
      <c r="AW1804" s="156" t="n"/>
      <c r="AX1804" s="156" t="n"/>
      <c r="AY1804" s="156" t="n"/>
      <c r="AZ1804" s="156" t="n"/>
      <c r="BA1804" s="156" t="n"/>
      <c r="BB1804" s="156" t="n"/>
      <c r="BC1804" s="156" t="n"/>
      <c r="BD1804" s="156" t="n"/>
      <c r="BE1804" s="156" t="n"/>
      <c r="BF1804" s="156" t="n"/>
      <c r="BG1804" s="156" t="n"/>
      <c r="BH1804" s="156" t="n"/>
      <c r="BI1804" s="157" t="n"/>
      <c r="BJ1804" s="2" t="n"/>
      <c r="BK1804" s="2" t="n"/>
      <c r="BL1804" s="2" t="n"/>
      <c r="BM1804" s="2" t="n"/>
      <c r="BN1804" s="2" t="n"/>
      <c r="BO1804" s="2" t="n"/>
      <c r="BP1804" s="155" t="n"/>
      <c r="BQ1804" s="156" t="n"/>
      <c r="BR1804" s="156" t="n"/>
      <c r="BS1804" s="156" t="n"/>
      <c r="BT1804" s="156" t="n"/>
      <c r="BU1804" s="42" t="n"/>
      <c r="BV1804" s="45" t="n"/>
      <c r="BW1804" s="156" t="n"/>
      <c r="BX1804" s="156" t="n"/>
      <c r="BY1804" s="156" t="n"/>
      <c r="BZ1804" s="156" t="n"/>
      <c r="CA1804" s="156" t="n"/>
      <c r="CB1804" s="156" t="n"/>
      <c r="CC1804" s="156" t="n"/>
      <c r="CD1804" s="156" t="n"/>
      <c r="CE1804" s="156" t="n"/>
      <c r="CF1804" s="156" t="n"/>
      <c r="CG1804" s="156" t="n"/>
      <c r="CH1804" s="156" t="n"/>
      <c r="CI1804" s="156" t="n"/>
      <c r="CJ1804" s="156" t="n"/>
      <c r="CK1804" s="156" t="n"/>
      <c r="CL1804" s="156" t="n"/>
      <c r="CM1804" s="156" t="n"/>
      <c r="CN1804" s="156" t="n"/>
      <c r="CO1804" s="156" t="n"/>
      <c r="CP1804" s="156" t="n"/>
      <c r="CQ1804" s="156" t="n"/>
      <c r="CR1804" s="156" t="n"/>
      <c r="CS1804" s="156" t="n"/>
      <c r="CT1804" s="156" t="n"/>
      <c r="CU1804" s="156" t="n"/>
      <c r="CV1804" s="156" t="n"/>
      <c r="CW1804" s="156" t="n"/>
      <c r="CX1804" s="156" t="n"/>
      <c r="CY1804" s="156" t="n"/>
      <c r="CZ1804" s="156" t="n"/>
      <c r="DA1804" s="156" t="n"/>
      <c r="DB1804" s="156" t="n"/>
      <c r="DC1804" s="156" t="n"/>
      <c r="DD1804" s="156" t="n"/>
      <c r="DE1804" s="156" t="n"/>
      <c r="DF1804" s="156" t="n"/>
      <c r="DG1804" s="156" t="n"/>
      <c r="DH1804" s="156" t="n"/>
      <c r="DI1804" s="156" t="n"/>
      <c r="DJ1804" s="156" t="n"/>
      <c r="DK1804" s="156" t="n"/>
      <c r="DL1804" s="156" t="n"/>
      <c r="DM1804" s="156" t="n"/>
      <c r="DN1804" s="156" t="n"/>
      <c r="DO1804" s="156" t="n"/>
      <c r="DP1804" s="156" t="n"/>
      <c r="DQ1804" s="156" t="n"/>
      <c r="DR1804" s="156" t="n"/>
      <c r="DS1804" s="156" t="n"/>
      <c r="DT1804" s="156" t="n"/>
      <c r="DU1804" s="157" t="n"/>
      <c r="DV1804" s="2" t="n"/>
      <c r="DW1804" s="2" t="n"/>
      <c r="DX1804" s="2" t="n"/>
      <c r="DY1804" s="2" t="n"/>
      <c r="DZ1804" s="2" t="n"/>
      <c r="EA1804" s="2" t="n"/>
      <c r="EB1804" s="2" t="n"/>
      <c r="EC1804" s="2" t="n"/>
    </row>
    <row r="1805" ht="6.75" customHeight="1" s="118">
      <c r="A1805" s="2" t="n"/>
      <c r="B1805" s="2" t="n"/>
      <c r="C1805" s="2" t="n"/>
      <c r="D1805" s="2" t="n"/>
      <c r="E1805" s="152" t="n"/>
      <c r="K1805" s="153" t="n"/>
      <c r="L1805" s="69"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5">
        <f>計算!$BQ$22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61" t="inlineStr">
        <is>
          <t>年</t>
        </is>
      </c>
      <c r="U1807" s="11" t="n"/>
      <c r="V1807" s="11" t="n"/>
      <c r="W1807" s="62"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74"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5" t="n"/>
      <c r="M1810" s="156" t="n"/>
      <c r="N1810" s="156" t="n"/>
      <c r="O1810" s="156"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69"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61" t="inlineStr">
        <is>
          <t>年</t>
        </is>
      </c>
      <c r="U1813" s="11" t="n"/>
      <c r="V1813" s="11" t="n"/>
      <c r="W1813" s="62"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74"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61" t="n"/>
      <c r="T1815" s="61" t="n"/>
      <c r="U1815" s="11" t="n"/>
      <c r="V1815" s="11" t="n"/>
      <c r="W1815" s="61" t="n"/>
      <c r="X1815" s="62"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5" t="n"/>
      <c r="F1816" s="156" t="n"/>
      <c r="G1816" s="156" t="n"/>
      <c r="H1816" s="156" t="n"/>
      <c r="I1816" s="156" t="n"/>
      <c r="J1816" s="156" t="n"/>
      <c r="K1816" s="157" t="n"/>
      <c r="L1816" s="155" t="n"/>
      <c r="M1816" s="156" t="n"/>
      <c r="N1816" s="156" t="n"/>
      <c r="O1816" s="156"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5" t="n"/>
      <c r="BQ1816" s="156" t="n"/>
      <c r="BR1816" s="156" t="n"/>
      <c r="BS1816" s="156" t="n"/>
      <c r="BT1816" s="156" t="n"/>
      <c r="BU1816" s="156" t="n"/>
      <c r="BV1816" s="157" t="n"/>
      <c r="BW1816" s="156" t="n"/>
      <c r="BX1816" s="156" t="n"/>
      <c r="BY1816" s="156" t="n"/>
      <c r="BZ1816" s="156" t="n"/>
      <c r="CA1816" s="156" t="n"/>
      <c r="CB1816" s="156" t="n"/>
      <c r="CC1816" s="156" t="n"/>
      <c r="CD1816" s="156" t="n"/>
      <c r="CE1816" s="156" t="n"/>
      <c r="CF1816" s="156" t="n"/>
      <c r="CG1816" s="156" t="n"/>
      <c r="CH1816" s="156" t="n"/>
      <c r="CI1816" s="156" t="n"/>
      <c r="CJ1816" s="156" t="n"/>
      <c r="CK1816" s="156" t="n"/>
      <c r="CL1816" s="156" t="n"/>
      <c r="CM1816" s="156" t="n"/>
      <c r="CN1816" s="156" t="n"/>
      <c r="CO1816" s="156" t="n"/>
      <c r="CP1816" s="156" t="n"/>
      <c r="CQ1816" s="156" t="n"/>
      <c r="CR1816" s="156" t="n"/>
      <c r="CS1816" s="156" t="n"/>
      <c r="CT1816" s="156" t="n"/>
      <c r="CU1816" s="156" t="n"/>
      <c r="CV1816" s="156" t="n"/>
      <c r="CW1816" s="156" t="n"/>
      <c r="CX1816" s="156" t="n"/>
      <c r="CY1816" s="156" t="n"/>
      <c r="CZ1816" s="156" t="n"/>
      <c r="DA1816" s="156" t="n"/>
      <c r="DB1816" s="156" t="n"/>
      <c r="DC1816" s="156" t="n"/>
      <c r="DD1816" s="156" t="n"/>
      <c r="DE1816" s="156" t="n"/>
      <c r="DF1816" s="156" t="n"/>
      <c r="DG1816" s="156" t="n"/>
      <c r="DH1816" s="156" t="n"/>
      <c r="DI1816" s="156" t="n"/>
      <c r="DJ1816" s="156" t="n"/>
      <c r="DK1816" s="156" t="n"/>
      <c r="DL1816" s="156" t="n"/>
      <c r="DM1816" s="156" t="n"/>
      <c r="DN1816" s="156" t="n"/>
      <c r="DO1816" s="156" t="n"/>
      <c r="DP1816" s="156" t="n"/>
      <c r="DQ1816" s="156" t="n"/>
      <c r="DR1816" s="156" t="n"/>
      <c r="DS1816" s="156" t="n"/>
      <c r="DT1816" s="156" t="n"/>
      <c r="DU1816" s="157"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87" t="inlineStr">
        <is>
          <t xml:space="preserve">    (近畿高等学校統一用紙　  その２ 　  令和７年度改定)　</t>
        </is>
      </c>
      <c r="DV1818" s="2" t="n"/>
      <c r="DW1818" s="2" t="n"/>
      <c r="DX1818" s="2" t="n"/>
      <c r="DY1818" s="2" t="n"/>
      <c r="DZ1818" s="2" t="n"/>
      <c r="EA1818" s="2" t="n"/>
      <c r="EB1818" s="2" t="n"/>
      <c r="EC1818" s="2" t="n"/>
    </row>
    <row r="1819" hidden="1"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idden="1"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47"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64" t="inlineStr">
        <is>
          <t>令和</t>
        </is>
      </c>
      <c r="AD1828" s="154">
        <f>IF(入力!$D$25="","",IF(N(設定!$B$3)=0,"",YEAR(設定!$B$3)-2018))&amp;""</f>
        <v/>
      </c>
      <c r="AG1828" s="64" t="inlineStr">
        <is>
          <t>年</t>
        </is>
      </c>
      <c r="AI1828" s="154">
        <f>IF(入力!$D$25="","",IF(N(設定!$B$3)=0,"",MONTH(設定!$B$3)))&amp;""</f>
        <v/>
      </c>
      <c r="AL1828" s="64" t="inlineStr">
        <is>
          <t>月</t>
        </is>
      </c>
      <c r="AN1828" s="154">
        <f>IF(入力!$D$25="","",IF(N(設定!$B$3)=0,"",DAY(設定!$B$3)))&amp;""</f>
        <v/>
      </c>
      <c r="AP1828" s="64"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5" t="n"/>
      <c r="BX1828" s="156" t="n"/>
      <c r="BY1828" s="156" t="n"/>
      <c r="BZ1828" s="156" t="n"/>
      <c r="CA1828" s="156" t="n"/>
      <c r="CB1828" s="156" t="n"/>
      <c r="CC1828" s="156" t="n"/>
      <c r="CD1828" s="156" t="n"/>
      <c r="CE1828" s="156" t="n"/>
      <c r="CF1828" s="156" t="n"/>
      <c r="CG1828" s="157" t="n"/>
      <c r="CH1828" s="155" t="n"/>
      <c r="CI1828" s="156" t="n"/>
      <c r="CJ1828" s="156" t="n"/>
      <c r="CK1828" s="156" t="n"/>
      <c r="CL1828" s="156" t="n"/>
      <c r="CM1828" s="156" t="n"/>
      <c r="CN1828" s="156" t="n"/>
      <c r="CO1828" s="156" t="n"/>
      <c r="CP1828" s="156" t="n"/>
      <c r="CQ1828" s="156" t="n"/>
      <c r="CR1828" s="156" t="n"/>
      <c r="CS1828" s="156" t="n"/>
      <c r="CT1828" s="156" t="n"/>
      <c r="CU1828" s="156" t="n"/>
      <c r="CV1828" s="156" t="n"/>
      <c r="CW1828" s="156" t="n"/>
      <c r="CX1828" s="156" t="n"/>
      <c r="CY1828" s="156" t="n"/>
      <c r="CZ1828" s="156" t="n"/>
      <c r="DA1828" s="156" t="n"/>
      <c r="DB1828" s="156" t="n"/>
      <c r="DC1828" s="156" t="n"/>
      <c r="DD1828" s="156" t="n"/>
      <c r="DE1828" s="156" t="n"/>
      <c r="DF1828" s="156" t="n"/>
      <c r="DG1828" s="156" t="n"/>
      <c r="DH1828" s="156" t="n"/>
      <c r="DI1828" s="156" t="n"/>
      <c r="DJ1828" s="156" t="n"/>
      <c r="DK1828" s="156" t="n"/>
      <c r="DL1828" s="156" t="n"/>
      <c r="DM1828" s="156" t="n"/>
      <c r="DN1828" s="156" t="n"/>
      <c r="DO1828" s="156" t="n"/>
      <c r="DP1828" s="156" t="n"/>
      <c r="DQ1828" s="156" t="n"/>
      <c r="DR1828" s="156" t="n"/>
      <c r="DS1828" s="156" t="n"/>
      <c r="DT1828" s="156" t="n"/>
      <c r="DU1828" s="157"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68" t="inlineStr">
        <is>
          <t>写真をはる位置</t>
        </is>
      </c>
      <c r="BI1829" s="8" t="n"/>
      <c r="BJ1829" s="7" t="n"/>
      <c r="BK1829" s="2" t="n"/>
      <c r="BL1829" s="2" t="n"/>
      <c r="BM1829" s="2" t="n"/>
      <c r="BN1829" s="2" t="n"/>
      <c r="BO1829" s="2" t="n"/>
      <c r="BP1829" s="152" t="n"/>
      <c r="BV1829" s="153" t="n"/>
      <c r="BW1829" s="158">
        <f>計算!$CB$23</f>
        <v/>
      </c>
      <c r="CG1829" s="153" t="n"/>
      <c r="CH1829" s="159">
        <f>計算!$CC$23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6" t="n"/>
      <c r="AA1830" s="156" t="n"/>
      <c r="AB1830" s="156" t="n"/>
      <c r="AC1830" s="156" t="n"/>
      <c r="AD1830" s="156" t="n"/>
      <c r="AE1830" s="156" t="n"/>
      <c r="AF1830" s="156" t="n"/>
      <c r="AG1830" s="156" t="n"/>
      <c r="AH1830" s="156" t="n"/>
      <c r="AI1830" s="156" t="n"/>
      <c r="AJ1830" s="156" t="n"/>
      <c r="AK1830" s="156" t="n"/>
      <c r="AL1830" s="156" t="n"/>
      <c r="AM1830" s="156" t="n"/>
      <c r="AN1830" s="156" t="n"/>
      <c r="AO1830" s="156" t="n"/>
      <c r="AP1830" s="156" t="n"/>
      <c r="AQ1830" s="156" t="n"/>
      <c r="AR1830" s="156" t="n"/>
      <c r="AS1830" s="156" t="n"/>
      <c r="AT1830" s="156"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0">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5" t="n"/>
      <c r="F1834" s="156" t="n"/>
      <c r="G1834" s="156" t="n"/>
      <c r="H1834" s="156" t="n"/>
      <c r="I1834" s="156" t="n"/>
      <c r="J1834" s="156" t="n"/>
      <c r="K1834" s="157" t="n"/>
      <c r="L1834" s="156" t="n"/>
      <c r="M1834" s="156" t="n"/>
      <c r="N1834" s="156" t="n"/>
      <c r="O1834" s="156" t="n"/>
      <c r="P1834" s="156" t="n"/>
      <c r="Q1834" s="156" t="n"/>
      <c r="R1834" s="156" t="n"/>
      <c r="S1834" s="156" t="n"/>
      <c r="T1834" s="156" t="n"/>
      <c r="U1834" s="156" t="n"/>
      <c r="V1834" s="156" t="n"/>
      <c r="W1834" s="156" t="n"/>
      <c r="X1834" s="156" t="n"/>
      <c r="Y1834" s="156" t="n"/>
      <c r="Z1834" s="156" t="n"/>
      <c r="AA1834" s="156" t="n"/>
      <c r="AB1834" s="156" t="n"/>
      <c r="AC1834" s="156" t="n"/>
      <c r="AD1834" s="156" t="n"/>
      <c r="AE1834" s="156" t="n"/>
      <c r="AF1834" s="156" t="n"/>
      <c r="AG1834" s="156" t="n"/>
      <c r="AH1834" s="156" t="n"/>
      <c r="AI1834" s="156" t="n"/>
      <c r="AJ1834" s="156" t="n"/>
      <c r="AK1834" s="156" t="n"/>
      <c r="AL1834" s="156" t="n"/>
      <c r="AM1834" s="156" t="n"/>
      <c r="AN1834" s="156" t="n"/>
      <c r="AO1834" s="156" t="n"/>
      <c r="AP1834" s="156" t="n"/>
      <c r="AQ1834" s="156" t="n"/>
      <c r="AR1834" s="156" t="n"/>
      <c r="AS1834" s="156" t="n"/>
      <c r="AT1834" s="157"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1" t="inlineStr">
        <is>
          <t>名　前</t>
        </is>
      </c>
      <c r="F1835" s="149" t="n"/>
      <c r="G1835" s="149" t="n"/>
      <c r="H1835" s="149" t="n"/>
      <c r="I1835" s="149" t="n"/>
      <c r="J1835" s="149" t="n"/>
      <c r="K1835" s="150" t="n"/>
      <c r="L1835" s="162">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61"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5" t="n"/>
      <c r="F1840" s="156" t="n"/>
      <c r="G1840" s="156" t="n"/>
      <c r="H1840" s="156" t="n"/>
      <c r="I1840" s="156" t="n"/>
      <c r="J1840" s="156" t="n"/>
      <c r="K1840" s="157" t="n"/>
      <c r="L1840" s="155" t="n"/>
      <c r="M1840" s="156" t="n"/>
      <c r="N1840" s="156" t="n"/>
      <c r="O1840" s="156" t="n"/>
      <c r="P1840" s="156" t="n"/>
      <c r="Q1840" s="156" t="n"/>
      <c r="R1840" s="156" t="n"/>
      <c r="S1840" s="156" t="n"/>
      <c r="T1840" s="156" t="n"/>
      <c r="U1840" s="156" t="n"/>
      <c r="V1840" s="156" t="n"/>
      <c r="W1840" s="156" t="n"/>
      <c r="X1840" s="156" t="n"/>
      <c r="Y1840" s="156" t="n"/>
      <c r="Z1840" s="156" t="n"/>
      <c r="AA1840" s="156" t="n"/>
      <c r="AB1840" s="156" t="n"/>
      <c r="AC1840" s="156" t="n"/>
      <c r="AD1840" s="156" t="n"/>
      <c r="AE1840" s="156" t="n"/>
      <c r="AF1840" s="156" t="n"/>
      <c r="AG1840" s="156" t="n"/>
      <c r="AH1840" s="156" t="n"/>
      <c r="AI1840" s="156" t="n"/>
      <c r="AJ1840" s="156" t="n"/>
      <c r="AK1840" s="156" t="n"/>
      <c r="AL1840" s="156" t="n"/>
      <c r="AM1840" s="156" t="n"/>
      <c r="AN1840" s="156" t="n"/>
      <c r="AO1840" s="156" t="n"/>
      <c r="AP1840" s="156" t="n"/>
      <c r="AQ1840" s="156" t="n"/>
      <c r="AR1840" s="156" t="n"/>
      <c r="AS1840" s="156" t="n"/>
      <c r="AT1840" s="157"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1" t="inlineStr">
        <is>
          <t>生年月日</t>
        </is>
      </c>
      <c r="F1841" s="149" t="n"/>
      <c r="G1841" s="149" t="n"/>
      <c r="H1841" s="149" t="n"/>
      <c r="I1841" s="149" t="n"/>
      <c r="J1841" s="149" t="n"/>
      <c r="K1841" s="150" t="n"/>
      <c r="L1841" s="163" t="inlineStr">
        <is>
          <t>昭和 ・ 平成</t>
        </is>
      </c>
      <c r="M1841" s="149" t="n"/>
      <c r="N1841" s="149" t="n"/>
      <c r="O1841" s="149" t="n"/>
      <c r="P1841" s="149" t="n"/>
      <c r="Q1841" s="149" t="n"/>
      <c r="R1841" s="149" t="n"/>
      <c r="S1841" s="149" t="n"/>
      <c r="T1841" s="149" t="n"/>
      <c r="U1841" s="149" t="n"/>
      <c r="V1841" s="164">
        <f>計算!$D$23</f>
        <v/>
      </c>
      <c r="W1841" s="149" t="n"/>
      <c r="X1841" s="165" t="inlineStr">
        <is>
          <t>年</t>
        </is>
      </c>
      <c r="Y1841" s="149" t="n"/>
      <c r="Z1841" s="166">
        <f>計算!$E$23</f>
        <v/>
      </c>
      <c r="AA1841" s="149" t="n"/>
      <c r="AB1841" s="149" t="n"/>
      <c r="AC1841" s="165" t="inlineStr">
        <is>
          <t>月</t>
        </is>
      </c>
      <c r="AD1841" s="149" t="n"/>
      <c r="AE1841" s="166">
        <f>計算!$F$23</f>
        <v/>
      </c>
      <c r="AF1841" s="149" t="n"/>
      <c r="AG1841" s="149" t="n"/>
      <c r="AH1841" s="165" t="inlineStr">
        <is>
          <t>日　生 （満</t>
        </is>
      </c>
      <c r="AI1841" s="149" t="n"/>
      <c r="AJ1841" s="149" t="n"/>
      <c r="AK1841" s="149" t="n"/>
      <c r="AL1841" s="149" t="n"/>
      <c r="AM1841" s="149" t="n"/>
      <c r="AN1841" s="149" t="n"/>
      <c r="AO1841" s="149" t="n"/>
      <c r="AP1841" s="167">
        <f>計算!$G$23</f>
        <v/>
      </c>
      <c r="AQ1841" s="149" t="n"/>
      <c r="AR1841" s="168"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5" t="n"/>
      <c r="F1844" s="156" t="n"/>
      <c r="G1844" s="156" t="n"/>
      <c r="H1844" s="156" t="n"/>
      <c r="I1844" s="156" t="n"/>
      <c r="J1844" s="156" t="n"/>
      <c r="K1844" s="157" t="n"/>
      <c r="L1844" s="155" t="n"/>
      <c r="M1844" s="156" t="n"/>
      <c r="N1844" s="156" t="n"/>
      <c r="O1844" s="156" t="n"/>
      <c r="P1844" s="156" t="n"/>
      <c r="Q1844" s="156" t="n"/>
      <c r="R1844" s="156" t="n"/>
      <c r="S1844" s="156" t="n"/>
      <c r="T1844" s="156" t="n"/>
      <c r="U1844" s="156" t="n"/>
      <c r="X1844" s="156" t="n"/>
      <c r="Y1844" s="156" t="n"/>
      <c r="AC1844" s="156" t="n"/>
      <c r="AD1844" s="156" t="n"/>
      <c r="AH1844" s="156" t="n"/>
      <c r="AI1844" s="156" t="n"/>
      <c r="AJ1844" s="156" t="n"/>
      <c r="AK1844" s="156" t="n"/>
      <c r="AL1844" s="156" t="n"/>
      <c r="AM1844" s="156" t="n"/>
      <c r="AN1844" s="156" t="n"/>
      <c r="AO1844" s="156" t="n"/>
      <c r="AP1844" s="156" t="n"/>
      <c r="AQ1844" s="156" t="n"/>
      <c r="AR1844" s="156" t="n"/>
      <c r="AS1844" s="156" t="n"/>
      <c r="AT1844" s="157"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69" t="inlineStr">
        <is>
          <t>ふ り が な</t>
        </is>
      </c>
      <c r="F1845" s="149" t="n"/>
      <c r="G1845" s="149" t="n"/>
      <c r="H1845" s="149" t="n"/>
      <c r="I1845" s="149" t="n"/>
      <c r="J1845" s="149" t="n"/>
      <c r="K1845" s="150" t="n"/>
      <c r="L1845" s="170">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1" t="n"/>
      <c r="F1847" s="172" t="n"/>
      <c r="G1847" s="172" t="n"/>
      <c r="H1847" s="172" t="n"/>
      <c r="I1847" s="172" t="n"/>
      <c r="J1847" s="172" t="n"/>
      <c r="K1847" s="173" t="n"/>
      <c r="L1847" s="172" t="n"/>
      <c r="M1847" s="172" t="n"/>
      <c r="N1847" s="172" t="n"/>
      <c r="O1847" s="172" t="n"/>
      <c r="P1847" s="172" t="n"/>
      <c r="Q1847" s="172" t="n"/>
      <c r="R1847" s="172" t="n"/>
      <c r="S1847" s="172" t="n"/>
      <c r="T1847" s="172" t="n"/>
      <c r="U1847" s="172" t="n"/>
      <c r="V1847" s="172" t="n"/>
      <c r="W1847" s="172" t="n"/>
      <c r="X1847" s="172" t="n"/>
      <c r="Y1847" s="172" t="n"/>
      <c r="Z1847" s="172" t="n"/>
      <c r="AA1847" s="172" t="n"/>
      <c r="AB1847" s="172" t="n"/>
      <c r="AC1847" s="172" t="n"/>
      <c r="AD1847" s="172" t="n"/>
      <c r="AE1847" s="172" t="n"/>
      <c r="AF1847" s="172" t="n"/>
      <c r="AG1847" s="172" t="n"/>
      <c r="AH1847" s="172" t="n"/>
      <c r="AI1847" s="172" t="n"/>
      <c r="AJ1847" s="172" t="n"/>
      <c r="AK1847" s="172" t="n"/>
      <c r="AL1847" s="172" t="n"/>
      <c r="AM1847" s="172" t="n"/>
      <c r="AN1847" s="172" t="n"/>
      <c r="AO1847" s="172" t="n"/>
      <c r="AP1847" s="172" t="n"/>
      <c r="AQ1847" s="172" t="n"/>
      <c r="AR1847" s="172" t="n"/>
      <c r="AS1847" s="172" t="n"/>
      <c r="AT1847" s="172" t="n"/>
      <c r="AU1847" s="172" t="n"/>
      <c r="AV1847" s="172" t="n"/>
      <c r="AW1847" s="172" t="n"/>
      <c r="AX1847" s="172" t="n"/>
      <c r="AY1847" s="172" t="n"/>
      <c r="AZ1847" s="172" t="n"/>
      <c r="BA1847" s="172" t="n"/>
      <c r="BB1847" s="172" t="n"/>
      <c r="BC1847" s="172" t="n"/>
      <c r="BD1847" s="172" t="n"/>
      <c r="BE1847" s="172" t="n"/>
      <c r="BF1847" s="172" t="n"/>
      <c r="BG1847" s="172" t="n"/>
      <c r="BH1847" s="172" t="n"/>
      <c r="BI1847" s="173"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4" t="inlineStr">
        <is>
          <t>現住所</t>
        </is>
      </c>
      <c r="F1848" s="175" t="n"/>
      <c r="G1848" s="175" t="n"/>
      <c r="H1848" s="175" t="n"/>
      <c r="I1848" s="175" t="n"/>
      <c r="J1848" s="175" t="n"/>
      <c r="K1848" s="176" t="n"/>
      <c r="L1848" s="83" t="inlineStr">
        <is>
          <t>〒</t>
        </is>
      </c>
      <c r="M1848" s="175" t="n"/>
      <c r="N1848" s="175" t="n"/>
      <c r="O1848" s="175" t="n"/>
      <c r="P1848" s="177">
        <f>計算!$H$23</f>
        <v/>
      </c>
      <c r="Q1848" s="175" t="n"/>
      <c r="R1848" s="175" t="n"/>
      <c r="S1848" s="175" t="n"/>
      <c r="T1848" s="175" t="n"/>
      <c r="U1848" s="175" t="n"/>
      <c r="V1848" s="175" t="n"/>
      <c r="W1848" s="175" t="n"/>
      <c r="X1848" s="175" t="n"/>
      <c r="Y1848" s="175" t="n"/>
      <c r="Z1848" s="175" t="n"/>
      <c r="AA1848" s="175" t="n"/>
      <c r="AB1848" s="175" t="n"/>
      <c r="AC1848" s="175" t="n"/>
      <c r="AD1848" s="175" t="n"/>
      <c r="AE1848" s="175" t="n"/>
      <c r="AF1848" s="175" t="n"/>
      <c r="AG1848" s="175" t="n"/>
      <c r="AH1848" s="175" t="n"/>
      <c r="AI1848" s="175" t="n"/>
      <c r="AJ1848" s="175"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5" t="n"/>
      <c r="BQ1849" s="156" t="n"/>
      <c r="BR1849" s="156" t="n"/>
      <c r="BS1849" s="156" t="n"/>
      <c r="BT1849" s="156" t="n"/>
      <c r="BU1849" s="156" t="n"/>
      <c r="BV1849" s="157" t="n"/>
      <c r="BW1849" s="155" t="n"/>
      <c r="BX1849" s="156" t="n"/>
      <c r="BY1849" s="156" t="n"/>
      <c r="BZ1849" s="156" t="n"/>
      <c r="CA1849" s="156" t="n"/>
      <c r="CB1849" s="156" t="n"/>
      <c r="CC1849" s="156" t="n"/>
      <c r="CD1849" s="156" t="n"/>
      <c r="CE1849" s="156" t="n"/>
      <c r="CF1849" s="156" t="n"/>
      <c r="CG1849" s="157"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8" t="inlineStr">
        <is>
          <t>校内外の諸活動</t>
        </is>
      </c>
      <c r="BQ1850" s="149" t="n"/>
      <c r="BR1850" s="149" t="n"/>
      <c r="BS1850" s="149" t="n"/>
      <c r="BT1850" s="149" t="n"/>
      <c r="BU1850" s="149" t="n"/>
      <c r="BV1850" s="150" t="n"/>
      <c r="BW1850" s="179">
        <f>計算!$BO$23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0">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5" t="n"/>
      <c r="F1853" s="156" t="n"/>
      <c r="G1853" s="156" t="n"/>
      <c r="H1853" s="156" t="n"/>
      <c r="I1853" s="156" t="n"/>
      <c r="J1853" s="156" t="n"/>
      <c r="K1853" s="157" t="n"/>
      <c r="L1853" s="155" t="n"/>
      <c r="M1853" s="156" t="n"/>
      <c r="N1853" s="156" t="n"/>
      <c r="O1853" s="156" t="n"/>
      <c r="P1853" s="156" t="n"/>
      <c r="Q1853" s="156" t="n"/>
      <c r="R1853" s="156" t="n"/>
      <c r="S1853" s="156" t="n"/>
      <c r="T1853" s="156" t="n"/>
      <c r="U1853" s="156" t="n"/>
      <c r="V1853" s="156" t="n"/>
      <c r="W1853" s="156" t="n"/>
      <c r="X1853" s="156" t="n"/>
      <c r="Y1853" s="156" t="n"/>
      <c r="Z1853" s="156" t="n"/>
      <c r="AA1853" s="156" t="n"/>
      <c r="AB1853" s="156" t="n"/>
      <c r="AC1853" s="156" t="n"/>
      <c r="AD1853" s="156" t="n"/>
      <c r="AE1853" s="156" t="n"/>
      <c r="AF1853" s="156" t="n"/>
      <c r="AG1853" s="156" t="n"/>
      <c r="AH1853" s="156" t="n"/>
      <c r="AI1853" s="156" t="n"/>
      <c r="AJ1853" s="156" t="n"/>
      <c r="AK1853" s="156" t="n"/>
      <c r="AL1853" s="156" t="n"/>
      <c r="AM1853" s="156" t="n"/>
      <c r="AN1853" s="156" t="n"/>
      <c r="AO1853" s="156" t="n"/>
      <c r="AP1853" s="156" t="n"/>
      <c r="AQ1853" s="156" t="n"/>
      <c r="AR1853" s="156" t="n"/>
      <c r="AS1853" s="156" t="n"/>
      <c r="AT1853" s="156" t="n"/>
      <c r="AU1853" s="156" t="n"/>
      <c r="AV1853" s="156" t="n"/>
      <c r="AW1853" s="156" t="n"/>
      <c r="AX1853" s="156" t="n"/>
      <c r="AY1853" s="156" t="n"/>
      <c r="AZ1853" s="156" t="n"/>
      <c r="BA1853" s="156" t="n"/>
      <c r="BB1853" s="156" t="n"/>
      <c r="BC1853" s="156" t="n"/>
      <c r="BD1853" s="156" t="n"/>
      <c r="BE1853" s="156" t="n"/>
      <c r="BF1853" s="156" t="n"/>
      <c r="BG1853" s="156" t="n"/>
      <c r="BH1853" s="156" t="n"/>
      <c r="BI1853" s="157"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69" t="inlineStr">
        <is>
          <t>ふ り が な</t>
        </is>
      </c>
      <c r="F1854" s="149" t="n"/>
      <c r="G1854" s="149" t="n"/>
      <c r="H1854" s="149" t="n"/>
      <c r="I1854" s="149" t="n"/>
      <c r="J1854" s="149" t="n"/>
      <c r="K1854" s="150" t="n"/>
      <c r="L1854" s="170">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1" t="n"/>
      <c r="F1856" s="172" t="n"/>
      <c r="G1856" s="172" t="n"/>
      <c r="H1856" s="172" t="n"/>
      <c r="I1856" s="172" t="n"/>
      <c r="J1856" s="172" t="n"/>
      <c r="K1856" s="173" t="n"/>
      <c r="L1856" s="172" t="n"/>
      <c r="M1856" s="172" t="n"/>
      <c r="N1856" s="172" t="n"/>
      <c r="O1856" s="172" t="n"/>
      <c r="P1856" s="172" t="n"/>
      <c r="Q1856" s="172" t="n"/>
      <c r="R1856" s="172" t="n"/>
      <c r="S1856" s="172" t="n"/>
      <c r="T1856" s="172" t="n"/>
      <c r="U1856" s="172" t="n"/>
      <c r="V1856" s="172" t="n"/>
      <c r="W1856" s="172" t="n"/>
      <c r="X1856" s="172" t="n"/>
      <c r="Y1856" s="172" t="n"/>
      <c r="Z1856" s="172" t="n"/>
      <c r="AA1856" s="172" t="n"/>
      <c r="AB1856" s="172" t="n"/>
      <c r="AC1856" s="172" t="n"/>
      <c r="AD1856" s="172" t="n"/>
      <c r="AE1856" s="172" t="n"/>
      <c r="AF1856" s="172" t="n"/>
      <c r="AG1856" s="172" t="n"/>
      <c r="AH1856" s="172" t="n"/>
      <c r="AI1856" s="172" t="n"/>
      <c r="AJ1856" s="172" t="n"/>
      <c r="AK1856" s="172" t="n"/>
      <c r="AL1856" s="172" t="n"/>
      <c r="AM1856" s="172" t="n"/>
      <c r="AN1856" s="172" t="n"/>
      <c r="AO1856" s="172" t="n"/>
      <c r="AP1856" s="172" t="n"/>
      <c r="AQ1856" s="172" t="n"/>
      <c r="AR1856" s="172" t="n"/>
      <c r="AS1856" s="172" t="n"/>
      <c r="AT1856" s="172" t="n"/>
      <c r="AU1856" s="172" t="n"/>
      <c r="AV1856" s="172" t="n"/>
      <c r="AW1856" s="172" t="n"/>
      <c r="AX1856" s="172" t="n"/>
      <c r="AY1856" s="172" t="n"/>
      <c r="AZ1856" s="172" t="n"/>
      <c r="BA1856" s="172" t="n"/>
      <c r="BB1856" s="172" t="n"/>
      <c r="BC1856" s="172" t="n"/>
      <c r="BD1856" s="172" t="n"/>
      <c r="BE1856" s="172" t="n"/>
      <c r="BF1856" s="172" t="n"/>
      <c r="BG1856" s="172" t="n"/>
      <c r="BH1856" s="172" t="n"/>
      <c r="BI1856" s="173"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4" t="inlineStr">
        <is>
          <t>連絡先</t>
        </is>
      </c>
      <c r="F1857" s="175" t="n"/>
      <c r="G1857" s="175" t="n"/>
      <c r="H1857" s="175" t="n"/>
      <c r="I1857" s="175" t="n"/>
      <c r="J1857" s="175" t="n"/>
      <c r="K1857" s="176" t="n"/>
      <c r="L1857" s="83" t="inlineStr">
        <is>
          <t>〒</t>
        </is>
      </c>
      <c r="M1857" s="175" t="n"/>
      <c r="N1857" s="175" t="n"/>
      <c r="O1857" s="175" t="n"/>
      <c r="P1857" s="181">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2">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5" t="n"/>
      <c r="F1861" s="156" t="n"/>
      <c r="G1861" s="156" t="n"/>
      <c r="H1861" s="156" t="n"/>
      <c r="I1861" s="156" t="n"/>
      <c r="J1861" s="156" t="n"/>
      <c r="K1861" s="157" t="n"/>
      <c r="L1861" s="156" t="n"/>
      <c r="M1861" s="156" t="n"/>
      <c r="N1861" s="156" t="n"/>
      <c r="O1861" s="156" t="n"/>
      <c r="P1861" s="156" t="n"/>
      <c r="Q1861" s="156" t="n"/>
      <c r="R1861" s="156" t="n"/>
      <c r="S1861" s="156" t="n"/>
      <c r="T1861" s="156" t="n"/>
      <c r="U1861" s="156" t="n"/>
      <c r="V1861" s="156" t="n"/>
      <c r="W1861" s="156" t="n"/>
      <c r="X1861" s="156" t="n"/>
      <c r="Y1861" s="156" t="n"/>
      <c r="Z1861" s="156" t="n"/>
      <c r="AA1861" s="156" t="n"/>
      <c r="AB1861" s="156" t="n"/>
      <c r="AC1861" s="156" t="n"/>
      <c r="AD1861" s="156" t="n"/>
      <c r="AE1861" s="156" t="n"/>
      <c r="AF1861" s="156" t="n"/>
      <c r="AG1861" s="156" t="n"/>
      <c r="AH1861" s="156" t="n"/>
      <c r="AI1861" s="156" t="n"/>
      <c r="AJ1861" s="156" t="n"/>
      <c r="AK1861" s="156" t="n"/>
      <c r="AL1861" s="156" t="n"/>
      <c r="AM1861" s="156" t="n"/>
      <c r="AN1861" s="156" t="n"/>
      <c r="AO1861" s="156" t="n"/>
      <c r="AP1861" s="156" t="n"/>
      <c r="AQ1861" s="156" t="n"/>
      <c r="AR1861" s="156" t="n"/>
      <c r="AS1861" s="156" t="n"/>
      <c r="AT1861" s="156" t="n"/>
      <c r="AU1861" s="156" t="n"/>
      <c r="AV1861" s="156" t="n"/>
      <c r="AW1861" s="156" t="n"/>
      <c r="AX1861" s="156" t="n"/>
      <c r="AY1861" s="156" t="n"/>
      <c r="AZ1861" s="156" t="n"/>
      <c r="BA1861" s="156" t="n"/>
      <c r="BB1861" s="156" t="n"/>
      <c r="BC1861" s="156" t="n"/>
      <c r="BD1861" s="156" t="n"/>
      <c r="BE1861" s="156" t="n"/>
      <c r="BF1861" s="156" t="n"/>
      <c r="BG1861" s="156" t="n"/>
      <c r="BH1861" s="156" t="n"/>
      <c r="BI1861" s="157"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86"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3" t="n"/>
      <c r="BQ1867" s="149" t="n"/>
      <c r="BR1867" s="184" t="n"/>
      <c r="BS1867" s="149" t="n"/>
      <c r="BT1867" s="149" t="n"/>
      <c r="BU1867" s="28" t="n"/>
      <c r="BV1867" s="29" t="n"/>
      <c r="BW1867" s="185">
        <f>計算!$BP$23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115"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6"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107"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7">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188">
        <f>IF(入力!$D$25="","",設定!$B$6)&amp;""</f>
        <v/>
      </c>
      <c r="S1875" s="11" t="n"/>
      <c r="T1875" s="11" t="n"/>
      <c r="U1875" s="188">
        <f>IF(入力!$D$25="","",設定!$B$7)&amp;""</f>
        <v/>
      </c>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110" t="inlineStr">
        <is>
          <t>令和</t>
        </is>
      </c>
      <c r="S1876" s="61" t="inlineStr">
        <is>
          <t>年</t>
        </is>
      </c>
      <c r="W1876" s="62"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90"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5" t="n"/>
      <c r="F1880" s="156" t="n"/>
      <c r="G1880" s="156" t="n"/>
      <c r="H1880" s="156" t="n"/>
      <c r="I1880" s="156" t="n"/>
      <c r="J1880" s="156" t="n"/>
      <c r="K1880" s="157"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6" t="n"/>
      <c r="AX1880" s="156" t="n"/>
      <c r="AY1880" s="156" t="n"/>
      <c r="AZ1880" s="156" t="n"/>
      <c r="BA1880" s="156" t="n"/>
      <c r="BB1880" s="156" t="n"/>
      <c r="BC1880" s="156" t="n"/>
      <c r="BD1880" s="156" t="n"/>
      <c r="BE1880" s="156" t="n"/>
      <c r="BF1880" s="156" t="n"/>
      <c r="BG1880" s="156" t="n"/>
      <c r="BH1880" s="156" t="n"/>
      <c r="BI1880" s="157"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58" t="n"/>
      <c r="T1881" s="149" t="n"/>
      <c r="U1881" s="17" t="n"/>
      <c r="V1881" s="17" t="n"/>
      <c r="W1881" s="58"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89" t="inlineStr">
        <is>
          <t>職　歴</t>
        </is>
      </c>
      <c r="K1884" s="153" t="n"/>
      <c r="L1884" s="69" t="inlineStr">
        <is>
          <t>平成</t>
        </is>
      </c>
      <c r="M1884" s="149" t="n"/>
      <c r="N1884" s="149" t="n"/>
      <c r="O1884" s="149" t="n"/>
      <c r="P1884" s="19" t="n"/>
      <c r="Q1884" s="19" t="n"/>
      <c r="R1884" s="19" t="n"/>
      <c r="S1884" s="19" t="n"/>
      <c r="T1884" s="19" t="n"/>
      <c r="U1884" s="19" t="n"/>
      <c r="V1884" s="19" t="n"/>
      <c r="W1884" s="19" t="n"/>
      <c r="X1884" s="37" t="n"/>
      <c r="Y1884" s="180">
        <f>計算!$BT$23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8">
        <f>計算!$BR$23</f>
        <v/>
      </c>
      <c r="S1886" s="61" t="inlineStr">
        <is>
          <t>年</t>
        </is>
      </c>
      <c r="U1886" s="190">
        <f>計算!$BS$23</f>
        <v/>
      </c>
      <c r="W1886" s="62"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74"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5" t="n"/>
      <c r="M1889" s="156" t="n"/>
      <c r="N1889" s="156" t="n"/>
      <c r="O1889" s="156" t="n"/>
      <c r="P1889" s="20" t="n"/>
      <c r="Q1889" s="20" t="n"/>
      <c r="R1889" s="20" t="n"/>
      <c r="S1889" s="20" t="n"/>
      <c r="T1889" s="20" t="n"/>
      <c r="U1889" s="20" t="n"/>
      <c r="V1889" s="20" t="n"/>
      <c r="W1889" s="20" t="n"/>
      <c r="X1889" s="39" t="n"/>
      <c r="Y1889" s="155" t="n"/>
      <c r="Z1889" s="156" t="n"/>
      <c r="AA1889" s="156" t="n"/>
      <c r="AB1889" s="156" t="n"/>
      <c r="AC1889" s="156" t="n"/>
      <c r="AD1889" s="156" t="n"/>
      <c r="AE1889" s="156" t="n"/>
      <c r="AF1889" s="156" t="n"/>
      <c r="AG1889" s="156" t="n"/>
      <c r="AH1889" s="156" t="n"/>
      <c r="AI1889" s="156" t="n"/>
      <c r="AJ1889" s="156" t="n"/>
      <c r="AK1889" s="156" t="n"/>
      <c r="AL1889" s="156" t="n"/>
      <c r="AM1889" s="156" t="n"/>
      <c r="AN1889" s="156" t="n"/>
      <c r="AO1889" s="156" t="n"/>
      <c r="AP1889" s="156" t="n"/>
      <c r="AQ1889" s="156" t="n"/>
      <c r="AR1889" s="156" t="n"/>
      <c r="AS1889" s="156" t="n"/>
      <c r="AT1889" s="156" t="n"/>
      <c r="AU1889" s="156" t="n"/>
      <c r="AV1889" s="156" t="n"/>
      <c r="AW1889" s="156" t="n"/>
      <c r="AX1889" s="156" t="n"/>
      <c r="AY1889" s="156" t="n"/>
      <c r="AZ1889" s="156" t="n"/>
      <c r="BA1889" s="156" t="n"/>
      <c r="BB1889" s="156" t="n"/>
      <c r="BC1889" s="156" t="n"/>
      <c r="BD1889" s="156" t="n"/>
      <c r="BE1889" s="156" t="n"/>
      <c r="BF1889" s="156" t="n"/>
      <c r="BG1889" s="156" t="n"/>
      <c r="BH1889" s="156" t="n"/>
      <c r="BI1889" s="157"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69" t="inlineStr">
        <is>
          <t>平成</t>
        </is>
      </c>
      <c r="M1890" s="149" t="n"/>
      <c r="N1890" s="149" t="n"/>
      <c r="O1890" s="149" t="n"/>
      <c r="P1890" s="18" t="n"/>
      <c r="Q1890" s="18" t="n"/>
      <c r="R1890" s="18" t="n"/>
      <c r="S1890" s="18" t="n"/>
      <c r="T1890" s="18" t="n"/>
      <c r="U1890" s="18" t="n"/>
      <c r="V1890" s="18" t="n"/>
      <c r="W1890" s="18" t="n"/>
      <c r="X1890" s="35" t="n"/>
      <c r="Y1890" s="180">
        <f>計算!$BW$23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8">
        <f>計算!$BU$23</f>
        <v/>
      </c>
      <c r="S1892" s="61" t="inlineStr">
        <is>
          <t>年</t>
        </is>
      </c>
      <c r="U1892" s="190">
        <f>計算!$BV$23</f>
        <v/>
      </c>
      <c r="W1892" s="62"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74"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5" t="n"/>
      <c r="M1895" s="156" t="n"/>
      <c r="N1895" s="156" t="n"/>
      <c r="O1895" s="156" t="n"/>
      <c r="P1895" s="20" t="n"/>
      <c r="Q1895" s="20" t="n"/>
      <c r="R1895" s="20" t="n"/>
      <c r="S1895" s="20" t="n"/>
      <c r="T1895" s="20" t="n"/>
      <c r="U1895" s="20" t="n"/>
      <c r="V1895" s="20" t="n"/>
      <c r="W1895" s="20" t="n"/>
      <c r="X1895" s="39" t="n"/>
      <c r="Y1895" s="155" t="n"/>
      <c r="Z1895" s="156" t="n"/>
      <c r="AA1895" s="156" t="n"/>
      <c r="AB1895" s="156" t="n"/>
      <c r="AC1895" s="156" t="n"/>
      <c r="AD1895" s="156" t="n"/>
      <c r="AE1895" s="156" t="n"/>
      <c r="AF1895" s="156" t="n"/>
      <c r="AG1895" s="156" t="n"/>
      <c r="AH1895" s="156" t="n"/>
      <c r="AI1895" s="156" t="n"/>
      <c r="AJ1895" s="156" t="n"/>
      <c r="AK1895" s="156" t="n"/>
      <c r="AL1895" s="156" t="n"/>
      <c r="AM1895" s="156" t="n"/>
      <c r="AN1895" s="156" t="n"/>
      <c r="AO1895" s="156" t="n"/>
      <c r="AP1895" s="156" t="n"/>
      <c r="AQ1895" s="156" t="n"/>
      <c r="AR1895" s="156" t="n"/>
      <c r="AS1895" s="156" t="n"/>
      <c r="AT1895" s="156" t="n"/>
      <c r="AU1895" s="156" t="n"/>
      <c r="AV1895" s="156" t="n"/>
      <c r="AW1895" s="156" t="n"/>
      <c r="AX1895" s="156" t="n"/>
      <c r="AY1895" s="156" t="n"/>
      <c r="AZ1895" s="156" t="n"/>
      <c r="BA1895" s="156" t="n"/>
      <c r="BB1895" s="156" t="n"/>
      <c r="BC1895" s="156" t="n"/>
      <c r="BD1895" s="156" t="n"/>
      <c r="BE1895" s="156" t="n"/>
      <c r="BF1895" s="156" t="n"/>
      <c r="BG1895" s="156" t="n"/>
      <c r="BH1895" s="156" t="n"/>
      <c r="BI1895" s="157" t="n"/>
      <c r="BJ1895" s="2" t="n"/>
      <c r="BK1895" s="2" t="n"/>
      <c r="BL1895" s="2" t="n"/>
      <c r="BM1895" s="2" t="n"/>
      <c r="BN1895" s="2" t="n"/>
      <c r="BO1895" s="2" t="n"/>
      <c r="BP1895" s="155" t="n"/>
      <c r="BQ1895" s="156" t="n"/>
      <c r="BR1895" s="156" t="n"/>
      <c r="BS1895" s="156" t="n"/>
      <c r="BT1895" s="156" t="n"/>
      <c r="BU1895" s="42" t="n"/>
      <c r="BV1895" s="45" t="n"/>
      <c r="BW1895" s="156" t="n"/>
      <c r="BX1895" s="156" t="n"/>
      <c r="BY1895" s="156" t="n"/>
      <c r="BZ1895" s="156" t="n"/>
      <c r="CA1895" s="156" t="n"/>
      <c r="CB1895" s="156" t="n"/>
      <c r="CC1895" s="156" t="n"/>
      <c r="CD1895" s="156" t="n"/>
      <c r="CE1895" s="156" t="n"/>
      <c r="CF1895" s="156" t="n"/>
      <c r="CG1895" s="156" t="n"/>
      <c r="CH1895" s="156" t="n"/>
      <c r="CI1895" s="156" t="n"/>
      <c r="CJ1895" s="156" t="n"/>
      <c r="CK1895" s="156" t="n"/>
      <c r="CL1895" s="156" t="n"/>
      <c r="CM1895" s="156" t="n"/>
      <c r="CN1895" s="156" t="n"/>
      <c r="CO1895" s="156" t="n"/>
      <c r="CP1895" s="156" t="n"/>
      <c r="CQ1895" s="156" t="n"/>
      <c r="CR1895" s="156" t="n"/>
      <c r="CS1895" s="156" t="n"/>
      <c r="CT1895" s="156" t="n"/>
      <c r="CU1895" s="156" t="n"/>
      <c r="CV1895" s="156" t="n"/>
      <c r="CW1895" s="156" t="n"/>
      <c r="CX1895" s="156" t="n"/>
      <c r="CY1895" s="156" t="n"/>
      <c r="CZ1895" s="156" t="n"/>
      <c r="DA1895" s="156" t="n"/>
      <c r="DB1895" s="156" t="n"/>
      <c r="DC1895" s="156" t="n"/>
      <c r="DD1895" s="156" t="n"/>
      <c r="DE1895" s="156" t="n"/>
      <c r="DF1895" s="156" t="n"/>
      <c r="DG1895" s="156" t="n"/>
      <c r="DH1895" s="156" t="n"/>
      <c r="DI1895" s="156" t="n"/>
      <c r="DJ1895" s="156" t="n"/>
      <c r="DK1895" s="156" t="n"/>
      <c r="DL1895" s="156" t="n"/>
      <c r="DM1895" s="156" t="n"/>
      <c r="DN1895" s="156" t="n"/>
      <c r="DO1895" s="156" t="n"/>
      <c r="DP1895" s="156" t="n"/>
      <c r="DQ1895" s="156" t="n"/>
      <c r="DR1895" s="156" t="n"/>
      <c r="DS1895" s="156" t="n"/>
      <c r="DT1895" s="156" t="n"/>
      <c r="DU1895" s="157" t="n"/>
      <c r="DV1895" s="2" t="n"/>
      <c r="DW1895" s="2" t="n"/>
      <c r="DX1895" s="2" t="n"/>
      <c r="DY1895" s="2" t="n"/>
      <c r="DZ1895" s="2" t="n"/>
      <c r="EA1895" s="2" t="n"/>
      <c r="EB1895" s="2" t="n"/>
      <c r="EC1895" s="2" t="n"/>
    </row>
    <row r="1896" ht="6.75" customHeight="1" s="118">
      <c r="A1896" s="2" t="n"/>
      <c r="B1896" s="2" t="n"/>
      <c r="C1896" s="2" t="n"/>
      <c r="D1896" s="2" t="n"/>
      <c r="E1896" s="152" t="n"/>
      <c r="K1896" s="153" t="n"/>
      <c r="L1896" s="69"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5">
        <f>計算!$BQ$23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61" t="inlineStr">
        <is>
          <t>年</t>
        </is>
      </c>
      <c r="U1898" s="11" t="n"/>
      <c r="V1898" s="11" t="n"/>
      <c r="W1898" s="62"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74"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5" t="n"/>
      <c r="M1901" s="156" t="n"/>
      <c r="N1901" s="156" t="n"/>
      <c r="O1901" s="156"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69"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61" t="inlineStr">
        <is>
          <t>年</t>
        </is>
      </c>
      <c r="U1904" s="11" t="n"/>
      <c r="V1904" s="11" t="n"/>
      <c r="W1904" s="62"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74"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61" t="n"/>
      <c r="T1906" s="61" t="n"/>
      <c r="U1906" s="11" t="n"/>
      <c r="V1906" s="11" t="n"/>
      <c r="W1906" s="61" t="n"/>
      <c r="X1906" s="62"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5" t="n"/>
      <c r="F1907" s="156" t="n"/>
      <c r="G1907" s="156" t="n"/>
      <c r="H1907" s="156" t="n"/>
      <c r="I1907" s="156" t="n"/>
      <c r="J1907" s="156" t="n"/>
      <c r="K1907" s="157" t="n"/>
      <c r="L1907" s="155" t="n"/>
      <c r="M1907" s="156" t="n"/>
      <c r="N1907" s="156" t="n"/>
      <c r="O1907" s="156"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5" t="n"/>
      <c r="BQ1907" s="156" t="n"/>
      <c r="BR1907" s="156" t="n"/>
      <c r="BS1907" s="156" t="n"/>
      <c r="BT1907" s="156" t="n"/>
      <c r="BU1907" s="156" t="n"/>
      <c r="BV1907" s="157" t="n"/>
      <c r="BW1907" s="156" t="n"/>
      <c r="BX1907" s="156" t="n"/>
      <c r="BY1907" s="156" t="n"/>
      <c r="BZ1907" s="156" t="n"/>
      <c r="CA1907" s="156" t="n"/>
      <c r="CB1907" s="156" t="n"/>
      <c r="CC1907" s="156" t="n"/>
      <c r="CD1907" s="156" t="n"/>
      <c r="CE1907" s="156" t="n"/>
      <c r="CF1907" s="156" t="n"/>
      <c r="CG1907" s="156" t="n"/>
      <c r="CH1907" s="156" t="n"/>
      <c r="CI1907" s="156" t="n"/>
      <c r="CJ1907" s="156" t="n"/>
      <c r="CK1907" s="156" t="n"/>
      <c r="CL1907" s="156" t="n"/>
      <c r="CM1907" s="156" t="n"/>
      <c r="CN1907" s="156" t="n"/>
      <c r="CO1907" s="156" t="n"/>
      <c r="CP1907" s="156" t="n"/>
      <c r="CQ1907" s="156" t="n"/>
      <c r="CR1907" s="156" t="n"/>
      <c r="CS1907" s="156" t="n"/>
      <c r="CT1907" s="156" t="n"/>
      <c r="CU1907" s="156" t="n"/>
      <c r="CV1907" s="156" t="n"/>
      <c r="CW1907" s="156" t="n"/>
      <c r="CX1907" s="156" t="n"/>
      <c r="CY1907" s="156" t="n"/>
      <c r="CZ1907" s="156" t="n"/>
      <c r="DA1907" s="156" t="n"/>
      <c r="DB1907" s="156" t="n"/>
      <c r="DC1907" s="156" t="n"/>
      <c r="DD1907" s="156" t="n"/>
      <c r="DE1907" s="156" t="n"/>
      <c r="DF1907" s="156" t="n"/>
      <c r="DG1907" s="156" t="n"/>
      <c r="DH1907" s="156" t="n"/>
      <c r="DI1907" s="156" t="n"/>
      <c r="DJ1907" s="156" t="n"/>
      <c r="DK1907" s="156" t="n"/>
      <c r="DL1907" s="156" t="n"/>
      <c r="DM1907" s="156" t="n"/>
      <c r="DN1907" s="156" t="n"/>
      <c r="DO1907" s="156" t="n"/>
      <c r="DP1907" s="156" t="n"/>
      <c r="DQ1907" s="156" t="n"/>
      <c r="DR1907" s="156" t="n"/>
      <c r="DS1907" s="156" t="n"/>
      <c r="DT1907" s="156" t="n"/>
      <c r="DU1907" s="157"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87" t="inlineStr">
        <is>
          <t xml:space="preserve">    (近畿高等学校統一用紙　  その２ 　  令和７年度改定)　</t>
        </is>
      </c>
      <c r="DV1909" s="2" t="n"/>
      <c r="DW1909" s="2" t="n"/>
      <c r="DX1909" s="2" t="n"/>
      <c r="DY1909" s="2" t="n"/>
      <c r="DZ1909" s="2" t="n"/>
      <c r="EA1909" s="2" t="n"/>
      <c r="EB1909" s="2" t="n"/>
      <c r="EC1909" s="2" t="n"/>
    </row>
    <row r="1910" hidden="1"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idden="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47"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64" t="inlineStr">
        <is>
          <t>令和</t>
        </is>
      </c>
      <c r="AD1919" s="154">
        <f>IF(入力!$D$26="","",IF(N(設定!$B$3)=0,"",YEAR(設定!$B$3)-2018))&amp;""</f>
        <v/>
      </c>
      <c r="AG1919" s="64" t="inlineStr">
        <is>
          <t>年</t>
        </is>
      </c>
      <c r="AI1919" s="154">
        <f>IF(入力!$D$26="","",IF(N(設定!$B$3)=0,"",MONTH(設定!$B$3)))&amp;""</f>
        <v/>
      </c>
      <c r="AL1919" s="64" t="inlineStr">
        <is>
          <t>月</t>
        </is>
      </c>
      <c r="AN1919" s="154">
        <f>IF(入力!$D$26="","",IF(N(設定!$B$3)=0,"",DAY(設定!$B$3)))&amp;""</f>
        <v/>
      </c>
      <c r="AP1919" s="64"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5" t="n"/>
      <c r="BX1919" s="156" t="n"/>
      <c r="BY1919" s="156" t="n"/>
      <c r="BZ1919" s="156" t="n"/>
      <c r="CA1919" s="156" t="n"/>
      <c r="CB1919" s="156" t="n"/>
      <c r="CC1919" s="156" t="n"/>
      <c r="CD1919" s="156" t="n"/>
      <c r="CE1919" s="156" t="n"/>
      <c r="CF1919" s="156" t="n"/>
      <c r="CG1919" s="157" t="n"/>
      <c r="CH1919" s="155" t="n"/>
      <c r="CI1919" s="156" t="n"/>
      <c r="CJ1919" s="156" t="n"/>
      <c r="CK1919" s="156" t="n"/>
      <c r="CL1919" s="156" t="n"/>
      <c r="CM1919" s="156" t="n"/>
      <c r="CN1919" s="156" t="n"/>
      <c r="CO1919" s="156" t="n"/>
      <c r="CP1919" s="156" t="n"/>
      <c r="CQ1919" s="156" t="n"/>
      <c r="CR1919" s="156" t="n"/>
      <c r="CS1919" s="156" t="n"/>
      <c r="CT1919" s="156" t="n"/>
      <c r="CU1919" s="156" t="n"/>
      <c r="CV1919" s="156" t="n"/>
      <c r="CW1919" s="156" t="n"/>
      <c r="CX1919" s="156" t="n"/>
      <c r="CY1919" s="156" t="n"/>
      <c r="CZ1919" s="156" t="n"/>
      <c r="DA1919" s="156" t="n"/>
      <c r="DB1919" s="156" t="n"/>
      <c r="DC1919" s="156" t="n"/>
      <c r="DD1919" s="156" t="n"/>
      <c r="DE1919" s="156" t="n"/>
      <c r="DF1919" s="156" t="n"/>
      <c r="DG1919" s="156" t="n"/>
      <c r="DH1919" s="156" t="n"/>
      <c r="DI1919" s="156" t="n"/>
      <c r="DJ1919" s="156" t="n"/>
      <c r="DK1919" s="156" t="n"/>
      <c r="DL1919" s="156" t="n"/>
      <c r="DM1919" s="156" t="n"/>
      <c r="DN1919" s="156" t="n"/>
      <c r="DO1919" s="156" t="n"/>
      <c r="DP1919" s="156" t="n"/>
      <c r="DQ1919" s="156" t="n"/>
      <c r="DR1919" s="156" t="n"/>
      <c r="DS1919" s="156" t="n"/>
      <c r="DT1919" s="156" t="n"/>
      <c r="DU1919" s="157"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68" t="inlineStr">
        <is>
          <t>写真をはる位置</t>
        </is>
      </c>
      <c r="BI1920" s="8" t="n"/>
      <c r="BJ1920" s="7" t="n"/>
      <c r="BK1920" s="2" t="n"/>
      <c r="BL1920" s="2" t="n"/>
      <c r="BM1920" s="2" t="n"/>
      <c r="BN1920" s="2" t="n"/>
      <c r="BO1920" s="2" t="n"/>
      <c r="BP1920" s="152" t="n"/>
      <c r="BV1920" s="153" t="n"/>
      <c r="BW1920" s="158">
        <f>計算!$CB$24</f>
        <v/>
      </c>
      <c r="CG1920" s="153" t="n"/>
      <c r="CH1920" s="159">
        <f>計算!$CC$24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6" t="n"/>
      <c r="AA1921" s="156" t="n"/>
      <c r="AB1921" s="156" t="n"/>
      <c r="AC1921" s="156" t="n"/>
      <c r="AD1921" s="156" t="n"/>
      <c r="AE1921" s="156" t="n"/>
      <c r="AF1921" s="156" t="n"/>
      <c r="AG1921" s="156" t="n"/>
      <c r="AH1921" s="156" t="n"/>
      <c r="AI1921" s="156" t="n"/>
      <c r="AJ1921" s="156" t="n"/>
      <c r="AK1921" s="156" t="n"/>
      <c r="AL1921" s="156" t="n"/>
      <c r="AM1921" s="156" t="n"/>
      <c r="AN1921" s="156" t="n"/>
      <c r="AO1921" s="156" t="n"/>
      <c r="AP1921" s="156" t="n"/>
      <c r="AQ1921" s="156" t="n"/>
      <c r="AR1921" s="156" t="n"/>
      <c r="AS1921" s="156" t="n"/>
      <c r="AT1921" s="156"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0">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5" t="n"/>
      <c r="F1925" s="156" t="n"/>
      <c r="G1925" s="156" t="n"/>
      <c r="H1925" s="156" t="n"/>
      <c r="I1925" s="156" t="n"/>
      <c r="J1925" s="156" t="n"/>
      <c r="K1925" s="157" t="n"/>
      <c r="L1925" s="156" t="n"/>
      <c r="M1925" s="156" t="n"/>
      <c r="N1925" s="156" t="n"/>
      <c r="O1925" s="156" t="n"/>
      <c r="P1925" s="156" t="n"/>
      <c r="Q1925" s="156" t="n"/>
      <c r="R1925" s="156" t="n"/>
      <c r="S1925" s="156" t="n"/>
      <c r="T1925" s="156" t="n"/>
      <c r="U1925" s="156" t="n"/>
      <c r="V1925" s="156" t="n"/>
      <c r="W1925" s="156" t="n"/>
      <c r="X1925" s="156" t="n"/>
      <c r="Y1925" s="156" t="n"/>
      <c r="Z1925" s="156" t="n"/>
      <c r="AA1925" s="156" t="n"/>
      <c r="AB1925" s="156" t="n"/>
      <c r="AC1925" s="156" t="n"/>
      <c r="AD1925" s="156" t="n"/>
      <c r="AE1925" s="156" t="n"/>
      <c r="AF1925" s="156" t="n"/>
      <c r="AG1925" s="156" t="n"/>
      <c r="AH1925" s="156" t="n"/>
      <c r="AI1925" s="156" t="n"/>
      <c r="AJ1925" s="156" t="n"/>
      <c r="AK1925" s="156" t="n"/>
      <c r="AL1925" s="156" t="n"/>
      <c r="AM1925" s="156" t="n"/>
      <c r="AN1925" s="156" t="n"/>
      <c r="AO1925" s="156" t="n"/>
      <c r="AP1925" s="156" t="n"/>
      <c r="AQ1925" s="156" t="n"/>
      <c r="AR1925" s="156" t="n"/>
      <c r="AS1925" s="156" t="n"/>
      <c r="AT1925" s="157"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1" t="inlineStr">
        <is>
          <t>名　前</t>
        </is>
      </c>
      <c r="F1926" s="149" t="n"/>
      <c r="G1926" s="149" t="n"/>
      <c r="H1926" s="149" t="n"/>
      <c r="I1926" s="149" t="n"/>
      <c r="J1926" s="149" t="n"/>
      <c r="K1926" s="150" t="n"/>
      <c r="L1926" s="162">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61"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5" t="n"/>
      <c r="F1931" s="156" t="n"/>
      <c r="G1931" s="156" t="n"/>
      <c r="H1931" s="156" t="n"/>
      <c r="I1931" s="156" t="n"/>
      <c r="J1931" s="156" t="n"/>
      <c r="K1931" s="157" t="n"/>
      <c r="L1931" s="155" t="n"/>
      <c r="M1931" s="156" t="n"/>
      <c r="N1931" s="156" t="n"/>
      <c r="O1931" s="156" t="n"/>
      <c r="P1931" s="156" t="n"/>
      <c r="Q1931" s="156" t="n"/>
      <c r="R1931" s="156" t="n"/>
      <c r="S1931" s="156" t="n"/>
      <c r="T1931" s="156" t="n"/>
      <c r="U1931" s="156" t="n"/>
      <c r="V1931" s="156" t="n"/>
      <c r="W1931" s="156" t="n"/>
      <c r="X1931" s="156" t="n"/>
      <c r="Y1931" s="156" t="n"/>
      <c r="Z1931" s="156" t="n"/>
      <c r="AA1931" s="156" t="n"/>
      <c r="AB1931" s="156" t="n"/>
      <c r="AC1931" s="156" t="n"/>
      <c r="AD1931" s="156" t="n"/>
      <c r="AE1931" s="156" t="n"/>
      <c r="AF1931" s="156" t="n"/>
      <c r="AG1931" s="156" t="n"/>
      <c r="AH1931" s="156" t="n"/>
      <c r="AI1931" s="156" t="n"/>
      <c r="AJ1931" s="156" t="n"/>
      <c r="AK1931" s="156" t="n"/>
      <c r="AL1931" s="156" t="n"/>
      <c r="AM1931" s="156" t="n"/>
      <c r="AN1931" s="156" t="n"/>
      <c r="AO1931" s="156" t="n"/>
      <c r="AP1931" s="156" t="n"/>
      <c r="AQ1931" s="156" t="n"/>
      <c r="AR1931" s="156" t="n"/>
      <c r="AS1931" s="156" t="n"/>
      <c r="AT1931" s="157"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1" t="inlineStr">
        <is>
          <t>生年月日</t>
        </is>
      </c>
      <c r="F1932" s="149" t="n"/>
      <c r="G1932" s="149" t="n"/>
      <c r="H1932" s="149" t="n"/>
      <c r="I1932" s="149" t="n"/>
      <c r="J1932" s="149" t="n"/>
      <c r="K1932" s="150" t="n"/>
      <c r="L1932" s="163" t="inlineStr">
        <is>
          <t>昭和 ・ 平成</t>
        </is>
      </c>
      <c r="M1932" s="149" t="n"/>
      <c r="N1932" s="149" t="n"/>
      <c r="O1932" s="149" t="n"/>
      <c r="P1932" s="149" t="n"/>
      <c r="Q1932" s="149" t="n"/>
      <c r="R1932" s="149" t="n"/>
      <c r="S1932" s="149" t="n"/>
      <c r="T1932" s="149" t="n"/>
      <c r="U1932" s="149" t="n"/>
      <c r="V1932" s="164">
        <f>計算!$D$24</f>
        <v/>
      </c>
      <c r="W1932" s="149" t="n"/>
      <c r="X1932" s="165" t="inlineStr">
        <is>
          <t>年</t>
        </is>
      </c>
      <c r="Y1932" s="149" t="n"/>
      <c r="Z1932" s="166">
        <f>計算!$E$24</f>
        <v/>
      </c>
      <c r="AA1932" s="149" t="n"/>
      <c r="AB1932" s="149" t="n"/>
      <c r="AC1932" s="165" t="inlineStr">
        <is>
          <t>月</t>
        </is>
      </c>
      <c r="AD1932" s="149" t="n"/>
      <c r="AE1932" s="166">
        <f>計算!$F$24</f>
        <v/>
      </c>
      <c r="AF1932" s="149" t="n"/>
      <c r="AG1932" s="149" t="n"/>
      <c r="AH1932" s="165" t="inlineStr">
        <is>
          <t>日　生 （満</t>
        </is>
      </c>
      <c r="AI1932" s="149" t="n"/>
      <c r="AJ1932" s="149" t="n"/>
      <c r="AK1932" s="149" t="n"/>
      <c r="AL1932" s="149" t="n"/>
      <c r="AM1932" s="149" t="n"/>
      <c r="AN1932" s="149" t="n"/>
      <c r="AO1932" s="149" t="n"/>
      <c r="AP1932" s="167">
        <f>計算!$G$24</f>
        <v/>
      </c>
      <c r="AQ1932" s="149" t="n"/>
      <c r="AR1932" s="168"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5" t="n"/>
      <c r="F1935" s="156" t="n"/>
      <c r="G1935" s="156" t="n"/>
      <c r="H1935" s="156" t="n"/>
      <c r="I1935" s="156" t="n"/>
      <c r="J1935" s="156" t="n"/>
      <c r="K1935" s="157" t="n"/>
      <c r="L1935" s="155" t="n"/>
      <c r="M1935" s="156" t="n"/>
      <c r="N1935" s="156" t="n"/>
      <c r="O1935" s="156" t="n"/>
      <c r="P1935" s="156" t="n"/>
      <c r="Q1935" s="156" t="n"/>
      <c r="R1935" s="156" t="n"/>
      <c r="S1935" s="156" t="n"/>
      <c r="T1935" s="156" t="n"/>
      <c r="U1935" s="156" t="n"/>
      <c r="X1935" s="156" t="n"/>
      <c r="Y1935" s="156" t="n"/>
      <c r="AC1935" s="156" t="n"/>
      <c r="AD1935" s="156" t="n"/>
      <c r="AH1935" s="156" t="n"/>
      <c r="AI1935" s="156" t="n"/>
      <c r="AJ1935" s="156" t="n"/>
      <c r="AK1935" s="156" t="n"/>
      <c r="AL1935" s="156" t="n"/>
      <c r="AM1935" s="156" t="n"/>
      <c r="AN1935" s="156" t="n"/>
      <c r="AO1935" s="156" t="n"/>
      <c r="AP1935" s="156" t="n"/>
      <c r="AQ1935" s="156" t="n"/>
      <c r="AR1935" s="156" t="n"/>
      <c r="AS1935" s="156" t="n"/>
      <c r="AT1935" s="157"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69" t="inlineStr">
        <is>
          <t>ふ り が な</t>
        </is>
      </c>
      <c r="F1936" s="149" t="n"/>
      <c r="G1936" s="149" t="n"/>
      <c r="H1936" s="149" t="n"/>
      <c r="I1936" s="149" t="n"/>
      <c r="J1936" s="149" t="n"/>
      <c r="K1936" s="150" t="n"/>
      <c r="L1936" s="170">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1" t="n"/>
      <c r="F1938" s="172" t="n"/>
      <c r="G1938" s="172" t="n"/>
      <c r="H1938" s="172" t="n"/>
      <c r="I1938" s="172" t="n"/>
      <c r="J1938" s="172" t="n"/>
      <c r="K1938" s="173" t="n"/>
      <c r="L1938" s="172" t="n"/>
      <c r="M1938" s="172" t="n"/>
      <c r="N1938" s="172" t="n"/>
      <c r="O1938" s="172" t="n"/>
      <c r="P1938" s="172" t="n"/>
      <c r="Q1938" s="172" t="n"/>
      <c r="R1938" s="172" t="n"/>
      <c r="S1938" s="172" t="n"/>
      <c r="T1938" s="172" t="n"/>
      <c r="U1938" s="172" t="n"/>
      <c r="V1938" s="172" t="n"/>
      <c r="W1938" s="172" t="n"/>
      <c r="X1938" s="172" t="n"/>
      <c r="Y1938" s="172" t="n"/>
      <c r="Z1938" s="172" t="n"/>
      <c r="AA1938" s="172" t="n"/>
      <c r="AB1938" s="172" t="n"/>
      <c r="AC1938" s="172" t="n"/>
      <c r="AD1938" s="172" t="n"/>
      <c r="AE1938" s="172" t="n"/>
      <c r="AF1938" s="172" t="n"/>
      <c r="AG1938" s="172" t="n"/>
      <c r="AH1938" s="172" t="n"/>
      <c r="AI1938" s="172" t="n"/>
      <c r="AJ1938" s="172" t="n"/>
      <c r="AK1938" s="172" t="n"/>
      <c r="AL1938" s="172" t="n"/>
      <c r="AM1938" s="172" t="n"/>
      <c r="AN1938" s="172" t="n"/>
      <c r="AO1938" s="172" t="n"/>
      <c r="AP1938" s="172" t="n"/>
      <c r="AQ1938" s="172" t="n"/>
      <c r="AR1938" s="172" t="n"/>
      <c r="AS1938" s="172" t="n"/>
      <c r="AT1938" s="172" t="n"/>
      <c r="AU1938" s="172" t="n"/>
      <c r="AV1938" s="172" t="n"/>
      <c r="AW1938" s="172" t="n"/>
      <c r="AX1938" s="172" t="n"/>
      <c r="AY1938" s="172" t="n"/>
      <c r="AZ1938" s="172" t="n"/>
      <c r="BA1938" s="172" t="n"/>
      <c r="BB1938" s="172" t="n"/>
      <c r="BC1938" s="172" t="n"/>
      <c r="BD1938" s="172" t="n"/>
      <c r="BE1938" s="172" t="n"/>
      <c r="BF1938" s="172" t="n"/>
      <c r="BG1938" s="172" t="n"/>
      <c r="BH1938" s="172" t="n"/>
      <c r="BI1938" s="173"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4" t="inlineStr">
        <is>
          <t>現住所</t>
        </is>
      </c>
      <c r="F1939" s="175" t="n"/>
      <c r="G1939" s="175" t="n"/>
      <c r="H1939" s="175" t="n"/>
      <c r="I1939" s="175" t="n"/>
      <c r="J1939" s="175" t="n"/>
      <c r="K1939" s="176" t="n"/>
      <c r="L1939" s="83" t="inlineStr">
        <is>
          <t>〒</t>
        </is>
      </c>
      <c r="M1939" s="175" t="n"/>
      <c r="N1939" s="175" t="n"/>
      <c r="O1939" s="175" t="n"/>
      <c r="P1939" s="177">
        <f>計算!$H$24</f>
        <v/>
      </c>
      <c r="Q1939" s="175" t="n"/>
      <c r="R1939" s="175" t="n"/>
      <c r="S1939" s="175" t="n"/>
      <c r="T1939" s="175" t="n"/>
      <c r="U1939" s="175" t="n"/>
      <c r="V1939" s="175" t="n"/>
      <c r="W1939" s="175" t="n"/>
      <c r="X1939" s="175" t="n"/>
      <c r="Y1939" s="175" t="n"/>
      <c r="Z1939" s="175" t="n"/>
      <c r="AA1939" s="175" t="n"/>
      <c r="AB1939" s="175" t="n"/>
      <c r="AC1939" s="175" t="n"/>
      <c r="AD1939" s="175" t="n"/>
      <c r="AE1939" s="175" t="n"/>
      <c r="AF1939" s="175" t="n"/>
      <c r="AG1939" s="175" t="n"/>
      <c r="AH1939" s="175" t="n"/>
      <c r="AI1939" s="175" t="n"/>
      <c r="AJ1939" s="175"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5" t="n"/>
      <c r="BQ1940" s="156" t="n"/>
      <c r="BR1940" s="156" t="n"/>
      <c r="BS1940" s="156" t="n"/>
      <c r="BT1940" s="156" t="n"/>
      <c r="BU1940" s="156" t="n"/>
      <c r="BV1940" s="157" t="n"/>
      <c r="BW1940" s="155" t="n"/>
      <c r="BX1940" s="156" t="n"/>
      <c r="BY1940" s="156" t="n"/>
      <c r="BZ1940" s="156" t="n"/>
      <c r="CA1940" s="156" t="n"/>
      <c r="CB1940" s="156" t="n"/>
      <c r="CC1940" s="156" t="n"/>
      <c r="CD1940" s="156" t="n"/>
      <c r="CE1940" s="156" t="n"/>
      <c r="CF1940" s="156" t="n"/>
      <c r="CG1940" s="157"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8" t="inlineStr">
        <is>
          <t>校内外の諸活動</t>
        </is>
      </c>
      <c r="BQ1941" s="149" t="n"/>
      <c r="BR1941" s="149" t="n"/>
      <c r="BS1941" s="149" t="n"/>
      <c r="BT1941" s="149" t="n"/>
      <c r="BU1941" s="149" t="n"/>
      <c r="BV1941" s="150" t="n"/>
      <c r="BW1941" s="179">
        <f>計算!$BO$24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0">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5" t="n"/>
      <c r="F1944" s="156" t="n"/>
      <c r="G1944" s="156" t="n"/>
      <c r="H1944" s="156" t="n"/>
      <c r="I1944" s="156" t="n"/>
      <c r="J1944" s="156" t="n"/>
      <c r="K1944" s="157" t="n"/>
      <c r="L1944" s="155" t="n"/>
      <c r="M1944" s="156" t="n"/>
      <c r="N1944" s="156" t="n"/>
      <c r="O1944" s="156" t="n"/>
      <c r="P1944" s="156" t="n"/>
      <c r="Q1944" s="156" t="n"/>
      <c r="R1944" s="156" t="n"/>
      <c r="S1944" s="156" t="n"/>
      <c r="T1944" s="156" t="n"/>
      <c r="U1944" s="156" t="n"/>
      <c r="V1944" s="156" t="n"/>
      <c r="W1944" s="156" t="n"/>
      <c r="X1944" s="156" t="n"/>
      <c r="Y1944" s="156" t="n"/>
      <c r="Z1944" s="156" t="n"/>
      <c r="AA1944" s="156" t="n"/>
      <c r="AB1944" s="156" t="n"/>
      <c r="AC1944" s="156" t="n"/>
      <c r="AD1944" s="156" t="n"/>
      <c r="AE1944" s="156" t="n"/>
      <c r="AF1944" s="156" t="n"/>
      <c r="AG1944" s="156" t="n"/>
      <c r="AH1944" s="156" t="n"/>
      <c r="AI1944" s="156" t="n"/>
      <c r="AJ1944" s="156" t="n"/>
      <c r="AK1944" s="156" t="n"/>
      <c r="AL1944" s="156" t="n"/>
      <c r="AM1944" s="156" t="n"/>
      <c r="AN1944" s="156" t="n"/>
      <c r="AO1944" s="156" t="n"/>
      <c r="AP1944" s="156" t="n"/>
      <c r="AQ1944" s="156" t="n"/>
      <c r="AR1944" s="156" t="n"/>
      <c r="AS1944" s="156" t="n"/>
      <c r="AT1944" s="156" t="n"/>
      <c r="AU1944" s="156" t="n"/>
      <c r="AV1944" s="156" t="n"/>
      <c r="AW1944" s="156" t="n"/>
      <c r="AX1944" s="156" t="n"/>
      <c r="AY1944" s="156" t="n"/>
      <c r="AZ1944" s="156" t="n"/>
      <c r="BA1944" s="156" t="n"/>
      <c r="BB1944" s="156" t="n"/>
      <c r="BC1944" s="156" t="n"/>
      <c r="BD1944" s="156" t="n"/>
      <c r="BE1944" s="156" t="n"/>
      <c r="BF1944" s="156" t="n"/>
      <c r="BG1944" s="156" t="n"/>
      <c r="BH1944" s="156" t="n"/>
      <c r="BI1944" s="157"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69" t="inlineStr">
        <is>
          <t>ふ り が な</t>
        </is>
      </c>
      <c r="F1945" s="149" t="n"/>
      <c r="G1945" s="149" t="n"/>
      <c r="H1945" s="149" t="n"/>
      <c r="I1945" s="149" t="n"/>
      <c r="J1945" s="149" t="n"/>
      <c r="K1945" s="150" t="n"/>
      <c r="L1945" s="170">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1" t="n"/>
      <c r="F1947" s="172" t="n"/>
      <c r="G1947" s="172" t="n"/>
      <c r="H1947" s="172" t="n"/>
      <c r="I1947" s="172" t="n"/>
      <c r="J1947" s="172" t="n"/>
      <c r="K1947" s="173" t="n"/>
      <c r="L1947" s="172" t="n"/>
      <c r="M1947" s="172" t="n"/>
      <c r="N1947" s="172" t="n"/>
      <c r="O1947" s="172" t="n"/>
      <c r="P1947" s="172" t="n"/>
      <c r="Q1947" s="172" t="n"/>
      <c r="R1947" s="172" t="n"/>
      <c r="S1947" s="172" t="n"/>
      <c r="T1947" s="172" t="n"/>
      <c r="U1947" s="172" t="n"/>
      <c r="V1947" s="172" t="n"/>
      <c r="W1947" s="172" t="n"/>
      <c r="X1947" s="172" t="n"/>
      <c r="Y1947" s="172" t="n"/>
      <c r="Z1947" s="172" t="n"/>
      <c r="AA1947" s="172" t="n"/>
      <c r="AB1947" s="172" t="n"/>
      <c r="AC1947" s="172" t="n"/>
      <c r="AD1947" s="172" t="n"/>
      <c r="AE1947" s="172" t="n"/>
      <c r="AF1947" s="172" t="n"/>
      <c r="AG1947" s="172" t="n"/>
      <c r="AH1947" s="172" t="n"/>
      <c r="AI1947" s="172" t="n"/>
      <c r="AJ1947" s="172" t="n"/>
      <c r="AK1947" s="172" t="n"/>
      <c r="AL1947" s="172" t="n"/>
      <c r="AM1947" s="172" t="n"/>
      <c r="AN1947" s="172" t="n"/>
      <c r="AO1947" s="172" t="n"/>
      <c r="AP1947" s="172" t="n"/>
      <c r="AQ1947" s="172" t="n"/>
      <c r="AR1947" s="172" t="n"/>
      <c r="AS1947" s="172" t="n"/>
      <c r="AT1947" s="172" t="n"/>
      <c r="AU1947" s="172" t="n"/>
      <c r="AV1947" s="172" t="n"/>
      <c r="AW1947" s="172" t="n"/>
      <c r="AX1947" s="172" t="n"/>
      <c r="AY1947" s="172" t="n"/>
      <c r="AZ1947" s="172" t="n"/>
      <c r="BA1947" s="172" t="n"/>
      <c r="BB1947" s="172" t="n"/>
      <c r="BC1947" s="172" t="n"/>
      <c r="BD1947" s="172" t="n"/>
      <c r="BE1947" s="172" t="n"/>
      <c r="BF1947" s="172" t="n"/>
      <c r="BG1947" s="172" t="n"/>
      <c r="BH1947" s="172" t="n"/>
      <c r="BI1947" s="173"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4" t="inlineStr">
        <is>
          <t>連絡先</t>
        </is>
      </c>
      <c r="F1948" s="175" t="n"/>
      <c r="G1948" s="175" t="n"/>
      <c r="H1948" s="175" t="n"/>
      <c r="I1948" s="175" t="n"/>
      <c r="J1948" s="175" t="n"/>
      <c r="K1948" s="176" t="n"/>
      <c r="L1948" s="83" t="inlineStr">
        <is>
          <t>〒</t>
        </is>
      </c>
      <c r="M1948" s="175" t="n"/>
      <c r="N1948" s="175" t="n"/>
      <c r="O1948" s="175" t="n"/>
      <c r="P1948" s="181">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2">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5" t="n"/>
      <c r="F1952" s="156" t="n"/>
      <c r="G1952" s="156" t="n"/>
      <c r="H1952" s="156" t="n"/>
      <c r="I1952" s="156" t="n"/>
      <c r="J1952" s="156" t="n"/>
      <c r="K1952" s="157" t="n"/>
      <c r="L1952" s="156" t="n"/>
      <c r="M1952" s="156" t="n"/>
      <c r="N1952" s="156" t="n"/>
      <c r="O1952" s="156" t="n"/>
      <c r="P1952" s="156" t="n"/>
      <c r="Q1952" s="156" t="n"/>
      <c r="R1952" s="156" t="n"/>
      <c r="S1952" s="156" t="n"/>
      <c r="T1952" s="156" t="n"/>
      <c r="U1952" s="156" t="n"/>
      <c r="V1952" s="156" t="n"/>
      <c r="W1952" s="156" t="n"/>
      <c r="X1952" s="156" t="n"/>
      <c r="Y1952" s="156" t="n"/>
      <c r="Z1952" s="156" t="n"/>
      <c r="AA1952" s="156" t="n"/>
      <c r="AB1952" s="156" t="n"/>
      <c r="AC1952" s="156" t="n"/>
      <c r="AD1952" s="156" t="n"/>
      <c r="AE1952" s="156" t="n"/>
      <c r="AF1952" s="156" t="n"/>
      <c r="AG1952" s="156" t="n"/>
      <c r="AH1952" s="156" t="n"/>
      <c r="AI1952" s="156" t="n"/>
      <c r="AJ1952" s="156" t="n"/>
      <c r="AK1952" s="156" t="n"/>
      <c r="AL1952" s="156" t="n"/>
      <c r="AM1952" s="156" t="n"/>
      <c r="AN1952" s="156" t="n"/>
      <c r="AO1952" s="156" t="n"/>
      <c r="AP1952" s="156" t="n"/>
      <c r="AQ1952" s="156" t="n"/>
      <c r="AR1952" s="156" t="n"/>
      <c r="AS1952" s="156" t="n"/>
      <c r="AT1952" s="156" t="n"/>
      <c r="AU1952" s="156" t="n"/>
      <c r="AV1952" s="156" t="n"/>
      <c r="AW1952" s="156" t="n"/>
      <c r="AX1952" s="156" t="n"/>
      <c r="AY1952" s="156" t="n"/>
      <c r="AZ1952" s="156" t="n"/>
      <c r="BA1952" s="156" t="n"/>
      <c r="BB1952" s="156" t="n"/>
      <c r="BC1952" s="156" t="n"/>
      <c r="BD1952" s="156" t="n"/>
      <c r="BE1952" s="156" t="n"/>
      <c r="BF1952" s="156" t="n"/>
      <c r="BG1952" s="156" t="n"/>
      <c r="BH1952" s="156" t="n"/>
      <c r="BI1952" s="157"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86"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3" t="n"/>
      <c r="BQ1958" s="149" t="n"/>
      <c r="BR1958" s="184" t="n"/>
      <c r="BS1958" s="149" t="n"/>
      <c r="BT1958" s="149" t="n"/>
      <c r="BU1958" s="28" t="n"/>
      <c r="BV1958" s="29" t="n"/>
      <c r="BW1958" s="185">
        <f>計算!$BP$24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115"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6"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107"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7">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188">
        <f>IF(入力!$D$26="","",設定!$B$6)&amp;""</f>
        <v/>
      </c>
      <c r="S1966" s="11" t="n"/>
      <c r="T1966" s="11" t="n"/>
      <c r="U1966" s="188">
        <f>IF(入力!$D$26="","",設定!$B$7)&amp;""</f>
        <v/>
      </c>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110" t="inlineStr">
        <is>
          <t>令和</t>
        </is>
      </c>
      <c r="S1967" s="61" t="inlineStr">
        <is>
          <t>年</t>
        </is>
      </c>
      <c r="W1967" s="62"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90"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5" t="n"/>
      <c r="F1971" s="156" t="n"/>
      <c r="G1971" s="156" t="n"/>
      <c r="H1971" s="156" t="n"/>
      <c r="I1971" s="156" t="n"/>
      <c r="J1971" s="156" t="n"/>
      <c r="K1971" s="157"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6" t="n"/>
      <c r="AX1971" s="156" t="n"/>
      <c r="AY1971" s="156" t="n"/>
      <c r="AZ1971" s="156" t="n"/>
      <c r="BA1971" s="156" t="n"/>
      <c r="BB1971" s="156" t="n"/>
      <c r="BC1971" s="156" t="n"/>
      <c r="BD1971" s="156" t="n"/>
      <c r="BE1971" s="156" t="n"/>
      <c r="BF1971" s="156" t="n"/>
      <c r="BG1971" s="156" t="n"/>
      <c r="BH1971" s="156" t="n"/>
      <c r="BI1971" s="157"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58" t="n"/>
      <c r="T1972" s="149" t="n"/>
      <c r="U1972" s="17" t="n"/>
      <c r="V1972" s="17" t="n"/>
      <c r="W1972" s="58"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89" t="inlineStr">
        <is>
          <t>職　歴</t>
        </is>
      </c>
      <c r="K1975" s="153" t="n"/>
      <c r="L1975" s="69" t="inlineStr">
        <is>
          <t>平成</t>
        </is>
      </c>
      <c r="M1975" s="149" t="n"/>
      <c r="N1975" s="149" t="n"/>
      <c r="O1975" s="149" t="n"/>
      <c r="P1975" s="19" t="n"/>
      <c r="Q1975" s="19" t="n"/>
      <c r="R1975" s="19" t="n"/>
      <c r="S1975" s="19" t="n"/>
      <c r="T1975" s="19" t="n"/>
      <c r="U1975" s="19" t="n"/>
      <c r="V1975" s="19" t="n"/>
      <c r="W1975" s="19" t="n"/>
      <c r="X1975" s="37" t="n"/>
      <c r="Y1975" s="180">
        <f>計算!$BT$24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8">
        <f>計算!$BR$24</f>
        <v/>
      </c>
      <c r="S1977" s="61" t="inlineStr">
        <is>
          <t>年</t>
        </is>
      </c>
      <c r="U1977" s="190">
        <f>計算!$BS$24</f>
        <v/>
      </c>
      <c r="W1977" s="62"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74"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5" t="n"/>
      <c r="M1980" s="156" t="n"/>
      <c r="N1980" s="156" t="n"/>
      <c r="O1980" s="156" t="n"/>
      <c r="P1980" s="20" t="n"/>
      <c r="Q1980" s="20" t="n"/>
      <c r="R1980" s="20" t="n"/>
      <c r="S1980" s="20" t="n"/>
      <c r="T1980" s="20" t="n"/>
      <c r="U1980" s="20" t="n"/>
      <c r="V1980" s="20" t="n"/>
      <c r="W1980" s="20" t="n"/>
      <c r="X1980" s="39" t="n"/>
      <c r="Y1980" s="155" t="n"/>
      <c r="Z1980" s="156" t="n"/>
      <c r="AA1980" s="156" t="n"/>
      <c r="AB1980" s="156" t="n"/>
      <c r="AC1980" s="156" t="n"/>
      <c r="AD1980" s="156" t="n"/>
      <c r="AE1980" s="156" t="n"/>
      <c r="AF1980" s="156" t="n"/>
      <c r="AG1980" s="156" t="n"/>
      <c r="AH1980" s="156" t="n"/>
      <c r="AI1980" s="156" t="n"/>
      <c r="AJ1980" s="156" t="n"/>
      <c r="AK1980" s="156" t="n"/>
      <c r="AL1980" s="156" t="n"/>
      <c r="AM1980" s="156" t="n"/>
      <c r="AN1980" s="156" t="n"/>
      <c r="AO1980" s="156" t="n"/>
      <c r="AP1980" s="156" t="n"/>
      <c r="AQ1980" s="156" t="n"/>
      <c r="AR1980" s="156" t="n"/>
      <c r="AS1980" s="156" t="n"/>
      <c r="AT1980" s="156" t="n"/>
      <c r="AU1980" s="156" t="n"/>
      <c r="AV1980" s="156" t="n"/>
      <c r="AW1980" s="156" t="n"/>
      <c r="AX1980" s="156" t="n"/>
      <c r="AY1980" s="156" t="n"/>
      <c r="AZ1980" s="156" t="n"/>
      <c r="BA1980" s="156" t="n"/>
      <c r="BB1980" s="156" t="n"/>
      <c r="BC1980" s="156" t="n"/>
      <c r="BD1980" s="156" t="n"/>
      <c r="BE1980" s="156" t="n"/>
      <c r="BF1980" s="156" t="n"/>
      <c r="BG1980" s="156" t="n"/>
      <c r="BH1980" s="156" t="n"/>
      <c r="BI1980" s="157"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69" t="inlineStr">
        <is>
          <t>平成</t>
        </is>
      </c>
      <c r="M1981" s="149" t="n"/>
      <c r="N1981" s="149" t="n"/>
      <c r="O1981" s="149" t="n"/>
      <c r="P1981" s="18" t="n"/>
      <c r="Q1981" s="18" t="n"/>
      <c r="R1981" s="18" t="n"/>
      <c r="S1981" s="18" t="n"/>
      <c r="T1981" s="18" t="n"/>
      <c r="U1981" s="18" t="n"/>
      <c r="V1981" s="18" t="n"/>
      <c r="W1981" s="18" t="n"/>
      <c r="X1981" s="35" t="n"/>
      <c r="Y1981" s="180">
        <f>計算!$BW$24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8">
        <f>計算!$BU$24</f>
        <v/>
      </c>
      <c r="S1983" s="61" t="inlineStr">
        <is>
          <t>年</t>
        </is>
      </c>
      <c r="U1983" s="190">
        <f>計算!$BV$24</f>
        <v/>
      </c>
      <c r="W1983" s="62"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74"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5" t="n"/>
      <c r="M1986" s="156" t="n"/>
      <c r="N1986" s="156" t="n"/>
      <c r="O1986" s="156" t="n"/>
      <c r="P1986" s="20" t="n"/>
      <c r="Q1986" s="20" t="n"/>
      <c r="R1986" s="20" t="n"/>
      <c r="S1986" s="20" t="n"/>
      <c r="T1986" s="20" t="n"/>
      <c r="U1986" s="20" t="n"/>
      <c r="V1986" s="20" t="n"/>
      <c r="W1986" s="20" t="n"/>
      <c r="X1986" s="39" t="n"/>
      <c r="Y1986" s="155" t="n"/>
      <c r="Z1986" s="156" t="n"/>
      <c r="AA1986" s="156" t="n"/>
      <c r="AB1986" s="156" t="n"/>
      <c r="AC1986" s="156" t="n"/>
      <c r="AD1986" s="156" t="n"/>
      <c r="AE1986" s="156" t="n"/>
      <c r="AF1986" s="156" t="n"/>
      <c r="AG1986" s="156" t="n"/>
      <c r="AH1986" s="156" t="n"/>
      <c r="AI1986" s="156" t="n"/>
      <c r="AJ1986" s="156" t="n"/>
      <c r="AK1986" s="156" t="n"/>
      <c r="AL1986" s="156" t="n"/>
      <c r="AM1986" s="156" t="n"/>
      <c r="AN1986" s="156" t="n"/>
      <c r="AO1986" s="156" t="n"/>
      <c r="AP1986" s="156" t="n"/>
      <c r="AQ1986" s="156" t="n"/>
      <c r="AR1986" s="156" t="n"/>
      <c r="AS1986" s="156" t="n"/>
      <c r="AT1986" s="156" t="n"/>
      <c r="AU1986" s="156" t="n"/>
      <c r="AV1986" s="156" t="n"/>
      <c r="AW1986" s="156" t="n"/>
      <c r="AX1986" s="156" t="n"/>
      <c r="AY1986" s="156" t="n"/>
      <c r="AZ1986" s="156" t="n"/>
      <c r="BA1986" s="156" t="n"/>
      <c r="BB1986" s="156" t="n"/>
      <c r="BC1986" s="156" t="n"/>
      <c r="BD1986" s="156" t="n"/>
      <c r="BE1986" s="156" t="n"/>
      <c r="BF1986" s="156" t="n"/>
      <c r="BG1986" s="156" t="n"/>
      <c r="BH1986" s="156" t="n"/>
      <c r="BI1986" s="157" t="n"/>
      <c r="BJ1986" s="2" t="n"/>
      <c r="BK1986" s="2" t="n"/>
      <c r="BL1986" s="2" t="n"/>
      <c r="BM1986" s="2" t="n"/>
      <c r="BN1986" s="2" t="n"/>
      <c r="BO1986" s="2" t="n"/>
      <c r="BP1986" s="155" t="n"/>
      <c r="BQ1986" s="156" t="n"/>
      <c r="BR1986" s="156" t="n"/>
      <c r="BS1986" s="156" t="n"/>
      <c r="BT1986" s="156" t="n"/>
      <c r="BU1986" s="42" t="n"/>
      <c r="BV1986" s="45" t="n"/>
      <c r="BW1986" s="156" t="n"/>
      <c r="BX1986" s="156" t="n"/>
      <c r="BY1986" s="156" t="n"/>
      <c r="BZ1986" s="156" t="n"/>
      <c r="CA1986" s="156" t="n"/>
      <c r="CB1986" s="156" t="n"/>
      <c r="CC1986" s="156" t="n"/>
      <c r="CD1986" s="156" t="n"/>
      <c r="CE1986" s="156" t="n"/>
      <c r="CF1986" s="156" t="n"/>
      <c r="CG1986" s="156" t="n"/>
      <c r="CH1986" s="156" t="n"/>
      <c r="CI1986" s="156" t="n"/>
      <c r="CJ1986" s="156" t="n"/>
      <c r="CK1986" s="156" t="n"/>
      <c r="CL1986" s="156" t="n"/>
      <c r="CM1986" s="156" t="n"/>
      <c r="CN1986" s="156" t="n"/>
      <c r="CO1986" s="156" t="n"/>
      <c r="CP1986" s="156" t="n"/>
      <c r="CQ1986" s="156" t="n"/>
      <c r="CR1986" s="156" t="n"/>
      <c r="CS1986" s="156" t="n"/>
      <c r="CT1986" s="156" t="n"/>
      <c r="CU1986" s="156" t="n"/>
      <c r="CV1986" s="156" t="n"/>
      <c r="CW1986" s="156" t="n"/>
      <c r="CX1986" s="156" t="n"/>
      <c r="CY1986" s="156" t="n"/>
      <c r="CZ1986" s="156" t="n"/>
      <c r="DA1986" s="156" t="n"/>
      <c r="DB1986" s="156" t="n"/>
      <c r="DC1986" s="156" t="n"/>
      <c r="DD1986" s="156" t="n"/>
      <c r="DE1986" s="156" t="n"/>
      <c r="DF1986" s="156" t="n"/>
      <c r="DG1986" s="156" t="n"/>
      <c r="DH1986" s="156" t="n"/>
      <c r="DI1986" s="156" t="n"/>
      <c r="DJ1986" s="156" t="n"/>
      <c r="DK1986" s="156" t="n"/>
      <c r="DL1986" s="156" t="n"/>
      <c r="DM1986" s="156" t="n"/>
      <c r="DN1986" s="156" t="n"/>
      <c r="DO1986" s="156" t="n"/>
      <c r="DP1986" s="156" t="n"/>
      <c r="DQ1986" s="156" t="n"/>
      <c r="DR1986" s="156" t="n"/>
      <c r="DS1986" s="156" t="n"/>
      <c r="DT1986" s="156" t="n"/>
      <c r="DU1986" s="157" t="n"/>
      <c r="DV1986" s="2" t="n"/>
      <c r="DW1986" s="2" t="n"/>
      <c r="DX1986" s="2" t="n"/>
      <c r="DY1986" s="2" t="n"/>
      <c r="DZ1986" s="2" t="n"/>
      <c r="EA1986" s="2" t="n"/>
      <c r="EB1986" s="2" t="n"/>
      <c r="EC1986" s="2" t="n"/>
    </row>
    <row r="1987" ht="6.75" customHeight="1" s="118">
      <c r="A1987" s="2" t="n"/>
      <c r="B1987" s="2" t="n"/>
      <c r="C1987" s="2" t="n"/>
      <c r="D1987" s="2" t="n"/>
      <c r="E1987" s="152" t="n"/>
      <c r="K1987" s="153" t="n"/>
      <c r="L1987" s="69"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5">
        <f>計算!$BQ$24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61" t="inlineStr">
        <is>
          <t>年</t>
        </is>
      </c>
      <c r="U1989" s="11" t="n"/>
      <c r="V1989" s="11" t="n"/>
      <c r="W1989" s="62"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74"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5" t="n"/>
      <c r="M1992" s="156" t="n"/>
      <c r="N1992" s="156" t="n"/>
      <c r="O1992" s="156"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69"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61" t="inlineStr">
        <is>
          <t>年</t>
        </is>
      </c>
      <c r="U1995" s="11" t="n"/>
      <c r="V1995" s="11" t="n"/>
      <c r="W1995" s="62"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74"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61" t="n"/>
      <c r="T1997" s="61" t="n"/>
      <c r="U1997" s="11" t="n"/>
      <c r="V1997" s="11" t="n"/>
      <c r="W1997" s="61" t="n"/>
      <c r="X1997" s="62"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5" t="n"/>
      <c r="F1998" s="156" t="n"/>
      <c r="G1998" s="156" t="n"/>
      <c r="H1998" s="156" t="n"/>
      <c r="I1998" s="156" t="n"/>
      <c r="J1998" s="156" t="n"/>
      <c r="K1998" s="157" t="n"/>
      <c r="L1998" s="155" t="n"/>
      <c r="M1998" s="156" t="n"/>
      <c r="N1998" s="156" t="n"/>
      <c r="O1998" s="156"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5" t="n"/>
      <c r="BQ1998" s="156" t="n"/>
      <c r="BR1998" s="156" t="n"/>
      <c r="BS1998" s="156" t="n"/>
      <c r="BT1998" s="156" t="n"/>
      <c r="BU1998" s="156" t="n"/>
      <c r="BV1998" s="157" t="n"/>
      <c r="BW1998" s="156" t="n"/>
      <c r="BX1998" s="156" t="n"/>
      <c r="BY1998" s="156" t="n"/>
      <c r="BZ1998" s="156" t="n"/>
      <c r="CA1998" s="156" t="n"/>
      <c r="CB1998" s="156" t="n"/>
      <c r="CC1998" s="156" t="n"/>
      <c r="CD1998" s="156" t="n"/>
      <c r="CE1998" s="156" t="n"/>
      <c r="CF1998" s="156" t="n"/>
      <c r="CG1998" s="156" t="n"/>
      <c r="CH1998" s="156" t="n"/>
      <c r="CI1998" s="156" t="n"/>
      <c r="CJ1998" s="156" t="n"/>
      <c r="CK1998" s="156" t="n"/>
      <c r="CL1998" s="156" t="n"/>
      <c r="CM1998" s="156" t="n"/>
      <c r="CN1998" s="156" t="n"/>
      <c r="CO1998" s="156" t="n"/>
      <c r="CP1998" s="156" t="n"/>
      <c r="CQ1998" s="156" t="n"/>
      <c r="CR1998" s="156" t="n"/>
      <c r="CS1998" s="156" t="n"/>
      <c r="CT1998" s="156" t="n"/>
      <c r="CU1998" s="156" t="n"/>
      <c r="CV1998" s="156" t="n"/>
      <c r="CW1998" s="156" t="n"/>
      <c r="CX1998" s="156" t="n"/>
      <c r="CY1998" s="156" t="n"/>
      <c r="CZ1998" s="156" t="n"/>
      <c r="DA1998" s="156" t="n"/>
      <c r="DB1998" s="156" t="n"/>
      <c r="DC1998" s="156" t="n"/>
      <c r="DD1998" s="156" t="n"/>
      <c r="DE1998" s="156" t="n"/>
      <c r="DF1998" s="156" t="n"/>
      <c r="DG1998" s="156" t="n"/>
      <c r="DH1998" s="156" t="n"/>
      <c r="DI1998" s="156" t="n"/>
      <c r="DJ1998" s="156" t="n"/>
      <c r="DK1998" s="156" t="n"/>
      <c r="DL1998" s="156" t="n"/>
      <c r="DM1998" s="156" t="n"/>
      <c r="DN1998" s="156" t="n"/>
      <c r="DO1998" s="156" t="n"/>
      <c r="DP1998" s="156" t="n"/>
      <c r="DQ1998" s="156" t="n"/>
      <c r="DR1998" s="156" t="n"/>
      <c r="DS1998" s="156" t="n"/>
      <c r="DT1998" s="156" t="n"/>
      <c r="DU1998" s="157"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87" t="inlineStr">
        <is>
          <t xml:space="preserve">    (近畿高等学校統一用紙　  その２ 　  令和７年度改定)　</t>
        </is>
      </c>
      <c r="DV2000" s="2" t="n"/>
      <c r="DW2000" s="2" t="n"/>
      <c r="DX2000" s="2" t="n"/>
      <c r="DY2000" s="2" t="n"/>
      <c r="DZ2000" s="2" t="n"/>
      <c r="EA2000" s="2" t="n"/>
      <c r="EB2000" s="2" t="n"/>
      <c r="EC2000" s="2" t="n"/>
    </row>
    <row r="2001" hidden="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idden="1"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47"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64" t="inlineStr">
        <is>
          <t>令和</t>
        </is>
      </c>
      <c r="AD2010" s="154">
        <f>IF(入力!$D$27="","",IF(N(設定!$B$3)=0,"",YEAR(設定!$B$3)-2018))&amp;""</f>
        <v/>
      </c>
      <c r="AG2010" s="64" t="inlineStr">
        <is>
          <t>年</t>
        </is>
      </c>
      <c r="AI2010" s="154">
        <f>IF(入力!$D$27="","",IF(N(設定!$B$3)=0,"",MONTH(設定!$B$3)))&amp;""</f>
        <v/>
      </c>
      <c r="AL2010" s="64" t="inlineStr">
        <is>
          <t>月</t>
        </is>
      </c>
      <c r="AN2010" s="154">
        <f>IF(入力!$D$27="","",IF(N(設定!$B$3)=0,"",DAY(設定!$B$3)))&amp;""</f>
        <v/>
      </c>
      <c r="AP2010" s="64"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5" t="n"/>
      <c r="BX2010" s="156" t="n"/>
      <c r="BY2010" s="156" t="n"/>
      <c r="BZ2010" s="156" t="n"/>
      <c r="CA2010" s="156" t="n"/>
      <c r="CB2010" s="156" t="n"/>
      <c r="CC2010" s="156" t="n"/>
      <c r="CD2010" s="156" t="n"/>
      <c r="CE2010" s="156" t="n"/>
      <c r="CF2010" s="156" t="n"/>
      <c r="CG2010" s="157" t="n"/>
      <c r="CH2010" s="155" t="n"/>
      <c r="CI2010" s="156" t="n"/>
      <c r="CJ2010" s="156" t="n"/>
      <c r="CK2010" s="156" t="n"/>
      <c r="CL2010" s="156" t="n"/>
      <c r="CM2010" s="156" t="n"/>
      <c r="CN2010" s="156" t="n"/>
      <c r="CO2010" s="156" t="n"/>
      <c r="CP2010" s="156" t="n"/>
      <c r="CQ2010" s="156" t="n"/>
      <c r="CR2010" s="156" t="n"/>
      <c r="CS2010" s="156" t="n"/>
      <c r="CT2010" s="156" t="n"/>
      <c r="CU2010" s="156" t="n"/>
      <c r="CV2010" s="156" t="n"/>
      <c r="CW2010" s="156" t="n"/>
      <c r="CX2010" s="156" t="n"/>
      <c r="CY2010" s="156" t="n"/>
      <c r="CZ2010" s="156" t="n"/>
      <c r="DA2010" s="156" t="n"/>
      <c r="DB2010" s="156" t="n"/>
      <c r="DC2010" s="156" t="n"/>
      <c r="DD2010" s="156" t="n"/>
      <c r="DE2010" s="156" t="n"/>
      <c r="DF2010" s="156" t="n"/>
      <c r="DG2010" s="156" t="n"/>
      <c r="DH2010" s="156" t="n"/>
      <c r="DI2010" s="156" t="n"/>
      <c r="DJ2010" s="156" t="n"/>
      <c r="DK2010" s="156" t="n"/>
      <c r="DL2010" s="156" t="n"/>
      <c r="DM2010" s="156" t="n"/>
      <c r="DN2010" s="156" t="n"/>
      <c r="DO2010" s="156" t="n"/>
      <c r="DP2010" s="156" t="n"/>
      <c r="DQ2010" s="156" t="n"/>
      <c r="DR2010" s="156" t="n"/>
      <c r="DS2010" s="156" t="n"/>
      <c r="DT2010" s="156" t="n"/>
      <c r="DU2010" s="157"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68" t="inlineStr">
        <is>
          <t>写真をはる位置</t>
        </is>
      </c>
      <c r="BI2011" s="8" t="n"/>
      <c r="BJ2011" s="7" t="n"/>
      <c r="BK2011" s="2" t="n"/>
      <c r="BL2011" s="2" t="n"/>
      <c r="BM2011" s="2" t="n"/>
      <c r="BN2011" s="2" t="n"/>
      <c r="BO2011" s="2" t="n"/>
      <c r="BP2011" s="152" t="n"/>
      <c r="BV2011" s="153" t="n"/>
      <c r="BW2011" s="158">
        <f>計算!$CB$25</f>
        <v/>
      </c>
      <c r="CG2011" s="153" t="n"/>
      <c r="CH2011" s="159">
        <f>計算!$CC$25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6" t="n"/>
      <c r="AA2012" s="156" t="n"/>
      <c r="AB2012" s="156" t="n"/>
      <c r="AC2012" s="156" t="n"/>
      <c r="AD2012" s="156" t="n"/>
      <c r="AE2012" s="156" t="n"/>
      <c r="AF2012" s="156" t="n"/>
      <c r="AG2012" s="156" t="n"/>
      <c r="AH2012" s="156" t="n"/>
      <c r="AI2012" s="156" t="n"/>
      <c r="AJ2012" s="156" t="n"/>
      <c r="AK2012" s="156" t="n"/>
      <c r="AL2012" s="156" t="n"/>
      <c r="AM2012" s="156" t="n"/>
      <c r="AN2012" s="156" t="n"/>
      <c r="AO2012" s="156" t="n"/>
      <c r="AP2012" s="156" t="n"/>
      <c r="AQ2012" s="156" t="n"/>
      <c r="AR2012" s="156" t="n"/>
      <c r="AS2012" s="156" t="n"/>
      <c r="AT2012" s="156"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0">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5" t="n"/>
      <c r="F2016" s="156" t="n"/>
      <c r="G2016" s="156" t="n"/>
      <c r="H2016" s="156" t="n"/>
      <c r="I2016" s="156" t="n"/>
      <c r="J2016" s="156" t="n"/>
      <c r="K2016" s="157" t="n"/>
      <c r="L2016" s="156" t="n"/>
      <c r="M2016" s="156" t="n"/>
      <c r="N2016" s="156" t="n"/>
      <c r="O2016" s="156" t="n"/>
      <c r="P2016" s="156" t="n"/>
      <c r="Q2016" s="156" t="n"/>
      <c r="R2016" s="156" t="n"/>
      <c r="S2016" s="156" t="n"/>
      <c r="T2016" s="156" t="n"/>
      <c r="U2016" s="156" t="n"/>
      <c r="V2016" s="156" t="n"/>
      <c r="W2016" s="156" t="n"/>
      <c r="X2016" s="156" t="n"/>
      <c r="Y2016" s="156" t="n"/>
      <c r="Z2016" s="156" t="n"/>
      <c r="AA2016" s="156" t="n"/>
      <c r="AB2016" s="156" t="n"/>
      <c r="AC2016" s="156" t="n"/>
      <c r="AD2016" s="156" t="n"/>
      <c r="AE2016" s="156" t="n"/>
      <c r="AF2016" s="156" t="n"/>
      <c r="AG2016" s="156" t="n"/>
      <c r="AH2016" s="156" t="n"/>
      <c r="AI2016" s="156" t="n"/>
      <c r="AJ2016" s="156" t="n"/>
      <c r="AK2016" s="156" t="n"/>
      <c r="AL2016" s="156" t="n"/>
      <c r="AM2016" s="156" t="n"/>
      <c r="AN2016" s="156" t="n"/>
      <c r="AO2016" s="156" t="n"/>
      <c r="AP2016" s="156" t="n"/>
      <c r="AQ2016" s="156" t="n"/>
      <c r="AR2016" s="156" t="n"/>
      <c r="AS2016" s="156" t="n"/>
      <c r="AT2016" s="157"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1" t="inlineStr">
        <is>
          <t>名　前</t>
        </is>
      </c>
      <c r="F2017" s="149" t="n"/>
      <c r="G2017" s="149" t="n"/>
      <c r="H2017" s="149" t="n"/>
      <c r="I2017" s="149" t="n"/>
      <c r="J2017" s="149" t="n"/>
      <c r="K2017" s="150" t="n"/>
      <c r="L2017" s="162">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61"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5" t="n"/>
      <c r="F2022" s="156" t="n"/>
      <c r="G2022" s="156" t="n"/>
      <c r="H2022" s="156" t="n"/>
      <c r="I2022" s="156" t="n"/>
      <c r="J2022" s="156" t="n"/>
      <c r="K2022" s="157" t="n"/>
      <c r="L2022" s="155" t="n"/>
      <c r="M2022" s="156" t="n"/>
      <c r="N2022" s="156" t="n"/>
      <c r="O2022" s="156" t="n"/>
      <c r="P2022" s="156" t="n"/>
      <c r="Q2022" s="156" t="n"/>
      <c r="R2022" s="156" t="n"/>
      <c r="S2022" s="156" t="n"/>
      <c r="T2022" s="156" t="n"/>
      <c r="U2022" s="156" t="n"/>
      <c r="V2022" s="156" t="n"/>
      <c r="W2022" s="156" t="n"/>
      <c r="X2022" s="156" t="n"/>
      <c r="Y2022" s="156" t="n"/>
      <c r="Z2022" s="156" t="n"/>
      <c r="AA2022" s="156" t="n"/>
      <c r="AB2022" s="156" t="n"/>
      <c r="AC2022" s="156" t="n"/>
      <c r="AD2022" s="156" t="n"/>
      <c r="AE2022" s="156" t="n"/>
      <c r="AF2022" s="156" t="n"/>
      <c r="AG2022" s="156" t="n"/>
      <c r="AH2022" s="156" t="n"/>
      <c r="AI2022" s="156" t="n"/>
      <c r="AJ2022" s="156" t="n"/>
      <c r="AK2022" s="156" t="n"/>
      <c r="AL2022" s="156" t="n"/>
      <c r="AM2022" s="156" t="n"/>
      <c r="AN2022" s="156" t="n"/>
      <c r="AO2022" s="156" t="n"/>
      <c r="AP2022" s="156" t="n"/>
      <c r="AQ2022" s="156" t="n"/>
      <c r="AR2022" s="156" t="n"/>
      <c r="AS2022" s="156" t="n"/>
      <c r="AT2022" s="157"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1" t="inlineStr">
        <is>
          <t>生年月日</t>
        </is>
      </c>
      <c r="F2023" s="149" t="n"/>
      <c r="G2023" s="149" t="n"/>
      <c r="H2023" s="149" t="n"/>
      <c r="I2023" s="149" t="n"/>
      <c r="J2023" s="149" t="n"/>
      <c r="K2023" s="150" t="n"/>
      <c r="L2023" s="163" t="inlineStr">
        <is>
          <t>昭和 ・ 平成</t>
        </is>
      </c>
      <c r="M2023" s="149" t="n"/>
      <c r="N2023" s="149" t="n"/>
      <c r="O2023" s="149" t="n"/>
      <c r="P2023" s="149" t="n"/>
      <c r="Q2023" s="149" t="n"/>
      <c r="R2023" s="149" t="n"/>
      <c r="S2023" s="149" t="n"/>
      <c r="T2023" s="149" t="n"/>
      <c r="U2023" s="149" t="n"/>
      <c r="V2023" s="164">
        <f>計算!$D$25</f>
        <v/>
      </c>
      <c r="W2023" s="149" t="n"/>
      <c r="X2023" s="165" t="inlineStr">
        <is>
          <t>年</t>
        </is>
      </c>
      <c r="Y2023" s="149" t="n"/>
      <c r="Z2023" s="166">
        <f>計算!$E$25</f>
        <v/>
      </c>
      <c r="AA2023" s="149" t="n"/>
      <c r="AB2023" s="149" t="n"/>
      <c r="AC2023" s="165" t="inlineStr">
        <is>
          <t>月</t>
        </is>
      </c>
      <c r="AD2023" s="149" t="n"/>
      <c r="AE2023" s="166">
        <f>計算!$F$25</f>
        <v/>
      </c>
      <c r="AF2023" s="149" t="n"/>
      <c r="AG2023" s="149" t="n"/>
      <c r="AH2023" s="165" t="inlineStr">
        <is>
          <t>日　生 （満</t>
        </is>
      </c>
      <c r="AI2023" s="149" t="n"/>
      <c r="AJ2023" s="149" t="n"/>
      <c r="AK2023" s="149" t="n"/>
      <c r="AL2023" s="149" t="n"/>
      <c r="AM2023" s="149" t="n"/>
      <c r="AN2023" s="149" t="n"/>
      <c r="AO2023" s="149" t="n"/>
      <c r="AP2023" s="167">
        <f>計算!$G$25</f>
        <v/>
      </c>
      <c r="AQ2023" s="149" t="n"/>
      <c r="AR2023" s="168"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5" t="n"/>
      <c r="F2026" s="156" t="n"/>
      <c r="G2026" s="156" t="n"/>
      <c r="H2026" s="156" t="n"/>
      <c r="I2026" s="156" t="n"/>
      <c r="J2026" s="156" t="n"/>
      <c r="K2026" s="157" t="n"/>
      <c r="L2026" s="155" t="n"/>
      <c r="M2026" s="156" t="n"/>
      <c r="N2026" s="156" t="n"/>
      <c r="O2026" s="156" t="n"/>
      <c r="P2026" s="156" t="n"/>
      <c r="Q2026" s="156" t="n"/>
      <c r="R2026" s="156" t="n"/>
      <c r="S2026" s="156" t="n"/>
      <c r="T2026" s="156" t="n"/>
      <c r="U2026" s="156" t="n"/>
      <c r="X2026" s="156" t="n"/>
      <c r="Y2026" s="156" t="n"/>
      <c r="AC2026" s="156" t="n"/>
      <c r="AD2026" s="156" t="n"/>
      <c r="AH2026" s="156" t="n"/>
      <c r="AI2026" s="156" t="n"/>
      <c r="AJ2026" s="156" t="n"/>
      <c r="AK2026" s="156" t="n"/>
      <c r="AL2026" s="156" t="n"/>
      <c r="AM2026" s="156" t="n"/>
      <c r="AN2026" s="156" t="n"/>
      <c r="AO2026" s="156" t="n"/>
      <c r="AP2026" s="156" t="n"/>
      <c r="AQ2026" s="156" t="n"/>
      <c r="AR2026" s="156" t="n"/>
      <c r="AS2026" s="156" t="n"/>
      <c r="AT2026" s="157"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69" t="inlineStr">
        <is>
          <t>ふ り が な</t>
        </is>
      </c>
      <c r="F2027" s="149" t="n"/>
      <c r="G2027" s="149" t="n"/>
      <c r="H2027" s="149" t="n"/>
      <c r="I2027" s="149" t="n"/>
      <c r="J2027" s="149" t="n"/>
      <c r="K2027" s="150" t="n"/>
      <c r="L2027" s="170">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1" t="n"/>
      <c r="F2029" s="172" t="n"/>
      <c r="G2029" s="172" t="n"/>
      <c r="H2029" s="172" t="n"/>
      <c r="I2029" s="172" t="n"/>
      <c r="J2029" s="172" t="n"/>
      <c r="K2029" s="173" t="n"/>
      <c r="L2029" s="172" t="n"/>
      <c r="M2029" s="172" t="n"/>
      <c r="N2029" s="172" t="n"/>
      <c r="O2029" s="172" t="n"/>
      <c r="P2029" s="172" t="n"/>
      <c r="Q2029" s="172" t="n"/>
      <c r="R2029" s="172" t="n"/>
      <c r="S2029" s="172" t="n"/>
      <c r="T2029" s="172" t="n"/>
      <c r="U2029" s="172" t="n"/>
      <c r="V2029" s="172" t="n"/>
      <c r="W2029" s="172" t="n"/>
      <c r="X2029" s="172" t="n"/>
      <c r="Y2029" s="172" t="n"/>
      <c r="Z2029" s="172" t="n"/>
      <c r="AA2029" s="172" t="n"/>
      <c r="AB2029" s="172" t="n"/>
      <c r="AC2029" s="172" t="n"/>
      <c r="AD2029" s="172" t="n"/>
      <c r="AE2029" s="172" t="n"/>
      <c r="AF2029" s="172" t="n"/>
      <c r="AG2029" s="172" t="n"/>
      <c r="AH2029" s="172" t="n"/>
      <c r="AI2029" s="172" t="n"/>
      <c r="AJ2029" s="172" t="n"/>
      <c r="AK2029" s="172" t="n"/>
      <c r="AL2029" s="172" t="n"/>
      <c r="AM2029" s="172" t="n"/>
      <c r="AN2029" s="172" t="n"/>
      <c r="AO2029" s="172" t="n"/>
      <c r="AP2029" s="172" t="n"/>
      <c r="AQ2029" s="172" t="n"/>
      <c r="AR2029" s="172" t="n"/>
      <c r="AS2029" s="172" t="n"/>
      <c r="AT2029" s="172" t="n"/>
      <c r="AU2029" s="172" t="n"/>
      <c r="AV2029" s="172" t="n"/>
      <c r="AW2029" s="172" t="n"/>
      <c r="AX2029" s="172" t="n"/>
      <c r="AY2029" s="172" t="n"/>
      <c r="AZ2029" s="172" t="n"/>
      <c r="BA2029" s="172" t="n"/>
      <c r="BB2029" s="172" t="n"/>
      <c r="BC2029" s="172" t="n"/>
      <c r="BD2029" s="172" t="n"/>
      <c r="BE2029" s="172" t="n"/>
      <c r="BF2029" s="172" t="n"/>
      <c r="BG2029" s="172" t="n"/>
      <c r="BH2029" s="172" t="n"/>
      <c r="BI2029" s="173"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4" t="inlineStr">
        <is>
          <t>現住所</t>
        </is>
      </c>
      <c r="F2030" s="175" t="n"/>
      <c r="G2030" s="175" t="n"/>
      <c r="H2030" s="175" t="n"/>
      <c r="I2030" s="175" t="n"/>
      <c r="J2030" s="175" t="n"/>
      <c r="K2030" s="176" t="n"/>
      <c r="L2030" s="83" t="inlineStr">
        <is>
          <t>〒</t>
        </is>
      </c>
      <c r="M2030" s="175" t="n"/>
      <c r="N2030" s="175" t="n"/>
      <c r="O2030" s="175" t="n"/>
      <c r="P2030" s="177">
        <f>計算!$H$25</f>
        <v/>
      </c>
      <c r="Q2030" s="175" t="n"/>
      <c r="R2030" s="175" t="n"/>
      <c r="S2030" s="175" t="n"/>
      <c r="T2030" s="175" t="n"/>
      <c r="U2030" s="175" t="n"/>
      <c r="V2030" s="175" t="n"/>
      <c r="W2030" s="175" t="n"/>
      <c r="X2030" s="175" t="n"/>
      <c r="Y2030" s="175" t="n"/>
      <c r="Z2030" s="175" t="n"/>
      <c r="AA2030" s="175" t="n"/>
      <c r="AB2030" s="175" t="n"/>
      <c r="AC2030" s="175" t="n"/>
      <c r="AD2030" s="175" t="n"/>
      <c r="AE2030" s="175" t="n"/>
      <c r="AF2030" s="175" t="n"/>
      <c r="AG2030" s="175" t="n"/>
      <c r="AH2030" s="175" t="n"/>
      <c r="AI2030" s="175" t="n"/>
      <c r="AJ2030" s="175"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5" t="n"/>
      <c r="BQ2031" s="156" t="n"/>
      <c r="BR2031" s="156" t="n"/>
      <c r="BS2031" s="156" t="n"/>
      <c r="BT2031" s="156" t="n"/>
      <c r="BU2031" s="156" t="n"/>
      <c r="BV2031" s="157" t="n"/>
      <c r="BW2031" s="155" t="n"/>
      <c r="BX2031" s="156" t="n"/>
      <c r="BY2031" s="156" t="n"/>
      <c r="BZ2031" s="156" t="n"/>
      <c r="CA2031" s="156" t="n"/>
      <c r="CB2031" s="156" t="n"/>
      <c r="CC2031" s="156" t="n"/>
      <c r="CD2031" s="156" t="n"/>
      <c r="CE2031" s="156" t="n"/>
      <c r="CF2031" s="156" t="n"/>
      <c r="CG2031" s="157"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8" t="inlineStr">
        <is>
          <t>校内外の諸活動</t>
        </is>
      </c>
      <c r="BQ2032" s="149" t="n"/>
      <c r="BR2032" s="149" t="n"/>
      <c r="BS2032" s="149" t="n"/>
      <c r="BT2032" s="149" t="n"/>
      <c r="BU2032" s="149" t="n"/>
      <c r="BV2032" s="150" t="n"/>
      <c r="BW2032" s="179">
        <f>計算!$BO$25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0">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5" t="n"/>
      <c r="F2035" s="156" t="n"/>
      <c r="G2035" s="156" t="n"/>
      <c r="H2035" s="156" t="n"/>
      <c r="I2035" s="156" t="n"/>
      <c r="J2035" s="156" t="n"/>
      <c r="K2035" s="157" t="n"/>
      <c r="L2035" s="155" t="n"/>
      <c r="M2035" s="156" t="n"/>
      <c r="N2035" s="156" t="n"/>
      <c r="O2035" s="156" t="n"/>
      <c r="P2035" s="156" t="n"/>
      <c r="Q2035" s="156" t="n"/>
      <c r="R2035" s="156" t="n"/>
      <c r="S2035" s="156" t="n"/>
      <c r="T2035" s="156" t="n"/>
      <c r="U2035" s="156" t="n"/>
      <c r="V2035" s="156" t="n"/>
      <c r="W2035" s="156" t="n"/>
      <c r="X2035" s="156" t="n"/>
      <c r="Y2035" s="156" t="n"/>
      <c r="Z2035" s="156" t="n"/>
      <c r="AA2035" s="156" t="n"/>
      <c r="AB2035" s="156" t="n"/>
      <c r="AC2035" s="156" t="n"/>
      <c r="AD2035" s="156" t="n"/>
      <c r="AE2035" s="156" t="n"/>
      <c r="AF2035" s="156" t="n"/>
      <c r="AG2035" s="156" t="n"/>
      <c r="AH2035" s="156" t="n"/>
      <c r="AI2035" s="156" t="n"/>
      <c r="AJ2035" s="156" t="n"/>
      <c r="AK2035" s="156" t="n"/>
      <c r="AL2035" s="156" t="n"/>
      <c r="AM2035" s="156" t="n"/>
      <c r="AN2035" s="156" t="n"/>
      <c r="AO2035" s="156" t="n"/>
      <c r="AP2035" s="156" t="n"/>
      <c r="AQ2035" s="156" t="n"/>
      <c r="AR2035" s="156" t="n"/>
      <c r="AS2035" s="156" t="n"/>
      <c r="AT2035" s="156" t="n"/>
      <c r="AU2035" s="156" t="n"/>
      <c r="AV2035" s="156" t="n"/>
      <c r="AW2035" s="156" t="n"/>
      <c r="AX2035" s="156" t="n"/>
      <c r="AY2035" s="156" t="n"/>
      <c r="AZ2035" s="156" t="n"/>
      <c r="BA2035" s="156" t="n"/>
      <c r="BB2035" s="156" t="n"/>
      <c r="BC2035" s="156" t="n"/>
      <c r="BD2035" s="156" t="n"/>
      <c r="BE2035" s="156" t="n"/>
      <c r="BF2035" s="156" t="n"/>
      <c r="BG2035" s="156" t="n"/>
      <c r="BH2035" s="156" t="n"/>
      <c r="BI2035" s="157"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69" t="inlineStr">
        <is>
          <t>ふ り が な</t>
        </is>
      </c>
      <c r="F2036" s="149" t="n"/>
      <c r="G2036" s="149" t="n"/>
      <c r="H2036" s="149" t="n"/>
      <c r="I2036" s="149" t="n"/>
      <c r="J2036" s="149" t="n"/>
      <c r="K2036" s="150" t="n"/>
      <c r="L2036" s="170">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1" t="n"/>
      <c r="F2038" s="172" t="n"/>
      <c r="G2038" s="172" t="n"/>
      <c r="H2038" s="172" t="n"/>
      <c r="I2038" s="172" t="n"/>
      <c r="J2038" s="172" t="n"/>
      <c r="K2038" s="173" t="n"/>
      <c r="L2038" s="172" t="n"/>
      <c r="M2038" s="172" t="n"/>
      <c r="N2038" s="172" t="n"/>
      <c r="O2038" s="172" t="n"/>
      <c r="P2038" s="172" t="n"/>
      <c r="Q2038" s="172" t="n"/>
      <c r="R2038" s="172" t="n"/>
      <c r="S2038" s="172" t="n"/>
      <c r="T2038" s="172" t="n"/>
      <c r="U2038" s="172" t="n"/>
      <c r="V2038" s="172" t="n"/>
      <c r="W2038" s="172" t="n"/>
      <c r="X2038" s="172" t="n"/>
      <c r="Y2038" s="172" t="n"/>
      <c r="Z2038" s="172" t="n"/>
      <c r="AA2038" s="172" t="n"/>
      <c r="AB2038" s="172" t="n"/>
      <c r="AC2038" s="172" t="n"/>
      <c r="AD2038" s="172" t="n"/>
      <c r="AE2038" s="172" t="n"/>
      <c r="AF2038" s="172" t="n"/>
      <c r="AG2038" s="172" t="n"/>
      <c r="AH2038" s="172" t="n"/>
      <c r="AI2038" s="172" t="n"/>
      <c r="AJ2038" s="172" t="n"/>
      <c r="AK2038" s="172" t="n"/>
      <c r="AL2038" s="172" t="n"/>
      <c r="AM2038" s="172" t="n"/>
      <c r="AN2038" s="172" t="n"/>
      <c r="AO2038" s="172" t="n"/>
      <c r="AP2038" s="172" t="n"/>
      <c r="AQ2038" s="172" t="n"/>
      <c r="AR2038" s="172" t="n"/>
      <c r="AS2038" s="172" t="n"/>
      <c r="AT2038" s="172" t="n"/>
      <c r="AU2038" s="172" t="n"/>
      <c r="AV2038" s="172" t="n"/>
      <c r="AW2038" s="172" t="n"/>
      <c r="AX2038" s="172" t="n"/>
      <c r="AY2038" s="172" t="n"/>
      <c r="AZ2038" s="172" t="n"/>
      <c r="BA2038" s="172" t="n"/>
      <c r="BB2038" s="172" t="n"/>
      <c r="BC2038" s="172" t="n"/>
      <c r="BD2038" s="172" t="n"/>
      <c r="BE2038" s="172" t="n"/>
      <c r="BF2038" s="172" t="n"/>
      <c r="BG2038" s="172" t="n"/>
      <c r="BH2038" s="172" t="n"/>
      <c r="BI2038" s="173"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4" t="inlineStr">
        <is>
          <t>連絡先</t>
        </is>
      </c>
      <c r="F2039" s="175" t="n"/>
      <c r="G2039" s="175" t="n"/>
      <c r="H2039" s="175" t="n"/>
      <c r="I2039" s="175" t="n"/>
      <c r="J2039" s="175" t="n"/>
      <c r="K2039" s="176" t="n"/>
      <c r="L2039" s="83" t="inlineStr">
        <is>
          <t>〒</t>
        </is>
      </c>
      <c r="M2039" s="175" t="n"/>
      <c r="N2039" s="175" t="n"/>
      <c r="O2039" s="175" t="n"/>
      <c r="P2039" s="181">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2">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5" t="n"/>
      <c r="F2043" s="156" t="n"/>
      <c r="G2043" s="156" t="n"/>
      <c r="H2043" s="156" t="n"/>
      <c r="I2043" s="156" t="n"/>
      <c r="J2043" s="156" t="n"/>
      <c r="K2043" s="157" t="n"/>
      <c r="L2043" s="156" t="n"/>
      <c r="M2043" s="156" t="n"/>
      <c r="N2043" s="156" t="n"/>
      <c r="O2043" s="156" t="n"/>
      <c r="P2043" s="156" t="n"/>
      <c r="Q2043" s="156" t="n"/>
      <c r="R2043" s="156" t="n"/>
      <c r="S2043" s="156" t="n"/>
      <c r="T2043" s="156" t="n"/>
      <c r="U2043" s="156" t="n"/>
      <c r="V2043" s="156" t="n"/>
      <c r="W2043" s="156" t="n"/>
      <c r="X2043" s="156" t="n"/>
      <c r="Y2043" s="156" t="n"/>
      <c r="Z2043" s="156" t="n"/>
      <c r="AA2043" s="156" t="n"/>
      <c r="AB2043" s="156" t="n"/>
      <c r="AC2043" s="156" t="n"/>
      <c r="AD2043" s="156" t="n"/>
      <c r="AE2043" s="156" t="n"/>
      <c r="AF2043" s="156" t="n"/>
      <c r="AG2043" s="156" t="n"/>
      <c r="AH2043" s="156" t="n"/>
      <c r="AI2043" s="156" t="n"/>
      <c r="AJ2043" s="156" t="n"/>
      <c r="AK2043" s="156" t="n"/>
      <c r="AL2043" s="156" t="n"/>
      <c r="AM2043" s="156" t="n"/>
      <c r="AN2043" s="156" t="n"/>
      <c r="AO2043" s="156" t="n"/>
      <c r="AP2043" s="156" t="n"/>
      <c r="AQ2043" s="156" t="n"/>
      <c r="AR2043" s="156" t="n"/>
      <c r="AS2043" s="156" t="n"/>
      <c r="AT2043" s="156" t="n"/>
      <c r="AU2043" s="156" t="n"/>
      <c r="AV2043" s="156" t="n"/>
      <c r="AW2043" s="156" t="n"/>
      <c r="AX2043" s="156" t="n"/>
      <c r="AY2043" s="156" t="n"/>
      <c r="AZ2043" s="156" t="n"/>
      <c r="BA2043" s="156" t="n"/>
      <c r="BB2043" s="156" t="n"/>
      <c r="BC2043" s="156" t="n"/>
      <c r="BD2043" s="156" t="n"/>
      <c r="BE2043" s="156" t="n"/>
      <c r="BF2043" s="156" t="n"/>
      <c r="BG2043" s="156" t="n"/>
      <c r="BH2043" s="156" t="n"/>
      <c r="BI2043" s="157"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86"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3" t="n"/>
      <c r="BQ2049" s="149" t="n"/>
      <c r="BR2049" s="184" t="n"/>
      <c r="BS2049" s="149" t="n"/>
      <c r="BT2049" s="149" t="n"/>
      <c r="BU2049" s="28" t="n"/>
      <c r="BV2049" s="29" t="n"/>
      <c r="BW2049" s="185">
        <f>計算!$BP$25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115"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6"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107"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7">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188">
        <f>IF(入力!$D$27="","",設定!$B$6)&amp;""</f>
        <v/>
      </c>
      <c r="S2057" s="11" t="n"/>
      <c r="T2057" s="11" t="n"/>
      <c r="U2057" s="188">
        <f>IF(入力!$D$27="","",設定!$B$7)&amp;""</f>
        <v/>
      </c>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110" t="inlineStr">
        <is>
          <t>令和</t>
        </is>
      </c>
      <c r="S2058" s="61" t="inlineStr">
        <is>
          <t>年</t>
        </is>
      </c>
      <c r="W2058" s="62"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90"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5" t="n"/>
      <c r="F2062" s="156" t="n"/>
      <c r="G2062" s="156" t="n"/>
      <c r="H2062" s="156" t="n"/>
      <c r="I2062" s="156" t="n"/>
      <c r="J2062" s="156" t="n"/>
      <c r="K2062" s="157"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6" t="n"/>
      <c r="AX2062" s="156" t="n"/>
      <c r="AY2062" s="156" t="n"/>
      <c r="AZ2062" s="156" t="n"/>
      <c r="BA2062" s="156" t="n"/>
      <c r="BB2062" s="156" t="n"/>
      <c r="BC2062" s="156" t="n"/>
      <c r="BD2062" s="156" t="n"/>
      <c r="BE2062" s="156" t="n"/>
      <c r="BF2062" s="156" t="n"/>
      <c r="BG2062" s="156" t="n"/>
      <c r="BH2062" s="156" t="n"/>
      <c r="BI2062" s="157"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58" t="n"/>
      <c r="T2063" s="149" t="n"/>
      <c r="U2063" s="17" t="n"/>
      <c r="V2063" s="17" t="n"/>
      <c r="W2063" s="58"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89" t="inlineStr">
        <is>
          <t>職　歴</t>
        </is>
      </c>
      <c r="K2066" s="153" t="n"/>
      <c r="L2066" s="69" t="inlineStr">
        <is>
          <t>平成</t>
        </is>
      </c>
      <c r="M2066" s="149" t="n"/>
      <c r="N2066" s="149" t="n"/>
      <c r="O2066" s="149" t="n"/>
      <c r="P2066" s="19" t="n"/>
      <c r="Q2066" s="19" t="n"/>
      <c r="R2066" s="19" t="n"/>
      <c r="S2066" s="19" t="n"/>
      <c r="T2066" s="19" t="n"/>
      <c r="U2066" s="19" t="n"/>
      <c r="V2066" s="19" t="n"/>
      <c r="W2066" s="19" t="n"/>
      <c r="X2066" s="37" t="n"/>
      <c r="Y2066" s="180">
        <f>計算!$BT$25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8">
        <f>計算!$BR$25</f>
        <v/>
      </c>
      <c r="S2068" s="61" t="inlineStr">
        <is>
          <t>年</t>
        </is>
      </c>
      <c r="U2068" s="190">
        <f>計算!$BS$25</f>
        <v/>
      </c>
      <c r="W2068" s="62"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74"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5" t="n"/>
      <c r="M2071" s="156" t="n"/>
      <c r="N2071" s="156" t="n"/>
      <c r="O2071" s="156" t="n"/>
      <c r="P2071" s="20" t="n"/>
      <c r="Q2071" s="20" t="n"/>
      <c r="R2071" s="20" t="n"/>
      <c r="S2071" s="20" t="n"/>
      <c r="T2071" s="20" t="n"/>
      <c r="U2071" s="20" t="n"/>
      <c r="V2071" s="20" t="n"/>
      <c r="W2071" s="20" t="n"/>
      <c r="X2071" s="39" t="n"/>
      <c r="Y2071" s="155" t="n"/>
      <c r="Z2071" s="156" t="n"/>
      <c r="AA2071" s="156" t="n"/>
      <c r="AB2071" s="156" t="n"/>
      <c r="AC2071" s="156" t="n"/>
      <c r="AD2071" s="156" t="n"/>
      <c r="AE2071" s="156" t="n"/>
      <c r="AF2071" s="156" t="n"/>
      <c r="AG2071" s="156" t="n"/>
      <c r="AH2071" s="156" t="n"/>
      <c r="AI2071" s="156" t="n"/>
      <c r="AJ2071" s="156" t="n"/>
      <c r="AK2071" s="156" t="n"/>
      <c r="AL2071" s="156" t="n"/>
      <c r="AM2071" s="156" t="n"/>
      <c r="AN2071" s="156" t="n"/>
      <c r="AO2071" s="156" t="n"/>
      <c r="AP2071" s="156" t="n"/>
      <c r="AQ2071" s="156" t="n"/>
      <c r="AR2071" s="156" t="n"/>
      <c r="AS2071" s="156" t="n"/>
      <c r="AT2071" s="156" t="n"/>
      <c r="AU2071" s="156" t="n"/>
      <c r="AV2071" s="156" t="n"/>
      <c r="AW2071" s="156" t="n"/>
      <c r="AX2071" s="156" t="n"/>
      <c r="AY2071" s="156" t="n"/>
      <c r="AZ2071" s="156" t="n"/>
      <c r="BA2071" s="156" t="n"/>
      <c r="BB2071" s="156" t="n"/>
      <c r="BC2071" s="156" t="n"/>
      <c r="BD2071" s="156" t="n"/>
      <c r="BE2071" s="156" t="n"/>
      <c r="BF2071" s="156" t="n"/>
      <c r="BG2071" s="156" t="n"/>
      <c r="BH2071" s="156" t="n"/>
      <c r="BI2071" s="157"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69" t="inlineStr">
        <is>
          <t>平成</t>
        </is>
      </c>
      <c r="M2072" s="149" t="n"/>
      <c r="N2072" s="149" t="n"/>
      <c r="O2072" s="149" t="n"/>
      <c r="P2072" s="18" t="n"/>
      <c r="Q2072" s="18" t="n"/>
      <c r="R2072" s="18" t="n"/>
      <c r="S2072" s="18" t="n"/>
      <c r="T2072" s="18" t="n"/>
      <c r="U2072" s="18" t="n"/>
      <c r="V2072" s="18" t="n"/>
      <c r="W2072" s="18" t="n"/>
      <c r="X2072" s="35" t="n"/>
      <c r="Y2072" s="180">
        <f>計算!$BW$25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8">
        <f>計算!$BU$25</f>
        <v/>
      </c>
      <c r="S2074" s="61" t="inlineStr">
        <is>
          <t>年</t>
        </is>
      </c>
      <c r="U2074" s="190">
        <f>計算!$BV$25</f>
        <v/>
      </c>
      <c r="W2074" s="62"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74"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5" t="n"/>
      <c r="M2077" s="156" t="n"/>
      <c r="N2077" s="156" t="n"/>
      <c r="O2077" s="156" t="n"/>
      <c r="P2077" s="20" t="n"/>
      <c r="Q2077" s="20" t="n"/>
      <c r="R2077" s="20" t="n"/>
      <c r="S2077" s="20" t="n"/>
      <c r="T2077" s="20" t="n"/>
      <c r="U2077" s="20" t="n"/>
      <c r="V2077" s="20" t="n"/>
      <c r="W2077" s="20" t="n"/>
      <c r="X2077" s="39" t="n"/>
      <c r="Y2077" s="155" t="n"/>
      <c r="Z2077" s="156" t="n"/>
      <c r="AA2077" s="156" t="n"/>
      <c r="AB2077" s="156" t="n"/>
      <c r="AC2077" s="156" t="n"/>
      <c r="AD2077" s="156" t="n"/>
      <c r="AE2077" s="156" t="n"/>
      <c r="AF2077" s="156" t="n"/>
      <c r="AG2077" s="156" t="n"/>
      <c r="AH2077" s="156" t="n"/>
      <c r="AI2077" s="156" t="n"/>
      <c r="AJ2077" s="156" t="n"/>
      <c r="AK2077" s="156" t="n"/>
      <c r="AL2077" s="156" t="n"/>
      <c r="AM2077" s="156" t="n"/>
      <c r="AN2077" s="156" t="n"/>
      <c r="AO2077" s="156" t="n"/>
      <c r="AP2077" s="156" t="n"/>
      <c r="AQ2077" s="156" t="n"/>
      <c r="AR2077" s="156" t="n"/>
      <c r="AS2077" s="156" t="n"/>
      <c r="AT2077" s="156" t="n"/>
      <c r="AU2077" s="156" t="n"/>
      <c r="AV2077" s="156" t="n"/>
      <c r="AW2077" s="156" t="n"/>
      <c r="AX2077" s="156" t="n"/>
      <c r="AY2077" s="156" t="n"/>
      <c r="AZ2077" s="156" t="n"/>
      <c r="BA2077" s="156" t="n"/>
      <c r="BB2077" s="156" t="n"/>
      <c r="BC2077" s="156" t="n"/>
      <c r="BD2077" s="156" t="n"/>
      <c r="BE2077" s="156" t="n"/>
      <c r="BF2077" s="156" t="n"/>
      <c r="BG2077" s="156" t="n"/>
      <c r="BH2077" s="156" t="n"/>
      <c r="BI2077" s="157" t="n"/>
      <c r="BJ2077" s="2" t="n"/>
      <c r="BK2077" s="2" t="n"/>
      <c r="BL2077" s="2" t="n"/>
      <c r="BM2077" s="2" t="n"/>
      <c r="BN2077" s="2" t="n"/>
      <c r="BO2077" s="2" t="n"/>
      <c r="BP2077" s="155" t="n"/>
      <c r="BQ2077" s="156" t="n"/>
      <c r="BR2077" s="156" t="n"/>
      <c r="BS2077" s="156" t="n"/>
      <c r="BT2077" s="156" t="n"/>
      <c r="BU2077" s="42" t="n"/>
      <c r="BV2077" s="45" t="n"/>
      <c r="BW2077" s="156" t="n"/>
      <c r="BX2077" s="156" t="n"/>
      <c r="BY2077" s="156" t="n"/>
      <c r="BZ2077" s="156" t="n"/>
      <c r="CA2077" s="156" t="n"/>
      <c r="CB2077" s="156" t="n"/>
      <c r="CC2077" s="156" t="n"/>
      <c r="CD2077" s="156" t="n"/>
      <c r="CE2077" s="156" t="n"/>
      <c r="CF2077" s="156" t="n"/>
      <c r="CG2077" s="156" t="n"/>
      <c r="CH2077" s="156" t="n"/>
      <c r="CI2077" s="156" t="n"/>
      <c r="CJ2077" s="156" t="n"/>
      <c r="CK2077" s="156" t="n"/>
      <c r="CL2077" s="156" t="n"/>
      <c r="CM2077" s="156" t="n"/>
      <c r="CN2077" s="156" t="n"/>
      <c r="CO2077" s="156" t="n"/>
      <c r="CP2077" s="156" t="n"/>
      <c r="CQ2077" s="156" t="n"/>
      <c r="CR2077" s="156" t="n"/>
      <c r="CS2077" s="156" t="n"/>
      <c r="CT2077" s="156" t="n"/>
      <c r="CU2077" s="156" t="n"/>
      <c r="CV2077" s="156" t="n"/>
      <c r="CW2077" s="156" t="n"/>
      <c r="CX2077" s="156" t="n"/>
      <c r="CY2077" s="156" t="n"/>
      <c r="CZ2077" s="156" t="n"/>
      <c r="DA2077" s="156" t="n"/>
      <c r="DB2077" s="156" t="n"/>
      <c r="DC2077" s="156" t="n"/>
      <c r="DD2077" s="156" t="n"/>
      <c r="DE2077" s="156" t="n"/>
      <c r="DF2077" s="156" t="n"/>
      <c r="DG2077" s="156" t="n"/>
      <c r="DH2077" s="156" t="n"/>
      <c r="DI2077" s="156" t="n"/>
      <c r="DJ2077" s="156" t="n"/>
      <c r="DK2077" s="156" t="n"/>
      <c r="DL2077" s="156" t="n"/>
      <c r="DM2077" s="156" t="n"/>
      <c r="DN2077" s="156" t="n"/>
      <c r="DO2077" s="156" t="n"/>
      <c r="DP2077" s="156" t="n"/>
      <c r="DQ2077" s="156" t="n"/>
      <c r="DR2077" s="156" t="n"/>
      <c r="DS2077" s="156" t="n"/>
      <c r="DT2077" s="156" t="n"/>
      <c r="DU2077" s="157" t="n"/>
      <c r="DV2077" s="2" t="n"/>
      <c r="DW2077" s="2" t="n"/>
      <c r="DX2077" s="2" t="n"/>
      <c r="DY2077" s="2" t="n"/>
      <c r="DZ2077" s="2" t="n"/>
      <c r="EA2077" s="2" t="n"/>
      <c r="EB2077" s="2" t="n"/>
      <c r="EC2077" s="2" t="n"/>
    </row>
    <row r="2078" ht="6.75" customHeight="1" s="118">
      <c r="A2078" s="2" t="n"/>
      <c r="B2078" s="2" t="n"/>
      <c r="C2078" s="2" t="n"/>
      <c r="D2078" s="2" t="n"/>
      <c r="E2078" s="152" t="n"/>
      <c r="K2078" s="153" t="n"/>
      <c r="L2078" s="69"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5">
        <f>計算!$BQ$25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61" t="inlineStr">
        <is>
          <t>年</t>
        </is>
      </c>
      <c r="U2080" s="11" t="n"/>
      <c r="V2080" s="11" t="n"/>
      <c r="W2080" s="62"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74"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5" t="n"/>
      <c r="M2083" s="156" t="n"/>
      <c r="N2083" s="156" t="n"/>
      <c r="O2083" s="156"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69"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61" t="inlineStr">
        <is>
          <t>年</t>
        </is>
      </c>
      <c r="U2086" s="11" t="n"/>
      <c r="V2086" s="11" t="n"/>
      <c r="W2086" s="62"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74"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61" t="n"/>
      <c r="T2088" s="61" t="n"/>
      <c r="U2088" s="11" t="n"/>
      <c r="V2088" s="11" t="n"/>
      <c r="W2088" s="61" t="n"/>
      <c r="X2088" s="62"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5" t="n"/>
      <c r="F2089" s="156" t="n"/>
      <c r="G2089" s="156" t="n"/>
      <c r="H2089" s="156" t="n"/>
      <c r="I2089" s="156" t="n"/>
      <c r="J2089" s="156" t="n"/>
      <c r="K2089" s="157" t="n"/>
      <c r="L2089" s="155" t="n"/>
      <c r="M2089" s="156" t="n"/>
      <c r="N2089" s="156" t="n"/>
      <c r="O2089" s="156"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5" t="n"/>
      <c r="BQ2089" s="156" t="n"/>
      <c r="BR2089" s="156" t="n"/>
      <c r="BS2089" s="156" t="n"/>
      <c r="BT2089" s="156" t="n"/>
      <c r="BU2089" s="156" t="n"/>
      <c r="BV2089" s="157" t="n"/>
      <c r="BW2089" s="156" t="n"/>
      <c r="BX2089" s="156" t="n"/>
      <c r="BY2089" s="156" t="n"/>
      <c r="BZ2089" s="156" t="n"/>
      <c r="CA2089" s="156" t="n"/>
      <c r="CB2089" s="156" t="n"/>
      <c r="CC2089" s="156" t="n"/>
      <c r="CD2089" s="156" t="n"/>
      <c r="CE2089" s="156" t="n"/>
      <c r="CF2089" s="156" t="n"/>
      <c r="CG2089" s="156" t="n"/>
      <c r="CH2089" s="156" t="n"/>
      <c r="CI2089" s="156" t="n"/>
      <c r="CJ2089" s="156" t="n"/>
      <c r="CK2089" s="156" t="n"/>
      <c r="CL2089" s="156" t="n"/>
      <c r="CM2089" s="156" t="n"/>
      <c r="CN2089" s="156" t="n"/>
      <c r="CO2089" s="156" t="n"/>
      <c r="CP2089" s="156" t="n"/>
      <c r="CQ2089" s="156" t="n"/>
      <c r="CR2089" s="156" t="n"/>
      <c r="CS2089" s="156" t="n"/>
      <c r="CT2089" s="156" t="n"/>
      <c r="CU2089" s="156" t="n"/>
      <c r="CV2089" s="156" t="n"/>
      <c r="CW2089" s="156" t="n"/>
      <c r="CX2089" s="156" t="n"/>
      <c r="CY2089" s="156" t="n"/>
      <c r="CZ2089" s="156" t="n"/>
      <c r="DA2089" s="156" t="n"/>
      <c r="DB2089" s="156" t="n"/>
      <c r="DC2089" s="156" t="n"/>
      <c r="DD2089" s="156" t="n"/>
      <c r="DE2089" s="156" t="n"/>
      <c r="DF2089" s="156" t="n"/>
      <c r="DG2089" s="156" t="n"/>
      <c r="DH2089" s="156" t="n"/>
      <c r="DI2089" s="156" t="n"/>
      <c r="DJ2089" s="156" t="n"/>
      <c r="DK2089" s="156" t="n"/>
      <c r="DL2089" s="156" t="n"/>
      <c r="DM2089" s="156" t="n"/>
      <c r="DN2089" s="156" t="n"/>
      <c r="DO2089" s="156" t="n"/>
      <c r="DP2089" s="156" t="n"/>
      <c r="DQ2089" s="156" t="n"/>
      <c r="DR2089" s="156" t="n"/>
      <c r="DS2089" s="156" t="n"/>
      <c r="DT2089" s="156" t="n"/>
      <c r="DU2089" s="157"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87" t="inlineStr">
        <is>
          <t xml:space="preserve">    (近畿高等学校統一用紙　  その２ 　  令和７年度改定)　</t>
        </is>
      </c>
      <c r="DV2091" s="2" t="n"/>
      <c r="DW2091" s="2" t="n"/>
      <c r="DX2091" s="2" t="n"/>
      <c r="DY2091" s="2" t="n"/>
      <c r="DZ2091" s="2" t="n"/>
      <c r="EA2091" s="2" t="n"/>
      <c r="EB2091" s="2" t="n"/>
      <c r="EC2091" s="2" t="n"/>
    </row>
    <row r="2092" hidden="1"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idden="1"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47"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64" t="inlineStr">
        <is>
          <t>令和</t>
        </is>
      </c>
      <c r="AD2101" s="154">
        <f>IF(入力!$D$28="","",IF(N(設定!$B$3)=0,"",YEAR(設定!$B$3)-2018))&amp;""</f>
        <v/>
      </c>
      <c r="AG2101" s="64" t="inlineStr">
        <is>
          <t>年</t>
        </is>
      </c>
      <c r="AI2101" s="154">
        <f>IF(入力!$D$28="","",IF(N(設定!$B$3)=0,"",MONTH(設定!$B$3)))&amp;""</f>
        <v/>
      </c>
      <c r="AL2101" s="64" t="inlineStr">
        <is>
          <t>月</t>
        </is>
      </c>
      <c r="AN2101" s="154">
        <f>IF(入力!$D$28="","",IF(N(設定!$B$3)=0,"",DAY(設定!$B$3)))&amp;""</f>
        <v/>
      </c>
      <c r="AP2101" s="64"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5" t="n"/>
      <c r="BX2101" s="156" t="n"/>
      <c r="BY2101" s="156" t="n"/>
      <c r="BZ2101" s="156" t="n"/>
      <c r="CA2101" s="156" t="n"/>
      <c r="CB2101" s="156" t="n"/>
      <c r="CC2101" s="156" t="n"/>
      <c r="CD2101" s="156" t="n"/>
      <c r="CE2101" s="156" t="n"/>
      <c r="CF2101" s="156" t="n"/>
      <c r="CG2101" s="157" t="n"/>
      <c r="CH2101" s="155" t="n"/>
      <c r="CI2101" s="156" t="n"/>
      <c r="CJ2101" s="156" t="n"/>
      <c r="CK2101" s="156" t="n"/>
      <c r="CL2101" s="156" t="n"/>
      <c r="CM2101" s="156" t="n"/>
      <c r="CN2101" s="156" t="n"/>
      <c r="CO2101" s="156" t="n"/>
      <c r="CP2101" s="156" t="n"/>
      <c r="CQ2101" s="156" t="n"/>
      <c r="CR2101" s="156" t="n"/>
      <c r="CS2101" s="156" t="n"/>
      <c r="CT2101" s="156" t="n"/>
      <c r="CU2101" s="156" t="n"/>
      <c r="CV2101" s="156" t="n"/>
      <c r="CW2101" s="156" t="n"/>
      <c r="CX2101" s="156" t="n"/>
      <c r="CY2101" s="156" t="n"/>
      <c r="CZ2101" s="156" t="n"/>
      <c r="DA2101" s="156" t="n"/>
      <c r="DB2101" s="156" t="n"/>
      <c r="DC2101" s="156" t="n"/>
      <c r="DD2101" s="156" t="n"/>
      <c r="DE2101" s="156" t="n"/>
      <c r="DF2101" s="156" t="n"/>
      <c r="DG2101" s="156" t="n"/>
      <c r="DH2101" s="156" t="n"/>
      <c r="DI2101" s="156" t="n"/>
      <c r="DJ2101" s="156" t="n"/>
      <c r="DK2101" s="156" t="n"/>
      <c r="DL2101" s="156" t="n"/>
      <c r="DM2101" s="156" t="n"/>
      <c r="DN2101" s="156" t="n"/>
      <c r="DO2101" s="156" t="n"/>
      <c r="DP2101" s="156" t="n"/>
      <c r="DQ2101" s="156" t="n"/>
      <c r="DR2101" s="156" t="n"/>
      <c r="DS2101" s="156" t="n"/>
      <c r="DT2101" s="156" t="n"/>
      <c r="DU2101" s="157"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68" t="inlineStr">
        <is>
          <t>写真をはる位置</t>
        </is>
      </c>
      <c r="BI2102" s="8" t="n"/>
      <c r="BJ2102" s="7" t="n"/>
      <c r="BK2102" s="2" t="n"/>
      <c r="BL2102" s="2" t="n"/>
      <c r="BM2102" s="2" t="n"/>
      <c r="BN2102" s="2" t="n"/>
      <c r="BO2102" s="2" t="n"/>
      <c r="BP2102" s="152" t="n"/>
      <c r="BV2102" s="153" t="n"/>
      <c r="BW2102" s="158">
        <f>計算!$CB$26</f>
        <v/>
      </c>
      <c r="CG2102" s="153" t="n"/>
      <c r="CH2102" s="159">
        <f>計算!$CC$26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6" t="n"/>
      <c r="AA2103" s="156" t="n"/>
      <c r="AB2103" s="156" t="n"/>
      <c r="AC2103" s="156" t="n"/>
      <c r="AD2103" s="156" t="n"/>
      <c r="AE2103" s="156" t="n"/>
      <c r="AF2103" s="156" t="n"/>
      <c r="AG2103" s="156" t="n"/>
      <c r="AH2103" s="156" t="n"/>
      <c r="AI2103" s="156" t="n"/>
      <c r="AJ2103" s="156" t="n"/>
      <c r="AK2103" s="156" t="n"/>
      <c r="AL2103" s="156" t="n"/>
      <c r="AM2103" s="156" t="n"/>
      <c r="AN2103" s="156" t="n"/>
      <c r="AO2103" s="156" t="n"/>
      <c r="AP2103" s="156" t="n"/>
      <c r="AQ2103" s="156" t="n"/>
      <c r="AR2103" s="156" t="n"/>
      <c r="AS2103" s="156" t="n"/>
      <c r="AT2103" s="156"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0">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5" t="n"/>
      <c r="F2107" s="156" t="n"/>
      <c r="G2107" s="156" t="n"/>
      <c r="H2107" s="156" t="n"/>
      <c r="I2107" s="156" t="n"/>
      <c r="J2107" s="156" t="n"/>
      <c r="K2107" s="157" t="n"/>
      <c r="L2107" s="156" t="n"/>
      <c r="M2107" s="156" t="n"/>
      <c r="N2107" s="156" t="n"/>
      <c r="O2107" s="156" t="n"/>
      <c r="P2107" s="156" t="n"/>
      <c r="Q2107" s="156" t="n"/>
      <c r="R2107" s="156" t="n"/>
      <c r="S2107" s="156" t="n"/>
      <c r="T2107" s="156" t="n"/>
      <c r="U2107" s="156" t="n"/>
      <c r="V2107" s="156" t="n"/>
      <c r="W2107" s="156" t="n"/>
      <c r="X2107" s="156" t="n"/>
      <c r="Y2107" s="156" t="n"/>
      <c r="Z2107" s="156" t="n"/>
      <c r="AA2107" s="156" t="n"/>
      <c r="AB2107" s="156" t="n"/>
      <c r="AC2107" s="156" t="n"/>
      <c r="AD2107" s="156" t="n"/>
      <c r="AE2107" s="156" t="n"/>
      <c r="AF2107" s="156" t="n"/>
      <c r="AG2107" s="156" t="n"/>
      <c r="AH2107" s="156" t="n"/>
      <c r="AI2107" s="156" t="n"/>
      <c r="AJ2107" s="156" t="n"/>
      <c r="AK2107" s="156" t="n"/>
      <c r="AL2107" s="156" t="n"/>
      <c r="AM2107" s="156" t="n"/>
      <c r="AN2107" s="156" t="n"/>
      <c r="AO2107" s="156" t="n"/>
      <c r="AP2107" s="156" t="n"/>
      <c r="AQ2107" s="156" t="n"/>
      <c r="AR2107" s="156" t="n"/>
      <c r="AS2107" s="156" t="n"/>
      <c r="AT2107" s="157"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1" t="inlineStr">
        <is>
          <t>名　前</t>
        </is>
      </c>
      <c r="F2108" s="149" t="n"/>
      <c r="G2108" s="149" t="n"/>
      <c r="H2108" s="149" t="n"/>
      <c r="I2108" s="149" t="n"/>
      <c r="J2108" s="149" t="n"/>
      <c r="K2108" s="150" t="n"/>
      <c r="L2108" s="162">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61"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5" t="n"/>
      <c r="F2113" s="156" t="n"/>
      <c r="G2113" s="156" t="n"/>
      <c r="H2113" s="156" t="n"/>
      <c r="I2113" s="156" t="n"/>
      <c r="J2113" s="156" t="n"/>
      <c r="K2113" s="157" t="n"/>
      <c r="L2113" s="155" t="n"/>
      <c r="M2113" s="156" t="n"/>
      <c r="N2113" s="156" t="n"/>
      <c r="O2113" s="156" t="n"/>
      <c r="P2113" s="156" t="n"/>
      <c r="Q2113" s="156" t="n"/>
      <c r="R2113" s="156" t="n"/>
      <c r="S2113" s="156" t="n"/>
      <c r="T2113" s="156" t="n"/>
      <c r="U2113" s="156" t="n"/>
      <c r="V2113" s="156" t="n"/>
      <c r="W2113" s="156" t="n"/>
      <c r="X2113" s="156" t="n"/>
      <c r="Y2113" s="156" t="n"/>
      <c r="Z2113" s="156" t="n"/>
      <c r="AA2113" s="156" t="n"/>
      <c r="AB2113" s="156" t="n"/>
      <c r="AC2113" s="156" t="n"/>
      <c r="AD2113" s="156" t="n"/>
      <c r="AE2113" s="156" t="n"/>
      <c r="AF2113" s="156" t="n"/>
      <c r="AG2113" s="156" t="n"/>
      <c r="AH2113" s="156" t="n"/>
      <c r="AI2113" s="156" t="n"/>
      <c r="AJ2113" s="156" t="n"/>
      <c r="AK2113" s="156" t="n"/>
      <c r="AL2113" s="156" t="n"/>
      <c r="AM2113" s="156" t="n"/>
      <c r="AN2113" s="156" t="n"/>
      <c r="AO2113" s="156" t="n"/>
      <c r="AP2113" s="156" t="n"/>
      <c r="AQ2113" s="156" t="n"/>
      <c r="AR2113" s="156" t="n"/>
      <c r="AS2113" s="156" t="n"/>
      <c r="AT2113" s="157"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1" t="inlineStr">
        <is>
          <t>生年月日</t>
        </is>
      </c>
      <c r="F2114" s="149" t="n"/>
      <c r="G2114" s="149" t="n"/>
      <c r="H2114" s="149" t="n"/>
      <c r="I2114" s="149" t="n"/>
      <c r="J2114" s="149" t="n"/>
      <c r="K2114" s="150" t="n"/>
      <c r="L2114" s="163" t="inlineStr">
        <is>
          <t>昭和 ・ 平成</t>
        </is>
      </c>
      <c r="M2114" s="149" t="n"/>
      <c r="N2114" s="149" t="n"/>
      <c r="O2114" s="149" t="n"/>
      <c r="P2114" s="149" t="n"/>
      <c r="Q2114" s="149" t="n"/>
      <c r="R2114" s="149" t="n"/>
      <c r="S2114" s="149" t="n"/>
      <c r="T2114" s="149" t="n"/>
      <c r="U2114" s="149" t="n"/>
      <c r="V2114" s="164">
        <f>計算!$D$26</f>
        <v/>
      </c>
      <c r="W2114" s="149" t="n"/>
      <c r="X2114" s="165" t="inlineStr">
        <is>
          <t>年</t>
        </is>
      </c>
      <c r="Y2114" s="149" t="n"/>
      <c r="Z2114" s="166">
        <f>計算!$E$26</f>
        <v/>
      </c>
      <c r="AA2114" s="149" t="n"/>
      <c r="AB2114" s="149" t="n"/>
      <c r="AC2114" s="165" t="inlineStr">
        <is>
          <t>月</t>
        </is>
      </c>
      <c r="AD2114" s="149" t="n"/>
      <c r="AE2114" s="166">
        <f>計算!$F$26</f>
        <v/>
      </c>
      <c r="AF2114" s="149" t="n"/>
      <c r="AG2114" s="149" t="n"/>
      <c r="AH2114" s="165" t="inlineStr">
        <is>
          <t>日　生 （満</t>
        </is>
      </c>
      <c r="AI2114" s="149" t="n"/>
      <c r="AJ2114" s="149" t="n"/>
      <c r="AK2114" s="149" t="n"/>
      <c r="AL2114" s="149" t="n"/>
      <c r="AM2114" s="149" t="n"/>
      <c r="AN2114" s="149" t="n"/>
      <c r="AO2114" s="149" t="n"/>
      <c r="AP2114" s="167">
        <f>計算!$G$26</f>
        <v/>
      </c>
      <c r="AQ2114" s="149" t="n"/>
      <c r="AR2114" s="168"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5" t="n"/>
      <c r="F2117" s="156" t="n"/>
      <c r="G2117" s="156" t="n"/>
      <c r="H2117" s="156" t="n"/>
      <c r="I2117" s="156" t="n"/>
      <c r="J2117" s="156" t="n"/>
      <c r="K2117" s="157" t="n"/>
      <c r="L2117" s="155" t="n"/>
      <c r="M2117" s="156" t="n"/>
      <c r="N2117" s="156" t="n"/>
      <c r="O2117" s="156" t="n"/>
      <c r="P2117" s="156" t="n"/>
      <c r="Q2117" s="156" t="n"/>
      <c r="R2117" s="156" t="n"/>
      <c r="S2117" s="156" t="n"/>
      <c r="T2117" s="156" t="n"/>
      <c r="U2117" s="156" t="n"/>
      <c r="X2117" s="156" t="n"/>
      <c r="Y2117" s="156" t="n"/>
      <c r="AC2117" s="156" t="n"/>
      <c r="AD2117" s="156" t="n"/>
      <c r="AH2117" s="156" t="n"/>
      <c r="AI2117" s="156" t="n"/>
      <c r="AJ2117" s="156" t="n"/>
      <c r="AK2117" s="156" t="n"/>
      <c r="AL2117" s="156" t="n"/>
      <c r="AM2117" s="156" t="n"/>
      <c r="AN2117" s="156" t="n"/>
      <c r="AO2117" s="156" t="n"/>
      <c r="AP2117" s="156" t="n"/>
      <c r="AQ2117" s="156" t="n"/>
      <c r="AR2117" s="156" t="n"/>
      <c r="AS2117" s="156" t="n"/>
      <c r="AT2117" s="157"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69" t="inlineStr">
        <is>
          <t>ふ り が な</t>
        </is>
      </c>
      <c r="F2118" s="149" t="n"/>
      <c r="G2118" s="149" t="n"/>
      <c r="H2118" s="149" t="n"/>
      <c r="I2118" s="149" t="n"/>
      <c r="J2118" s="149" t="n"/>
      <c r="K2118" s="150" t="n"/>
      <c r="L2118" s="170">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1" t="n"/>
      <c r="F2120" s="172" t="n"/>
      <c r="G2120" s="172" t="n"/>
      <c r="H2120" s="172" t="n"/>
      <c r="I2120" s="172" t="n"/>
      <c r="J2120" s="172" t="n"/>
      <c r="K2120" s="173" t="n"/>
      <c r="L2120" s="172" t="n"/>
      <c r="M2120" s="172" t="n"/>
      <c r="N2120" s="172" t="n"/>
      <c r="O2120" s="172" t="n"/>
      <c r="P2120" s="172" t="n"/>
      <c r="Q2120" s="172" t="n"/>
      <c r="R2120" s="172" t="n"/>
      <c r="S2120" s="172" t="n"/>
      <c r="T2120" s="172" t="n"/>
      <c r="U2120" s="172" t="n"/>
      <c r="V2120" s="172" t="n"/>
      <c r="W2120" s="172" t="n"/>
      <c r="X2120" s="172" t="n"/>
      <c r="Y2120" s="172" t="n"/>
      <c r="Z2120" s="172" t="n"/>
      <c r="AA2120" s="172" t="n"/>
      <c r="AB2120" s="172" t="n"/>
      <c r="AC2120" s="172" t="n"/>
      <c r="AD2120" s="172" t="n"/>
      <c r="AE2120" s="172" t="n"/>
      <c r="AF2120" s="172" t="n"/>
      <c r="AG2120" s="172" t="n"/>
      <c r="AH2120" s="172" t="n"/>
      <c r="AI2120" s="172" t="n"/>
      <c r="AJ2120" s="172" t="n"/>
      <c r="AK2120" s="172" t="n"/>
      <c r="AL2120" s="172" t="n"/>
      <c r="AM2120" s="172" t="n"/>
      <c r="AN2120" s="172" t="n"/>
      <c r="AO2120" s="172" t="n"/>
      <c r="AP2120" s="172" t="n"/>
      <c r="AQ2120" s="172" t="n"/>
      <c r="AR2120" s="172" t="n"/>
      <c r="AS2120" s="172" t="n"/>
      <c r="AT2120" s="172" t="n"/>
      <c r="AU2120" s="172" t="n"/>
      <c r="AV2120" s="172" t="n"/>
      <c r="AW2120" s="172" t="n"/>
      <c r="AX2120" s="172" t="n"/>
      <c r="AY2120" s="172" t="n"/>
      <c r="AZ2120" s="172" t="n"/>
      <c r="BA2120" s="172" t="n"/>
      <c r="BB2120" s="172" t="n"/>
      <c r="BC2120" s="172" t="n"/>
      <c r="BD2120" s="172" t="n"/>
      <c r="BE2120" s="172" t="n"/>
      <c r="BF2120" s="172" t="n"/>
      <c r="BG2120" s="172" t="n"/>
      <c r="BH2120" s="172" t="n"/>
      <c r="BI2120" s="173"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4" t="inlineStr">
        <is>
          <t>現住所</t>
        </is>
      </c>
      <c r="F2121" s="175" t="n"/>
      <c r="G2121" s="175" t="n"/>
      <c r="H2121" s="175" t="n"/>
      <c r="I2121" s="175" t="n"/>
      <c r="J2121" s="175" t="n"/>
      <c r="K2121" s="176" t="n"/>
      <c r="L2121" s="83" t="inlineStr">
        <is>
          <t>〒</t>
        </is>
      </c>
      <c r="M2121" s="175" t="n"/>
      <c r="N2121" s="175" t="n"/>
      <c r="O2121" s="175" t="n"/>
      <c r="P2121" s="177">
        <f>計算!$H$26</f>
        <v/>
      </c>
      <c r="Q2121" s="175" t="n"/>
      <c r="R2121" s="175" t="n"/>
      <c r="S2121" s="175" t="n"/>
      <c r="T2121" s="175" t="n"/>
      <c r="U2121" s="175" t="n"/>
      <c r="V2121" s="175" t="n"/>
      <c r="W2121" s="175" t="n"/>
      <c r="X2121" s="175" t="n"/>
      <c r="Y2121" s="175" t="n"/>
      <c r="Z2121" s="175" t="n"/>
      <c r="AA2121" s="175" t="n"/>
      <c r="AB2121" s="175" t="n"/>
      <c r="AC2121" s="175" t="n"/>
      <c r="AD2121" s="175" t="n"/>
      <c r="AE2121" s="175" t="n"/>
      <c r="AF2121" s="175" t="n"/>
      <c r="AG2121" s="175" t="n"/>
      <c r="AH2121" s="175" t="n"/>
      <c r="AI2121" s="175" t="n"/>
      <c r="AJ2121" s="175"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5" t="n"/>
      <c r="BQ2122" s="156" t="n"/>
      <c r="BR2122" s="156" t="n"/>
      <c r="BS2122" s="156" t="n"/>
      <c r="BT2122" s="156" t="n"/>
      <c r="BU2122" s="156" t="n"/>
      <c r="BV2122" s="157" t="n"/>
      <c r="BW2122" s="155" t="n"/>
      <c r="BX2122" s="156" t="n"/>
      <c r="BY2122" s="156" t="n"/>
      <c r="BZ2122" s="156" t="n"/>
      <c r="CA2122" s="156" t="n"/>
      <c r="CB2122" s="156" t="n"/>
      <c r="CC2122" s="156" t="n"/>
      <c r="CD2122" s="156" t="n"/>
      <c r="CE2122" s="156" t="n"/>
      <c r="CF2122" s="156" t="n"/>
      <c r="CG2122" s="157"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8" t="inlineStr">
        <is>
          <t>校内外の諸活動</t>
        </is>
      </c>
      <c r="BQ2123" s="149" t="n"/>
      <c r="BR2123" s="149" t="n"/>
      <c r="BS2123" s="149" t="n"/>
      <c r="BT2123" s="149" t="n"/>
      <c r="BU2123" s="149" t="n"/>
      <c r="BV2123" s="150" t="n"/>
      <c r="BW2123" s="179">
        <f>計算!$BO$26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0">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5" t="n"/>
      <c r="F2126" s="156" t="n"/>
      <c r="G2126" s="156" t="n"/>
      <c r="H2126" s="156" t="n"/>
      <c r="I2126" s="156" t="n"/>
      <c r="J2126" s="156" t="n"/>
      <c r="K2126" s="157" t="n"/>
      <c r="L2126" s="155" t="n"/>
      <c r="M2126" s="156" t="n"/>
      <c r="N2126" s="156" t="n"/>
      <c r="O2126" s="156" t="n"/>
      <c r="P2126" s="156" t="n"/>
      <c r="Q2126" s="156" t="n"/>
      <c r="R2126" s="156" t="n"/>
      <c r="S2126" s="156" t="n"/>
      <c r="T2126" s="156" t="n"/>
      <c r="U2126" s="156" t="n"/>
      <c r="V2126" s="156" t="n"/>
      <c r="W2126" s="156" t="n"/>
      <c r="X2126" s="156" t="n"/>
      <c r="Y2126" s="156" t="n"/>
      <c r="Z2126" s="156" t="n"/>
      <c r="AA2126" s="156" t="n"/>
      <c r="AB2126" s="156" t="n"/>
      <c r="AC2126" s="156" t="n"/>
      <c r="AD2126" s="156" t="n"/>
      <c r="AE2126" s="156" t="n"/>
      <c r="AF2126" s="156" t="n"/>
      <c r="AG2126" s="156" t="n"/>
      <c r="AH2126" s="156" t="n"/>
      <c r="AI2126" s="156" t="n"/>
      <c r="AJ2126" s="156" t="n"/>
      <c r="AK2126" s="156" t="n"/>
      <c r="AL2126" s="156" t="n"/>
      <c r="AM2126" s="156" t="n"/>
      <c r="AN2126" s="156" t="n"/>
      <c r="AO2126" s="156" t="n"/>
      <c r="AP2126" s="156" t="n"/>
      <c r="AQ2126" s="156" t="n"/>
      <c r="AR2126" s="156" t="n"/>
      <c r="AS2126" s="156" t="n"/>
      <c r="AT2126" s="156" t="n"/>
      <c r="AU2126" s="156" t="n"/>
      <c r="AV2126" s="156" t="n"/>
      <c r="AW2126" s="156" t="n"/>
      <c r="AX2126" s="156" t="n"/>
      <c r="AY2126" s="156" t="n"/>
      <c r="AZ2126" s="156" t="n"/>
      <c r="BA2126" s="156" t="n"/>
      <c r="BB2126" s="156" t="n"/>
      <c r="BC2126" s="156" t="n"/>
      <c r="BD2126" s="156" t="n"/>
      <c r="BE2126" s="156" t="n"/>
      <c r="BF2126" s="156" t="n"/>
      <c r="BG2126" s="156" t="n"/>
      <c r="BH2126" s="156" t="n"/>
      <c r="BI2126" s="157"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69" t="inlineStr">
        <is>
          <t>ふ り が な</t>
        </is>
      </c>
      <c r="F2127" s="149" t="n"/>
      <c r="G2127" s="149" t="n"/>
      <c r="H2127" s="149" t="n"/>
      <c r="I2127" s="149" t="n"/>
      <c r="J2127" s="149" t="n"/>
      <c r="K2127" s="150" t="n"/>
      <c r="L2127" s="170">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1" t="n"/>
      <c r="F2129" s="172" t="n"/>
      <c r="G2129" s="172" t="n"/>
      <c r="H2129" s="172" t="n"/>
      <c r="I2129" s="172" t="n"/>
      <c r="J2129" s="172" t="n"/>
      <c r="K2129" s="173" t="n"/>
      <c r="L2129" s="172" t="n"/>
      <c r="M2129" s="172" t="n"/>
      <c r="N2129" s="172" t="n"/>
      <c r="O2129" s="172" t="n"/>
      <c r="P2129" s="172" t="n"/>
      <c r="Q2129" s="172" t="n"/>
      <c r="R2129" s="172" t="n"/>
      <c r="S2129" s="172" t="n"/>
      <c r="T2129" s="172" t="n"/>
      <c r="U2129" s="172" t="n"/>
      <c r="V2129" s="172" t="n"/>
      <c r="W2129" s="172" t="n"/>
      <c r="X2129" s="172" t="n"/>
      <c r="Y2129" s="172" t="n"/>
      <c r="Z2129" s="172" t="n"/>
      <c r="AA2129" s="172" t="n"/>
      <c r="AB2129" s="172" t="n"/>
      <c r="AC2129" s="172" t="n"/>
      <c r="AD2129" s="172" t="n"/>
      <c r="AE2129" s="172" t="n"/>
      <c r="AF2129" s="172" t="n"/>
      <c r="AG2129" s="172" t="n"/>
      <c r="AH2129" s="172" t="n"/>
      <c r="AI2129" s="172" t="n"/>
      <c r="AJ2129" s="172" t="n"/>
      <c r="AK2129" s="172" t="n"/>
      <c r="AL2129" s="172" t="n"/>
      <c r="AM2129" s="172" t="n"/>
      <c r="AN2129" s="172" t="n"/>
      <c r="AO2129" s="172" t="n"/>
      <c r="AP2129" s="172" t="n"/>
      <c r="AQ2129" s="172" t="n"/>
      <c r="AR2129" s="172" t="n"/>
      <c r="AS2129" s="172" t="n"/>
      <c r="AT2129" s="172" t="n"/>
      <c r="AU2129" s="172" t="n"/>
      <c r="AV2129" s="172" t="n"/>
      <c r="AW2129" s="172" t="n"/>
      <c r="AX2129" s="172" t="n"/>
      <c r="AY2129" s="172" t="n"/>
      <c r="AZ2129" s="172" t="n"/>
      <c r="BA2129" s="172" t="n"/>
      <c r="BB2129" s="172" t="n"/>
      <c r="BC2129" s="172" t="n"/>
      <c r="BD2129" s="172" t="n"/>
      <c r="BE2129" s="172" t="n"/>
      <c r="BF2129" s="172" t="n"/>
      <c r="BG2129" s="172" t="n"/>
      <c r="BH2129" s="172" t="n"/>
      <c r="BI2129" s="173"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4" t="inlineStr">
        <is>
          <t>連絡先</t>
        </is>
      </c>
      <c r="F2130" s="175" t="n"/>
      <c r="G2130" s="175" t="n"/>
      <c r="H2130" s="175" t="n"/>
      <c r="I2130" s="175" t="n"/>
      <c r="J2130" s="175" t="n"/>
      <c r="K2130" s="176" t="n"/>
      <c r="L2130" s="83" t="inlineStr">
        <is>
          <t>〒</t>
        </is>
      </c>
      <c r="M2130" s="175" t="n"/>
      <c r="N2130" s="175" t="n"/>
      <c r="O2130" s="175" t="n"/>
      <c r="P2130" s="181">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2">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5" t="n"/>
      <c r="F2134" s="156" t="n"/>
      <c r="G2134" s="156" t="n"/>
      <c r="H2134" s="156" t="n"/>
      <c r="I2134" s="156" t="n"/>
      <c r="J2134" s="156" t="n"/>
      <c r="K2134" s="157" t="n"/>
      <c r="L2134" s="156" t="n"/>
      <c r="M2134" s="156" t="n"/>
      <c r="N2134" s="156" t="n"/>
      <c r="O2134" s="156" t="n"/>
      <c r="P2134" s="156" t="n"/>
      <c r="Q2134" s="156" t="n"/>
      <c r="R2134" s="156" t="n"/>
      <c r="S2134" s="156" t="n"/>
      <c r="T2134" s="156" t="n"/>
      <c r="U2134" s="156" t="n"/>
      <c r="V2134" s="156" t="n"/>
      <c r="W2134" s="156" t="n"/>
      <c r="X2134" s="156" t="n"/>
      <c r="Y2134" s="156" t="n"/>
      <c r="Z2134" s="156" t="n"/>
      <c r="AA2134" s="156" t="n"/>
      <c r="AB2134" s="156" t="n"/>
      <c r="AC2134" s="156" t="n"/>
      <c r="AD2134" s="156" t="n"/>
      <c r="AE2134" s="156" t="n"/>
      <c r="AF2134" s="156" t="n"/>
      <c r="AG2134" s="156" t="n"/>
      <c r="AH2134" s="156" t="n"/>
      <c r="AI2134" s="156" t="n"/>
      <c r="AJ2134" s="156" t="n"/>
      <c r="AK2134" s="156" t="n"/>
      <c r="AL2134" s="156" t="n"/>
      <c r="AM2134" s="156" t="n"/>
      <c r="AN2134" s="156" t="n"/>
      <c r="AO2134" s="156" t="n"/>
      <c r="AP2134" s="156" t="n"/>
      <c r="AQ2134" s="156" t="n"/>
      <c r="AR2134" s="156" t="n"/>
      <c r="AS2134" s="156" t="n"/>
      <c r="AT2134" s="156" t="n"/>
      <c r="AU2134" s="156" t="n"/>
      <c r="AV2134" s="156" t="n"/>
      <c r="AW2134" s="156" t="n"/>
      <c r="AX2134" s="156" t="n"/>
      <c r="AY2134" s="156" t="n"/>
      <c r="AZ2134" s="156" t="n"/>
      <c r="BA2134" s="156" t="n"/>
      <c r="BB2134" s="156" t="n"/>
      <c r="BC2134" s="156" t="n"/>
      <c r="BD2134" s="156" t="n"/>
      <c r="BE2134" s="156" t="n"/>
      <c r="BF2134" s="156" t="n"/>
      <c r="BG2134" s="156" t="n"/>
      <c r="BH2134" s="156" t="n"/>
      <c r="BI2134" s="157"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86"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3" t="n"/>
      <c r="BQ2140" s="149" t="n"/>
      <c r="BR2140" s="184" t="n"/>
      <c r="BS2140" s="149" t="n"/>
      <c r="BT2140" s="149" t="n"/>
      <c r="BU2140" s="28" t="n"/>
      <c r="BV2140" s="29" t="n"/>
      <c r="BW2140" s="185">
        <f>計算!$BP$26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115"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6"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107"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7">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188">
        <f>IF(入力!$D$28="","",設定!$B$6)&amp;""</f>
        <v/>
      </c>
      <c r="S2148" s="11" t="n"/>
      <c r="T2148" s="11" t="n"/>
      <c r="U2148" s="188">
        <f>IF(入力!$D$28="","",設定!$B$7)&amp;""</f>
        <v/>
      </c>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110" t="inlineStr">
        <is>
          <t>令和</t>
        </is>
      </c>
      <c r="S2149" s="61" t="inlineStr">
        <is>
          <t>年</t>
        </is>
      </c>
      <c r="W2149" s="62"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90"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5" t="n"/>
      <c r="F2153" s="156" t="n"/>
      <c r="G2153" s="156" t="n"/>
      <c r="H2153" s="156" t="n"/>
      <c r="I2153" s="156" t="n"/>
      <c r="J2153" s="156" t="n"/>
      <c r="K2153" s="157"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6" t="n"/>
      <c r="AX2153" s="156" t="n"/>
      <c r="AY2153" s="156" t="n"/>
      <c r="AZ2153" s="156" t="n"/>
      <c r="BA2153" s="156" t="n"/>
      <c r="BB2153" s="156" t="n"/>
      <c r="BC2153" s="156" t="n"/>
      <c r="BD2153" s="156" t="n"/>
      <c r="BE2153" s="156" t="n"/>
      <c r="BF2153" s="156" t="n"/>
      <c r="BG2153" s="156" t="n"/>
      <c r="BH2153" s="156" t="n"/>
      <c r="BI2153" s="157"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58" t="n"/>
      <c r="T2154" s="149" t="n"/>
      <c r="U2154" s="17" t="n"/>
      <c r="V2154" s="17" t="n"/>
      <c r="W2154" s="58"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89" t="inlineStr">
        <is>
          <t>職　歴</t>
        </is>
      </c>
      <c r="K2157" s="153" t="n"/>
      <c r="L2157" s="69" t="inlineStr">
        <is>
          <t>平成</t>
        </is>
      </c>
      <c r="M2157" s="149" t="n"/>
      <c r="N2157" s="149" t="n"/>
      <c r="O2157" s="149" t="n"/>
      <c r="P2157" s="19" t="n"/>
      <c r="Q2157" s="19" t="n"/>
      <c r="R2157" s="19" t="n"/>
      <c r="S2157" s="19" t="n"/>
      <c r="T2157" s="19" t="n"/>
      <c r="U2157" s="19" t="n"/>
      <c r="V2157" s="19" t="n"/>
      <c r="W2157" s="19" t="n"/>
      <c r="X2157" s="37" t="n"/>
      <c r="Y2157" s="180">
        <f>計算!$BT$26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8">
        <f>計算!$BR$26</f>
        <v/>
      </c>
      <c r="S2159" s="61" t="inlineStr">
        <is>
          <t>年</t>
        </is>
      </c>
      <c r="U2159" s="190">
        <f>計算!$BS$26</f>
        <v/>
      </c>
      <c r="W2159" s="62"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74"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5" t="n"/>
      <c r="M2162" s="156" t="n"/>
      <c r="N2162" s="156" t="n"/>
      <c r="O2162" s="156" t="n"/>
      <c r="P2162" s="20" t="n"/>
      <c r="Q2162" s="20" t="n"/>
      <c r="R2162" s="20" t="n"/>
      <c r="S2162" s="20" t="n"/>
      <c r="T2162" s="20" t="n"/>
      <c r="U2162" s="20" t="n"/>
      <c r="V2162" s="20" t="n"/>
      <c r="W2162" s="20" t="n"/>
      <c r="X2162" s="39" t="n"/>
      <c r="Y2162" s="155" t="n"/>
      <c r="Z2162" s="156" t="n"/>
      <c r="AA2162" s="156" t="n"/>
      <c r="AB2162" s="156" t="n"/>
      <c r="AC2162" s="156" t="n"/>
      <c r="AD2162" s="156" t="n"/>
      <c r="AE2162" s="156" t="n"/>
      <c r="AF2162" s="156" t="n"/>
      <c r="AG2162" s="156" t="n"/>
      <c r="AH2162" s="156" t="n"/>
      <c r="AI2162" s="156" t="n"/>
      <c r="AJ2162" s="156" t="n"/>
      <c r="AK2162" s="156" t="n"/>
      <c r="AL2162" s="156" t="n"/>
      <c r="AM2162" s="156" t="n"/>
      <c r="AN2162" s="156" t="n"/>
      <c r="AO2162" s="156" t="n"/>
      <c r="AP2162" s="156" t="n"/>
      <c r="AQ2162" s="156" t="n"/>
      <c r="AR2162" s="156" t="n"/>
      <c r="AS2162" s="156" t="n"/>
      <c r="AT2162" s="156" t="n"/>
      <c r="AU2162" s="156" t="n"/>
      <c r="AV2162" s="156" t="n"/>
      <c r="AW2162" s="156" t="n"/>
      <c r="AX2162" s="156" t="n"/>
      <c r="AY2162" s="156" t="n"/>
      <c r="AZ2162" s="156" t="n"/>
      <c r="BA2162" s="156" t="n"/>
      <c r="BB2162" s="156" t="n"/>
      <c r="BC2162" s="156" t="n"/>
      <c r="BD2162" s="156" t="n"/>
      <c r="BE2162" s="156" t="n"/>
      <c r="BF2162" s="156" t="n"/>
      <c r="BG2162" s="156" t="n"/>
      <c r="BH2162" s="156" t="n"/>
      <c r="BI2162" s="157"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69" t="inlineStr">
        <is>
          <t>平成</t>
        </is>
      </c>
      <c r="M2163" s="149" t="n"/>
      <c r="N2163" s="149" t="n"/>
      <c r="O2163" s="149" t="n"/>
      <c r="P2163" s="18" t="n"/>
      <c r="Q2163" s="18" t="n"/>
      <c r="R2163" s="18" t="n"/>
      <c r="S2163" s="18" t="n"/>
      <c r="T2163" s="18" t="n"/>
      <c r="U2163" s="18" t="n"/>
      <c r="V2163" s="18" t="n"/>
      <c r="W2163" s="18" t="n"/>
      <c r="X2163" s="35" t="n"/>
      <c r="Y2163" s="180">
        <f>計算!$BW$26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8">
        <f>計算!$BU$26</f>
        <v/>
      </c>
      <c r="S2165" s="61" t="inlineStr">
        <is>
          <t>年</t>
        </is>
      </c>
      <c r="U2165" s="190">
        <f>計算!$BV$26</f>
        <v/>
      </c>
      <c r="W2165" s="62"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74"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5" t="n"/>
      <c r="M2168" s="156" t="n"/>
      <c r="N2168" s="156" t="n"/>
      <c r="O2168" s="156" t="n"/>
      <c r="P2168" s="20" t="n"/>
      <c r="Q2168" s="20" t="n"/>
      <c r="R2168" s="20" t="n"/>
      <c r="S2168" s="20" t="n"/>
      <c r="T2168" s="20" t="n"/>
      <c r="U2168" s="20" t="n"/>
      <c r="V2168" s="20" t="n"/>
      <c r="W2168" s="20" t="n"/>
      <c r="X2168" s="39" t="n"/>
      <c r="Y2168" s="155" t="n"/>
      <c r="Z2168" s="156" t="n"/>
      <c r="AA2168" s="156" t="n"/>
      <c r="AB2168" s="156" t="n"/>
      <c r="AC2168" s="156" t="n"/>
      <c r="AD2168" s="156" t="n"/>
      <c r="AE2168" s="156" t="n"/>
      <c r="AF2168" s="156" t="n"/>
      <c r="AG2168" s="156" t="n"/>
      <c r="AH2168" s="156" t="n"/>
      <c r="AI2168" s="156" t="n"/>
      <c r="AJ2168" s="156" t="n"/>
      <c r="AK2168" s="156" t="n"/>
      <c r="AL2168" s="156" t="n"/>
      <c r="AM2168" s="156" t="n"/>
      <c r="AN2168" s="156" t="n"/>
      <c r="AO2168" s="156" t="n"/>
      <c r="AP2168" s="156" t="n"/>
      <c r="AQ2168" s="156" t="n"/>
      <c r="AR2168" s="156" t="n"/>
      <c r="AS2168" s="156" t="n"/>
      <c r="AT2168" s="156" t="n"/>
      <c r="AU2168" s="156" t="n"/>
      <c r="AV2168" s="156" t="n"/>
      <c r="AW2168" s="156" t="n"/>
      <c r="AX2168" s="156" t="n"/>
      <c r="AY2168" s="156" t="n"/>
      <c r="AZ2168" s="156" t="n"/>
      <c r="BA2168" s="156" t="n"/>
      <c r="BB2168" s="156" t="n"/>
      <c r="BC2168" s="156" t="n"/>
      <c r="BD2168" s="156" t="n"/>
      <c r="BE2168" s="156" t="n"/>
      <c r="BF2168" s="156" t="n"/>
      <c r="BG2168" s="156" t="n"/>
      <c r="BH2168" s="156" t="n"/>
      <c r="BI2168" s="157" t="n"/>
      <c r="BJ2168" s="2" t="n"/>
      <c r="BK2168" s="2" t="n"/>
      <c r="BL2168" s="2" t="n"/>
      <c r="BM2168" s="2" t="n"/>
      <c r="BN2168" s="2" t="n"/>
      <c r="BO2168" s="2" t="n"/>
      <c r="BP2168" s="155" t="n"/>
      <c r="BQ2168" s="156" t="n"/>
      <c r="BR2168" s="156" t="n"/>
      <c r="BS2168" s="156" t="n"/>
      <c r="BT2168" s="156" t="n"/>
      <c r="BU2168" s="42" t="n"/>
      <c r="BV2168" s="45" t="n"/>
      <c r="BW2168" s="156" t="n"/>
      <c r="BX2168" s="156" t="n"/>
      <c r="BY2168" s="156" t="n"/>
      <c r="BZ2168" s="156" t="n"/>
      <c r="CA2168" s="156" t="n"/>
      <c r="CB2168" s="156" t="n"/>
      <c r="CC2168" s="156" t="n"/>
      <c r="CD2168" s="156" t="n"/>
      <c r="CE2168" s="156" t="n"/>
      <c r="CF2168" s="156" t="n"/>
      <c r="CG2168" s="156" t="n"/>
      <c r="CH2168" s="156" t="n"/>
      <c r="CI2168" s="156" t="n"/>
      <c r="CJ2168" s="156" t="n"/>
      <c r="CK2168" s="156" t="n"/>
      <c r="CL2168" s="156" t="n"/>
      <c r="CM2168" s="156" t="n"/>
      <c r="CN2168" s="156" t="n"/>
      <c r="CO2168" s="156" t="n"/>
      <c r="CP2168" s="156" t="n"/>
      <c r="CQ2168" s="156" t="n"/>
      <c r="CR2168" s="156" t="n"/>
      <c r="CS2168" s="156" t="n"/>
      <c r="CT2168" s="156" t="n"/>
      <c r="CU2168" s="156" t="n"/>
      <c r="CV2168" s="156" t="n"/>
      <c r="CW2168" s="156" t="n"/>
      <c r="CX2168" s="156" t="n"/>
      <c r="CY2168" s="156" t="n"/>
      <c r="CZ2168" s="156" t="n"/>
      <c r="DA2168" s="156" t="n"/>
      <c r="DB2168" s="156" t="n"/>
      <c r="DC2168" s="156" t="n"/>
      <c r="DD2168" s="156" t="n"/>
      <c r="DE2168" s="156" t="n"/>
      <c r="DF2168" s="156" t="n"/>
      <c r="DG2168" s="156" t="n"/>
      <c r="DH2168" s="156" t="n"/>
      <c r="DI2168" s="156" t="n"/>
      <c r="DJ2168" s="156" t="n"/>
      <c r="DK2168" s="156" t="n"/>
      <c r="DL2168" s="156" t="n"/>
      <c r="DM2168" s="156" t="n"/>
      <c r="DN2168" s="156" t="n"/>
      <c r="DO2168" s="156" t="n"/>
      <c r="DP2168" s="156" t="n"/>
      <c r="DQ2168" s="156" t="n"/>
      <c r="DR2168" s="156" t="n"/>
      <c r="DS2168" s="156" t="n"/>
      <c r="DT2168" s="156" t="n"/>
      <c r="DU2168" s="157" t="n"/>
      <c r="DV2168" s="2" t="n"/>
      <c r="DW2168" s="2" t="n"/>
      <c r="DX2168" s="2" t="n"/>
      <c r="DY2168" s="2" t="n"/>
      <c r="DZ2168" s="2" t="n"/>
      <c r="EA2168" s="2" t="n"/>
      <c r="EB2168" s="2" t="n"/>
      <c r="EC2168" s="2" t="n"/>
    </row>
    <row r="2169" ht="6.75" customHeight="1" s="118">
      <c r="A2169" s="2" t="n"/>
      <c r="B2169" s="2" t="n"/>
      <c r="C2169" s="2" t="n"/>
      <c r="D2169" s="2" t="n"/>
      <c r="E2169" s="152" t="n"/>
      <c r="K2169" s="153" t="n"/>
      <c r="L2169" s="69"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5">
        <f>計算!$BQ$26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61" t="inlineStr">
        <is>
          <t>年</t>
        </is>
      </c>
      <c r="U2171" s="11" t="n"/>
      <c r="V2171" s="11" t="n"/>
      <c r="W2171" s="62"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74"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5" t="n"/>
      <c r="M2174" s="156" t="n"/>
      <c r="N2174" s="156" t="n"/>
      <c r="O2174" s="156"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69"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61" t="inlineStr">
        <is>
          <t>年</t>
        </is>
      </c>
      <c r="U2177" s="11" t="n"/>
      <c r="V2177" s="11" t="n"/>
      <c r="W2177" s="62"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74"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61" t="n"/>
      <c r="T2179" s="61" t="n"/>
      <c r="U2179" s="11" t="n"/>
      <c r="V2179" s="11" t="n"/>
      <c r="W2179" s="61" t="n"/>
      <c r="X2179" s="62"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5" t="n"/>
      <c r="F2180" s="156" t="n"/>
      <c r="G2180" s="156" t="n"/>
      <c r="H2180" s="156" t="n"/>
      <c r="I2180" s="156" t="n"/>
      <c r="J2180" s="156" t="n"/>
      <c r="K2180" s="157" t="n"/>
      <c r="L2180" s="155" t="n"/>
      <c r="M2180" s="156" t="n"/>
      <c r="N2180" s="156" t="n"/>
      <c r="O2180" s="156"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5" t="n"/>
      <c r="BQ2180" s="156" t="n"/>
      <c r="BR2180" s="156" t="n"/>
      <c r="BS2180" s="156" t="n"/>
      <c r="BT2180" s="156" t="n"/>
      <c r="BU2180" s="156" t="n"/>
      <c r="BV2180" s="157" t="n"/>
      <c r="BW2180" s="156" t="n"/>
      <c r="BX2180" s="156" t="n"/>
      <c r="BY2180" s="156" t="n"/>
      <c r="BZ2180" s="156" t="n"/>
      <c r="CA2180" s="156" t="n"/>
      <c r="CB2180" s="156" t="n"/>
      <c r="CC2180" s="156" t="n"/>
      <c r="CD2180" s="156" t="n"/>
      <c r="CE2180" s="156" t="n"/>
      <c r="CF2180" s="156" t="n"/>
      <c r="CG2180" s="156" t="n"/>
      <c r="CH2180" s="156" t="n"/>
      <c r="CI2180" s="156" t="n"/>
      <c r="CJ2180" s="156" t="n"/>
      <c r="CK2180" s="156" t="n"/>
      <c r="CL2180" s="156" t="n"/>
      <c r="CM2180" s="156" t="n"/>
      <c r="CN2180" s="156" t="n"/>
      <c r="CO2180" s="156" t="n"/>
      <c r="CP2180" s="156" t="n"/>
      <c r="CQ2180" s="156" t="n"/>
      <c r="CR2180" s="156" t="n"/>
      <c r="CS2180" s="156" t="n"/>
      <c r="CT2180" s="156" t="n"/>
      <c r="CU2180" s="156" t="n"/>
      <c r="CV2180" s="156" t="n"/>
      <c r="CW2180" s="156" t="n"/>
      <c r="CX2180" s="156" t="n"/>
      <c r="CY2180" s="156" t="n"/>
      <c r="CZ2180" s="156" t="n"/>
      <c r="DA2180" s="156" t="n"/>
      <c r="DB2180" s="156" t="n"/>
      <c r="DC2180" s="156" t="n"/>
      <c r="DD2180" s="156" t="n"/>
      <c r="DE2180" s="156" t="n"/>
      <c r="DF2180" s="156" t="n"/>
      <c r="DG2180" s="156" t="n"/>
      <c r="DH2180" s="156" t="n"/>
      <c r="DI2180" s="156" t="n"/>
      <c r="DJ2180" s="156" t="n"/>
      <c r="DK2180" s="156" t="n"/>
      <c r="DL2180" s="156" t="n"/>
      <c r="DM2180" s="156" t="n"/>
      <c r="DN2180" s="156" t="n"/>
      <c r="DO2180" s="156" t="n"/>
      <c r="DP2180" s="156" t="n"/>
      <c r="DQ2180" s="156" t="n"/>
      <c r="DR2180" s="156" t="n"/>
      <c r="DS2180" s="156" t="n"/>
      <c r="DT2180" s="156" t="n"/>
      <c r="DU2180" s="157"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87" t="inlineStr">
        <is>
          <t xml:space="preserve">    (近畿高等学校統一用紙　  その２ 　  令和７年度改定)　</t>
        </is>
      </c>
      <c r="DV2182" s="2" t="n"/>
      <c r="DW2182" s="2" t="n"/>
      <c r="DX2182" s="2" t="n"/>
      <c r="DY2182" s="2" t="n"/>
      <c r="DZ2182" s="2" t="n"/>
      <c r="EA2182" s="2" t="n"/>
      <c r="EB2182" s="2" t="n"/>
      <c r="EC2182" s="2" t="n"/>
    </row>
    <row r="2183" hidden="1"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idden="1"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47"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64" t="inlineStr">
        <is>
          <t>令和</t>
        </is>
      </c>
      <c r="AD2192" s="154">
        <f>IF(入力!$D$29="","",IF(N(設定!$B$3)=0,"",YEAR(設定!$B$3)-2018))&amp;""</f>
        <v/>
      </c>
      <c r="AG2192" s="64" t="inlineStr">
        <is>
          <t>年</t>
        </is>
      </c>
      <c r="AI2192" s="154">
        <f>IF(入力!$D$29="","",IF(N(設定!$B$3)=0,"",MONTH(設定!$B$3)))&amp;""</f>
        <v/>
      </c>
      <c r="AL2192" s="64" t="inlineStr">
        <is>
          <t>月</t>
        </is>
      </c>
      <c r="AN2192" s="154">
        <f>IF(入力!$D$29="","",IF(N(設定!$B$3)=0,"",DAY(設定!$B$3)))&amp;""</f>
        <v/>
      </c>
      <c r="AP2192" s="64"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5" t="n"/>
      <c r="BX2192" s="156" t="n"/>
      <c r="BY2192" s="156" t="n"/>
      <c r="BZ2192" s="156" t="n"/>
      <c r="CA2192" s="156" t="n"/>
      <c r="CB2192" s="156" t="n"/>
      <c r="CC2192" s="156" t="n"/>
      <c r="CD2192" s="156" t="n"/>
      <c r="CE2192" s="156" t="n"/>
      <c r="CF2192" s="156" t="n"/>
      <c r="CG2192" s="157" t="n"/>
      <c r="CH2192" s="155" t="n"/>
      <c r="CI2192" s="156" t="n"/>
      <c r="CJ2192" s="156" t="n"/>
      <c r="CK2192" s="156" t="n"/>
      <c r="CL2192" s="156" t="n"/>
      <c r="CM2192" s="156" t="n"/>
      <c r="CN2192" s="156" t="n"/>
      <c r="CO2192" s="156" t="n"/>
      <c r="CP2192" s="156" t="n"/>
      <c r="CQ2192" s="156" t="n"/>
      <c r="CR2192" s="156" t="n"/>
      <c r="CS2192" s="156" t="n"/>
      <c r="CT2192" s="156" t="n"/>
      <c r="CU2192" s="156" t="n"/>
      <c r="CV2192" s="156" t="n"/>
      <c r="CW2192" s="156" t="n"/>
      <c r="CX2192" s="156" t="n"/>
      <c r="CY2192" s="156" t="n"/>
      <c r="CZ2192" s="156" t="n"/>
      <c r="DA2192" s="156" t="n"/>
      <c r="DB2192" s="156" t="n"/>
      <c r="DC2192" s="156" t="n"/>
      <c r="DD2192" s="156" t="n"/>
      <c r="DE2192" s="156" t="n"/>
      <c r="DF2192" s="156" t="n"/>
      <c r="DG2192" s="156" t="n"/>
      <c r="DH2192" s="156" t="n"/>
      <c r="DI2192" s="156" t="n"/>
      <c r="DJ2192" s="156" t="n"/>
      <c r="DK2192" s="156" t="n"/>
      <c r="DL2192" s="156" t="n"/>
      <c r="DM2192" s="156" t="n"/>
      <c r="DN2192" s="156" t="n"/>
      <c r="DO2192" s="156" t="n"/>
      <c r="DP2192" s="156" t="n"/>
      <c r="DQ2192" s="156" t="n"/>
      <c r="DR2192" s="156" t="n"/>
      <c r="DS2192" s="156" t="n"/>
      <c r="DT2192" s="156" t="n"/>
      <c r="DU2192" s="157"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68" t="inlineStr">
        <is>
          <t>写真をはる位置</t>
        </is>
      </c>
      <c r="BI2193" s="8" t="n"/>
      <c r="BJ2193" s="7" t="n"/>
      <c r="BK2193" s="2" t="n"/>
      <c r="BL2193" s="2" t="n"/>
      <c r="BM2193" s="2" t="n"/>
      <c r="BN2193" s="2" t="n"/>
      <c r="BO2193" s="2" t="n"/>
      <c r="BP2193" s="152" t="n"/>
      <c r="BV2193" s="153" t="n"/>
      <c r="BW2193" s="158">
        <f>計算!$CB$27</f>
        <v/>
      </c>
      <c r="CG2193" s="153" t="n"/>
      <c r="CH2193" s="159">
        <f>計算!$CC$27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6" t="n"/>
      <c r="AA2194" s="156" t="n"/>
      <c r="AB2194" s="156" t="n"/>
      <c r="AC2194" s="156" t="n"/>
      <c r="AD2194" s="156" t="n"/>
      <c r="AE2194" s="156" t="n"/>
      <c r="AF2194" s="156" t="n"/>
      <c r="AG2194" s="156" t="n"/>
      <c r="AH2194" s="156" t="n"/>
      <c r="AI2194" s="156" t="n"/>
      <c r="AJ2194" s="156" t="n"/>
      <c r="AK2194" s="156" t="n"/>
      <c r="AL2194" s="156" t="n"/>
      <c r="AM2194" s="156" t="n"/>
      <c r="AN2194" s="156" t="n"/>
      <c r="AO2194" s="156" t="n"/>
      <c r="AP2194" s="156" t="n"/>
      <c r="AQ2194" s="156" t="n"/>
      <c r="AR2194" s="156" t="n"/>
      <c r="AS2194" s="156" t="n"/>
      <c r="AT2194" s="156"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0">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5" t="n"/>
      <c r="F2198" s="156" t="n"/>
      <c r="G2198" s="156" t="n"/>
      <c r="H2198" s="156" t="n"/>
      <c r="I2198" s="156" t="n"/>
      <c r="J2198" s="156" t="n"/>
      <c r="K2198" s="157" t="n"/>
      <c r="L2198" s="156" t="n"/>
      <c r="M2198" s="156" t="n"/>
      <c r="N2198" s="156" t="n"/>
      <c r="O2198" s="156" t="n"/>
      <c r="P2198" s="156" t="n"/>
      <c r="Q2198" s="156" t="n"/>
      <c r="R2198" s="156" t="n"/>
      <c r="S2198" s="156" t="n"/>
      <c r="T2198" s="156" t="n"/>
      <c r="U2198" s="156" t="n"/>
      <c r="V2198" s="156" t="n"/>
      <c r="W2198" s="156" t="n"/>
      <c r="X2198" s="156" t="n"/>
      <c r="Y2198" s="156" t="n"/>
      <c r="Z2198" s="156" t="n"/>
      <c r="AA2198" s="156" t="n"/>
      <c r="AB2198" s="156" t="n"/>
      <c r="AC2198" s="156" t="n"/>
      <c r="AD2198" s="156" t="n"/>
      <c r="AE2198" s="156" t="n"/>
      <c r="AF2198" s="156" t="n"/>
      <c r="AG2198" s="156" t="n"/>
      <c r="AH2198" s="156" t="n"/>
      <c r="AI2198" s="156" t="n"/>
      <c r="AJ2198" s="156" t="n"/>
      <c r="AK2198" s="156" t="n"/>
      <c r="AL2198" s="156" t="n"/>
      <c r="AM2198" s="156" t="n"/>
      <c r="AN2198" s="156" t="n"/>
      <c r="AO2198" s="156" t="n"/>
      <c r="AP2198" s="156" t="n"/>
      <c r="AQ2198" s="156" t="n"/>
      <c r="AR2198" s="156" t="n"/>
      <c r="AS2198" s="156" t="n"/>
      <c r="AT2198" s="157"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1" t="inlineStr">
        <is>
          <t>名　前</t>
        </is>
      </c>
      <c r="F2199" s="149" t="n"/>
      <c r="G2199" s="149" t="n"/>
      <c r="H2199" s="149" t="n"/>
      <c r="I2199" s="149" t="n"/>
      <c r="J2199" s="149" t="n"/>
      <c r="K2199" s="150" t="n"/>
      <c r="L2199" s="162">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61"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5" t="n"/>
      <c r="F2204" s="156" t="n"/>
      <c r="G2204" s="156" t="n"/>
      <c r="H2204" s="156" t="n"/>
      <c r="I2204" s="156" t="n"/>
      <c r="J2204" s="156" t="n"/>
      <c r="K2204" s="157" t="n"/>
      <c r="L2204" s="155" t="n"/>
      <c r="M2204" s="156" t="n"/>
      <c r="N2204" s="156" t="n"/>
      <c r="O2204" s="156" t="n"/>
      <c r="P2204" s="156" t="n"/>
      <c r="Q2204" s="156" t="n"/>
      <c r="R2204" s="156" t="n"/>
      <c r="S2204" s="156" t="n"/>
      <c r="T2204" s="156" t="n"/>
      <c r="U2204" s="156" t="n"/>
      <c r="V2204" s="156" t="n"/>
      <c r="W2204" s="156" t="n"/>
      <c r="X2204" s="156" t="n"/>
      <c r="Y2204" s="156" t="n"/>
      <c r="Z2204" s="156" t="n"/>
      <c r="AA2204" s="156" t="n"/>
      <c r="AB2204" s="156" t="n"/>
      <c r="AC2204" s="156" t="n"/>
      <c r="AD2204" s="156" t="n"/>
      <c r="AE2204" s="156" t="n"/>
      <c r="AF2204" s="156" t="n"/>
      <c r="AG2204" s="156" t="n"/>
      <c r="AH2204" s="156" t="n"/>
      <c r="AI2204" s="156" t="n"/>
      <c r="AJ2204" s="156" t="n"/>
      <c r="AK2204" s="156" t="n"/>
      <c r="AL2204" s="156" t="n"/>
      <c r="AM2204" s="156" t="n"/>
      <c r="AN2204" s="156" t="n"/>
      <c r="AO2204" s="156" t="n"/>
      <c r="AP2204" s="156" t="n"/>
      <c r="AQ2204" s="156" t="n"/>
      <c r="AR2204" s="156" t="n"/>
      <c r="AS2204" s="156" t="n"/>
      <c r="AT2204" s="157"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1" t="inlineStr">
        <is>
          <t>生年月日</t>
        </is>
      </c>
      <c r="F2205" s="149" t="n"/>
      <c r="G2205" s="149" t="n"/>
      <c r="H2205" s="149" t="n"/>
      <c r="I2205" s="149" t="n"/>
      <c r="J2205" s="149" t="n"/>
      <c r="K2205" s="150" t="n"/>
      <c r="L2205" s="163" t="inlineStr">
        <is>
          <t>昭和 ・ 平成</t>
        </is>
      </c>
      <c r="M2205" s="149" t="n"/>
      <c r="N2205" s="149" t="n"/>
      <c r="O2205" s="149" t="n"/>
      <c r="P2205" s="149" t="n"/>
      <c r="Q2205" s="149" t="n"/>
      <c r="R2205" s="149" t="n"/>
      <c r="S2205" s="149" t="n"/>
      <c r="T2205" s="149" t="n"/>
      <c r="U2205" s="149" t="n"/>
      <c r="V2205" s="164">
        <f>計算!$D$27</f>
        <v/>
      </c>
      <c r="W2205" s="149" t="n"/>
      <c r="X2205" s="165" t="inlineStr">
        <is>
          <t>年</t>
        </is>
      </c>
      <c r="Y2205" s="149" t="n"/>
      <c r="Z2205" s="166">
        <f>計算!$E$27</f>
        <v/>
      </c>
      <c r="AA2205" s="149" t="n"/>
      <c r="AB2205" s="149" t="n"/>
      <c r="AC2205" s="165" t="inlineStr">
        <is>
          <t>月</t>
        </is>
      </c>
      <c r="AD2205" s="149" t="n"/>
      <c r="AE2205" s="166">
        <f>計算!$F$27</f>
        <v/>
      </c>
      <c r="AF2205" s="149" t="n"/>
      <c r="AG2205" s="149" t="n"/>
      <c r="AH2205" s="165" t="inlineStr">
        <is>
          <t>日　生 （満</t>
        </is>
      </c>
      <c r="AI2205" s="149" t="n"/>
      <c r="AJ2205" s="149" t="n"/>
      <c r="AK2205" s="149" t="n"/>
      <c r="AL2205" s="149" t="n"/>
      <c r="AM2205" s="149" t="n"/>
      <c r="AN2205" s="149" t="n"/>
      <c r="AO2205" s="149" t="n"/>
      <c r="AP2205" s="167">
        <f>計算!$G$27</f>
        <v/>
      </c>
      <c r="AQ2205" s="149" t="n"/>
      <c r="AR2205" s="168"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5" t="n"/>
      <c r="F2208" s="156" t="n"/>
      <c r="G2208" s="156" t="n"/>
      <c r="H2208" s="156" t="n"/>
      <c r="I2208" s="156" t="n"/>
      <c r="J2208" s="156" t="n"/>
      <c r="K2208" s="157" t="n"/>
      <c r="L2208" s="155" t="n"/>
      <c r="M2208" s="156" t="n"/>
      <c r="N2208" s="156" t="n"/>
      <c r="O2208" s="156" t="n"/>
      <c r="P2208" s="156" t="n"/>
      <c r="Q2208" s="156" t="n"/>
      <c r="R2208" s="156" t="n"/>
      <c r="S2208" s="156" t="n"/>
      <c r="T2208" s="156" t="n"/>
      <c r="U2208" s="156" t="n"/>
      <c r="X2208" s="156" t="n"/>
      <c r="Y2208" s="156" t="n"/>
      <c r="AC2208" s="156" t="n"/>
      <c r="AD2208" s="156" t="n"/>
      <c r="AH2208" s="156" t="n"/>
      <c r="AI2208" s="156" t="n"/>
      <c r="AJ2208" s="156" t="n"/>
      <c r="AK2208" s="156" t="n"/>
      <c r="AL2208" s="156" t="n"/>
      <c r="AM2208" s="156" t="n"/>
      <c r="AN2208" s="156" t="n"/>
      <c r="AO2208" s="156" t="n"/>
      <c r="AP2208" s="156" t="n"/>
      <c r="AQ2208" s="156" t="n"/>
      <c r="AR2208" s="156" t="n"/>
      <c r="AS2208" s="156" t="n"/>
      <c r="AT2208" s="157"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69" t="inlineStr">
        <is>
          <t>ふ り が な</t>
        </is>
      </c>
      <c r="F2209" s="149" t="n"/>
      <c r="G2209" s="149" t="n"/>
      <c r="H2209" s="149" t="n"/>
      <c r="I2209" s="149" t="n"/>
      <c r="J2209" s="149" t="n"/>
      <c r="K2209" s="150" t="n"/>
      <c r="L2209" s="170">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1" t="n"/>
      <c r="F2211" s="172" t="n"/>
      <c r="G2211" s="172" t="n"/>
      <c r="H2211" s="172" t="n"/>
      <c r="I2211" s="172" t="n"/>
      <c r="J2211" s="172" t="n"/>
      <c r="K2211" s="173" t="n"/>
      <c r="L2211" s="172" t="n"/>
      <c r="M2211" s="172" t="n"/>
      <c r="N2211" s="172" t="n"/>
      <c r="O2211" s="172" t="n"/>
      <c r="P2211" s="172" t="n"/>
      <c r="Q2211" s="172" t="n"/>
      <c r="R2211" s="172" t="n"/>
      <c r="S2211" s="172" t="n"/>
      <c r="T2211" s="172" t="n"/>
      <c r="U2211" s="172" t="n"/>
      <c r="V2211" s="172" t="n"/>
      <c r="W2211" s="172" t="n"/>
      <c r="X2211" s="172" t="n"/>
      <c r="Y2211" s="172" t="n"/>
      <c r="Z2211" s="172" t="n"/>
      <c r="AA2211" s="172" t="n"/>
      <c r="AB2211" s="172" t="n"/>
      <c r="AC2211" s="172" t="n"/>
      <c r="AD2211" s="172" t="n"/>
      <c r="AE2211" s="172" t="n"/>
      <c r="AF2211" s="172" t="n"/>
      <c r="AG2211" s="172" t="n"/>
      <c r="AH2211" s="172" t="n"/>
      <c r="AI2211" s="172" t="n"/>
      <c r="AJ2211" s="172" t="n"/>
      <c r="AK2211" s="172" t="n"/>
      <c r="AL2211" s="172" t="n"/>
      <c r="AM2211" s="172" t="n"/>
      <c r="AN2211" s="172" t="n"/>
      <c r="AO2211" s="172" t="n"/>
      <c r="AP2211" s="172" t="n"/>
      <c r="AQ2211" s="172" t="n"/>
      <c r="AR2211" s="172" t="n"/>
      <c r="AS2211" s="172" t="n"/>
      <c r="AT2211" s="172" t="n"/>
      <c r="AU2211" s="172" t="n"/>
      <c r="AV2211" s="172" t="n"/>
      <c r="AW2211" s="172" t="n"/>
      <c r="AX2211" s="172" t="n"/>
      <c r="AY2211" s="172" t="n"/>
      <c r="AZ2211" s="172" t="n"/>
      <c r="BA2211" s="172" t="n"/>
      <c r="BB2211" s="172" t="n"/>
      <c r="BC2211" s="172" t="n"/>
      <c r="BD2211" s="172" t="n"/>
      <c r="BE2211" s="172" t="n"/>
      <c r="BF2211" s="172" t="n"/>
      <c r="BG2211" s="172" t="n"/>
      <c r="BH2211" s="172" t="n"/>
      <c r="BI2211" s="173"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4" t="inlineStr">
        <is>
          <t>現住所</t>
        </is>
      </c>
      <c r="F2212" s="175" t="n"/>
      <c r="G2212" s="175" t="n"/>
      <c r="H2212" s="175" t="n"/>
      <c r="I2212" s="175" t="n"/>
      <c r="J2212" s="175" t="n"/>
      <c r="K2212" s="176" t="n"/>
      <c r="L2212" s="83" t="inlineStr">
        <is>
          <t>〒</t>
        </is>
      </c>
      <c r="M2212" s="175" t="n"/>
      <c r="N2212" s="175" t="n"/>
      <c r="O2212" s="175" t="n"/>
      <c r="P2212" s="177">
        <f>計算!$H$27</f>
        <v/>
      </c>
      <c r="Q2212" s="175" t="n"/>
      <c r="R2212" s="175" t="n"/>
      <c r="S2212" s="175" t="n"/>
      <c r="T2212" s="175" t="n"/>
      <c r="U2212" s="175" t="n"/>
      <c r="V2212" s="175" t="n"/>
      <c r="W2212" s="175" t="n"/>
      <c r="X2212" s="175" t="n"/>
      <c r="Y2212" s="175" t="n"/>
      <c r="Z2212" s="175" t="n"/>
      <c r="AA2212" s="175" t="n"/>
      <c r="AB2212" s="175" t="n"/>
      <c r="AC2212" s="175" t="n"/>
      <c r="AD2212" s="175" t="n"/>
      <c r="AE2212" s="175" t="n"/>
      <c r="AF2212" s="175" t="n"/>
      <c r="AG2212" s="175" t="n"/>
      <c r="AH2212" s="175" t="n"/>
      <c r="AI2212" s="175" t="n"/>
      <c r="AJ2212" s="175"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5" t="n"/>
      <c r="BQ2213" s="156" t="n"/>
      <c r="BR2213" s="156" t="n"/>
      <c r="BS2213" s="156" t="n"/>
      <c r="BT2213" s="156" t="n"/>
      <c r="BU2213" s="156" t="n"/>
      <c r="BV2213" s="157" t="n"/>
      <c r="BW2213" s="155" t="n"/>
      <c r="BX2213" s="156" t="n"/>
      <c r="BY2213" s="156" t="n"/>
      <c r="BZ2213" s="156" t="n"/>
      <c r="CA2213" s="156" t="n"/>
      <c r="CB2213" s="156" t="n"/>
      <c r="CC2213" s="156" t="n"/>
      <c r="CD2213" s="156" t="n"/>
      <c r="CE2213" s="156" t="n"/>
      <c r="CF2213" s="156" t="n"/>
      <c r="CG2213" s="157"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8" t="inlineStr">
        <is>
          <t>校内外の諸活動</t>
        </is>
      </c>
      <c r="BQ2214" s="149" t="n"/>
      <c r="BR2214" s="149" t="n"/>
      <c r="BS2214" s="149" t="n"/>
      <c r="BT2214" s="149" t="n"/>
      <c r="BU2214" s="149" t="n"/>
      <c r="BV2214" s="150" t="n"/>
      <c r="BW2214" s="179">
        <f>計算!$BO$27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0">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5" t="n"/>
      <c r="F2217" s="156" t="n"/>
      <c r="G2217" s="156" t="n"/>
      <c r="H2217" s="156" t="n"/>
      <c r="I2217" s="156" t="n"/>
      <c r="J2217" s="156" t="n"/>
      <c r="K2217" s="157" t="n"/>
      <c r="L2217" s="155" t="n"/>
      <c r="M2217" s="156" t="n"/>
      <c r="N2217" s="156" t="n"/>
      <c r="O2217" s="156" t="n"/>
      <c r="P2217" s="156" t="n"/>
      <c r="Q2217" s="156" t="n"/>
      <c r="R2217" s="156" t="n"/>
      <c r="S2217" s="156" t="n"/>
      <c r="T2217" s="156" t="n"/>
      <c r="U2217" s="156" t="n"/>
      <c r="V2217" s="156" t="n"/>
      <c r="W2217" s="156" t="n"/>
      <c r="X2217" s="156" t="n"/>
      <c r="Y2217" s="156" t="n"/>
      <c r="Z2217" s="156" t="n"/>
      <c r="AA2217" s="156" t="n"/>
      <c r="AB2217" s="156" t="n"/>
      <c r="AC2217" s="156" t="n"/>
      <c r="AD2217" s="156" t="n"/>
      <c r="AE2217" s="156" t="n"/>
      <c r="AF2217" s="156" t="n"/>
      <c r="AG2217" s="156" t="n"/>
      <c r="AH2217" s="156" t="n"/>
      <c r="AI2217" s="156" t="n"/>
      <c r="AJ2217" s="156" t="n"/>
      <c r="AK2217" s="156" t="n"/>
      <c r="AL2217" s="156" t="n"/>
      <c r="AM2217" s="156" t="n"/>
      <c r="AN2217" s="156" t="n"/>
      <c r="AO2217" s="156" t="n"/>
      <c r="AP2217" s="156" t="n"/>
      <c r="AQ2217" s="156" t="n"/>
      <c r="AR2217" s="156" t="n"/>
      <c r="AS2217" s="156" t="n"/>
      <c r="AT2217" s="156" t="n"/>
      <c r="AU2217" s="156" t="n"/>
      <c r="AV2217" s="156" t="n"/>
      <c r="AW2217" s="156" t="n"/>
      <c r="AX2217" s="156" t="n"/>
      <c r="AY2217" s="156" t="n"/>
      <c r="AZ2217" s="156" t="n"/>
      <c r="BA2217" s="156" t="n"/>
      <c r="BB2217" s="156" t="n"/>
      <c r="BC2217" s="156" t="n"/>
      <c r="BD2217" s="156" t="n"/>
      <c r="BE2217" s="156" t="n"/>
      <c r="BF2217" s="156" t="n"/>
      <c r="BG2217" s="156" t="n"/>
      <c r="BH2217" s="156" t="n"/>
      <c r="BI2217" s="157"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69" t="inlineStr">
        <is>
          <t>ふ り が な</t>
        </is>
      </c>
      <c r="F2218" s="149" t="n"/>
      <c r="G2218" s="149" t="n"/>
      <c r="H2218" s="149" t="n"/>
      <c r="I2218" s="149" t="n"/>
      <c r="J2218" s="149" t="n"/>
      <c r="K2218" s="150" t="n"/>
      <c r="L2218" s="170">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1" t="n"/>
      <c r="F2220" s="172" t="n"/>
      <c r="G2220" s="172" t="n"/>
      <c r="H2220" s="172" t="n"/>
      <c r="I2220" s="172" t="n"/>
      <c r="J2220" s="172" t="n"/>
      <c r="K2220" s="173" t="n"/>
      <c r="L2220" s="172" t="n"/>
      <c r="M2220" s="172" t="n"/>
      <c r="N2220" s="172" t="n"/>
      <c r="O2220" s="172" t="n"/>
      <c r="P2220" s="172" t="n"/>
      <c r="Q2220" s="172" t="n"/>
      <c r="R2220" s="172" t="n"/>
      <c r="S2220" s="172" t="n"/>
      <c r="T2220" s="172" t="n"/>
      <c r="U2220" s="172" t="n"/>
      <c r="V2220" s="172" t="n"/>
      <c r="W2220" s="172" t="n"/>
      <c r="X2220" s="172" t="n"/>
      <c r="Y2220" s="172" t="n"/>
      <c r="Z2220" s="172" t="n"/>
      <c r="AA2220" s="172" t="n"/>
      <c r="AB2220" s="172" t="n"/>
      <c r="AC2220" s="172" t="n"/>
      <c r="AD2220" s="172" t="n"/>
      <c r="AE2220" s="172" t="n"/>
      <c r="AF2220" s="172" t="n"/>
      <c r="AG2220" s="172" t="n"/>
      <c r="AH2220" s="172" t="n"/>
      <c r="AI2220" s="172" t="n"/>
      <c r="AJ2220" s="172" t="n"/>
      <c r="AK2220" s="172" t="n"/>
      <c r="AL2220" s="172" t="n"/>
      <c r="AM2220" s="172" t="n"/>
      <c r="AN2220" s="172" t="n"/>
      <c r="AO2220" s="172" t="n"/>
      <c r="AP2220" s="172" t="n"/>
      <c r="AQ2220" s="172" t="n"/>
      <c r="AR2220" s="172" t="n"/>
      <c r="AS2220" s="172" t="n"/>
      <c r="AT2220" s="172" t="n"/>
      <c r="AU2220" s="172" t="n"/>
      <c r="AV2220" s="172" t="n"/>
      <c r="AW2220" s="172" t="n"/>
      <c r="AX2220" s="172" t="n"/>
      <c r="AY2220" s="172" t="n"/>
      <c r="AZ2220" s="172" t="n"/>
      <c r="BA2220" s="172" t="n"/>
      <c r="BB2220" s="172" t="n"/>
      <c r="BC2220" s="172" t="n"/>
      <c r="BD2220" s="172" t="n"/>
      <c r="BE2220" s="172" t="n"/>
      <c r="BF2220" s="172" t="n"/>
      <c r="BG2220" s="172" t="n"/>
      <c r="BH2220" s="172" t="n"/>
      <c r="BI2220" s="173"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4" t="inlineStr">
        <is>
          <t>連絡先</t>
        </is>
      </c>
      <c r="F2221" s="175" t="n"/>
      <c r="G2221" s="175" t="n"/>
      <c r="H2221" s="175" t="n"/>
      <c r="I2221" s="175" t="n"/>
      <c r="J2221" s="175" t="n"/>
      <c r="K2221" s="176" t="n"/>
      <c r="L2221" s="83" t="inlineStr">
        <is>
          <t>〒</t>
        </is>
      </c>
      <c r="M2221" s="175" t="n"/>
      <c r="N2221" s="175" t="n"/>
      <c r="O2221" s="175" t="n"/>
      <c r="P2221" s="181">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2">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5" t="n"/>
      <c r="F2225" s="156" t="n"/>
      <c r="G2225" s="156" t="n"/>
      <c r="H2225" s="156" t="n"/>
      <c r="I2225" s="156" t="n"/>
      <c r="J2225" s="156" t="n"/>
      <c r="K2225" s="157" t="n"/>
      <c r="L2225" s="156" t="n"/>
      <c r="M2225" s="156" t="n"/>
      <c r="N2225" s="156" t="n"/>
      <c r="O2225" s="156" t="n"/>
      <c r="P2225" s="156" t="n"/>
      <c r="Q2225" s="156" t="n"/>
      <c r="R2225" s="156" t="n"/>
      <c r="S2225" s="156" t="n"/>
      <c r="T2225" s="156" t="n"/>
      <c r="U2225" s="156" t="n"/>
      <c r="V2225" s="156" t="n"/>
      <c r="W2225" s="156" t="n"/>
      <c r="X2225" s="156" t="n"/>
      <c r="Y2225" s="156" t="n"/>
      <c r="Z2225" s="156" t="n"/>
      <c r="AA2225" s="156" t="n"/>
      <c r="AB2225" s="156" t="n"/>
      <c r="AC2225" s="156" t="n"/>
      <c r="AD2225" s="156" t="n"/>
      <c r="AE2225" s="156" t="n"/>
      <c r="AF2225" s="156" t="n"/>
      <c r="AG2225" s="156" t="n"/>
      <c r="AH2225" s="156" t="n"/>
      <c r="AI2225" s="156" t="n"/>
      <c r="AJ2225" s="156" t="n"/>
      <c r="AK2225" s="156" t="n"/>
      <c r="AL2225" s="156" t="n"/>
      <c r="AM2225" s="156" t="n"/>
      <c r="AN2225" s="156" t="n"/>
      <c r="AO2225" s="156" t="n"/>
      <c r="AP2225" s="156" t="n"/>
      <c r="AQ2225" s="156" t="n"/>
      <c r="AR2225" s="156" t="n"/>
      <c r="AS2225" s="156" t="n"/>
      <c r="AT2225" s="156" t="n"/>
      <c r="AU2225" s="156" t="n"/>
      <c r="AV2225" s="156" t="n"/>
      <c r="AW2225" s="156" t="n"/>
      <c r="AX2225" s="156" t="n"/>
      <c r="AY2225" s="156" t="n"/>
      <c r="AZ2225" s="156" t="n"/>
      <c r="BA2225" s="156" t="n"/>
      <c r="BB2225" s="156" t="n"/>
      <c r="BC2225" s="156" t="n"/>
      <c r="BD2225" s="156" t="n"/>
      <c r="BE2225" s="156" t="n"/>
      <c r="BF2225" s="156" t="n"/>
      <c r="BG2225" s="156" t="n"/>
      <c r="BH2225" s="156" t="n"/>
      <c r="BI2225" s="157"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86"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3" t="n"/>
      <c r="BQ2231" s="149" t="n"/>
      <c r="BR2231" s="184" t="n"/>
      <c r="BS2231" s="149" t="n"/>
      <c r="BT2231" s="149" t="n"/>
      <c r="BU2231" s="28" t="n"/>
      <c r="BV2231" s="29" t="n"/>
      <c r="BW2231" s="185">
        <f>計算!$BP$27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115"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6"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107"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7">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188">
        <f>IF(入力!$D$29="","",設定!$B$6)&amp;""</f>
        <v/>
      </c>
      <c r="S2239" s="11" t="n"/>
      <c r="T2239" s="11" t="n"/>
      <c r="U2239" s="188">
        <f>IF(入力!$D$29="","",設定!$B$7)&amp;""</f>
        <v/>
      </c>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110" t="inlineStr">
        <is>
          <t>令和</t>
        </is>
      </c>
      <c r="S2240" s="61" t="inlineStr">
        <is>
          <t>年</t>
        </is>
      </c>
      <c r="W2240" s="62"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90"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5" t="n"/>
      <c r="F2244" s="156" t="n"/>
      <c r="G2244" s="156" t="n"/>
      <c r="H2244" s="156" t="n"/>
      <c r="I2244" s="156" t="n"/>
      <c r="J2244" s="156" t="n"/>
      <c r="K2244" s="157"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6" t="n"/>
      <c r="AX2244" s="156" t="n"/>
      <c r="AY2244" s="156" t="n"/>
      <c r="AZ2244" s="156" t="n"/>
      <c r="BA2244" s="156" t="n"/>
      <c r="BB2244" s="156" t="n"/>
      <c r="BC2244" s="156" t="n"/>
      <c r="BD2244" s="156" t="n"/>
      <c r="BE2244" s="156" t="n"/>
      <c r="BF2244" s="156" t="n"/>
      <c r="BG2244" s="156" t="n"/>
      <c r="BH2244" s="156" t="n"/>
      <c r="BI2244" s="157"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58" t="n"/>
      <c r="T2245" s="149" t="n"/>
      <c r="U2245" s="17" t="n"/>
      <c r="V2245" s="17" t="n"/>
      <c r="W2245" s="58"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89" t="inlineStr">
        <is>
          <t>職　歴</t>
        </is>
      </c>
      <c r="K2248" s="153" t="n"/>
      <c r="L2248" s="69" t="inlineStr">
        <is>
          <t>平成</t>
        </is>
      </c>
      <c r="M2248" s="149" t="n"/>
      <c r="N2248" s="149" t="n"/>
      <c r="O2248" s="149" t="n"/>
      <c r="P2248" s="19" t="n"/>
      <c r="Q2248" s="19" t="n"/>
      <c r="R2248" s="19" t="n"/>
      <c r="S2248" s="19" t="n"/>
      <c r="T2248" s="19" t="n"/>
      <c r="U2248" s="19" t="n"/>
      <c r="V2248" s="19" t="n"/>
      <c r="W2248" s="19" t="n"/>
      <c r="X2248" s="37" t="n"/>
      <c r="Y2248" s="180">
        <f>計算!$BT$27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8">
        <f>計算!$BR$27</f>
        <v/>
      </c>
      <c r="S2250" s="61" t="inlineStr">
        <is>
          <t>年</t>
        </is>
      </c>
      <c r="U2250" s="190">
        <f>計算!$BS$27</f>
        <v/>
      </c>
      <c r="W2250" s="62"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74"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5" t="n"/>
      <c r="M2253" s="156" t="n"/>
      <c r="N2253" s="156" t="n"/>
      <c r="O2253" s="156" t="n"/>
      <c r="P2253" s="20" t="n"/>
      <c r="Q2253" s="20" t="n"/>
      <c r="R2253" s="20" t="n"/>
      <c r="S2253" s="20" t="n"/>
      <c r="T2253" s="20" t="n"/>
      <c r="U2253" s="20" t="n"/>
      <c r="V2253" s="20" t="n"/>
      <c r="W2253" s="20" t="n"/>
      <c r="X2253" s="39" t="n"/>
      <c r="Y2253" s="155" t="n"/>
      <c r="Z2253" s="156" t="n"/>
      <c r="AA2253" s="156" t="n"/>
      <c r="AB2253" s="156" t="n"/>
      <c r="AC2253" s="156" t="n"/>
      <c r="AD2253" s="156" t="n"/>
      <c r="AE2253" s="156" t="n"/>
      <c r="AF2253" s="156" t="n"/>
      <c r="AG2253" s="156" t="n"/>
      <c r="AH2253" s="156" t="n"/>
      <c r="AI2253" s="156" t="n"/>
      <c r="AJ2253" s="156" t="n"/>
      <c r="AK2253" s="156" t="n"/>
      <c r="AL2253" s="156" t="n"/>
      <c r="AM2253" s="156" t="n"/>
      <c r="AN2253" s="156" t="n"/>
      <c r="AO2253" s="156" t="n"/>
      <c r="AP2253" s="156" t="n"/>
      <c r="AQ2253" s="156" t="n"/>
      <c r="AR2253" s="156" t="n"/>
      <c r="AS2253" s="156" t="n"/>
      <c r="AT2253" s="156" t="n"/>
      <c r="AU2253" s="156" t="n"/>
      <c r="AV2253" s="156" t="n"/>
      <c r="AW2253" s="156" t="n"/>
      <c r="AX2253" s="156" t="n"/>
      <c r="AY2253" s="156" t="n"/>
      <c r="AZ2253" s="156" t="n"/>
      <c r="BA2253" s="156" t="n"/>
      <c r="BB2253" s="156" t="n"/>
      <c r="BC2253" s="156" t="n"/>
      <c r="BD2253" s="156" t="n"/>
      <c r="BE2253" s="156" t="n"/>
      <c r="BF2253" s="156" t="n"/>
      <c r="BG2253" s="156" t="n"/>
      <c r="BH2253" s="156" t="n"/>
      <c r="BI2253" s="157"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69" t="inlineStr">
        <is>
          <t>平成</t>
        </is>
      </c>
      <c r="M2254" s="149" t="n"/>
      <c r="N2254" s="149" t="n"/>
      <c r="O2254" s="149" t="n"/>
      <c r="P2254" s="18" t="n"/>
      <c r="Q2254" s="18" t="n"/>
      <c r="R2254" s="18" t="n"/>
      <c r="S2254" s="18" t="n"/>
      <c r="T2254" s="18" t="n"/>
      <c r="U2254" s="18" t="n"/>
      <c r="V2254" s="18" t="n"/>
      <c r="W2254" s="18" t="n"/>
      <c r="X2254" s="35" t="n"/>
      <c r="Y2254" s="180">
        <f>計算!$BW$27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8">
        <f>計算!$BU$27</f>
        <v/>
      </c>
      <c r="S2256" s="61" t="inlineStr">
        <is>
          <t>年</t>
        </is>
      </c>
      <c r="U2256" s="190">
        <f>計算!$BV$27</f>
        <v/>
      </c>
      <c r="W2256" s="62"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74"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5" t="n"/>
      <c r="M2259" s="156" t="n"/>
      <c r="N2259" s="156" t="n"/>
      <c r="O2259" s="156" t="n"/>
      <c r="P2259" s="20" t="n"/>
      <c r="Q2259" s="20" t="n"/>
      <c r="R2259" s="20" t="n"/>
      <c r="S2259" s="20" t="n"/>
      <c r="T2259" s="20" t="n"/>
      <c r="U2259" s="20" t="n"/>
      <c r="V2259" s="20" t="n"/>
      <c r="W2259" s="20" t="n"/>
      <c r="X2259" s="39" t="n"/>
      <c r="Y2259" s="155" t="n"/>
      <c r="Z2259" s="156" t="n"/>
      <c r="AA2259" s="156" t="n"/>
      <c r="AB2259" s="156" t="n"/>
      <c r="AC2259" s="156" t="n"/>
      <c r="AD2259" s="156" t="n"/>
      <c r="AE2259" s="156" t="n"/>
      <c r="AF2259" s="156" t="n"/>
      <c r="AG2259" s="156" t="n"/>
      <c r="AH2259" s="156" t="n"/>
      <c r="AI2259" s="156" t="n"/>
      <c r="AJ2259" s="156" t="n"/>
      <c r="AK2259" s="156" t="n"/>
      <c r="AL2259" s="156" t="n"/>
      <c r="AM2259" s="156" t="n"/>
      <c r="AN2259" s="156" t="n"/>
      <c r="AO2259" s="156" t="n"/>
      <c r="AP2259" s="156" t="n"/>
      <c r="AQ2259" s="156" t="n"/>
      <c r="AR2259" s="156" t="n"/>
      <c r="AS2259" s="156" t="n"/>
      <c r="AT2259" s="156" t="n"/>
      <c r="AU2259" s="156" t="n"/>
      <c r="AV2259" s="156" t="n"/>
      <c r="AW2259" s="156" t="n"/>
      <c r="AX2259" s="156" t="n"/>
      <c r="AY2259" s="156" t="n"/>
      <c r="AZ2259" s="156" t="n"/>
      <c r="BA2259" s="156" t="n"/>
      <c r="BB2259" s="156" t="n"/>
      <c r="BC2259" s="156" t="n"/>
      <c r="BD2259" s="156" t="n"/>
      <c r="BE2259" s="156" t="n"/>
      <c r="BF2259" s="156" t="n"/>
      <c r="BG2259" s="156" t="n"/>
      <c r="BH2259" s="156" t="n"/>
      <c r="BI2259" s="157" t="n"/>
      <c r="BJ2259" s="2" t="n"/>
      <c r="BK2259" s="2" t="n"/>
      <c r="BL2259" s="2" t="n"/>
      <c r="BM2259" s="2" t="n"/>
      <c r="BN2259" s="2" t="n"/>
      <c r="BO2259" s="2" t="n"/>
      <c r="BP2259" s="155" t="n"/>
      <c r="BQ2259" s="156" t="n"/>
      <c r="BR2259" s="156" t="n"/>
      <c r="BS2259" s="156" t="n"/>
      <c r="BT2259" s="156" t="n"/>
      <c r="BU2259" s="42" t="n"/>
      <c r="BV2259" s="45" t="n"/>
      <c r="BW2259" s="156" t="n"/>
      <c r="BX2259" s="156" t="n"/>
      <c r="BY2259" s="156" t="n"/>
      <c r="BZ2259" s="156" t="n"/>
      <c r="CA2259" s="156" t="n"/>
      <c r="CB2259" s="156" t="n"/>
      <c r="CC2259" s="156" t="n"/>
      <c r="CD2259" s="156" t="n"/>
      <c r="CE2259" s="156" t="n"/>
      <c r="CF2259" s="156" t="n"/>
      <c r="CG2259" s="156" t="n"/>
      <c r="CH2259" s="156" t="n"/>
      <c r="CI2259" s="156" t="n"/>
      <c r="CJ2259" s="156" t="n"/>
      <c r="CK2259" s="156" t="n"/>
      <c r="CL2259" s="156" t="n"/>
      <c r="CM2259" s="156" t="n"/>
      <c r="CN2259" s="156" t="n"/>
      <c r="CO2259" s="156" t="n"/>
      <c r="CP2259" s="156" t="n"/>
      <c r="CQ2259" s="156" t="n"/>
      <c r="CR2259" s="156" t="n"/>
      <c r="CS2259" s="156" t="n"/>
      <c r="CT2259" s="156" t="n"/>
      <c r="CU2259" s="156" t="n"/>
      <c r="CV2259" s="156" t="n"/>
      <c r="CW2259" s="156" t="n"/>
      <c r="CX2259" s="156" t="n"/>
      <c r="CY2259" s="156" t="n"/>
      <c r="CZ2259" s="156" t="n"/>
      <c r="DA2259" s="156" t="n"/>
      <c r="DB2259" s="156" t="n"/>
      <c r="DC2259" s="156" t="n"/>
      <c r="DD2259" s="156" t="n"/>
      <c r="DE2259" s="156" t="n"/>
      <c r="DF2259" s="156" t="n"/>
      <c r="DG2259" s="156" t="n"/>
      <c r="DH2259" s="156" t="n"/>
      <c r="DI2259" s="156" t="n"/>
      <c r="DJ2259" s="156" t="n"/>
      <c r="DK2259" s="156" t="n"/>
      <c r="DL2259" s="156" t="n"/>
      <c r="DM2259" s="156" t="n"/>
      <c r="DN2259" s="156" t="n"/>
      <c r="DO2259" s="156" t="n"/>
      <c r="DP2259" s="156" t="n"/>
      <c r="DQ2259" s="156" t="n"/>
      <c r="DR2259" s="156" t="n"/>
      <c r="DS2259" s="156" t="n"/>
      <c r="DT2259" s="156" t="n"/>
      <c r="DU2259" s="157" t="n"/>
      <c r="DV2259" s="2" t="n"/>
      <c r="DW2259" s="2" t="n"/>
      <c r="DX2259" s="2" t="n"/>
      <c r="DY2259" s="2" t="n"/>
      <c r="DZ2259" s="2" t="n"/>
      <c r="EA2259" s="2" t="n"/>
      <c r="EB2259" s="2" t="n"/>
      <c r="EC2259" s="2" t="n"/>
    </row>
    <row r="2260" ht="6.75" customHeight="1" s="118">
      <c r="A2260" s="2" t="n"/>
      <c r="B2260" s="2" t="n"/>
      <c r="C2260" s="2" t="n"/>
      <c r="D2260" s="2" t="n"/>
      <c r="E2260" s="152" t="n"/>
      <c r="K2260" s="153" t="n"/>
      <c r="L2260" s="69"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5">
        <f>計算!$BQ$27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61" t="inlineStr">
        <is>
          <t>年</t>
        </is>
      </c>
      <c r="U2262" s="11" t="n"/>
      <c r="V2262" s="11" t="n"/>
      <c r="W2262" s="62"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74"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5" t="n"/>
      <c r="M2265" s="156" t="n"/>
      <c r="N2265" s="156" t="n"/>
      <c r="O2265" s="156"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69"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61" t="inlineStr">
        <is>
          <t>年</t>
        </is>
      </c>
      <c r="U2268" s="11" t="n"/>
      <c r="V2268" s="11" t="n"/>
      <c r="W2268" s="62"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74"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61" t="n"/>
      <c r="T2270" s="61" t="n"/>
      <c r="U2270" s="11" t="n"/>
      <c r="V2270" s="11" t="n"/>
      <c r="W2270" s="61" t="n"/>
      <c r="X2270" s="62"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5" t="n"/>
      <c r="F2271" s="156" t="n"/>
      <c r="G2271" s="156" t="n"/>
      <c r="H2271" s="156" t="n"/>
      <c r="I2271" s="156" t="n"/>
      <c r="J2271" s="156" t="n"/>
      <c r="K2271" s="157" t="n"/>
      <c r="L2271" s="155" t="n"/>
      <c r="M2271" s="156" t="n"/>
      <c r="N2271" s="156" t="n"/>
      <c r="O2271" s="156"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5" t="n"/>
      <c r="BQ2271" s="156" t="n"/>
      <c r="BR2271" s="156" t="n"/>
      <c r="BS2271" s="156" t="n"/>
      <c r="BT2271" s="156" t="n"/>
      <c r="BU2271" s="156" t="n"/>
      <c r="BV2271" s="157" t="n"/>
      <c r="BW2271" s="156" t="n"/>
      <c r="BX2271" s="156" t="n"/>
      <c r="BY2271" s="156" t="n"/>
      <c r="BZ2271" s="156" t="n"/>
      <c r="CA2271" s="156" t="n"/>
      <c r="CB2271" s="156" t="n"/>
      <c r="CC2271" s="156" t="n"/>
      <c r="CD2271" s="156" t="n"/>
      <c r="CE2271" s="156" t="n"/>
      <c r="CF2271" s="156" t="n"/>
      <c r="CG2271" s="156" t="n"/>
      <c r="CH2271" s="156" t="n"/>
      <c r="CI2271" s="156" t="n"/>
      <c r="CJ2271" s="156" t="n"/>
      <c r="CK2271" s="156" t="n"/>
      <c r="CL2271" s="156" t="n"/>
      <c r="CM2271" s="156" t="n"/>
      <c r="CN2271" s="156" t="n"/>
      <c r="CO2271" s="156" t="n"/>
      <c r="CP2271" s="156" t="n"/>
      <c r="CQ2271" s="156" t="n"/>
      <c r="CR2271" s="156" t="n"/>
      <c r="CS2271" s="156" t="n"/>
      <c r="CT2271" s="156" t="n"/>
      <c r="CU2271" s="156" t="n"/>
      <c r="CV2271" s="156" t="n"/>
      <c r="CW2271" s="156" t="n"/>
      <c r="CX2271" s="156" t="n"/>
      <c r="CY2271" s="156" t="n"/>
      <c r="CZ2271" s="156" t="n"/>
      <c r="DA2271" s="156" t="n"/>
      <c r="DB2271" s="156" t="n"/>
      <c r="DC2271" s="156" t="n"/>
      <c r="DD2271" s="156" t="n"/>
      <c r="DE2271" s="156" t="n"/>
      <c r="DF2271" s="156" t="n"/>
      <c r="DG2271" s="156" t="n"/>
      <c r="DH2271" s="156" t="n"/>
      <c r="DI2271" s="156" t="n"/>
      <c r="DJ2271" s="156" t="n"/>
      <c r="DK2271" s="156" t="n"/>
      <c r="DL2271" s="156" t="n"/>
      <c r="DM2271" s="156" t="n"/>
      <c r="DN2271" s="156" t="n"/>
      <c r="DO2271" s="156" t="n"/>
      <c r="DP2271" s="156" t="n"/>
      <c r="DQ2271" s="156" t="n"/>
      <c r="DR2271" s="156" t="n"/>
      <c r="DS2271" s="156" t="n"/>
      <c r="DT2271" s="156" t="n"/>
      <c r="DU2271" s="157"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87" t="inlineStr">
        <is>
          <t xml:space="preserve">    (近畿高等学校統一用紙　  その２ 　  令和７年度改定)　</t>
        </is>
      </c>
      <c r="DV2273" s="2" t="n"/>
      <c r="DW2273" s="2" t="n"/>
      <c r="DX2273" s="2" t="n"/>
      <c r="DY2273" s="2" t="n"/>
      <c r="DZ2273" s="2" t="n"/>
      <c r="EA2273" s="2" t="n"/>
      <c r="EB2273" s="2" t="n"/>
      <c r="EC2273" s="2" t="n"/>
    </row>
    <row r="2274" hidden="1"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idden="1"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47"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64" t="inlineStr">
        <is>
          <t>令和</t>
        </is>
      </c>
      <c r="AD2283" s="154">
        <f>IF(入力!$D$30="","",IF(N(設定!$B$3)=0,"",YEAR(設定!$B$3)-2018))&amp;""</f>
        <v/>
      </c>
      <c r="AG2283" s="64" t="inlineStr">
        <is>
          <t>年</t>
        </is>
      </c>
      <c r="AI2283" s="154">
        <f>IF(入力!$D$30="","",IF(N(設定!$B$3)=0,"",MONTH(設定!$B$3)))&amp;""</f>
        <v/>
      </c>
      <c r="AL2283" s="64" t="inlineStr">
        <is>
          <t>月</t>
        </is>
      </c>
      <c r="AN2283" s="154">
        <f>IF(入力!$D$30="","",IF(N(設定!$B$3)=0,"",DAY(設定!$B$3)))&amp;""</f>
        <v/>
      </c>
      <c r="AP2283" s="64"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5" t="n"/>
      <c r="BX2283" s="156" t="n"/>
      <c r="BY2283" s="156" t="n"/>
      <c r="BZ2283" s="156" t="n"/>
      <c r="CA2283" s="156" t="n"/>
      <c r="CB2283" s="156" t="n"/>
      <c r="CC2283" s="156" t="n"/>
      <c r="CD2283" s="156" t="n"/>
      <c r="CE2283" s="156" t="n"/>
      <c r="CF2283" s="156" t="n"/>
      <c r="CG2283" s="157" t="n"/>
      <c r="CH2283" s="155" t="n"/>
      <c r="CI2283" s="156" t="n"/>
      <c r="CJ2283" s="156" t="n"/>
      <c r="CK2283" s="156" t="n"/>
      <c r="CL2283" s="156" t="n"/>
      <c r="CM2283" s="156" t="n"/>
      <c r="CN2283" s="156" t="n"/>
      <c r="CO2283" s="156" t="n"/>
      <c r="CP2283" s="156" t="n"/>
      <c r="CQ2283" s="156" t="n"/>
      <c r="CR2283" s="156" t="n"/>
      <c r="CS2283" s="156" t="n"/>
      <c r="CT2283" s="156" t="n"/>
      <c r="CU2283" s="156" t="n"/>
      <c r="CV2283" s="156" t="n"/>
      <c r="CW2283" s="156" t="n"/>
      <c r="CX2283" s="156" t="n"/>
      <c r="CY2283" s="156" t="n"/>
      <c r="CZ2283" s="156" t="n"/>
      <c r="DA2283" s="156" t="n"/>
      <c r="DB2283" s="156" t="n"/>
      <c r="DC2283" s="156" t="n"/>
      <c r="DD2283" s="156" t="n"/>
      <c r="DE2283" s="156" t="n"/>
      <c r="DF2283" s="156" t="n"/>
      <c r="DG2283" s="156" t="n"/>
      <c r="DH2283" s="156" t="n"/>
      <c r="DI2283" s="156" t="n"/>
      <c r="DJ2283" s="156" t="n"/>
      <c r="DK2283" s="156" t="n"/>
      <c r="DL2283" s="156" t="n"/>
      <c r="DM2283" s="156" t="n"/>
      <c r="DN2283" s="156" t="n"/>
      <c r="DO2283" s="156" t="n"/>
      <c r="DP2283" s="156" t="n"/>
      <c r="DQ2283" s="156" t="n"/>
      <c r="DR2283" s="156" t="n"/>
      <c r="DS2283" s="156" t="n"/>
      <c r="DT2283" s="156" t="n"/>
      <c r="DU2283" s="157"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68" t="inlineStr">
        <is>
          <t>写真をはる位置</t>
        </is>
      </c>
      <c r="BI2284" s="8" t="n"/>
      <c r="BJ2284" s="7" t="n"/>
      <c r="BK2284" s="2" t="n"/>
      <c r="BL2284" s="2" t="n"/>
      <c r="BM2284" s="2" t="n"/>
      <c r="BN2284" s="2" t="n"/>
      <c r="BO2284" s="2" t="n"/>
      <c r="BP2284" s="152" t="n"/>
      <c r="BV2284" s="153" t="n"/>
      <c r="BW2284" s="158">
        <f>計算!$CB$28</f>
        <v/>
      </c>
      <c r="CG2284" s="153" t="n"/>
      <c r="CH2284" s="159">
        <f>計算!$CC$28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6" t="n"/>
      <c r="AA2285" s="156" t="n"/>
      <c r="AB2285" s="156" t="n"/>
      <c r="AC2285" s="156" t="n"/>
      <c r="AD2285" s="156" t="n"/>
      <c r="AE2285" s="156" t="n"/>
      <c r="AF2285" s="156" t="n"/>
      <c r="AG2285" s="156" t="n"/>
      <c r="AH2285" s="156" t="n"/>
      <c r="AI2285" s="156" t="n"/>
      <c r="AJ2285" s="156" t="n"/>
      <c r="AK2285" s="156" t="n"/>
      <c r="AL2285" s="156" t="n"/>
      <c r="AM2285" s="156" t="n"/>
      <c r="AN2285" s="156" t="n"/>
      <c r="AO2285" s="156" t="n"/>
      <c r="AP2285" s="156" t="n"/>
      <c r="AQ2285" s="156" t="n"/>
      <c r="AR2285" s="156" t="n"/>
      <c r="AS2285" s="156" t="n"/>
      <c r="AT2285" s="156"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0">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5" t="n"/>
      <c r="F2289" s="156" t="n"/>
      <c r="G2289" s="156" t="n"/>
      <c r="H2289" s="156" t="n"/>
      <c r="I2289" s="156" t="n"/>
      <c r="J2289" s="156" t="n"/>
      <c r="K2289" s="157" t="n"/>
      <c r="L2289" s="156" t="n"/>
      <c r="M2289" s="156" t="n"/>
      <c r="N2289" s="156" t="n"/>
      <c r="O2289" s="156" t="n"/>
      <c r="P2289" s="156" t="n"/>
      <c r="Q2289" s="156" t="n"/>
      <c r="R2289" s="156" t="n"/>
      <c r="S2289" s="156" t="n"/>
      <c r="T2289" s="156" t="n"/>
      <c r="U2289" s="156" t="n"/>
      <c r="V2289" s="156" t="n"/>
      <c r="W2289" s="156" t="n"/>
      <c r="X2289" s="156" t="n"/>
      <c r="Y2289" s="156" t="n"/>
      <c r="Z2289" s="156" t="n"/>
      <c r="AA2289" s="156" t="n"/>
      <c r="AB2289" s="156" t="n"/>
      <c r="AC2289" s="156" t="n"/>
      <c r="AD2289" s="156" t="n"/>
      <c r="AE2289" s="156" t="n"/>
      <c r="AF2289" s="156" t="n"/>
      <c r="AG2289" s="156" t="n"/>
      <c r="AH2289" s="156" t="n"/>
      <c r="AI2289" s="156" t="n"/>
      <c r="AJ2289" s="156" t="n"/>
      <c r="AK2289" s="156" t="n"/>
      <c r="AL2289" s="156" t="n"/>
      <c r="AM2289" s="156" t="n"/>
      <c r="AN2289" s="156" t="n"/>
      <c r="AO2289" s="156" t="n"/>
      <c r="AP2289" s="156" t="n"/>
      <c r="AQ2289" s="156" t="n"/>
      <c r="AR2289" s="156" t="n"/>
      <c r="AS2289" s="156" t="n"/>
      <c r="AT2289" s="157"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1" t="inlineStr">
        <is>
          <t>名　前</t>
        </is>
      </c>
      <c r="F2290" s="149" t="n"/>
      <c r="G2290" s="149" t="n"/>
      <c r="H2290" s="149" t="n"/>
      <c r="I2290" s="149" t="n"/>
      <c r="J2290" s="149" t="n"/>
      <c r="K2290" s="150" t="n"/>
      <c r="L2290" s="162">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61"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5" t="n"/>
      <c r="F2295" s="156" t="n"/>
      <c r="G2295" s="156" t="n"/>
      <c r="H2295" s="156" t="n"/>
      <c r="I2295" s="156" t="n"/>
      <c r="J2295" s="156" t="n"/>
      <c r="K2295" s="157" t="n"/>
      <c r="L2295" s="155" t="n"/>
      <c r="M2295" s="156" t="n"/>
      <c r="N2295" s="156" t="n"/>
      <c r="O2295" s="156" t="n"/>
      <c r="P2295" s="156" t="n"/>
      <c r="Q2295" s="156" t="n"/>
      <c r="R2295" s="156" t="n"/>
      <c r="S2295" s="156" t="n"/>
      <c r="T2295" s="156" t="n"/>
      <c r="U2295" s="156" t="n"/>
      <c r="V2295" s="156" t="n"/>
      <c r="W2295" s="156" t="n"/>
      <c r="X2295" s="156" t="n"/>
      <c r="Y2295" s="156" t="n"/>
      <c r="Z2295" s="156" t="n"/>
      <c r="AA2295" s="156" t="n"/>
      <c r="AB2295" s="156" t="n"/>
      <c r="AC2295" s="156" t="n"/>
      <c r="AD2295" s="156" t="n"/>
      <c r="AE2295" s="156" t="n"/>
      <c r="AF2295" s="156" t="n"/>
      <c r="AG2295" s="156" t="n"/>
      <c r="AH2295" s="156" t="n"/>
      <c r="AI2295" s="156" t="n"/>
      <c r="AJ2295" s="156" t="n"/>
      <c r="AK2295" s="156" t="n"/>
      <c r="AL2295" s="156" t="n"/>
      <c r="AM2295" s="156" t="n"/>
      <c r="AN2295" s="156" t="n"/>
      <c r="AO2295" s="156" t="n"/>
      <c r="AP2295" s="156" t="n"/>
      <c r="AQ2295" s="156" t="n"/>
      <c r="AR2295" s="156" t="n"/>
      <c r="AS2295" s="156" t="n"/>
      <c r="AT2295" s="157"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1" t="inlineStr">
        <is>
          <t>生年月日</t>
        </is>
      </c>
      <c r="F2296" s="149" t="n"/>
      <c r="G2296" s="149" t="n"/>
      <c r="H2296" s="149" t="n"/>
      <c r="I2296" s="149" t="n"/>
      <c r="J2296" s="149" t="n"/>
      <c r="K2296" s="150" t="n"/>
      <c r="L2296" s="163" t="inlineStr">
        <is>
          <t>昭和 ・ 平成</t>
        </is>
      </c>
      <c r="M2296" s="149" t="n"/>
      <c r="N2296" s="149" t="n"/>
      <c r="O2296" s="149" t="n"/>
      <c r="P2296" s="149" t="n"/>
      <c r="Q2296" s="149" t="n"/>
      <c r="R2296" s="149" t="n"/>
      <c r="S2296" s="149" t="n"/>
      <c r="T2296" s="149" t="n"/>
      <c r="U2296" s="149" t="n"/>
      <c r="V2296" s="164">
        <f>計算!$D$28</f>
        <v/>
      </c>
      <c r="W2296" s="149" t="n"/>
      <c r="X2296" s="165" t="inlineStr">
        <is>
          <t>年</t>
        </is>
      </c>
      <c r="Y2296" s="149" t="n"/>
      <c r="Z2296" s="166">
        <f>計算!$E$28</f>
        <v/>
      </c>
      <c r="AA2296" s="149" t="n"/>
      <c r="AB2296" s="149" t="n"/>
      <c r="AC2296" s="165" t="inlineStr">
        <is>
          <t>月</t>
        </is>
      </c>
      <c r="AD2296" s="149" t="n"/>
      <c r="AE2296" s="166">
        <f>計算!$F$28</f>
        <v/>
      </c>
      <c r="AF2296" s="149" t="n"/>
      <c r="AG2296" s="149" t="n"/>
      <c r="AH2296" s="165" t="inlineStr">
        <is>
          <t>日　生 （満</t>
        </is>
      </c>
      <c r="AI2296" s="149" t="n"/>
      <c r="AJ2296" s="149" t="n"/>
      <c r="AK2296" s="149" t="n"/>
      <c r="AL2296" s="149" t="n"/>
      <c r="AM2296" s="149" t="n"/>
      <c r="AN2296" s="149" t="n"/>
      <c r="AO2296" s="149" t="n"/>
      <c r="AP2296" s="167">
        <f>計算!$G$28</f>
        <v/>
      </c>
      <c r="AQ2296" s="149" t="n"/>
      <c r="AR2296" s="168"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5" t="n"/>
      <c r="F2299" s="156" t="n"/>
      <c r="G2299" s="156" t="n"/>
      <c r="H2299" s="156" t="n"/>
      <c r="I2299" s="156" t="n"/>
      <c r="J2299" s="156" t="n"/>
      <c r="K2299" s="157" t="n"/>
      <c r="L2299" s="155" t="n"/>
      <c r="M2299" s="156" t="n"/>
      <c r="N2299" s="156" t="n"/>
      <c r="O2299" s="156" t="n"/>
      <c r="P2299" s="156" t="n"/>
      <c r="Q2299" s="156" t="n"/>
      <c r="R2299" s="156" t="n"/>
      <c r="S2299" s="156" t="n"/>
      <c r="T2299" s="156" t="n"/>
      <c r="U2299" s="156" t="n"/>
      <c r="X2299" s="156" t="n"/>
      <c r="Y2299" s="156" t="n"/>
      <c r="AC2299" s="156" t="n"/>
      <c r="AD2299" s="156" t="n"/>
      <c r="AH2299" s="156" t="n"/>
      <c r="AI2299" s="156" t="n"/>
      <c r="AJ2299" s="156" t="n"/>
      <c r="AK2299" s="156" t="n"/>
      <c r="AL2299" s="156" t="n"/>
      <c r="AM2299" s="156" t="n"/>
      <c r="AN2299" s="156" t="n"/>
      <c r="AO2299" s="156" t="n"/>
      <c r="AP2299" s="156" t="n"/>
      <c r="AQ2299" s="156" t="n"/>
      <c r="AR2299" s="156" t="n"/>
      <c r="AS2299" s="156" t="n"/>
      <c r="AT2299" s="157"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69" t="inlineStr">
        <is>
          <t>ふ り が な</t>
        </is>
      </c>
      <c r="F2300" s="149" t="n"/>
      <c r="G2300" s="149" t="n"/>
      <c r="H2300" s="149" t="n"/>
      <c r="I2300" s="149" t="n"/>
      <c r="J2300" s="149" t="n"/>
      <c r="K2300" s="150" t="n"/>
      <c r="L2300" s="170">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1" t="n"/>
      <c r="F2302" s="172" t="n"/>
      <c r="G2302" s="172" t="n"/>
      <c r="H2302" s="172" t="n"/>
      <c r="I2302" s="172" t="n"/>
      <c r="J2302" s="172" t="n"/>
      <c r="K2302" s="173" t="n"/>
      <c r="L2302" s="172" t="n"/>
      <c r="M2302" s="172" t="n"/>
      <c r="N2302" s="172" t="n"/>
      <c r="O2302" s="172" t="n"/>
      <c r="P2302" s="172" t="n"/>
      <c r="Q2302" s="172" t="n"/>
      <c r="R2302" s="172" t="n"/>
      <c r="S2302" s="172" t="n"/>
      <c r="T2302" s="172" t="n"/>
      <c r="U2302" s="172" t="n"/>
      <c r="V2302" s="172" t="n"/>
      <c r="W2302" s="172" t="n"/>
      <c r="X2302" s="172" t="n"/>
      <c r="Y2302" s="172" t="n"/>
      <c r="Z2302" s="172" t="n"/>
      <c r="AA2302" s="172" t="n"/>
      <c r="AB2302" s="172" t="n"/>
      <c r="AC2302" s="172" t="n"/>
      <c r="AD2302" s="172" t="n"/>
      <c r="AE2302" s="172" t="n"/>
      <c r="AF2302" s="172" t="n"/>
      <c r="AG2302" s="172" t="n"/>
      <c r="AH2302" s="172" t="n"/>
      <c r="AI2302" s="172" t="n"/>
      <c r="AJ2302" s="172" t="n"/>
      <c r="AK2302" s="172" t="n"/>
      <c r="AL2302" s="172" t="n"/>
      <c r="AM2302" s="172" t="n"/>
      <c r="AN2302" s="172" t="n"/>
      <c r="AO2302" s="172" t="n"/>
      <c r="AP2302" s="172" t="n"/>
      <c r="AQ2302" s="172" t="n"/>
      <c r="AR2302" s="172" t="n"/>
      <c r="AS2302" s="172" t="n"/>
      <c r="AT2302" s="172" t="n"/>
      <c r="AU2302" s="172" t="n"/>
      <c r="AV2302" s="172" t="n"/>
      <c r="AW2302" s="172" t="n"/>
      <c r="AX2302" s="172" t="n"/>
      <c r="AY2302" s="172" t="n"/>
      <c r="AZ2302" s="172" t="n"/>
      <c r="BA2302" s="172" t="n"/>
      <c r="BB2302" s="172" t="n"/>
      <c r="BC2302" s="172" t="n"/>
      <c r="BD2302" s="172" t="n"/>
      <c r="BE2302" s="172" t="n"/>
      <c r="BF2302" s="172" t="n"/>
      <c r="BG2302" s="172" t="n"/>
      <c r="BH2302" s="172" t="n"/>
      <c r="BI2302" s="173"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4" t="inlineStr">
        <is>
          <t>現住所</t>
        </is>
      </c>
      <c r="F2303" s="175" t="n"/>
      <c r="G2303" s="175" t="n"/>
      <c r="H2303" s="175" t="n"/>
      <c r="I2303" s="175" t="n"/>
      <c r="J2303" s="175" t="n"/>
      <c r="K2303" s="176" t="n"/>
      <c r="L2303" s="83" t="inlineStr">
        <is>
          <t>〒</t>
        </is>
      </c>
      <c r="M2303" s="175" t="n"/>
      <c r="N2303" s="175" t="n"/>
      <c r="O2303" s="175" t="n"/>
      <c r="P2303" s="177">
        <f>計算!$H$28</f>
        <v/>
      </c>
      <c r="Q2303" s="175" t="n"/>
      <c r="R2303" s="175" t="n"/>
      <c r="S2303" s="175" t="n"/>
      <c r="T2303" s="175" t="n"/>
      <c r="U2303" s="175" t="n"/>
      <c r="V2303" s="175" t="n"/>
      <c r="W2303" s="175" t="n"/>
      <c r="X2303" s="175" t="n"/>
      <c r="Y2303" s="175" t="n"/>
      <c r="Z2303" s="175" t="n"/>
      <c r="AA2303" s="175" t="n"/>
      <c r="AB2303" s="175" t="n"/>
      <c r="AC2303" s="175" t="n"/>
      <c r="AD2303" s="175" t="n"/>
      <c r="AE2303" s="175" t="n"/>
      <c r="AF2303" s="175" t="n"/>
      <c r="AG2303" s="175" t="n"/>
      <c r="AH2303" s="175" t="n"/>
      <c r="AI2303" s="175" t="n"/>
      <c r="AJ2303" s="175"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5" t="n"/>
      <c r="BQ2304" s="156" t="n"/>
      <c r="BR2304" s="156" t="n"/>
      <c r="BS2304" s="156" t="n"/>
      <c r="BT2304" s="156" t="n"/>
      <c r="BU2304" s="156" t="n"/>
      <c r="BV2304" s="157" t="n"/>
      <c r="BW2304" s="155" t="n"/>
      <c r="BX2304" s="156" t="n"/>
      <c r="BY2304" s="156" t="n"/>
      <c r="BZ2304" s="156" t="n"/>
      <c r="CA2304" s="156" t="n"/>
      <c r="CB2304" s="156" t="n"/>
      <c r="CC2304" s="156" t="n"/>
      <c r="CD2304" s="156" t="n"/>
      <c r="CE2304" s="156" t="n"/>
      <c r="CF2304" s="156" t="n"/>
      <c r="CG2304" s="157"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8" t="inlineStr">
        <is>
          <t>校内外の諸活動</t>
        </is>
      </c>
      <c r="BQ2305" s="149" t="n"/>
      <c r="BR2305" s="149" t="n"/>
      <c r="BS2305" s="149" t="n"/>
      <c r="BT2305" s="149" t="n"/>
      <c r="BU2305" s="149" t="n"/>
      <c r="BV2305" s="150" t="n"/>
      <c r="BW2305" s="179">
        <f>計算!$BO$28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0">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5" t="n"/>
      <c r="F2308" s="156" t="n"/>
      <c r="G2308" s="156" t="n"/>
      <c r="H2308" s="156" t="n"/>
      <c r="I2308" s="156" t="n"/>
      <c r="J2308" s="156" t="n"/>
      <c r="K2308" s="157" t="n"/>
      <c r="L2308" s="155" t="n"/>
      <c r="M2308" s="156" t="n"/>
      <c r="N2308" s="156" t="n"/>
      <c r="O2308" s="156" t="n"/>
      <c r="P2308" s="156" t="n"/>
      <c r="Q2308" s="156" t="n"/>
      <c r="R2308" s="156" t="n"/>
      <c r="S2308" s="156" t="n"/>
      <c r="T2308" s="156" t="n"/>
      <c r="U2308" s="156" t="n"/>
      <c r="V2308" s="156" t="n"/>
      <c r="W2308" s="156" t="n"/>
      <c r="X2308" s="156" t="n"/>
      <c r="Y2308" s="156" t="n"/>
      <c r="Z2308" s="156" t="n"/>
      <c r="AA2308" s="156" t="n"/>
      <c r="AB2308" s="156" t="n"/>
      <c r="AC2308" s="156" t="n"/>
      <c r="AD2308" s="156" t="n"/>
      <c r="AE2308" s="156" t="n"/>
      <c r="AF2308" s="156" t="n"/>
      <c r="AG2308" s="156" t="n"/>
      <c r="AH2308" s="156" t="n"/>
      <c r="AI2308" s="156" t="n"/>
      <c r="AJ2308" s="156" t="n"/>
      <c r="AK2308" s="156" t="n"/>
      <c r="AL2308" s="156" t="n"/>
      <c r="AM2308" s="156" t="n"/>
      <c r="AN2308" s="156" t="n"/>
      <c r="AO2308" s="156" t="n"/>
      <c r="AP2308" s="156" t="n"/>
      <c r="AQ2308" s="156" t="n"/>
      <c r="AR2308" s="156" t="n"/>
      <c r="AS2308" s="156" t="n"/>
      <c r="AT2308" s="156" t="n"/>
      <c r="AU2308" s="156" t="n"/>
      <c r="AV2308" s="156" t="n"/>
      <c r="AW2308" s="156" t="n"/>
      <c r="AX2308" s="156" t="n"/>
      <c r="AY2308" s="156" t="n"/>
      <c r="AZ2308" s="156" t="n"/>
      <c r="BA2308" s="156" t="n"/>
      <c r="BB2308" s="156" t="n"/>
      <c r="BC2308" s="156" t="n"/>
      <c r="BD2308" s="156" t="n"/>
      <c r="BE2308" s="156" t="n"/>
      <c r="BF2308" s="156" t="n"/>
      <c r="BG2308" s="156" t="n"/>
      <c r="BH2308" s="156" t="n"/>
      <c r="BI2308" s="157"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69" t="inlineStr">
        <is>
          <t>ふ り が な</t>
        </is>
      </c>
      <c r="F2309" s="149" t="n"/>
      <c r="G2309" s="149" t="n"/>
      <c r="H2309" s="149" t="n"/>
      <c r="I2309" s="149" t="n"/>
      <c r="J2309" s="149" t="n"/>
      <c r="K2309" s="150" t="n"/>
      <c r="L2309" s="170">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1" t="n"/>
      <c r="F2311" s="172" t="n"/>
      <c r="G2311" s="172" t="n"/>
      <c r="H2311" s="172" t="n"/>
      <c r="I2311" s="172" t="n"/>
      <c r="J2311" s="172" t="n"/>
      <c r="K2311" s="173" t="n"/>
      <c r="L2311" s="172" t="n"/>
      <c r="M2311" s="172" t="n"/>
      <c r="N2311" s="172" t="n"/>
      <c r="O2311" s="172" t="n"/>
      <c r="P2311" s="172" t="n"/>
      <c r="Q2311" s="172" t="n"/>
      <c r="R2311" s="172" t="n"/>
      <c r="S2311" s="172" t="n"/>
      <c r="T2311" s="172" t="n"/>
      <c r="U2311" s="172" t="n"/>
      <c r="V2311" s="172" t="n"/>
      <c r="W2311" s="172" t="n"/>
      <c r="X2311" s="172" t="n"/>
      <c r="Y2311" s="172" t="n"/>
      <c r="Z2311" s="172" t="n"/>
      <c r="AA2311" s="172" t="n"/>
      <c r="AB2311" s="172" t="n"/>
      <c r="AC2311" s="172" t="n"/>
      <c r="AD2311" s="172" t="n"/>
      <c r="AE2311" s="172" t="n"/>
      <c r="AF2311" s="172" t="n"/>
      <c r="AG2311" s="172" t="n"/>
      <c r="AH2311" s="172" t="n"/>
      <c r="AI2311" s="172" t="n"/>
      <c r="AJ2311" s="172" t="n"/>
      <c r="AK2311" s="172" t="n"/>
      <c r="AL2311" s="172" t="n"/>
      <c r="AM2311" s="172" t="n"/>
      <c r="AN2311" s="172" t="n"/>
      <c r="AO2311" s="172" t="n"/>
      <c r="AP2311" s="172" t="n"/>
      <c r="AQ2311" s="172" t="n"/>
      <c r="AR2311" s="172" t="n"/>
      <c r="AS2311" s="172" t="n"/>
      <c r="AT2311" s="172" t="n"/>
      <c r="AU2311" s="172" t="n"/>
      <c r="AV2311" s="172" t="n"/>
      <c r="AW2311" s="172" t="n"/>
      <c r="AX2311" s="172" t="n"/>
      <c r="AY2311" s="172" t="n"/>
      <c r="AZ2311" s="172" t="n"/>
      <c r="BA2311" s="172" t="n"/>
      <c r="BB2311" s="172" t="n"/>
      <c r="BC2311" s="172" t="n"/>
      <c r="BD2311" s="172" t="n"/>
      <c r="BE2311" s="172" t="n"/>
      <c r="BF2311" s="172" t="n"/>
      <c r="BG2311" s="172" t="n"/>
      <c r="BH2311" s="172" t="n"/>
      <c r="BI2311" s="173"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4" t="inlineStr">
        <is>
          <t>連絡先</t>
        </is>
      </c>
      <c r="F2312" s="175" t="n"/>
      <c r="G2312" s="175" t="n"/>
      <c r="H2312" s="175" t="n"/>
      <c r="I2312" s="175" t="n"/>
      <c r="J2312" s="175" t="n"/>
      <c r="K2312" s="176" t="n"/>
      <c r="L2312" s="83" t="inlineStr">
        <is>
          <t>〒</t>
        </is>
      </c>
      <c r="M2312" s="175" t="n"/>
      <c r="N2312" s="175" t="n"/>
      <c r="O2312" s="175" t="n"/>
      <c r="P2312" s="181">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2">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5" t="n"/>
      <c r="F2316" s="156" t="n"/>
      <c r="G2316" s="156" t="n"/>
      <c r="H2316" s="156" t="n"/>
      <c r="I2316" s="156" t="n"/>
      <c r="J2316" s="156" t="n"/>
      <c r="K2316" s="157" t="n"/>
      <c r="L2316" s="156" t="n"/>
      <c r="M2316" s="156" t="n"/>
      <c r="N2316" s="156" t="n"/>
      <c r="O2316" s="156" t="n"/>
      <c r="P2316" s="156" t="n"/>
      <c r="Q2316" s="156" t="n"/>
      <c r="R2316" s="156" t="n"/>
      <c r="S2316" s="156" t="n"/>
      <c r="T2316" s="156" t="n"/>
      <c r="U2316" s="156" t="n"/>
      <c r="V2316" s="156" t="n"/>
      <c r="W2316" s="156" t="n"/>
      <c r="X2316" s="156" t="n"/>
      <c r="Y2316" s="156" t="n"/>
      <c r="Z2316" s="156" t="n"/>
      <c r="AA2316" s="156" t="n"/>
      <c r="AB2316" s="156" t="n"/>
      <c r="AC2316" s="156" t="n"/>
      <c r="AD2316" s="156" t="n"/>
      <c r="AE2316" s="156" t="n"/>
      <c r="AF2316" s="156" t="n"/>
      <c r="AG2316" s="156" t="n"/>
      <c r="AH2316" s="156" t="n"/>
      <c r="AI2316" s="156" t="n"/>
      <c r="AJ2316" s="156" t="n"/>
      <c r="AK2316" s="156" t="n"/>
      <c r="AL2316" s="156" t="n"/>
      <c r="AM2316" s="156" t="n"/>
      <c r="AN2316" s="156" t="n"/>
      <c r="AO2316" s="156" t="n"/>
      <c r="AP2316" s="156" t="n"/>
      <c r="AQ2316" s="156" t="n"/>
      <c r="AR2316" s="156" t="n"/>
      <c r="AS2316" s="156" t="n"/>
      <c r="AT2316" s="156" t="n"/>
      <c r="AU2316" s="156" t="n"/>
      <c r="AV2316" s="156" t="n"/>
      <c r="AW2316" s="156" t="n"/>
      <c r="AX2316" s="156" t="n"/>
      <c r="AY2316" s="156" t="n"/>
      <c r="AZ2316" s="156" t="n"/>
      <c r="BA2316" s="156" t="n"/>
      <c r="BB2316" s="156" t="n"/>
      <c r="BC2316" s="156" t="n"/>
      <c r="BD2316" s="156" t="n"/>
      <c r="BE2316" s="156" t="n"/>
      <c r="BF2316" s="156" t="n"/>
      <c r="BG2316" s="156" t="n"/>
      <c r="BH2316" s="156" t="n"/>
      <c r="BI2316" s="157"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86"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3" t="n"/>
      <c r="BQ2322" s="149" t="n"/>
      <c r="BR2322" s="184" t="n"/>
      <c r="BS2322" s="149" t="n"/>
      <c r="BT2322" s="149" t="n"/>
      <c r="BU2322" s="28" t="n"/>
      <c r="BV2322" s="29" t="n"/>
      <c r="BW2322" s="185">
        <f>計算!$BP$28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115"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6"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107"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7">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188">
        <f>IF(入力!$D$30="","",設定!$B$6)&amp;""</f>
        <v/>
      </c>
      <c r="S2330" s="11" t="n"/>
      <c r="T2330" s="11" t="n"/>
      <c r="U2330" s="188">
        <f>IF(入力!$D$30="","",設定!$B$7)&amp;""</f>
        <v/>
      </c>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110" t="inlineStr">
        <is>
          <t>令和</t>
        </is>
      </c>
      <c r="S2331" s="61" t="inlineStr">
        <is>
          <t>年</t>
        </is>
      </c>
      <c r="W2331" s="62"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90"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5" t="n"/>
      <c r="F2335" s="156" t="n"/>
      <c r="G2335" s="156" t="n"/>
      <c r="H2335" s="156" t="n"/>
      <c r="I2335" s="156" t="n"/>
      <c r="J2335" s="156" t="n"/>
      <c r="K2335" s="157"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6" t="n"/>
      <c r="AX2335" s="156" t="n"/>
      <c r="AY2335" s="156" t="n"/>
      <c r="AZ2335" s="156" t="n"/>
      <c r="BA2335" s="156" t="n"/>
      <c r="BB2335" s="156" t="n"/>
      <c r="BC2335" s="156" t="n"/>
      <c r="BD2335" s="156" t="n"/>
      <c r="BE2335" s="156" t="n"/>
      <c r="BF2335" s="156" t="n"/>
      <c r="BG2335" s="156" t="n"/>
      <c r="BH2335" s="156" t="n"/>
      <c r="BI2335" s="157"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58" t="n"/>
      <c r="T2336" s="149" t="n"/>
      <c r="U2336" s="17" t="n"/>
      <c r="V2336" s="17" t="n"/>
      <c r="W2336" s="58"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89" t="inlineStr">
        <is>
          <t>職　歴</t>
        </is>
      </c>
      <c r="K2339" s="153" t="n"/>
      <c r="L2339" s="69" t="inlineStr">
        <is>
          <t>平成</t>
        </is>
      </c>
      <c r="M2339" s="149" t="n"/>
      <c r="N2339" s="149" t="n"/>
      <c r="O2339" s="149" t="n"/>
      <c r="P2339" s="19" t="n"/>
      <c r="Q2339" s="19" t="n"/>
      <c r="R2339" s="19" t="n"/>
      <c r="S2339" s="19" t="n"/>
      <c r="T2339" s="19" t="n"/>
      <c r="U2339" s="19" t="n"/>
      <c r="V2339" s="19" t="n"/>
      <c r="W2339" s="19" t="n"/>
      <c r="X2339" s="37" t="n"/>
      <c r="Y2339" s="180">
        <f>計算!$BT$28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8">
        <f>計算!$BR$28</f>
        <v/>
      </c>
      <c r="S2341" s="61" t="inlineStr">
        <is>
          <t>年</t>
        </is>
      </c>
      <c r="U2341" s="190">
        <f>計算!$BS$28</f>
        <v/>
      </c>
      <c r="W2341" s="62"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74"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5" t="n"/>
      <c r="M2344" s="156" t="n"/>
      <c r="N2344" s="156" t="n"/>
      <c r="O2344" s="156" t="n"/>
      <c r="P2344" s="20" t="n"/>
      <c r="Q2344" s="20" t="n"/>
      <c r="R2344" s="20" t="n"/>
      <c r="S2344" s="20" t="n"/>
      <c r="T2344" s="20" t="n"/>
      <c r="U2344" s="20" t="n"/>
      <c r="V2344" s="20" t="n"/>
      <c r="W2344" s="20" t="n"/>
      <c r="X2344" s="39" t="n"/>
      <c r="Y2344" s="155" t="n"/>
      <c r="Z2344" s="156" t="n"/>
      <c r="AA2344" s="156" t="n"/>
      <c r="AB2344" s="156" t="n"/>
      <c r="AC2344" s="156" t="n"/>
      <c r="AD2344" s="156" t="n"/>
      <c r="AE2344" s="156" t="n"/>
      <c r="AF2344" s="156" t="n"/>
      <c r="AG2344" s="156" t="n"/>
      <c r="AH2344" s="156" t="n"/>
      <c r="AI2344" s="156" t="n"/>
      <c r="AJ2344" s="156" t="n"/>
      <c r="AK2344" s="156" t="n"/>
      <c r="AL2344" s="156" t="n"/>
      <c r="AM2344" s="156" t="n"/>
      <c r="AN2344" s="156" t="n"/>
      <c r="AO2344" s="156" t="n"/>
      <c r="AP2344" s="156" t="n"/>
      <c r="AQ2344" s="156" t="n"/>
      <c r="AR2344" s="156" t="n"/>
      <c r="AS2344" s="156" t="n"/>
      <c r="AT2344" s="156" t="n"/>
      <c r="AU2344" s="156" t="n"/>
      <c r="AV2344" s="156" t="n"/>
      <c r="AW2344" s="156" t="n"/>
      <c r="AX2344" s="156" t="n"/>
      <c r="AY2344" s="156" t="n"/>
      <c r="AZ2344" s="156" t="n"/>
      <c r="BA2344" s="156" t="n"/>
      <c r="BB2344" s="156" t="n"/>
      <c r="BC2344" s="156" t="n"/>
      <c r="BD2344" s="156" t="n"/>
      <c r="BE2344" s="156" t="n"/>
      <c r="BF2344" s="156" t="n"/>
      <c r="BG2344" s="156" t="n"/>
      <c r="BH2344" s="156" t="n"/>
      <c r="BI2344" s="157"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69" t="inlineStr">
        <is>
          <t>平成</t>
        </is>
      </c>
      <c r="M2345" s="149" t="n"/>
      <c r="N2345" s="149" t="n"/>
      <c r="O2345" s="149" t="n"/>
      <c r="P2345" s="18" t="n"/>
      <c r="Q2345" s="18" t="n"/>
      <c r="R2345" s="18" t="n"/>
      <c r="S2345" s="18" t="n"/>
      <c r="T2345" s="18" t="n"/>
      <c r="U2345" s="18" t="n"/>
      <c r="V2345" s="18" t="n"/>
      <c r="W2345" s="18" t="n"/>
      <c r="X2345" s="35" t="n"/>
      <c r="Y2345" s="180">
        <f>計算!$BW$28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8">
        <f>計算!$BU$28</f>
        <v/>
      </c>
      <c r="S2347" s="61" t="inlineStr">
        <is>
          <t>年</t>
        </is>
      </c>
      <c r="U2347" s="190">
        <f>計算!$BV$28</f>
        <v/>
      </c>
      <c r="W2347" s="62"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74"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5" t="n"/>
      <c r="M2350" s="156" t="n"/>
      <c r="N2350" s="156" t="n"/>
      <c r="O2350" s="156" t="n"/>
      <c r="P2350" s="20" t="n"/>
      <c r="Q2350" s="20" t="n"/>
      <c r="R2350" s="20" t="n"/>
      <c r="S2350" s="20" t="n"/>
      <c r="T2350" s="20" t="n"/>
      <c r="U2350" s="20" t="n"/>
      <c r="V2350" s="20" t="n"/>
      <c r="W2350" s="20" t="n"/>
      <c r="X2350" s="39" t="n"/>
      <c r="Y2350" s="155" t="n"/>
      <c r="Z2350" s="156" t="n"/>
      <c r="AA2350" s="156" t="n"/>
      <c r="AB2350" s="156" t="n"/>
      <c r="AC2350" s="156" t="n"/>
      <c r="AD2350" s="156" t="n"/>
      <c r="AE2350" s="156" t="n"/>
      <c r="AF2350" s="156" t="n"/>
      <c r="AG2350" s="156" t="n"/>
      <c r="AH2350" s="156" t="n"/>
      <c r="AI2350" s="156" t="n"/>
      <c r="AJ2350" s="156" t="n"/>
      <c r="AK2350" s="156" t="n"/>
      <c r="AL2350" s="156" t="n"/>
      <c r="AM2350" s="156" t="n"/>
      <c r="AN2350" s="156" t="n"/>
      <c r="AO2350" s="156" t="n"/>
      <c r="AP2350" s="156" t="n"/>
      <c r="AQ2350" s="156" t="n"/>
      <c r="AR2350" s="156" t="n"/>
      <c r="AS2350" s="156" t="n"/>
      <c r="AT2350" s="156" t="n"/>
      <c r="AU2350" s="156" t="n"/>
      <c r="AV2350" s="156" t="n"/>
      <c r="AW2350" s="156" t="n"/>
      <c r="AX2350" s="156" t="n"/>
      <c r="AY2350" s="156" t="n"/>
      <c r="AZ2350" s="156" t="n"/>
      <c r="BA2350" s="156" t="n"/>
      <c r="BB2350" s="156" t="n"/>
      <c r="BC2350" s="156" t="n"/>
      <c r="BD2350" s="156" t="n"/>
      <c r="BE2350" s="156" t="n"/>
      <c r="BF2350" s="156" t="n"/>
      <c r="BG2350" s="156" t="n"/>
      <c r="BH2350" s="156" t="n"/>
      <c r="BI2350" s="157" t="n"/>
      <c r="BJ2350" s="2" t="n"/>
      <c r="BK2350" s="2" t="n"/>
      <c r="BL2350" s="2" t="n"/>
      <c r="BM2350" s="2" t="n"/>
      <c r="BN2350" s="2" t="n"/>
      <c r="BO2350" s="2" t="n"/>
      <c r="BP2350" s="155" t="n"/>
      <c r="BQ2350" s="156" t="n"/>
      <c r="BR2350" s="156" t="n"/>
      <c r="BS2350" s="156" t="n"/>
      <c r="BT2350" s="156" t="n"/>
      <c r="BU2350" s="42" t="n"/>
      <c r="BV2350" s="45" t="n"/>
      <c r="BW2350" s="156" t="n"/>
      <c r="BX2350" s="156" t="n"/>
      <c r="BY2350" s="156" t="n"/>
      <c r="BZ2350" s="156" t="n"/>
      <c r="CA2350" s="156" t="n"/>
      <c r="CB2350" s="156" t="n"/>
      <c r="CC2350" s="156" t="n"/>
      <c r="CD2350" s="156" t="n"/>
      <c r="CE2350" s="156" t="n"/>
      <c r="CF2350" s="156" t="n"/>
      <c r="CG2350" s="156" t="n"/>
      <c r="CH2350" s="156" t="n"/>
      <c r="CI2350" s="156" t="n"/>
      <c r="CJ2350" s="156" t="n"/>
      <c r="CK2350" s="156" t="n"/>
      <c r="CL2350" s="156" t="n"/>
      <c r="CM2350" s="156" t="n"/>
      <c r="CN2350" s="156" t="n"/>
      <c r="CO2350" s="156" t="n"/>
      <c r="CP2350" s="156" t="n"/>
      <c r="CQ2350" s="156" t="n"/>
      <c r="CR2350" s="156" t="n"/>
      <c r="CS2350" s="156" t="n"/>
      <c r="CT2350" s="156" t="n"/>
      <c r="CU2350" s="156" t="n"/>
      <c r="CV2350" s="156" t="n"/>
      <c r="CW2350" s="156" t="n"/>
      <c r="CX2350" s="156" t="n"/>
      <c r="CY2350" s="156" t="n"/>
      <c r="CZ2350" s="156" t="n"/>
      <c r="DA2350" s="156" t="n"/>
      <c r="DB2350" s="156" t="n"/>
      <c r="DC2350" s="156" t="n"/>
      <c r="DD2350" s="156" t="n"/>
      <c r="DE2350" s="156" t="n"/>
      <c r="DF2350" s="156" t="n"/>
      <c r="DG2350" s="156" t="n"/>
      <c r="DH2350" s="156" t="n"/>
      <c r="DI2350" s="156" t="n"/>
      <c r="DJ2350" s="156" t="n"/>
      <c r="DK2350" s="156" t="n"/>
      <c r="DL2350" s="156" t="n"/>
      <c r="DM2350" s="156" t="n"/>
      <c r="DN2350" s="156" t="n"/>
      <c r="DO2350" s="156" t="n"/>
      <c r="DP2350" s="156" t="n"/>
      <c r="DQ2350" s="156" t="n"/>
      <c r="DR2350" s="156" t="n"/>
      <c r="DS2350" s="156" t="n"/>
      <c r="DT2350" s="156" t="n"/>
      <c r="DU2350" s="157" t="n"/>
      <c r="DV2350" s="2" t="n"/>
      <c r="DW2350" s="2" t="n"/>
      <c r="DX2350" s="2" t="n"/>
      <c r="DY2350" s="2" t="n"/>
      <c r="DZ2350" s="2" t="n"/>
      <c r="EA2350" s="2" t="n"/>
      <c r="EB2350" s="2" t="n"/>
      <c r="EC2350" s="2" t="n"/>
    </row>
    <row r="2351" ht="6.75" customHeight="1" s="118">
      <c r="A2351" s="2" t="n"/>
      <c r="B2351" s="2" t="n"/>
      <c r="C2351" s="2" t="n"/>
      <c r="D2351" s="2" t="n"/>
      <c r="E2351" s="152" t="n"/>
      <c r="K2351" s="153" t="n"/>
      <c r="L2351" s="69"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5">
        <f>計算!$BQ$28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61" t="inlineStr">
        <is>
          <t>年</t>
        </is>
      </c>
      <c r="U2353" s="11" t="n"/>
      <c r="V2353" s="11" t="n"/>
      <c r="W2353" s="62"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74"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5" t="n"/>
      <c r="M2356" s="156" t="n"/>
      <c r="N2356" s="156" t="n"/>
      <c r="O2356" s="156"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69"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61" t="inlineStr">
        <is>
          <t>年</t>
        </is>
      </c>
      <c r="U2359" s="11" t="n"/>
      <c r="V2359" s="11" t="n"/>
      <c r="W2359" s="62"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74"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61" t="n"/>
      <c r="T2361" s="61" t="n"/>
      <c r="U2361" s="11" t="n"/>
      <c r="V2361" s="11" t="n"/>
      <c r="W2361" s="61" t="n"/>
      <c r="X2361" s="62"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5" t="n"/>
      <c r="F2362" s="156" t="n"/>
      <c r="G2362" s="156" t="n"/>
      <c r="H2362" s="156" t="n"/>
      <c r="I2362" s="156" t="n"/>
      <c r="J2362" s="156" t="n"/>
      <c r="K2362" s="157" t="n"/>
      <c r="L2362" s="155" t="n"/>
      <c r="M2362" s="156" t="n"/>
      <c r="N2362" s="156" t="n"/>
      <c r="O2362" s="156"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5" t="n"/>
      <c r="BQ2362" s="156" t="n"/>
      <c r="BR2362" s="156" t="n"/>
      <c r="BS2362" s="156" t="n"/>
      <c r="BT2362" s="156" t="n"/>
      <c r="BU2362" s="156" t="n"/>
      <c r="BV2362" s="157" t="n"/>
      <c r="BW2362" s="156" t="n"/>
      <c r="BX2362" s="156" t="n"/>
      <c r="BY2362" s="156" t="n"/>
      <c r="BZ2362" s="156" t="n"/>
      <c r="CA2362" s="156" t="n"/>
      <c r="CB2362" s="156" t="n"/>
      <c r="CC2362" s="156" t="n"/>
      <c r="CD2362" s="156" t="n"/>
      <c r="CE2362" s="156" t="n"/>
      <c r="CF2362" s="156" t="n"/>
      <c r="CG2362" s="156" t="n"/>
      <c r="CH2362" s="156" t="n"/>
      <c r="CI2362" s="156" t="n"/>
      <c r="CJ2362" s="156" t="n"/>
      <c r="CK2362" s="156" t="n"/>
      <c r="CL2362" s="156" t="n"/>
      <c r="CM2362" s="156" t="n"/>
      <c r="CN2362" s="156" t="n"/>
      <c r="CO2362" s="156" t="n"/>
      <c r="CP2362" s="156" t="n"/>
      <c r="CQ2362" s="156" t="n"/>
      <c r="CR2362" s="156" t="n"/>
      <c r="CS2362" s="156" t="n"/>
      <c r="CT2362" s="156" t="n"/>
      <c r="CU2362" s="156" t="n"/>
      <c r="CV2362" s="156" t="n"/>
      <c r="CW2362" s="156" t="n"/>
      <c r="CX2362" s="156" t="n"/>
      <c r="CY2362" s="156" t="n"/>
      <c r="CZ2362" s="156" t="n"/>
      <c r="DA2362" s="156" t="n"/>
      <c r="DB2362" s="156" t="n"/>
      <c r="DC2362" s="156" t="n"/>
      <c r="DD2362" s="156" t="n"/>
      <c r="DE2362" s="156" t="n"/>
      <c r="DF2362" s="156" t="n"/>
      <c r="DG2362" s="156" t="n"/>
      <c r="DH2362" s="156" t="n"/>
      <c r="DI2362" s="156" t="n"/>
      <c r="DJ2362" s="156" t="n"/>
      <c r="DK2362" s="156" t="n"/>
      <c r="DL2362" s="156" t="n"/>
      <c r="DM2362" s="156" t="n"/>
      <c r="DN2362" s="156" t="n"/>
      <c r="DO2362" s="156" t="n"/>
      <c r="DP2362" s="156" t="n"/>
      <c r="DQ2362" s="156" t="n"/>
      <c r="DR2362" s="156" t="n"/>
      <c r="DS2362" s="156" t="n"/>
      <c r="DT2362" s="156" t="n"/>
      <c r="DU2362" s="157"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87" t="inlineStr">
        <is>
          <t xml:space="preserve">    (近畿高等学校統一用紙　  その２ 　  令和７年度改定)　</t>
        </is>
      </c>
      <c r="DV2364" s="2" t="n"/>
      <c r="DW2364" s="2" t="n"/>
      <c r="DX2364" s="2" t="n"/>
      <c r="DY2364" s="2" t="n"/>
      <c r="DZ2364" s="2" t="n"/>
      <c r="EA2364" s="2" t="n"/>
      <c r="EB2364" s="2" t="n"/>
      <c r="EC2364" s="2" t="n"/>
    </row>
    <row r="2365" hidden="1"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idden="1"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47"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64" t="inlineStr">
        <is>
          <t>令和</t>
        </is>
      </c>
      <c r="AD2374" s="154">
        <f>IF(入力!$D$31="","",IF(N(設定!$B$3)=0,"",YEAR(設定!$B$3)-2018))&amp;""</f>
        <v/>
      </c>
      <c r="AG2374" s="64" t="inlineStr">
        <is>
          <t>年</t>
        </is>
      </c>
      <c r="AI2374" s="154">
        <f>IF(入力!$D$31="","",IF(N(設定!$B$3)=0,"",MONTH(設定!$B$3)))&amp;""</f>
        <v/>
      </c>
      <c r="AL2374" s="64" t="inlineStr">
        <is>
          <t>月</t>
        </is>
      </c>
      <c r="AN2374" s="154">
        <f>IF(入力!$D$31="","",IF(N(設定!$B$3)=0,"",DAY(設定!$B$3)))&amp;""</f>
        <v/>
      </c>
      <c r="AP2374" s="64"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5" t="n"/>
      <c r="BX2374" s="156" t="n"/>
      <c r="BY2374" s="156" t="n"/>
      <c r="BZ2374" s="156" t="n"/>
      <c r="CA2374" s="156" t="n"/>
      <c r="CB2374" s="156" t="n"/>
      <c r="CC2374" s="156" t="n"/>
      <c r="CD2374" s="156" t="n"/>
      <c r="CE2374" s="156" t="n"/>
      <c r="CF2374" s="156" t="n"/>
      <c r="CG2374" s="157" t="n"/>
      <c r="CH2374" s="155" t="n"/>
      <c r="CI2374" s="156" t="n"/>
      <c r="CJ2374" s="156" t="n"/>
      <c r="CK2374" s="156" t="n"/>
      <c r="CL2374" s="156" t="n"/>
      <c r="CM2374" s="156" t="n"/>
      <c r="CN2374" s="156" t="n"/>
      <c r="CO2374" s="156" t="n"/>
      <c r="CP2374" s="156" t="n"/>
      <c r="CQ2374" s="156" t="n"/>
      <c r="CR2374" s="156" t="n"/>
      <c r="CS2374" s="156" t="n"/>
      <c r="CT2374" s="156" t="n"/>
      <c r="CU2374" s="156" t="n"/>
      <c r="CV2374" s="156" t="n"/>
      <c r="CW2374" s="156" t="n"/>
      <c r="CX2374" s="156" t="n"/>
      <c r="CY2374" s="156" t="n"/>
      <c r="CZ2374" s="156" t="n"/>
      <c r="DA2374" s="156" t="n"/>
      <c r="DB2374" s="156" t="n"/>
      <c r="DC2374" s="156" t="n"/>
      <c r="DD2374" s="156" t="n"/>
      <c r="DE2374" s="156" t="n"/>
      <c r="DF2374" s="156" t="n"/>
      <c r="DG2374" s="156" t="n"/>
      <c r="DH2374" s="156" t="n"/>
      <c r="DI2374" s="156" t="n"/>
      <c r="DJ2374" s="156" t="n"/>
      <c r="DK2374" s="156" t="n"/>
      <c r="DL2374" s="156" t="n"/>
      <c r="DM2374" s="156" t="n"/>
      <c r="DN2374" s="156" t="n"/>
      <c r="DO2374" s="156" t="n"/>
      <c r="DP2374" s="156" t="n"/>
      <c r="DQ2374" s="156" t="n"/>
      <c r="DR2374" s="156" t="n"/>
      <c r="DS2374" s="156" t="n"/>
      <c r="DT2374" s="156" t="n"/>
      <c r="DU2374" s="157"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68" t="inlineStr">
        <is>
          <t>写真をはる位置</t>
        </is>
      </c>
      <c r="BI2375" s="8" t="n"/>
      <c r="BJ2375" s="7" t="n"/>
      <c r="BK2375" s="2" t="n"/>
      <c r="BL2375" s="2" t="n"/>
      <c r="BM2375" s="2" t="n"/>
      <c r="BN2375" s="2" t="n"/>
      <c r="BO2375" s="2" t="n"/>
      <c r="BP2375" s="152" t="n"/>
      <c r="BV2375" s="153" t="n"/>
      <c r="BW2375" s="158">
        <f>計算!$CB$29</f>
        <v/>
      </c>
      <c r="CG2375" s="153" t="n"/>
      <c r="CH2375" s="159">
        <f>計算!$CC$29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6" t="n"/>
      <c r="AA2376" s="156" t="n"/>
      <c r="AB2376" s="156" t="n"/>
      <c r="AC2376" s="156" t="n"/>
      <c r="AD2376" s="156" t="n"/>
      <c r="AE2376" s="156" t="n"/>
      <c r="AF2376" s="156" t="n"/>
      <c r="AG2376" s="156" t="n"/>
      <c r="AH2376" s="156" t="n"/>
      <c r="AI2376" s="156" t="n"/>
      <c r="AJ2376" s="156" t="n"/>
      <c r="AK2376" s="156" t="n"/>
      <c r="AL2376" s="156" t="n"/>
      <c r="AM2376" s="156" t="n"/>
      <c r="AN2376" s="156" t="n"/>
      <c r="AO2376" s="156" t="n"/>
      <c r="AP2376" s="156" t="n"/>
      <c r="AQ2376" s="156" t="n"/>
      <c r="AR2376" s="156" t="n"/>
      <c r="AS2376" s="156" t="n"/>
      <c r="AT2376" s="156"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0">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5" t="n"/>
      <c r="F2380" s="156" t="n"/>
      <c r="G2380" s="156" t="n"/>
      <c r="H2380" s="156" t="n"/>
      <c r="I2380" s="156" t="n"/>
      <c r="J2380" s="156" t="n"/>
      <c r="K2380" s="157" t="n"/>
      <c r="L2380" s="156" t="n"/>
      <c r="M2380" s="156" t="n"/>
      <c r="N2380" s="156" t="n"/>
      <c r="O2380" s="156" t="n"/>
      <c r="P2380" s="156" t="n"/>
      <c r="Q2380" s="156" t="n"/>
      <c r="R2380" s="156" t="n"/>
      <c r="S2380" s="156" t="n"/>
      <c r="T2380" s="156" t="n"/>
      <c r="U2380" s="156" t="n"/>
      <c r="V2380" s="156" t="n"/>
      <c r="W2380" s="156" t="n"/>
      <c r="X2380" s="156" t="n"/>
      <c r="Y2380" s="156" t="n"/>
      <c r="Z2380" s="156" t="n"/>
      <c r="AA2380" s="156" t="n"/>
      <c r="AB2380" s="156" t="n"/>
      <c r="AC2380" s="156" t="n"/>
      <c r="AD2380" s="156" t="n"/>
      <c r="AE2380" s="156" t="n"/>
      <c r="AF2380" s="156" t="n"/>
      <c r="AG2380" s="156" t="n"/>
      <c r="AH2380" s="156" t="n"/>
      <c r="AI2380" s="156" t="n"/>
      <c r="AJ2380" s="156" t="n"/>
      <c r="AK2380" s="156" t="n"/>
      <c r="AL2380" s="156" t="n"/>
      <c r="AM2380" s="156" t="n"/>
      <c r="AN2380" s="156" t="n"/>
      <c r="AO2380" s="156" t="n"/>
      <c r="AP2380" s="156" t="n"/>
      <c r="AQ2380" s="156" t="n"/>
      <c r="AR2380" s="156" t="n"/>
      <c r="AS2380" s="156" t="n"/>
      <c r="AT2380" s="157"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1" t="inlineStr">
        <is>
          <t>名　前</t>
        </is>
      </c>
      <c r="F2381" s="149" t="n"/>
      <c r="G2381" s="149" t="n"/>
      <c r="H2381" s="149" t="n"/>
      <c r="I2381" s="149" t="n"/>
      <c r="J2381" s="149" t="n"/>
      <c r="K2381" s="150" t="n"/>
      <c r="L2381" s="162">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61"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5" t="n"/>
      <c r="F2386" s="156" t="n"/>
      <c r="G2386" s="156" t="n"/>
      <c r="H2386" s="156" t="n"/>
      <c r="I2386" s="156" t="n"/>
      <c r="J2386" s="156" t="n"/>
      <c r="K2386" s="157" t="n"/>
      <c r="L2386" s="155" t="n"/>
      <c r="M2386" s="156" t="n"/>
      <c r="N2386" s="156" t="n"/>
      <c r="O2386" s="156" t="n"/>
      <c r="P2386" s="156" t="n"/>
      <c r="Q2386" s="156" t="n"/>
      <c r="R2386" s="156" t="n"/>
      <c r="S2386" s="156" t="n"/>
      <c r="T2386" s="156" t="n"/>
      <c r="U2386" s="156" t="n"/>
      <c r="V2386" s="156" t="n"/>
      <c r="W2386" s="156" t="n"/>
      <c r="X2386" s="156" t="n"/>
      <c r="Y2386" s="156" t="n"/>
      <c r="Z2386" s="156" t="n"/>
      <c r="AA2386" s="156" t="n"/>
      <c r="AB2386" s="156" t="n"/>
      <c r="AC2386" s="156" t="n"/>
      <c r="AD2386" s="156" t="n"/>
      <c r="AE2386" s="156" t="n"/>
      <c r="AF2386" s="156" t="n"/>
      <c r="AG2386" s="156" t="n"/>
      <c r="AH2386" s="156" t="n"/>
      <c r="AI2386" s="156" t="n"/>
      <c r="AJ2386" s="156" t="n"/>
      <c r="AK2386" s="156" t="n"/>
      <c r="AL2386" s="156" t="n"/>
      <c r="AM2386" s="156" t="n"/>
      <c r="AN2386" s="156" t="n"/>
      <c r="AO2386" s="156" t="n"/>
      <c r="AP2386" s="156" t="n"/>
      <c r="AQ2386" s="156" t="n"/>
      <c r="AR2386" s="156" t="n"/>
      <c r="AS2386" s="156" t="n"/>
      <c r="AT2386" s="157"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1" t="inlineStr">
        <is>
          <t>生年月日</t>
        </is>
      </c>
      <c r="F2387" s="149" t="n"/>
      <c r="G2387" s="149" t="n"/>
      <c r="H2387" s="149" t="n"/>
      <c r="I2387" s="149" t="n"/>
      <c r="J2387" s="149" t="n"/>
      <c r="K2387" s="150" t="n"/>
      <c r="L2387" s="163" t="inlineStr">
        <is>
          <t>昭和 ・ 平成</t>
        </is>
      </c>
      <c r="M2387" s="149" t="n"/>
      <c r="N2387" s="149" t="n"/>
      <c r="O2387" s="149" t="n"/>
      <c r="P2387" s="149" t="n"/>
      <c r="Q2387" s="149" t="n"/>
      <c r="R2387" s="149" t="n"/>
      <c r="S2387" s="149" t="n"/>
      <c r="T2387" s="149" t="n"/>
      <c r="U2387" s="149" t="n"/>
      <c r="V2387" s="164">
        <f>計算!$D$29</f>
        <v/>
      </c>
      <c r="W2387" s="149" t="n"/>
      <c r="X2387" s="165" t="inlineStr">
        <is>
          <t>年</t>
        </is>
      </c>
      <c r="Y2387" s="149" t="n"/>
      <c r="Z2387" s="166">
        <f>計算!$E$29</f>
        <v/>
      </c>
      <c r="AA2387" s="149" t="n"/>
      <c r="AB2387" s="149" t="n"/>
      <c r="AC2387" s="165" t="inlineStr">
        <is>
          <t>月</t>
        </is>
      </c>
      <c r="AD2387" s="149" t="n"/>
      <c r="AE2387" s="166">
        <f>計算!$F$29</f>
        <v/>
      </c>
      <c r="AF2387" s="149" t="n"/>
      <c r="AG2387" s="149" t="n"/>
      <c r="AH2387" s="165" t="inlineStr">
        <is>
          <t>日　生 （満</t>
        </is>
      </c>
      <c r="AI2387" s="149" t="n"/>
      <c r="AJ2387" s="149" t="n"/>
      <c r="AK2387" s="149" t="n"/>
      <c r="AL2387" s="149" t="n"/>
      <c r="AM2387" s="149" t="n"/>
      <c r="AN2387" s="149" t="n"/>
      <c r="AO2387" s="149" t="n"/>
      <c r="AP2387" s="167">
        <f>計算!$G$29</f>
        <v/>
      </c>
      <c r="AQ2387" s="149" t="n"/>
      <c r="AR2387" s="168"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5" t="n"/>
      <c r="F2390" s="156" t="n"/>
      <c r="G2390" s="156" t="n"/>
      <c r="H2390" s="156" t="n"/>
      <c r="I2390" s="156" t="n"/>
      <c r="J2390" s="156" t="n"/>
      <c r="K2390" s="157" t="n"/>
      <c r="L2390" s="155" t="n"/>
      <c r="M2390" s="156" t="n"/>
      <c r="N2390" s="156" t="n"/>
      <c r="O2390" s="156" t="n"/>
      <c r="P2390" s="156" t="n"/>
      <c r="Q2390" s="156" t="n"/>
      <c r="R2390" s="156" t="n"/>
      <c r="S2390" s="156" t="n"/>
      <c r="T2390" s="156" t="n"/>
      <c r="U2390" s="156" t="n"/>
      <c r="X2390" s="156" t="n"/>
      <c r="Y2390" s="156" t="n"/>
      <c r="AC2390" s="156" t="n"/>
      <c r="AD2390" s="156" t="n"/>
      <c r="AH2390" s="156" t="n"/>
      <c r="AI2390" s="156" t="n"/>
      <c r="AJ2390" s="156" t="n"/>
      <c r="AK2390" s="156" t="n"/>
      <c r="AL2390" s="156" t="n"/>
      <c r="AM2390" s="156" t="n"/>
      <c r="AN2390" s="156" t="n"/>
      <c r="AO2390" s="156" t="n"/>
      <c r="AP2390" s="156" t="n"/>
      <c r="AQ2390" s="156" t="n"/>
      <c r="AR2390" s="156" t="n"/>
      <c r="AS2390" s="156" t="n"/>
      <c r="AT2390" s="157"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69" t="inlineStr">
        <is>
          <t>ふ り が な</t>
        </is>
      </c>
      <c r="F2391" s="149" t="n"/>
      <c r="G2391" s="149" t="n"/>
      <c r="H2391" s="149" t="n"/>
      <c r="I2391" s="149" t="n"/>
      <c r="J2391" s="149" t="n"/>
      <c r="K2391" s="150" t="n"/>
      <c r="L2391" s="170">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1" t="n"/>
      <c r="F2393" s="172" t="n"/>
      <c r="G2393" s="172" t="n"/>
      <c r="H2393" s="172" t="n"/>
      <c r="I2393" s="172" t="n"/>
      <c r="J2393" s="172" t="n"/>
      <c r="K2393" s="173" t="n"/>
      <c r="L2393" s="172" t="n"/>
      <c r="M2393" s="172" t="n"/>
      <c r="N2393" s="172" t="n"/>
      <c r="O2393" s="172" t="n"/>
      <c r="P2393" s="172" t="n"/>
      <c r="Q2393" s="172" t="n"/>
      <c r="R2393" s="172" t="n"/>
      <c r="S2393" s="172" t="n"/>
      <c r="T2393" s="172" t="n"/>
      <c r="U2393" s="172" t="n"/>
      <c r="V2393" s="172" t="n"/>
      <c r="W2393" s="172" t="n"/>
      <c r="X2393" s="172" t="n"/>
      <c r="Y2393" s="172" t="n"/>
      <c r="Z2393" s="172" t="n"/>
      <c r="AA2393" s="172" t="n"/>
      <c r="AB2393" s="172" t="n"/>
      <c r="AC2393" s="172" t="n"/>
      <c r="AD2393" s="172" t="n"/>
      <c r="AE2393" s="172" t="n"/>
      <c r="AF2393" s="172" t="n"/>
      <c r="AG2393" s="172" t="n"/>
      <c r="AH2393" s="172" t="n"/>
      <c r="AI2393" s="172" t="n"/>
      <c r="AJ2393" s="172" t="n"/>
      <c r="AK2393" s="172" t="n"/>
      <c r="AL2393" s="172" t="n"/>
      <c r="AM2393" s="172" t="n"/>
      <c r="AN2393" s="172" t="n"/>
      <c r="AO2393" s="172" t="n"/>
      <c r="AP2393" s="172" t="n"/>
      <c r="AQ2393" s="172" t="n"/>
      <c r="AR2393" s="172" t="n"/>
      <c r="AS2393" s="172" t="n"/>
      <c r="AT2393" s="172" t="n"/>
      <c r="AU2393" s="172" t="n"/>
      <c r="AV2393" s="172" t="n"/>
      <c r="AW2393" s="172" t="n"/>
      <c r="AX2393" s="172" t="n"/>
      <c r="AY2393" s="172" t="n"/>
      <c r="AZ2393" s="172" t="n"/>
      <c r="BA2393" s="172" t="n"/>
      <c r="BB2393" s="172" t="n"/>
      <c r="BC2393" s="172" t="n"/>
      <c r="BD2393" s="172" t="n"/>
      <c r="BE2393" s="172" t="n"/>
      <c r="BF2393" s="172" t="n"/>
      <c r="BG2393" s="172" t="n"/>
      <c r="BH2393" s="172" t="n"/>
      <c r="BI2393" s="173"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4" t="inlineStr">
        <is>
          <t>現住所</t>
        </is>
      </c>
      <c r="F2394" s="175" t="n"/>
      <c r="G2394" s="175" t="n"/>
      <c r="H2394" s="175" t="n"/>
      <c r="I2394" s="175" t="n"/>
      <c r="J2394" s="175" t="n"/>
      <c r="K2394" s="176" t="n"/>
      <c r="L2394" s="83" t="inlineStr">
        <is>
          <t>〒</t>
        </is>
      </c>
      <c r="M2394" s="175" t="n"/>
      <c r="N2394" s="175" t="n"/>
      <c r="O2394" s="175" t="n"/>
      <c r="P2394" s="177">
        <f>計算!$H$29</f>
        <v/>
      </c>
      <c r="Q2394" s="175" t="n"/>
      <c r="R2394" s="175" t="n"/>
      <c r="S2394" s="175" t="n"/>
      <c r="T2394" s="175" t="n"/>
      <c r="U2394" s="175" t="n"/>
      <c r="V2394" s="175" t="n"/>
      <c r="W2394" s="175" t="n"/>
      <c r="X2394" s="175" t="n"/>
      <c r="Y2394" s="175" t="n"/>
      <c r="Z2394" s="175" t="n"/>
      <c r="AA2394" s="175" t="n"/>
      <c r="AB2394" s="175" t="n"/>
      <c r="AC2394" s="175" t="n"/>
      <c r="AD2394" s="175" t="n"/>
      <c r="AE2394" s="175" t="n"/>
      <c r="AF2394" s="175" t="n"/>
      <c r="AG2394" s="175" t="n"/>
      <c r="AH2394" s="175" t="n"/>
      <c r="AI2394" s="175" t="n"/>
      <c r="AJ2394" s="175"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5" t="n"/>
      <c r="BQ2395" s="156" t="n"/>
      <c r="BR2395" s="156" t="n"/>
      <c r="BS2395" s="156" t="n"/>
      <c r="BT2395" s="156" t="n"/>
      <c r="BU2395" s="156" t="n"/>
      <c r="BV2395" s="157" t="n"/>
      <c r="BW2395" s="155" t="n"/>
      <c r="BX2395" s="156" t="n"/>
      <c r="BY2395" s="156" t="n"/>
      <c r="BZ2395" s="156" t="n"/>
      <c r="CA2395" s="156" t="n"/>
      <c r="CB2395" s="156" t="n"/>
      <c r="CC2395" s="156" t="n"/>
      <c r="CD2395" s="156" t="n"/>
      <c r="CE2395" s="156" t="n"/>
      <c r="CF2395" s="156" t="n"/>
      <c r="CG2395" s="157"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8" t="inlineStr">
        <is>
          <t>校内外の諸活動</t>
        </is>
      </c>
      <c r="BQ2396" s="149" t="n"/>
      <c r="BR2396" s="149" t="n"/>
      <c r="BS2396" s="149" t="n"/>
      <c r="BT2396" s="149" t="n"/>
      <c r="BU2396" s="149" t="n"/>
      <c r="BV2396" s="150" t="n"/>
      <c r="BW2396" s="179">
        <f>計算!$BO$29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0">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5" t="n"/>
      <c r="F2399" s="156" t="n"/>
      <c r="G2399" s="156" t="n"/>
      <c r="H2399" s="156" t="n"/>
      <c r="I2399" s="156" t="n"/>
      <c r="J2399" s="156" t="n"/>
      <c r="K2399" s="157" t="n"/>
      <c r="L2399" s="155" t="n"/>
      <c r="M2399" s="156" t="n"/>
      <c r="N2399" s="156" t="n"/>
      <c r="O2399" s="156" t="n"/>
      <c r="P2399" s="156" t="n"/>
      <c r="Q2399" s="156" t="n"/>
      <c r="R2399" s="156" t="n"/>
      <c r="S2399" s="156" t="n"/>
      <c r="T2399" s="156" t="n"/>
      <c r="U2399" s="156" t="n"/>
      <c r="V2399" s="156" t="n"/>
      <c r="W2399" s="156" t="n"/>
      <c r="X2399" s="156" t="n"/>
      <c r="Y2399" s="156" t="n"/>
      <c r="Z2399" s="156" t="n"/>
      <c r="AA2399" s="156" t="n"/>
      <c r="AB2399" s="156" t="n"/>
      <c r="AC2399" s="156" t="n"/>
      <c r="AD2399" s="156" t="n"/>
      <c r="AE2399" s="156" t="n"/>
      <c r="AF2399" s="156" t="n"/>
      <c r="AG2399" s="156" t="n"/>
      <c r="AH2399" s="156" t="n"/>
      <c r="AI2399" s="156" t="n"/>
      <c r="AJ2399" s="156" t="n"/>
      <c r="AK2399" s="156" t="n"/>
      <c r="AL2399" s="156" t="n"/>
      <c r="AM2399" s="156" t="n"/>
      <c r="AN2399" s="156" t="n"/>
      <c r="AO2399" s="156" t="n"/>
      <c r="AP2399" s="156" t="n"/>
      <c r="AQ2399" s="156" t="n"/>
      <c r="AR2399" s="156" t="n"/>
      <c r="AS2399" s="156" t="n"/>
      <c r="AT2399" s="156" t="n"/>
      <c r="AU2399" s="156" t="n"/>
      <c r="AV2399" s="156" t="n"/>
      <c r="AW2399" s="156" t="n"/>
      <c r="AX2399" s="156" t="n"/>
      <c r="AY2399" s="156" t="n"/>
      <c r="AZ2399" s="156" t="n"/>
      <c r="BA2399" s="156" t="n"/>
      <c r="BB2399" s="156" t="n"/>
      <c r="BC2399" s="156" t="n"/>
      <c r="BD2399" s="156" t="n"/>
      <c r="BE2399" s="156" t="n"/>
      <c r="BF2399" s="156" t="n"/>
      <c r="BG2399" s="156" t="n"/>
      <c r="BH2399" s="156" t="n"/>
      <c r="BI2399" s="157"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69" t="inlineStr">
        <is>
          <t>ふ り が な</t>
        </is>
      </c>
      <c r="F2400" s="149" t="n"/>
      <c r="G2400" s="149" t="n"/>
      <c r="H2400" s="149" t="n"/>
      <c r="I2400" s="149" t="n"/>
      <c r="J2400" s="149" t="n"/>
      <c r="K2400" s="150" t="n"/>
      <c r="L2400" s="170">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1" t="n"/>
      <c r="F2402" s="172" t="n"/>
      <c r="G2402" s="172" t="n"/>
      <c r="H2402" s="172" t="n"/>
      <c r="I2402" s="172" t="n"/>
      <c r="J2402" s="172" t="n"/>
      <c r="K2402" s="173" t="n"/>
      <c r="L2402" s="172" t="n"/>
      <c r="M2402" s="172" t="n"/>
      <c r="N2402" s="172" t="n"/>
      <c r="O2402" s="172" t="n"/>
      <c r="P2402" s="172" t="n"/>
      <c r="Q2402" s="172" t="n"/>
      <c r="R2402" s="172" t="n"/>
      <c r="S2402" s="172" t="n"/>
      <c r="T2402" s="172" t="n"/>
      <c r="U2402" s="172" t="n"/>
      <c r="V2402" s="172" t="n"/>
      <c r="W2402" s="172" t="n"/>
      <c r="X2402" s="172" t="n"/>
      <c r="Y2402" s="172" t="n"/>
      <c r="Z2402" s="172" t="n"/>
      <c r="AA2402" s="172" t="n"/>
      <c r="AB2402" s="172" t="n"/>
      <c r="AC2402" s="172" t="n"/>
      <c r="AD2402" s="172" t="n"/>
      <c r="AE2402" s="172" t="n"/>
      <c r="AF2402" s="172" t="n"/>
      <c r="AG2402" s="172" t="n"/>
      <c r="AH2402" s="172" t="n"/>
      <c r="AI2402" s="172" t="n"/>
      <c r="AJ2402" s="172" t="n"/>
      <c r="AK2402" s="172" t="n"/>
      <c r="AL2402" s="172" t="n"/>
      <c r="AM2402" s="172" t="n"/>
      <c r="AN2402" s="172" t="n"/>
      <c r="AO2402" s="172" t="n"/>
      <c r="AP2402" s="172" t="n"/>
      <c r="AQ2402" s="172" t="n"/>
      <c r="AR2402" s="172" t="n"/>
      <c r="AS2402" s="172" t="n"/>
      <c r="AT2402" s="172" t="n"/>
      <c r="AU2402" s="172" t="n"/>
      <c r="AV2402" s="172" t="n"/>
      <c r="AW2402" s="172" t="n"/>
      <c r="AX2402" s="172" t="n"/>
      <c r="AY2402" s="172" t="n"/>
      <c r="AZ2402" s="172" t="n"/>
      <c r="BA2402" s="172" t="n"/>
      <c r="BB2402" s="172" t="n"/>
      <c r="BC2402" s="172" t="n"/>
      <c r="BD2402" s="172" t="n"/>
      <c r="BE2402" s="172" t="n"/>
      <c r="BF2402" s="172" t="n"/>
      <c r="BG2402" s="172" t="n"/>
      <c r="BH2402" s="172" t="n"/>
      <c r="BI2402" s="173"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4" t="inlineStr">
        <is>
          <t>連絡先</t>
        </is>
      </c>
      <c r="F2403" s="175" t="n"/>
      <c r="G2403" s="175" t="n"/>
      <c r="H2403" s="175" t="n"/>
      <c r="I2403" s="175" t="n"/>
      <c r="J2403" s="175" t="n"/>
      <c r="K2403" s="176" t="n"/>
      <c r="L2403" s="83" t="inlineStr">
        <is>
          <t>〒</t>
        </is>
      </c>
      <c r="M2403" s="175" t="n"/>
      <c r="N2403" s="175" t="n"/>
      <c r="O2403" s="175" t="n"/>
      <c r="P2403" s="181">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2">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5" t="n"/>
      <c r="F2407" s="156" t="n"/>
      <c r="G2407" s="156" t="n"/>
      <c r="H2407" s="156" t="n"/>
      <c r="I2407" s="156" t="n"/>
      <c r="J2407" s="156" t="n"/>
      <c r="K2407" s="157" t="n"/>
      <c r="L2407" s="156" t="n"/>
      <c r="M2407" s="156" t="n"/>
      <c r="N2407" s="156" t="n"/>
      <c r="O2407" s="156" t="n"/>
      <c r="P2407" s="156" t="n"/>
      <c r="Q2407" s="156" t="n"/>
      <c r="R2407" s="156" t="n"/>
      <c r="S2407" s="156" t="n"/>
      <c r="T2407" s="156" t="n"/>
      <c r="U2407" s="156" t="n"/>
      <c r="V2407" s="156" t="n"/>
      <c r="W2407" s="156" t="n"/>
      <c r="X2407" s="156" t="n"/>
      <c r="Y2407" s="156" t="n"/>
      <c r="Z2407" s="156" t="n"/>
      <c r="AA2407" s="156" t="n"/>
      <c r="AB2407" s="156" t="n"/>
      <c r="AC2407" s="156" t="n"/>
      <c r="AD2407" s="156" t="n"/>
      <c r="AE2407" s="156" t="n"/>
      <c r="AF2407" s="156" t="n"/>
      <c r="AG2407" s="156" t="n"/>
      <c r="AH2407" s="156" t="n"/>
      <c r="AI2407" s="156" t="n"/>
      <c r="AJ2407" s="156" t="n"/>
      <c r="AK2407" s="156" t="n"/>
      <c r="AL2407" s="156" t="n"/>
      <c r="AM2407" s="156" t="n"/>
      <c r="AN2407" s="156" t="n"/>
      <c r="AO2407" s="156" t="n"/>
      <c r="AP2407" s="156" t="n"/>
      <c r="AQ2407" s="156" t="n"/>
      <c r="AR2407" s="156" t="n"/>
      <c r="AS2407" s="156" t="n"/>
      <c r="AT2407" s="156" t="n"/>
      <c r="AU2407" s="156" t="n"/>
      <c r="AV2407" s="156" t="n"/>
      <c r="AW2407" s="156" t="n"/>
      <c r="AX2407" s="156" t="n"/>
      <c r="AY2407" s="156" t="n"/>
      <c r="AZ2407" s="156" t="n"/>
      <c r="BA2407" s="156" t="n"/>
      <c r="BB2407" s="156" t="n"/>
      <c r="BC2407" s="156" t="n"/>
      <c r="BD2407" s="156" t="n"/>
      <c r="BE2407" s="156" t="n"/>
      <c r="BF2407" s="156" t="n"/>
      <c r="BG2407" s="156" t="n"/>
      <c r="BH2407" s="156" t="n"/>
      <c r="BI2407" s="157"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86"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3" t="n"/>
      <c r="BQ2413" s="149" t="n"/>
      <c r="BR2413" s="184" t="n"/>
      <c r="BS2413" s="149" t="n"/>
      <c r="BT2413" s="149" t="n"/>
      <c r="BU2413" s="28" t="n"/>
      <c r="BV2413" s="29" t="n"/>
      <c r="BW2413" s="185">
        <f>計算!$BP$29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115"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6"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107"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7">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188">
        <f>IF(入力!$D$31="","",設定!$B$6)&amp;""</f>
        <v/>
      </c>
      <c r="S2421" s="11" t="n"/>
      <c r="T2421" s="11" t="n"/>
      <c r="U2421" s="188">
        <f>IF(入力!$D$31="","",設定!$B$7)&amp;""</f>
        <v/>
      </c>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110" t="inlineStr">
        <is>
          <t>令和</t>
        </is>
      </c>
      <c r="S2422" s="61" t="inlineStr">
        <is>
          <t>年</t>
        </is>
      </c>
      <c r="W2422" s="62"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90"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5" t="n"/>
      <c r="F2426" s="156" t="n"/>
      <c r="G2426" s="156" t="n"/>
      <c r="H2426" s="156" t="n"/>
      <c r="I2426" s="156" t="n"/>
      <c r="J2426" s="156" t="n"/>
      <c r="K2426" s="157"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6" t="n"/>
      <c r="AX2426" s="156" t="n"/>
      <c r="AY2426" s="156" t="n"/>
      <c r="AZ2426" s="156" t="n"/>
      <c r="BA2426" s="156" t="n"/>
      <c r="BB2426" s="156" t="n"/>
      <c r="BC2426" s="156" t="n"/>
      <c r="BD2426" s="156" t="n"/>
      <c r="BE2426" s="156" t="n"/>
      <c r="BF2426" s="156" t="n"/>
      <c r="BG2426" s="156" t="n"/>
      <c r="BH2426" s="156" t="n"/>
      <c r="BI2426" s="157"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58" t="n"/>
      <c r="T2427" s="149" t="n"/>
      <c r="U2427" s="17" t="n"/>
      <c r="V2427" s="17" t="n"/>
      <c r="W2427" s="58"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89" t="inlineStr">
        <is>
          <t>職　歴</t>
        </is>
      </c>
      <c r="K2430" s="153" t="n"/>
      <c r="L2430" s="69" t="inlineStr">
        <is>
          <t>平成</t>
        </is>
      </c>
      <c r="M2430" s="149" t="n"/>
      <c r="N2430" s="149" t="n"/>
      <c r="O2430" s="149" t="n"/>
      <c r="P2430" s="19" t="n"/>
      <c r="Q2430" s="19" t="n"/>
      <c r="R2430" s="19" t="n"/>
      <c r="S2430" s="19" t="n"/>
      <c r="T2430" s="19" t="n"/>
      <c r="U2430" s="19" t="n"/>
      <c r="V2430" s="19" t="n"/>
      <c r="W2430" s="19" t="n"/>
      <c r="X2430" s="37" t="n"/>
      <c r="Y2430" s="180">
        <f>計算!$BT$29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8">
        <f>計算!$BR$29</f>
        <v/>
      </c>
      <c r="S2432" s="61" t="inlineStr">
        <is>
          <t>年</t>
        </is>
      </c>
      <c r="U2432" s="190">
        <f>計算!$BS$29</f>
        <v/>
      </c>
      <c r="W2432" s="62"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74"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5" t="n"/>
      <c r="M2435" s="156" t="n"/>
      <c r="N2435" s="156" t="n"/>
      <c r="O2435" s="156" t="n"/>
      <c r="P2435" s="20" t="n"/>
      <c r="Q2435" s="20" t="n"/>
      <c r="R2435" s="20" t="n"/>
      <c r="S2435" s="20" t="n"/>
      <c r="T2435" s="20" t="n"/>
      <c r="U2435" s="20" t="n"/>
      <c r="V2435" s="20" t="n"/>
      <c r="W2435" s="20" t="n"/>
      <c r="X2435" s="39" t="n"/>
      <c r="Y2435" s="155" t="n"/>
      <c r="Z2435" s="156" t="n"/>
      <c r="AA2435" s="156" t="n"/>
      <c r="AB2435" s="156" t="n"/>
      <c r="AC2435" s="156" t="n"/>
      <c r="AD2435" s="156" t="n"/>
      <c r="AE2435" s="156" t="n"/>
      <c r="AF2435" s="156" t="n"/>
      <c r="AG2435" s="156" t="n"/>
      <c r="AH2435" s="156" t="n"/>
      <c r="AI2435" s="156" t="n"/>
      <c r="AJ2435" s="156" t="n"/>
      <c r="AK2435" s="156" t="n"/>
      <c r="AL2435" s="156" t="n"/>
      <c r="AM2435" s="156" t="n"/>
      <c r="AN2435" s="156" t="n"/>
      <c r="AO2435" s="156" t="n"/>
      <c r="AP2435" s="156" t="n"/>
      <c r="AQ2435" s="156" t="n"/>
      <c r="AR2435" s="156" t="n"/>
      <c r="AS2435" s="156" t="n"/>
      <c r="AT2435" s="156" t="n"/>
      <c r="AU2435" s="156" t="n"/>
      <c r="AV2435" s="156" t="n"/>
      <c r="AW2435" s="156" t="n"/>
      <c r="AX2435" s="156" t="n"/>
      <c r="AY2435" s="156" t="n"/>
      <c r="AZ2435" s="156" t="n"/>
      <c r="BA2435" s="156" t="n"/>
      <c r="BB2435" s="156" t="n"/>
      <c r="BC2435" s="156" t="n"/>
      <c r="BD2435" s="156" t="n"/>
      <c r="BE2435" s="156" t="n"/>
      <c r="BF2435" s="156" t="n"/>
      <c r="BG2435" s="156" t="n"/>
      <c r="BH2435" s="156" t="n"/>
      <c r="BI2435" s="157"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69" t="inlineStr">
        <is>
          <t>平成</t>
        </is>
      </c>
      <c r="M2436" s="149" t="n"/>
      <c r="N2436" s="149" t="n"/>
      <c r="O2436" s="149" t="n"/>
      <c r="P2436" s="18" t="n"/>
      <c r="Q2436" s="18" t="n"/>
      <c r="R2436" s="18" t="n"/>
      <c r="S2436" s="18" t="n"/>
      <c r="T2436" s="18" t="n"/>
      <c r="U2436" s="18" t="n"/>
      <c r="V2436" s="18" t="n"/>
      <c r="W2436" s="18" t="n"/>
      <c r="X2436" s="35" t="n"/>
      <c r="Y2436" s="180">
        <f>計算!$BW$29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8">
        <f>計算!$BU$29</f>
        <v/>
      </c>
      <c r="S2438" s="61" t="inlineStr">
        <is>
          <t>年</t>
        </is>
      </c>
      <c r="U2438" s="190">
        <f>計算!$BV$29</f>
        <v/>
      </c>
      <c r="W2438" s="62"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74"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5" t="n"/>
      <c r="M2441" s="156" t="n"/>
      <c r="N2441" s="156" t="n"/>
      <c r="O2441" s="156" t="n"/>
      <c r="P2441" s="20" t="n"/>
      <c r="Q2441" s="20" t="n"/>
      <c r="R2441" s="20" t="n"/>
      <c r="S2441" s="20" t="n"/>
      <c r="T2441" s="20" t="n"/>
      <c r="U2441" s="20" t="n"/>
      <c r="V2441" s="20" t="n"/>
      <c r="W2441" s="20" t="n"/>
      <c r="X2441" s="39" t="n"/>
      <c r="Y2441" s="155" t="n"/>
      <c r="Z2441" s="156" t="n"/>
      <c r="AA2441" s="156" t="n"/>
      <c r="AB2441" s="156" t="n"/>
      <c r="AC2441" s="156" t="n"/>
      <c r="AD2441" s="156" t="n"/>
      <c r="AE2441" s="156" t="n"/>
      <c r="AF2441" s="156" t="n"/>
      <c r="AG2441" s="156" t="n"/>
      <c r="AH2441" s="156" t="n"/>
      <c r="AI2441" s="156" t="n"/>
      <c r="AJ2441" s="156" t="n"/>
      <c r="AK2441" s="156" t="n"/>
      <c r="AL2441" s="156" t="n"/>
      <c r="AM2441" s="156" t="n"/>
      <c r="AN2441" s="156" t="n"/>
      <c r="AO2441" s="156" t="n"/>
      <c r="AP2441" s="156" t="n"/>
      <c r="AQ2441" s="156" t="n"/>
      <c r="AR2441" s="156" t="n"/>
      <c r="AS2441" s="156" t="n"/>
      <c r="AT2441" s="156" t="n"/>
      <c r="AU2441" s="156" t="n"/>
      <c r="AV2441" s="156" t="n"/>
      <c r="AW2441" s="156" t="n"/>
      <c r="AX2441" s="156" t="n"/>
      <c r="AY2441" s="156" t="n"/>
      <c r="AZ2441" s="156" t="n"/>
      <c r="BA2441" s="156" t="n"/>
      <c r="BB2441" s="156" t="n"/>
      <c r="BC2441" s="156" t="n"/>
      <c r="BD2441" s="156" t="n"/>
      <c r="BE2441" s="156" t="n"/>
      <c r="BF2441" s="156" t="n"/>
      <c r="BG2441" s="156" t="n"/>
      <c r="BH2441" s="156" t="n"/>
      <c r="BI2441" s="157" t="n"/>
      <c r="BJ2441" s="2" t="n"/>
      <c r="BK2441" s="2" t="n"/>
      <c r="BL2441" s="2" t="n"/>
      <c r="BM2441" s="2" t="n"/>
      <c r="BN2441" s="2" t="n"/>
      <c r="BO2441" s="2" t="n"/>
      <c r="BP2441" s="155" t="n"/>
      <c r="BQ2441" s="156" t="n"/>
      <c r="BR2441" s="156" t="n"/>
      <c r="BS2441" s="156" t="n"/>
      <c r="BT2441" s="156" t="n"/>
      <c r="BU2441" s="42" t="n"/>
      <c r="BV2441" s="45" t="n"/>
      <c r="BW2441" s="156" t="n"/>
      <c r="BX2441" s="156" t="n"/>
      <c r="BY2441" s="156" t="n"/>
      <c r="BZ2441" s="156" t="n"/>
      <c r="CA2441" s="156" t="n"/>
      <c r="CB2441" s="156" t="n"/>
      <c r="CC2441" s="156" t="n"/>
      <c r="CD2441" s="156" t="n"/>
      <c r="CE2441" s="156" t="n"/>
      <c r="CF2441" s="156" t="n"/>
      <c r="CG2441" s="156" t="n"/>
      <c r="CH2441" s="156" t="n"/>
      <c r="CI2441" s="156" t="n"/>
      <c r="CJ2441" s="156" t="n"/>
      <c r="CK2441" s="156" t="n"/>
      <c r="CL2441" s="156" t="n"/>
      <c r="CM2441" s="156" t="n"/>
      <c r="CN2441" s="156" t="n"/>
      <c r="CO2441" s="156" t="n"/>
      <c r="CP2441" s="156" t="n"/>
      <c r="CQ2441" s="156" t="n"/>
      <c r="CR2441" s="156" t="n"/>
      <c r="CS2441" s="156" t="n"/>
      <c r="CT2441" s="156" t="n"/>
      <c r="CU2441" s="156" t="n"/>
      <c r="CV2441" s="156" t="n"/>
      <c r="CW2441" s="156" t="n"/>
      <c r="CX2441" s="156" t="n"/>
      <c r="CY2441" s="156" t="n"/>
      <c r="CZ2441" s="156" t="n"/>
      <c r="DA2441" s="156" t="n"/>
      <c r="DB2441" s="156" t="n"/>
      <c r="DC2441" s="156" t="n"/>
      <c r="DD2441" s="156" t="n"/>
      <c r="DE2441" s="156" t="n"/>
      <c r="DF2441" s="156" t="n"/>
      <c r="DG2441" s="156" t="n"/>
      <c r="DH2441" s="156" t="n"/>
      <c r="DI2441" s="156" t="n"/>
      <c r="DJ2441" s="156" t="n"/>
      <c r="DK2441" s="156" t="n"/>
      <c r="DL2441" s="156" t="n"/>
      <c r="DM2441" s="156" t="n"/>
      <c r="DN2441" s="156" t="n"/>
      <c r="DO2441" s="156" t="n"/>
      <c r="DP2441" s="156" t="n"/>
      <c r="DQ2441" s="156" t="n"/>
      <c r="DR2441" s="156" t="n"/>
      <c r="DS2441" s="156" t="n"/>
      <c r="DT2441" s="156" t="n"/>
      <c r="DU2441" s="157" t="n"/>
      <c r="DV2441" s="2" t="n"/>
      <c r="DW2441" s="2" t="n"/>
      <c r="DX2441" s="2" t="n"/>
      <c r="DY2441" s="2" t="n"/>
      <c r="DZ2441" s="2" t="n"/>
      <c r="EA2441" s="2" t="n"/>
      <c r="EB2441" s="2" t="n"/>
      <c r="EC2441" s="2" t="n"/>
    </row>
    <row r="2442" ht="6.75" customHeight="1" s="118">
      <c r="A2442" s="2" t="n"/>
      <c r="B2442" s="2" t="n"/>
      <c r="C2442" s="2" t="n"/>
      <c r="D2442" s="2" t="n"/>
      <c r="E2442" s="152" t="n"/>
      <c r="K2442" s="153" t="n"/>
      <c r="L2442" s="69"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5">
        <f>計算!$BQ$29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61" t="inlineStr">
        <is>
          <t>年</t>
        </is>
      </c>
      <c r="U2444" s="11" t="n"/>
      <c r="V2444" s="11" t="n"/>
      <c r="W2444" s="62"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74"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5" t="n"/>
      <c r="M2447" s="156" t="n"/>
      <c r="N2447" s="156" t="n"/>
      <c r="O2447" s="156"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69"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61" t="inlineStr">
        <is>
          <t>年</t>
        </is>
      </c>
      <c r="U2450" s="11" t="n"/>
      <c r="V2450" s="11" t="n"/>
      <c r="W2450" s="62"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74"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61" t="n"/>
      <c r="T2452" s="61" t="n"/>
      <c r="U2452" s="11" t="n"/>
      <c r="V2452" s="11" t="n"/>
      <c r="W2452" s="61" t="n"/>
      <c r="X2452" s="62"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5" t="n"/>
      <c r="F2453" s="156" t="n"/>
      <c r="G2453" s="156" t="n"/>
      <c r="H2453" s="156" t="n"/>
      <c r="I2453" s="156" t="n"/>
      <c r="J2453" s="156" t="n"/>
      <c r="K2453" s="157" t="n"/>
      <c r="L2453" s="155" t="n"/>
      <c r="M2453" s="156" t="n"/>
      <c r="N2453" s="156" t="n"/>
      <c r="O2453" s="156"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5" t="n"/>
      <c r="BQ2453" s="156" t="n"/>
      <c r="BR2453" s="156" t="n"/>
      <c r="BS2453" s="156" t="n"/>
      <c r="BT2453" s="156" t="n"/>
      <c r="BU2453" s="156" t="n"/>
      <c r="BV2453" s="157" t="n"/>
      <c r="BW2453" s="156" t="n"/>
      <c r="BX2453" s="156" t="n"/>
      <c r="BY2453" s="156" t="n"/>
      <c r="BZ2453" s="156" t="n"/>
      <c r="CA2453" s="156" t="n"/>
      <c r="CB2453" s="156" t="n"/>
      <c r="CC2453" s="156" t="n"/>
      <c r="CD2453" s="156" t="n"/>
      <c r="CE2453" s="156" t="n"/>
      <c r="CF2453" s="156" t="n"/>
      <c r="CG2453" s="156" t="n"/>
      <c r="CH2453" s="156" t="n"/>
      <c r="CI2453" s="156" t="n"/>
      <c r="CJ2453" s="156" t="n"/>
      <c r="CK2453" s="156" t="n"/>
      <c r="CL2453" s="156" t="n"/>
      <c r="CM2453" s="156" t="n"/>
      <c r="CN2453" s="156" t="n"/>
      <c r="CO2453" s="156" t="n"/>
      <c r="CP2453" s="156" t="n"/>
      <c r="CQ2453" s="156" t="n"/>
      <c r="CR2453" s="156" t="n"/>
      <c r="CS2453" s="156" t="n"/>
      <c r="CT2453" s="156" t="n"/>
      <c r="CU2453" s="156" t="n"/>
      <c r="CV2453" s="156" t="n"/>
      <c r="CW2453" s="156" t="n"/>
      <c r="CX2453" s="156" t="n"/>
      <c r="CY2453" s="156" t="n"/>
      <c r="CZ2453" s="156" t="n"/>
      <c r="DA2453" s="156" t="n"/>
      <c r="DB2453" s="156" t="n"/>
      <c r="DC2453" s="156" t="n"/>
      <c r="DD2453" s="156" t="n"/>
      <c r="DE2453" s="156" t="n"/>
      <c r="DF2453" s="156" t="n"/>
      <c r="DG2453" s="156" t="n"/>
      <c r="DH2453" s="156" t="n"/>
      <c r="DI2453" s="156" t="n"/>
      <c r="DJ2453" s="156" t="n"/>
      <c r="DK2453" s="156" t="n"/>
      <c r="DL2453" s="156" t="n"/>
      <c r="DM2453" s="156" t="n"/>
      <c r="DN2453" s="156" t="n"/>
      <c r="DO2453" s="156" t="n"/>
      <c r="DP2453" s="156" t="n"/>
      <c r="DQ2453" s="156" t="n"/>
      <c r="DR2453" s="156" t="n"/>
      <c r="DS2453" s="156" t="n"/>
      <c r="DT2453" s="156" t="n"/>
      <c r="DU2453" s="157"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87" t="inlineStr">
        <is>
          <t xml:space="preserve">    (近畿高等学校統一用紙　  その２ 　  令和７年度改定)　</t>
        </is>
      </c>
      <c r="DV2455" s="2" t="n"/>
      <c r="DW2455" s="2" t="n"/>
      <c r="DX2455" s="2" t="n"/>
      <c r="DY2455" s="2" t="n"/>
      <c r="DZ2455" s="2" t="n"/>
      <c r="EA2455" s="2" t="n"/>
      <c r="EB2455" s="2" t="n"/>
      <c r="EC2455" s="2" t="n"/>
    </row>
    <row r="2456" hidden="1"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idden="1"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47"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64" t="inlineStr">
        <is>
          <t>令和</t>
        </is>
      </c>
      <c r="AD2465" s="154">
        <f>IF(入力!$D$32="","",IF(N(設定!$B$3)=0,"",YEAR(設定!$B$3)-2018))&amp;""</f>
        <v/>
      </c>
      <c r="AG2465" s="64" t="inlineStr">
        <is>
          <t>年</t>
        </is>
      </c>
      <c r="AI2465" s="154">
        <f>IF(入力!$D$32="","",IF(N(設定!$B$3)=0,"",MONTH(設定!$B$3)))&amp;""</f>
        <v/>
      </c>
      <c r="AL2465" s="64" t="inlineStr">
        <is>
          <t>月</t>
        </is>
      </c>
      <c r="AN2465" s="154">
        <f>IF(入力!$D$32="","",IF(N(設定!$B$3)=0,"",DAY(設定!$B$3)))&amp;""</f>
        <v/>
      </c>
      <c r="AP2465" s="64"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5" t="n"/>
      <c r="BX2465" s="156" t="n"/>
      <c r="BY2465" s="156" t="n"/>
      <c r="BZ2465" s="156" t="n"/>
      <c r="CA2465" s="156" t="n"/>
      <c r="CB2465" s="156" t="n"/>
      <c r="CC2465" s="156" t="n"/>
      <c r="CD2465" s="156" t="n"/>
      <c r="CE2465" s="156" t="n"/>
      <c r="CF2465" s="156" t="n"/>
      <c r="CG2465" s="157" t="n"/>
      <c r="CH2465" s="155" t="n"/>
      <c r="CI2465" s="156" t="n"/>
      <c r="CJ2465" s="156" t="n"/>
      <c r="CK2465" s="156" t="n"/>
      <c r="CL2465" s="156" t="n"/>
      <c r="CM2465" s="156" t="n"/>
      <c r="CN2465" s="156" t="n"/>
      <c r="CO2465" s="156" t="n"/>
      <c r="CP2465" s="156" t="n"/>
      <c r="CQ2465" s="156" t="n"/>
      <c r="CR2465" s="156" t="n"/>
      <c r="CS2465" s="156" t="n"/>
      <c r="CT2465" s="156" t="n"/>
      <c r="CU2465" s="156" t="n"/>
      <c r="CV2465" s="156" t="n"/>
      <c r="CW2465" s="156" t="n"/>
      <c r="CX2465" s="156" t="n"/>
      <c r="CY2465" s="156" t="n"/>
      <c r="CZ2465" s="156" t="n"/>
      <c r="DA2465" s="156" t="n"/>
      <c r="DB2465" s="156" t="n"/>
      <c r="DC2465" s="156" t="n"/>
      <c r="DD2465" s="156" t="n"/>
      <c r="DE2465" s="156" t="n"/>
      <c r="DF2465" s="156" t="n"/>
      <c r="DG2465" s="156" t="n"/>
      <c r="DH2465" s="156" t="n"/>
      <c r="DI2465" s="156" t="n"/>
      <c r="DJ2465" s="156" t="n"/>
      <c r="DK2465" s="156" t="n"/>
      <c r="DL2465" s="156" t="n"/>
      <c r="DM2465" s="156" t="n"/>
      <c r="DN2465" s="156" t="n"/>
      <c r="DO2465" s="156" t="n"/>
      <c r="DP2465" s="156" t="n"/>
      <c r="DQ2465" s="156" t="n"/>
      <c r="DR2465" s="156" t="n"/>
      <c r="DS2465" s="156" t="n"/>
      <c r="DT2465" s="156" t="n"/>
      <c r="DU2465" s="157"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68" t="inlineStr">
        <is>
          <t>写真をはる位置</t>
        </is>
      </c>
      <c r="BI2466" s="8" t="n"/>
      <c r="BJ2466" s="7" t="n"/>
      <c r="BK2466" s="2" t="n"/>
      <c r="BL2466" s="2" t="n"/>
      <c r="BM2466" s="2" t="n"/>
      <c r="BN2466" s="2" t="n"/>
      <c r="BO2466" s="2" t="n"/>
      <c r="BP2466" s="152" t="n"/>
      <c r="BV2466" s="153" t="n"/>
      <c r="BW2466" s="158">
        <f>計算!$CB$30</f>
        <v/>
      </c>
      <c r="CG2466" s="153" t="n"/>
      <c r="CH2466" s="159">
        <f>計算!$CC$30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6" t="n"/>
      <c r="AA2467" s="156" t="n"/>
      <c r="AB2467" s="156" t="n"/>
      <c r="AC2467" s="156" t="n"/>
      <c r="AD2467" s="156" t="n"/>
      <c r="AE2467" s="156" t="n"/>
      <c r="AF2467" s="156" t="n"/>
      <c r="AG2467" s="156" t="n"/>
      <c r="AH2467" s="156" t="n"/>
      <c r="AI2467" s="156" t="n"/>
      <c r="AJ2467" s="156" t="n"/>
      <c r="AK2467" s="156" t="n"/>
      <c r="AL2467" s="156" t="n"/>
      <c r="AM2467" s="156" t="n"/>
      <c r="AN2467" s="156" t="n"/>
      <c r="AO2467" s="156" t="n"/>
      <c r="AP2467" s="156" t="n"/>
      <c r="AQ2467" s="156" t="n"/>
      <c r="AR2467" s="156" t="n"/>
      <c r="AS2467" s="156" t="n"/>
      <c r="AT2467" s="156"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0">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5" t="n"/>
      <c r="F2471" s="156" t="n"/>
      <c r="G2471" s="156" t="n"/>
      <c r="H2471" s="156" t="n"/>
      <c r="I2471" s="156" t="n"/>
      <c r="J2471" s="156" t="n"/>
      <c r="K2471" s="157" t="n"/>
      <c r="L2471" s="156" t="n"/>
      <c r="M2471" s="156" t="n"/>
      <c r="N2471" s="156" t="n"/>
      <c r="O2471" s="156" t="n"/>
      <c r="P2471" s="156" t="n"/>
      <c r="Q2471" s="156" t="n"/>
      <c r="R2471" s="156" t="n"/>
      <c r="S2471" s="156" t="n"/>
      <c r="T2471" s="156" t="n"/>
      <c r="U2471" s="156" t="n"/>
      <c r="V2471" s="156" t="n"/>
      <c r="W2471" s="156" t="n"/>
      <c r="X2471" s="156" t="n"/>
      <c r="Y2471" s="156" t="n"/>
      <c r="Z2471" s="156" t="n"/>
      <c r="AA2471" s="156" t="n"/>
      <c r="AB2471" s="156" t="n"/>
      <c r="AC2471" s="156" t="n"/>
      <c r="AD2471" s="156" t="n"/>
      <c r="AE2471" s="156" t="n"/>
      <c r="AF2471" s="156" t="n"/>
      <c r="AG2471" s="156" t="n"/>
      <c r="AH2471" s="156" t="n"/>
      <c r="AI2471" s="156" t="n"/>
      <c r="AJ2471" s="156" t="n"/>
      <c r="AK2471" s="156" t="n"/>
      <c r="AL2471" s="156" t="n"/>
      <c r="AM2471" s="156" t="n"/>
      <c r="AN2471" s="156" t="n"/>
      <c r="AO2471" s="156" t="n"/>
      <c r="AP2471" s="156" t="n"/>
      <c r="AQ2471" s="156" t="n"/>
      <c r="AR2471" s="156" t="n"/>
      <c r="AS2471" s="156" t="n"/>
      <c r="AT2471" s="157"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1" t="inlineStr">
        <is>
          <t>名　前</t>
        </is>
      </c>
      <c r="F2472" s="149" t="n"/>
      <c r="G2472" s="149" t="n"/>
      <c r="H2472" s="149" t="n"/>
      <c r="I2472" s="149" t="n"/>
      <c r="J2472" s="149" t="n"/>
      <c r="K2472" s="150" t="n"/>
      <c r="L2472" s="162">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61"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5" t="n"/>
      <c r="F2477" s="156" t="n"/>
      <c r="G2477" s="156" t="n"/>
      <c r="H2477" s="156" t="n"/>
      <c r="I2477" s="156" t="n"/>
      <c r="J2477" s="156" t="n"/>
      <c r="K2477" s="157" t="n"/>
      <c r="L2477" s="155" t="n"/>
      <c r="M2477" s="156" t="n"/>
      <c r="N2477" s="156" t="n"/>
      <c r="O2477" s="156" t="n"/>
      <c r="P2477" s="156" t="n"/>
      <c r="Q2477" s="156" t="n"/>
      <c r="R2477" s="156" t="n"/>
      <c r="S2477" s="156" t="n"/>
      <c r="T2477" s="156" t="n"/>
      <c r="U2477" s="156" t="n"/>
      <c r="V2477" s="156" t="n"/>
      <c r="W2477" s="156" t="n"/>
      <c r="X2477" s="156" t="n"/>
      <c r="Y2477" s="156" t="n"/>
      <c r="Z2477" s="156" t="n"/>
      <c r="AA2477" s="156" t="n"/>
      <c r="AB2477" s="156" t="n"/>
      <c r="AC2477" s="156" t="n"/>
      <c r="AD2477" s="156" t="n"/>
      <c r="AE2477" s="156" t="n"/>
      <c r="AF2477" s="156" t="n"/>
      <c r="AG2477" s="156" t="n"/>
      <c r="AH2477" s="156" t="n"/>
      <c r="AI2477" s="156" t="n"/>
      <c r="AJ2477" s="156" t="n"/>
      <c r="AK2477" s="156" t="n"/>
      <c r="AL2477" s="156" t="n"/>
      <c r="AM2477" s="156" t="n"/>
      <c r="AN2477" s="156" t="n"/>
      <c r="AO2477" s="156" t="n"/>
      <c r="AP2477" s="156" t="n"/>
      <c r="AQ2477" s="156" t="n"/>
      <c r="AR2477" s="156" t="n"/>
      <c r="AS2477" s="156" t="n"/>
      <c r="AT2477" s="157"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1" t="inlineStr">
        <is>
          <t>生年月日</t>
        </is>
      </c>
      <c r="F2478" s="149" t="n"/>
      <c r="G2478" s="149" t="n"/>
      <c r="H2478" s="149" t="n"/>
      <c r="I2478" s="149" t="n"/>
      <c r="J2478" s="149" t="n"/>
      <c r="K2478" s="150" t="n"/>
      <c r="L2478" s="163" t="inlineStr">
        <is>
          <t>昭和 ・ 平成</t>
        </is>
      </c>
      <c r="M2478" s="149" t="n"/>
      <c r="N2478" s="149" t="n"/>
      <c r="O2478" s="149" t="n"/>
      <c r="P2478" s="149" t="n"/>
      <c r="Q2478" s="149" t="n"/>
      <c r="R2478" s="149" t="n"/>
      <c r="S2478" s="149" t="n"/>
      <c r="T2478" s="149" t="n"/>
      <c r="U2478" s="149" t="n"/>
      <c r="V2478" s="164">
        <f>計算!$D$30</f>
        <v/>
      </c>
      <c r="W2478" s="149" t="n"/>
      <c r="X2478" s="165" t="inlineStr">
        <is>
          <t>年</t>
        </is>
      </c>
      <c r="Y2478" s="149" t="n"/>
      <c r="Z2478" s="166">
        <f>計算!$E$30</f>
        <v/>
      </c>
      <c r="AA2478" s="149" t="n"/>
      <c r="AB2478" s="149" t="n"/>
      <c r="AC2478" s="165" t="inlineStr">
        <is>
          <t>月</t>
        </is>
      </c>
      <c r="AD2478" s="149" t="n"/>
      <c r="AE2478" s="166">
        <f>計算!$F$30</f>
        <v/>
      </c>
      <c r="AF2478" s="149" t="n"/>
      <c r="AG2478" s="149" t="n"/>
      <c r="AH2478" s="165" t="inlineStr">
        <is>
          <t>日　生 （満</t>
        </is>
      </c>
      <c r="AI2478" s="149" t="n"/>
      <c r="AJ2478" s="149" t="n"/>
      <c r="AK2478" s="149" t="n"/>
      <c r="AL2478" s="149" t="n"/>
      <c r="AM2478" s="149" t="n"/>
      <c r="AN2478" s="149" t="n"/>
      <c r="AO2478" s="149" t="n"/>
      <c r="AP2478" s="167">
        <f>計算!$G$30</f>
        <v/>
      </c>
      <c r="AQ2478" s="149" t="n"/>
      <c r="AR2478" s="168"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5" t="n"/>
      <c r="F2481" s="156" t="n"/>
      <c r="G2481" s="156" t="n"/>
      <c r="H2481" s="156" t="n"/>
      <c r="I2481" s="156" t="n"/>
      <c r="J2481" s="156" t="n"/>
      <c r="K2481" s="157" t="n"/>
      <c r="L2481" s="155" t="n"/>
      <c r="M2481" s="156" t="n"/>
      <c r="N2481" s="156" t="n"/>
      <c r="O2481" s="156" t="n"/>
      <c r="P2481" s="156" t="n"/>
      <c r="Q2481" s="156" t="n"/>
      <c r="R2481" s="156" t="n"/>
      <c r="S2481" s="156" t="n"/>
      <c r="T2481" s="156" t="n"/>
      <c r="U2481" s="156" t="n"/>
      <c r="X2481" s="156" t="n"/>
      <c r="Y2481" s="156" t="n"/>
      <c r="AC2481" s="156" t="n"/>
      <c r="AD2481" s="156" t="n"/>
      <c r="AH2481" s="156" t="n"/>
      <c r="AI2481" s="156" t="n"/>
      <c r="AJ2481" s="156" t="n"/>
      <c r="AK2481" s="156" t="n"/>
      <c r="AL2481" s="156" t="n"/>
      <c r="AM2481" s="156" t="n"/>
      <c r="AN2481" s="156" t="n"/>
      <c r="AO2481" s="156" t="n"/>
      <c r="AP2481" s="156" t="n"/>
      <c r="AQ2481" s="156" t="n"/>
      <c r="AR2481" s="156" t="n"/>
      <c r="AS2481" s="156" t="n"/>
      <c r="AT2481" s="157"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69" t="inlineStr">
        <is>
          <t>ふ り が な</t>
        </is>
      </c>
      <c r="F2482" s="149" t="n"/>
      <c r="G2482" s="149" t="n"/>
      <c r="H2482" s="149" t="n"/>
      <c r="I2482" s="149" t="n"/>
      <c r="J2482" s="149" t="n"/>
      <c r="K2482" s="150" t="n"/>
      <c r="L2482" s="170">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1" t="n"/>
      <c r="F2484" s="172" t="n"/>
      <c r="G2484" s="172" t="n"/>
      <c r="H2484" s="172" t="n"/>
      <c r="I2484" s="172" t="n"/>
      <c r="J2484" s="172" t="n"/>
      <c r="K2484" s="173" t="n"/>
      <c r="L2484" s="172" t="n"/>
      <c r="M2484" s="172" t="n"/>
      <c r="N2484" s="172" t="n"/>
      <c r="O2484" s="172" t="n"/>
      <c r="P2484" s="172" t="n"/>
      <c r="Q2484" s="172" t="n"/>
      <c r="R2484" s="172" t="n"/>
      <c r="S2484" s="172" t="n"/>
      <c r="T2484" s="172" t="n"/>
      <c r="U2484" s="172" t="n"/>
      <c r="V2484" s="172" t="n"/>
      <c r="W2484" s="172" t="n"/>
      <c r="X2484" s="172" t="n"/>
      <c r="Y2484" s="172" t="n"/>
      <c r="Z2484" s="172" t="n"/>
      <c r="AA2484" s="172" t="n"/>
      <c r="AB2484" s="172" t="n"/>
      <c r="AC2484" s="172" t="n"/>
      <c r="AD2484" s="172" t="n"/>
      <c r="AE2484" s="172" t="n"/>
      <c r="AF2484" s="172" t="n"/>
      <c r="AG2484" s="172" t="n"/>
      <c r="AH2484" s="172" t="n"/>
      <c r="AI2484" s="172" t="n"/>
      <c r="AJ2484" s="172" t="n"/>
      <c r="AK2484" s="172" t="n"/>
      <c r="AL2484" s="172" t="n"/>
      <c r="AM2484" s="172" t="n"/>
      <c r="AN2484" s="172" t="n"/>
      <c r="AO2484" s="172" t="n"/>
      <c r="AP2484" s="172" t="n"/>
      <c r="AQ2484" s="172" t="n"/>
      <c r="AR2484" s="172" t="n"/>
      <c r="AS2484" s="172" t="n"/>
      <c r="AT2484" s="172" t="n"/>
      <c r="AU2484" s="172" t="n"/>
      <c r="AV2484" s="172" t="n"/>
      <c r="AW2484" s="172" t="n"/>
      <c r="AX2484" s="172" t="n"/>
      <c r="AY2484" s="172" t="n"/>
      <c r="AZ2484" s="172" t="n"/>
      <c r="BA2484" s="172" t="n"/>
      <c r="BB2484" s="172" t="n"/>
      <c r="BC2484" s="172" t="n"/>
      <c r="BD2484" s="172" t="n"/>
      <c r="BE2484" s="172" t="n"/>
      <c r="BF2484" s="172" t="n"/>
      <c r="BG2484" s="172" t="n"/>
      <c r="BH2484" s="172" t="n"/>
      <c r="BI2484" s="173"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4" t="inlineStr">
        <is>
          <t>現住所</t>
        </is>
      </c>
      <c r="F2485" s="175" t="n"/>
      <c r="G2485" s="175" t="n"/>
      <c r="H2485" s="175" t="n"/>
      <c r="I2485" s="175" t="n"/>
      <c r="J2485" s="175" t="n"/>
      <c r="K2485" s="176" t="n"/>
      <c r="L2485" s="83" t="inlineStr">
        <is>
          <t>〒</t>
        </is>
      </c>
      <c r="M2485" s="175" t="n"/>
      <c r="N2485" s="175" t="n"/>
      <c r="O2485" s="175" t="n"/>
      <c r="P2485" s="177">
        <f>計算!$H$30</f>
        <v/>
      </c>
      <c r="Q2485" s="175" t="n"/>
      <c r="R2485" s="175" t="n"/>
      <c r="S2485" s="175" t="n"/>
      <c r="T2485" s="175" t="n"/>
      <c r="U2485" s="175" t="n"/>
      <c r="V2485" s="175" t="n"/>
      <c r="W2485" s="175" t="n"/>
      <c r="X2485" s="175" t="n"/>
      <c r="Y2485" s="175" t="n"/>
      <c r="Z2485" s="175" t="n"/>
      <c r="AA2485" s="175" t="n"/>
      <c r="AB2485" s="175" t="n"/>
      <c r="AC2485" s="175" t="n"/>
      <c r="AD2485" s="175" t="n"/>
      <c r="AE2485" s="175" t="n"/>
      <c r="AF2485" s="175" t="n"/>
      <c r="AG2485" s="175" t="n"/>
      <c r="AH2485" s="175" t="n"/>
      <c r="AI2485" s="175" t="n"/>
      <c r="AJ2485" s="175"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5" t="n"/>
      <c r="BQ2486" s="156" t="n"/>
      <c r="BR2486" s="156" t="n"/>
      <c r="BS2486" s="156" t="n"/>
      <c r="BT2486" s="156" t="n"/>
      <c r="BU2486" s="156" t="n"/>
      <c r="BV2486" s="157" t="n"/>
      <c r="BW2486" s="155" t="n"/>
      <c r="BX2486" s="156" t="n"/>
      <c r="BY2486" s="156" t="n"/>
      <c r="BZ2486" s="156" t="n"/>
      <c r="CA2486" s="156" t="n"/>
      <c r="CB2486" s="156" t="n"/>
      <c r="CC2486" s="156" t="n"/>
      <c r="CD2486" s="156" t="n"/>
      <c r="CE2486" s="156" t="n"/>
      <c r="CF2486" s="156" t="n"/>
      <c r="CG2486" s="157"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8" t="inlineStr">
        <is>
          <t>校内外の諸活動</t>
        </is>
      </c>
      <c r="BQ2487" s="149" t="n"/>
      <c r="BR2487" s="149" t="n"/>
      <c r="BS2487" s="149" t="n"/>
      <c r="BT2487" s="149" t="n"/>
      <c r="BU2487" s="149" t="n"/>
      <c r="BV2487" s="150" t="n"/>
      <c r="BW2487" s="179">
        <f>計算!$BO$30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0">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5" t="n"/>
      <c r="F2490" s="156" t="n"/>
      <c r="G2490" s="156" t="n"/>
      <c r="H2490" s="156" t="n"/>
      <c r="I2490" s="156" t="n"/>
      <c r="J2490" s="156" t="n"/>
      <c r="K2490" s="157" t="n"/>
      <c r="L2490" s="155" t="n"/>
      <c r="M2490" s="156" t="n"/>
      <c r="N2490" s="156" t="n"/>
      <c r="O2490" s="156" t="n"/>
      <c r="P2490" s="156" t="n"/>
      <c r="Q2490" s="156" t="n"/>
      <c r="R2490" s="156" t="n"/>
      <c r="S2490" s="156" t="n"/>
      <c r="T2490" s="156" t="n"/>
      <c r="U2490" s="156" t="n"/>
      <c r="V2490" s="156" t="n"/>
      <c r="W2490" s="156" t="n"/>
      <c r="X2490" s="156" t="n"/>
      <c r="Y2490" s="156" t="n"/>
      <c r="Z2490" s="156" t="n"/>
      <c r="AA2490" s="156" t="n"/>
      <c r="AB2490" s="156" t="n"/>
      <c r="AC2490" s="156" t="n"/>
      <c r="AD2490" s="156" t="n"/>
      <c r="AE2490" s="156" t="n"/>
      <c r="AF2490" s="156" t="n"/>
      <c r="AG2490" s="156" t="n"/>
      <c r="AH2490" s="156" t="n"/>
      <c r="AI2490" s="156" t="n"/>
      <c r="AJ2490" s="156" t="n"/>
      <c r="AK2490" s="156" t="n"/>
      <c r="AL2490" s="156" t="n"/>
      <c r="AM2490" s="156" t="n"/>
      <c r="AN2490" s="156" t="n"/>
      <c r="AO2490" s="156" t="n"/>
      <c r="AP2490" s="156" t="n"/>
      <c r="AQ2490" s="156" t="n"/>
      <c r="AR2490" s="156" t="n"/>
      <c r="AS2490" s="156" t="n"/>
      <c r="AT2490" s="156" t="n"/>
      <c r="AU2490" s="156" t="n"/>
      <c r="AV2490" s="156" t="n"/>
      <c r="AW2490" s="156" t="n"/>
      <c r="AX2490" s="156" t="n"/>
      <c r="AY2490" s="156" t="n"/>
      <c r="AZ2490" s="156" t="n"/>
      <c r="BA2490" s="156" t="n"/>
      <c r="BB2490" s="156" t="n"/>
      <c r="BC2490" s="156" t="n"/>
      <c r="BD2490" s="156" t="n"/>
      <c r="BE2490" s="156" t="n"/>
      <c r="BF2490" s="156" t="n"/>
      <c r="BG2490" s="156" t="n"/>
      <c r="BH2490" s="156" t="n"/>
      <c r="BI2490" s="157"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69" t="inlineStr">
        <is>
          <t>ふ り が な</t>
        </is>
      </c>
      <c r="F2491" s="149" t="n"/>
      <c r="G2491" s="149" t="n"/>
      <c r="H2491" s="149" t="n"/>
      <c r="I2491" s="149" t="n"/>
      <c r="J2491" s="149" t="n"/>
      <c r="K2491" s="150" t="n"/>
      <c r="L2491" s="170">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1" t="n"/>
      <c r="F2493" s="172" t="n"/>
      <c r="G2493" s="172" t="n"/>
      <c r="H2493" s="172" t="n"/>
      <c r="I2493" s="172" t="n"/>
      <c r="J2493" s="172" t="n"/>
      <c r="K2493" s="173" t="n"/>
      <c r="L2493" s="172" t="n"/>
      <c r="M2493" s="172" t="n"/>
      <c r="N2493" s="172" t="n"/>
      <c r="O2493" s="172" t="n"/>
      <c r="P2493" s="172" t="n"/>
      <c r="Q2493" s="172" t="n"/>
      <c r="R2493" s="172" t="n"/>
      <c r="S2493" s="172" t="n"/>
      <c r="T2493" s="172" t="n"/>
      <c r="U2493" s="172" t="n"/>
      <c r="V2493" s="172" t="n"/>
      <c r="W2493" s="172" t="n"/>
      <c r="X2493" s="172" t="n"/>
      <c r="Y2493" s="172" t="n"/>
      <c r="Z2493" s="172" t="n"/>
      <c r="AA2493" s="172" t="n"/>
      <c r="AB2493" s="172" t="n"/>
      <c r="AC2493" s="172" t="n"/>
      <c r="AD2493" s="172" t="n"/>
      <c r="AE2493" s="172" t="n"/>
      <c r="AF2493" s="172" t="n"/>
      <c r="AG2493" s="172" t="n"/>
      <c r="AH2493" s="172" t="n"/>
      <c r="AI2493" s="172" t="n"/>
      <c r="AJ2493" s="172" t="n"/>
      <c r="AK2493" s="172" t="n"/>
      <c r="AL2493" s="172" t="n"/>
      <c r="AM2493" s="172" t="n"/>
      <c r="AN2493" s="172" t="n"/>
      <c r="AO2493" s="172" t="n"/>
      <c r="AP2493" s="172" t="n"/>
      <c r="AQ2493" s="172" t="n"/>
      <c r="AR2493" s="172" t="n"/>
      <c r="AS2493" s="172" t="n"/>
      <c r="AT2493" s="172" t="n"/>
      <c r="AU2493" s="172" t="n"/>
      <c r="AV2493" s="172" t="n"/>
      <c r="AW2493" s="172" t="n"/>
      <c r="AX2493" s="172" t="n"/>
      <c r="AY2493" s="172" t="n"/>
      <c r="AZ2493" s="172" t="n"/>
      <c r="BA2493" s="172" t="n"/>
      <c r="BB2493" s="172" t="n"/>
      <c r="BC2493" s="172" t="n"/>
      <c r="BD2493" s="172" t="n"/>
      <c r="BE2493" s="172" t="n"/>
      <c r="BF2493" s="172" t="n"/>
      <c r="BG2493" s="172" t="n"/>
      <c r="BH2493" s="172" t="n"/>
      <c r="BI2493" s="173"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4" t="inlineStr">
        <is>
          <t>連絡先</t>
        </is>
      </c>
      <c r="F2494" s="175" t="n"/>
      <c r="G2494" s="175" t="n"/>
      <c r="H2494" s="175" t="n"/>
      <c r="I2494" s="175" t="n"/>
      <c r="J2494" s="175" t="n"/>
      <c r="K2494" s="176" t="n"/>
      <c r="L2494" s="83" t="inlineStr">
        <is>
          <t>〒</t>
        </is>
      </c>
      <c r="M2494" s="175" t="n"/>
      <c r="N2494" s="175" t="n"/>
      <c r="O2494" s="175" t="n"/>
      <c r="P2494" s="181">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2">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5" t="n"/>
      <c r="F2498" s="156" t="n"/>
      <c r="G2498" s="156" t="n"/>
      <c r="H2498" s="156" t="n"/>
      <c r="I2498" s="156" t="n"/>
      <c r="J2498" s="156" t="n"/>
      <c r="K2498" s="157" t="n"/>
      <c r="L2498" s="156" t="n"/>
      <c r="M2498" s="156" t="n"/>
      <c r="N2498" s="156" t="n"/>
      <c r="O2498" s="156" t="n"/>
      <c r="P2498" s="156" t="n"/>
      <c r="Q2498" s="156" t="n"/>
      <c r="R2498" s="156" t="n"/>
      <c r="S2498" s="156" t="n"/>
      <c r="T2498" s="156" t="n"/>
      <c r="U2498" s="156" t="n"/>
      <c r="V2498" s="156" t="n"/>
      <c r="W2498" s="156" t="n"/>
      <c r="X2498" s="156" t="n"/>
      <c r="Y2498" s="156" t="n"/>
      <c r="Z2498" s="156" t="n"/>
      <c r="AA2498" s="156" t="n"/>
      <c r="AB2498" s="156" t="n"/>
      <c r="AC2498" s="156" t="n"/>
      <c r="AD2498" s="156" t="n"/>
      <c r="AE2498" s="156" t="n"/>
      <c r="AF2498" s="156" t="n"/>
      <c r="AG2498" s="156" t="n"/>
      <c r="AH2498" s="156" t="n"/>
      <c r="AI2498" s="156" t="n"/>
      <c r="AJ2498" s="156" t="n"/>
      <c r="AK2498" s="156" t="n"/>
      <c r="AL2498" s="156" t="n"/>
      <c r="AM2498" s="156" t="n"/>
      <c r="AN2498" s="156" t="n"/>
      <c r="AO2498" s="156" t="n"/>
      <c r="AP2498" s="156" t="n"/>
      <c r="AQ2498" s="156" t="n"/>
      <c r="AR2498" s="156" t="n"/>
      <c r="AS2498" s="156" t="n"/>
      <c r="AT2498" s="156" t="n"/>
      <c r="AU2498" s="156" t="n"/>
      <c r="AV2498" s="156" t="n"/>
      <c r="AW2498" s="156" t="n"/>
      <c r="AX2498" s="156" t="n"/>
      <c r="AY2498" s="156" t="n"/>
      <c r="AZ2498" s="156" t="n"/>
      <c r="BA2498" s="156" t="n"/>
      <c r="BB2498" s="156" t="n"/>
      <c r="BC2498" s="156" t="n"/>
      <c r="BD2498" s="156" t="n"/>
      <c r="BE2498" s="156" t="n"/>
      <c r="BF2498" s="156" t="n"/>
      <c r="BG2498" s="156" t="n"/>
      <c r="BH2498" s="156" t="n"/>
      <c r="BI2498" s="157"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86"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3" t="n"/>
      <c r="BQ2504" s="149" t="n"/>
      <c r="BR2504" s="184" t="n"/>
      <c r="BS2504" s="149" t="n"/>
      <c r="BT2504" s="149" t="n"/>
      <c r="BU2504" s="28" t="n"/>
      <c r="BV2504" s="29" t="n"/>
      <c r="BW2504" s="185">
        <f>計算!$BP$30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115"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6"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107"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7">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188">
        <f>IF(入力!$D$32="","",設定!$B$6)&amp;""</f>
        <v/>
      </c>
      <c r="S2512" s="11" t="n"/>
      <c r="T2512" s="11" t="n"/>
      <c r="U2512" s="188">
        <f>IF(入力!$D$32="","",設定!$B$7)&amp;""</f>
        <v/>
      </c>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110" t="inlineStr">
        <is>
          <t>令和</t>
        </is>
      </c>
      <c r="S2513" s="61" t="inlineStr">
        <is>
          <t>年</t>
        </is>
      </c>
      <c r="W2513" s="62"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90"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5" t="n"/>
      <c r="F2517" s="156" t="n"/>
      <c r="G2517" s="156" t="n"/>
      <c r="H2517" s="156" t="n"/>
      <c r="I2517" s="156" t="n"/>
      <c r="J2517" s="156" t="n"/>
      <c r="K2517" s="157"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6" t="n"/>
      <c r="AX2517" s="156" t="n"/>
      <c r="AY2517" s="156" t="n"/>
      <c r="AZ2517" s="156" t="n"/>
      <c r="BA2517" s="156" t="n"/>
      <c r="BB2517" s="156" t="n"/>
      <c r="BC2517" s="156" t="n"/>
      <c r="BD2517" s="156" t="n"/>
      <c r="BE2517" s="156" t="n"/>
      <c r="BF2517" s="156" t="n"/>
      <c r="BG2517" s="156" t="n"/>
      <c r="BH2517" s="156" t="n"/>
      <c r="BI2517" s="157"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58" t="n"/>
      <c r="T2518" s="149" t="n"/>
      <c r="U2518" s="17" t="n"/>
      <c r="V2518" s="17" t="n"/>
      <c r="W2518" s="58"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89" t="inlineStr">
        <is>
          <t>職　歴</t>
        </is>
      </c>
      <c r="K2521" s="153" t="n"/>
      <c r="L2521" s="69" t="inlineStr">
        <is>
          <t>平成</t>
        </is>
      </c>
      <c r="M2521" s="149" t="n"/>
      <c r="N2521" s="149" t="n"/>
      <c r="O2521" s="149" t="n"/>
      <c r="P2521" s="19" t="n"/>
      <c r="Q2521" s="19" t="n"/>
      <c r="R2521" s="19" t="n"/>
      <c r="S2521" s="19" t="n"/>
      <c r="T2521" s="19" t="n"/>
      <c r="U2521" s="19" t="n"/>
      <c r="V2521" s="19" t="n"/>
      <c r="W2521" s="19" t="n"/>
      <c r="X2521" s="37" t="n"/>
      <c r="Y2521" s="180">
        <f>計算!$BT$30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8">
        <f>計算!$BR$30</f>
        <v/>
      </c>
      <c r="S2523" s="61" t="inlineStr">
        <is>
          <t>年</t>
        </is>
      </c>
      <c r="U2523" s="190">
        <f>計算!$BS$30</f>
        <v/>
      </c>
      <c r="W2523" s="62"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74"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5" t="n"/>
      <c r="M2526" s="156" t="n"/>
      <c r="N2526" s="156" t="n"/>
      <c r="O2526" s="156" t="n"/>
      <c r="P2526" s="20" t="n"/>
      <c r="Q2526" s="20" t="n"/>
      <c r="R2526" s="20" t="n"/>
      <c r="S2526" s="20" t="n"/>
      <c r="T2526" s="20" t="n"/>
      <c r="U2526" s="20" t="n"/>
      <c r="V2526" s="20" t="n"/>
      <c r="W2526" s="20" t="n"/>
      <c r="X2526" s="39" t="n"/>
      <c r="Y2526" s="155" t="n"/>
      <c r="Z2526" s="156" t="n"/>
      <c r="AA2526" s="156" t="n"/>
      <c r="AB2526" s="156" t="n"/>
      <c r="AC2526" s="156" t="n"/>
      <c r="AD2526" s="156" t="n"/>
      <c r="AE2526" s="156" t="n"/>
      <c r="AF2526" s="156" t="n"/>
      <c r="AG2526" s="156" t="n"/>
      <c r="AH2526" s="156" t="n"/>
      <c r="AI2526" s="156" t="n"/>
      <c r="AJ2526" s="156" t="n"/>
      <c r="AK2526" s="156" t="n"/>
      <c r="AL2526" s="156" t="n"/>
      <c r="AM2526" s="156" t="n"/>
      <c r="AN2526" s="156" t="n"/>
      <c r="AO2526" s="156" t="n"/>
      <c r="AP2526" s="156" t="n"/>
      <c r="AQ2526" s="156" t="n"/>
      <c r="AR2526" s="156" t="n"/>
      <c r="AS2526" s="156" t="n"/>
      <c r="AT2526" s="156" t="n"/>
      <c r="AU2526" s="156" t="n"/>
      <c r="AV2526" s="156" t="n"/>
      <c r="AW2526" s="156" t="n"/>
      <c r="AX2526" s="156" t="n"/>
      <c r="AY2526" s="156" t="n"/>
      <c r="AZ2526" s="156" t="n"/>
      <c r="BA2526" s="156" t="n"/>
      <c r="BB2526" s="156" t="n"/>
      <c r="BC2526" s="156" t="n"/>
      <c r="BD2526" s="156" t="n"/>
      <c r="BE2526" s="156" t="n"/>
      <c r="BF2526" s="156" t="n"/>
      <c r="BG2526" s="156" t="n"/>
      <c r="BH2526" s="156" t="n"/>
      <c r="BI2526" s="157"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69" t="inlineStr">
        <is>
          <t>平成</t>
        </is>
      </c>
      <c r="M2527" s="149" t="n"/>
      <c r="N2527" s="149" t="n"/>
      <c r="O2527" s="149" t="n"/>
      <c r="P2527" s="18" t="n"/>
      <c r="Q2527" s="18" t="n"/>
      <c r="R2527" s="18" t="n"/>
      <c r="S2527" s="18" t="n"/>
      <c r="T2527" s="18" t="n"/>
      <c r="U2527" s="18" t="n"/>
      <c r="V2527" s="18" t="n"/>
      <c r="W2527" s="18" t="n"/>
      <c r="X2527" s="35" t="n"/>
      <c r="Y2527" s="180">
        <f>計算!$BW$30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8">
        <f>計算!$BU$30</f>
        <v/>
      </c>
      <c r="S2529" s="61" t="inlineStr">
        <is>
          <t>年</t>
        </is>
      </c>
      <c r="U2529" s="190">
        <f>計算!$BV$30</f>
        <v/>
      </c>
      <c r="W2529" s="62"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74"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5" t="n"/>
      <c r="M2532" s="156" t="n"/>
      <c r="N2532" s="156" t="n"/>
      <c r="O2532" s="156" t="n"/>
      <c r="P2532" s="20" t="n"/>
      <c r="Q2532" s="20" t="n"/>
      <c r="R2532" s="20" t="n"/>
      <c r="S2532" s="20" t="n"/>
      <c r="T2532" s="20" t="n"/>
      <c r="U2532" s="20" t="n"/>
      <c r="V2532" s="20" t="n"/>
      <c r="W2532" s="20" t="n"/>
      <c r="X2532" s="39" t="n"/>
      <c r="Y2532" s="155" t="n"/>
      <c r="Z2532" s="156" t="n"/>
      <c r="AA2532" s="156" t="n"/>
      <c r="AB2532" s="156" t="n"/>
      <c r="AC2532" s="156" t="n"/>
      <c r="AD2532" s="156" t="n"/>
      <c r="AE2532" s="156" t="n"/>
      <c r="AF2532" s="156" t="n"/>
      <c r="AG2532" s="156" t="n"/>
      <c r="AH2532" s="156" t="n"/>
      <c r="AI2532" s="156" t="n"/>
      <c r="AJ2532" s="156" t="n"/>
      <c r="AK2532" s="156" t="n"/>
      <c r="AL2532" s="156" t="n"/>
      <c r="AM2532" s="156" t="n"/>
      <c r="AN2532" s="156" t="n"/>
      <c r="AO2532" s="156" t="n"/>
      <c r="AP2532" s="156" t="n"/>
      <c r="AQ2532" s="156" t="n"/>
      <c r="AR2532" s="156" t="n"/>
      <c r="AS2532" s="156" t="n"/>
      <c r="AT2532" s="156" t="n"/>
      <c r="AU2532" s="156" t="n"/>
      <c r="AV2532" s="156" t="n"/>
      <c r="AW2532" s="156" t="n"/>
      <c r="AX2532" s="156" t="n"/>
      <c r="AY2532" s="156" t="n"/>
      <c r="AZ2532" s="156" t="n"/>
      <c r="BA2532" s="156" t="n"/>
      <c r="BB2532" s="156" t="n"/>
      <c r="BC2532" s="156" t="n"/>
      <c r="BD2532" s="156" t="n"/>
      <c r="BE2532" s="156" t="n"/>
      <c r="BF2532" s="156" t="n"/>
      <c r="BG2532" s="156" t="n"/>
      <c r="BH2532" s="156" t="n"/>
      <c r="BI2532" s="157" t="n"/>
      <c r="BJ2532" s="2" t="n"/>
      <c r="BK2532" s="2" t="n"/>
      <c r="BL2532" s="2" t="n"/>
      <c r="BM2532" s="2" t="n"/>
      <c r="BN2532" s="2" t="n"/>
      <c r="BO2532" s="2" t="n"/>
      <c r="BP2532" s="155" t="n"/>
      <c r="BQ2532" s="156" t="n"/>
      <c r="BR2532" s="156" t="n"/>
      <c r="BS2532" s="156" t="n"/>
      <c r="BT2532" s="156" t="n"/>
      <c r="BU2532" s="42" t="n"/>
      <c r="BV2532" s="45" t="n"/>
      <c r="BW2532" s="156" t="n"/>
      <c r="BX2532" s="156" t="n"/>
      <c r="BY2532" s="156" t="n"/>
      <c r="BZ2532" s="156" t="n"/>
      <c r="CA2532" s="156" t="n"/>
      <c r="CB2532" s="156" t="n"/>
      <c r="CC2532" s="156" t="n"/>
      <c r="CD2532" s="156" t="n"/>
      <c r="CE2532" s="156" t="n"/>
      <c r="CF2532" s="156" t="n"/>
      <c r="CG2532" s="156" t="n"/>
      <c r="CH2532" s="156" t="n"/>
      <c r="CI2532" s="156" t="n"/>
      <c r="CJ2532" s="156" t="n"/>
      <c r="CK2532" s="156" t="n"/>
      <c r="CL2532" s="156" t="n"/>
      <c r="CM2532" s="156" t="n"/>
      <c r="CN2532" s="156" t="n"/>
      <c r="CO2532" s="156" t="n"/>
      <c r="CP2532" s="156" t="n"/>
      <c r="CQ2532" s="156" t="n"/>
      <c r="CR2532" s="156" t="n"/>
      <c r="CS2532" s="156" t="n"/>
      <c r="CT2532" s="156" t="n"/>
      <c r="CU2532" s="156" t="n"/>
      <c r="CV2532" s="156" t="n"/>
      <c r="CW2532" s="156" t="n"/>
      <c r="CX2532" s="156" t="n"/>
      <c r="CY2532" s="156" t="n"/>
      <c r="CZ2532" s="156" t="n"/>
      <c r="DA2532" s="156" t="n"/>
      <c r="DB2532" s="156" t="n"/>
      <c r="DC2532" s="156" t="n"/>
      <c r="DD2532" s="156" t="n"/>
      <c r="DE2532" s="156" t="n"/>
      <c r="DF2532" s="156" t="n"/>
      <c r="DG2532" s="156" t="n"/>
      <c r="DH2532" s="156" t="n"/>
      <c r="DI2532" s="156" t="n"/>
      <c r="DJ2532" s="156" t="n"/>
      <c r="DK2532" s="156" t="n"/>
      <c r="DL2532" s="156" t="n"/>
      <c r="DM2532" s="156" t="n"/>
      <c r="DN2532" s="156" t="n"/>
      <c r="DO2532" s="156" t="n"/>
      <c r="DP2532" s="156" t="n"/>
      <c r="DQ2532" s="156" t="n"/>
      <c r="DR2532" s="156" t="n"/>
      <c r="DS2532" s="156" t="n"/>
      <c r="DT2532" s="156" t="n"/>
      <c r="DU2532" s="157" t="n"/>
      <c r="DV2532" s="2" t="n"/>
      <c r="DW2532" s="2" t="n"/>
      <c r="DX2532" s="2" t="n"/>
      <c r="DY2532" s="2" t="n"/>
      <c r="DZ2532" s="2" t="n"/>
      <c r="EA2532" s="2" t="n"/>
      <c r="EB2532" s="2" t="n"/>
      <c r="EC2532" s="2" t="n"/>
    </row>
    <row r="2533" ht="6.75" customHeight="1" s="118">
      <c r="A2533" s="2" t="n"/>
      <c r="B2533" s="2" t="n"/>
      <c r="C2533" s="2" t="n"/>
      <c r="D2533" s="2" t="n"/>
      <c r="E2533" s="152" t="n"/>
      <c r="K2533" s="153" t="n"/>
      <c r="L2533" s="69"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5">
        <f>計算!$BQ$30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61" t="inlineStr">
        <is>
          <t>年</t>
        </is>
      </c>
      <c r="U2535" s="11" t="n"/>
      <c r="V2535" s="11" t="n"/>
      <c r="W2535" s="62"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74"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5" t="n"/>
      <c r="M2538" s="156" t="n"/>
      <c r="N2538" s="156" t="n"/>
      <c r="O2538" s="156"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69"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61" t="inlineStr">
        <is>
          <t>年</t>
        </is>
      </c>
      <c r="U2541" s="11" t="n"/>
      <c r="V2541" s="11" t="n"/>
      <c r="W2541" s="62"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74"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61" t="n"/>
      <c r="T2543" s="61" t="n"/>
      <c r="U2543" s="11" t="n"/>
      <c r="V2543" s="11" t="n"/>
      <c r="W2543" s="61" t="n"/>
      <c r="X2543" s="62"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5" t="n"/>
      <c r="F2544" s="156" t="n"/>
      <c r="G2544" s="156" t="n"/>
      <c r="H2544" s="156" t="n"/>
      <c r="I2544" s="156" t="n"/>
      <c r="J2544" s="156" t="n"/>
      <c r="K2544" s="157" t="n"/>
      <c r="L2544" s="155" t="n"/>
      <c r="M2544" s="156" t="n"/>
      <c r="N2544" s="156" t="n"/>
      <c r="O2544" s="156"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5" t="n"/>
      <c r="BQ2544" s="156" t="n"/>
      <c r="BR2544" s="156" t="n"/>
      <c r="BS2544" s="156" t="n"/>
      <c r="BT2544" s="156" t="n"/>
      <c r="BU2544" s="156" t="n"/>
      <c r="BV2544" s="157" t="n"/>
      <c r="BW2544" s="156" t="n"/>
      <c r="BX2544" s="156" t="n"/>
      <c r="BY2544" s="156" t="n"/>
      <c r="BZ2544" s="156" t="n"/>
      <c r="CA2544" s="156" t="n"/>
      <c r="CB2544" s="156" t="n"/>
      <c r="CC2544" s="156" t="n"/>
      <c r="CD2544" s="156" t="n"/>
      <c r="CE2544" s="156" t="n"/>
      <c r="CF2544" s="156" t="n"/>
      <c r="CG2544" s="156" t="n"/>
      <c r="CH2544" s="156" t="n"/>
      <c r="CI2544" s="156" t="n"/>
      <c r="CJ2544" s="156" t="n"/>
      <c r="CK2544" s="156" t="n"/>
      <c r="CL2544" s="156" t="n"/>
      <c r="CM2544" s="156" t="n"/>
      <c r="CN2544" s="156" t="n"/>
      <c r="CO2544" s="156" t="n"/>
      <c r="CP2544" s="156" t="n"/>
      <c r="CQ2544" s="156" t="n"/>
      <c r="CR2544" s="156" t="n"/>
      <c r="CS2544" s="156" t="n"/>
      <c r="CT2544" s="156" t="n"/>
      <c r="CU2544" s="156" t="n"/>
      <c r="CV2544" s="156" t="n"/>
      <c r="CW2544" s="156" t="n"/>
      <c r="CX2544" s="156" t="n"/>
      <c r="CY2544" s="156" t="n"/>
      <c r="CZ2544" s="156" t="n"/>
      <c r="DA2544" s="156" t="n"/>
      <c r="DB2544" s="156" t="n"/>
      <c r="DC2544" s="156" t="n"/>
      <c r="DD2544" s="156" t="n"/>
      <c r="DE2544" s="156" t="n"/>
      <c r="DF2544" s="156" t="n"/>
      <c r="DG2544" s="156" t="n"/>
      <c r="DH2544" s="156" t="n"/>
      <c r="DI2544" s="156" t="n"/>
      <c r="DJ2544" s="156" t="n"/>
      <c r="DK2544" s="156" t="n"/>
      <c r="DL2544" s="156" t="n"/>
      <c r="DM2544" s="156" t="n"/>
      <c r="DN2544" s="156" t="n"/>
      <c r="DO2544" s="156" t="n"/>
      <c r="DP2544" s="156" t="n"/>
      <c r="DQ2544" s="156" t="n"/>
      <c r="DR2544" s="156" t="n"/>
      <c r="DS2544" s="156" t="n"/>
      <c r="DT2544" s="156" t="n"/>
      <c r="DU2544" s="157"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87" t="inlineStr">
        <is>
          <t xml:space="preserve">    (近畿高等学校統一用紙　  その２ 　  令和７年度改定)　</t>
        </is>
      </c>
      <c r="DV2546" s="2" t="n"/>
      <c r="DW2546" s="2" t="n"/>
      <c r="DX2546" s="2" t="n"/>
      <c r="DY2546" s="2" t="n"/>
      <c r="DZ2546" s="2" t="n"/>
      <c r="EA2546" s="2" t="n"/>
      <c r="EB2546" s="2" t="n"/>
      <c r="EC2546" s="2" t="n"/>
    </row>
    <row r="2547" hidden="1"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idden="1"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47"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64" t="inlineStr">
        <is>
          <t>令和</t>
        </is>
      </c>
      <c r="AD2556" s="154">
        <f>IF(入力!$D$33="","",IF(N(設定!$B$3)=0,"",YEAR(設定!$B$3)-2018))&amp;""</f>
        <v/>
      </c>
      <c r="AG2556" s="64" t="inlineStr">
        <is>
          <t>年</t>
        </is>
      </c>
      <c r="AI2556" s="154">
        <f>IF(入力!$D$33="","",IF(N(設定!$B$3)=0,"",MONTH(設定!$B$3)))&amp;""</f>
        <v/>
      </c>
      <c r="AL2556" s="64" t="inlineStr">
        <is>
          <t>月</t>
        </is>
      </c>
      <c r="AN2556" s="154">
        <f>IF(入力!$D$33="","",IF(N(設定!$B$3)=0,"",DAY(設定!$B$3)))&amp;""</f>
        <v/>
      </c>
      <c r="AP2556" s="64"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5" t="n"/>
      <c r="BX2556" s="156" t="n"/>
      <c r="BY2556" s="156" t="n"/>
      <c r="BZ2556" s="156" t="n"/>
      <c r="CA2556" s="156" t="n"/>
      <c r="CB2556" s="156" t="n"/>
      <c r="CC2556" s="156" t="n"/>
      <c r="CD2556" s="156" t="n"/>
      <c r="CE2556" s="156" t="n"/>
      <c r="CF2556" s="156" t="n"/>
      <c r="CG2556" s="157" t="n"/>
      <c r="CH2556" s="155" t="n"/>
      <c r="CI2556" s="156" t="n"/>
      <c r="CJ2556" s="156" t="n"/>
      <c r="CK2556" s="156" t="n"/>
      <c r="CL2556" s="156" t="n"/>
      <c r="CM2556" s="156" t="n"/>
      <c r="CN2556" s="156" t="n"/>
      <c r="CO2556" s="156" t="n"/>
      <c r="CP2556" s="156" t="n"/>
      <c r="CQ2556" s="156" t="n"/>
      <c r="CR2556" s="156" t="n"/>
      <c r="CS2556" s="156" t="n"/>
      <c r="CT2556" s="156" t="n"/>
      <c r="CU2556" s="156" t="n"/>
      <c r="CV2556" s="156" t="n"/>
      <c r="CW2556" s="156" t="n"/>
      <c r="CX2556" s="156" t="n"/>
      <c r="CY2556" s="156" t="n"/>
      <c r="CZ2556" s="156" t="n"/>
      <c r="DA2556" s="156" t="n"/>
      <c r="DB2556" s="156" t="n"/>
      <c r="DC2556" s="156" t="n"/>
      <c r="DD2556" s="156" t="n"/>
      <c r="DE2556" s="156" t="n"/>
      <c r="DF2556" s="156" t="n"/>
      <c r="DG2556" s="156" t="n"/>
      <c r="DH2556" s="156" t="n"/>
      <c r="DI2556" s="156" t="n"/>
      <c r="DJ2556" s="156" t="n"/>
      <c r="DK2556" s="156" t="n"/>
      <c r="DL2556" s="156" t="n"/>
      <c r="DM2556" s="156" t="n"/>
      <c r="DN2556" s="156" t="n"/>
      <c r="DO2556" s="156" t="n"/>
      <c r="DP2556" s="156" t="n"/>
      <c r="DQ2556" s="156" t="n"/>
      <c r="DR2556" s="156" t="n"/>
      <c r="DS2556" s="156" t="n"/>
      <c r="DT2556" s="156" t="n"/>
      <c r="DU2556" s="157"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68" t="inlineStr">
        <is>
          <t>写真をはる位置</t>
        </is>
      </c>
      <c r="BI2557" s="8" t="n"/>
      <c r="BJ2557" s="7" t="n"/>
      <c r="BK2557" s="2" t="n"/>
      <c r="BL2557" s="2" t="n"/>
      <c r="BM2557" s="2" t="n"/>
      <c r="BN2557" s="2" t="n"/>
      <c r="BO2557" s="2" t="n"/>
      <c r="BP2557" s="152" t="n"/>
      <c r="BV2557" s="153" t="n"/>
      <c r="BW2557" s="158">
        <f>計算!$CB$31</f>
        <v/>
      </c>
      <c r="CG2557" s="153" t="n"/>
      <c r="CH2557" s="159">
        <f>計算!$CC$31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6" t="n"/>
      <c r="AA2558" s="156" t="n"/>
      <c r="AB2558" s="156" t="n"/>
      <c r="AC2558" s="156" t="n"/>
      <c r="AD2558" s="156" t="n"/>
      <c r="AE2558" s="156" t="n"/>
      <c r="AF2558" s="156" t="n"/>
      <c r="AG2558" s="156" t="n"/>
      <c r="AH2558" s="156" t="n"/>
      <c r="AI2558" s="156" t="n"/>
      <c r="AJ2558" s="156" t="n"/>
      <c r="AK2558" s="156" t="n"/>
      <c r="AL2558" s="156" t="n"/>
      <c r="AM2558" s="156" t="n"/>
      <c r="AN2558" s="156" t="n"/>
      <c r="AO2558" s="156" t="n"/>
      <c r="AP2558" s="156" t="n"/>
      <c r="AQ2558" s="156" t="n"/>
      <c r="AR2558" s="156" t="n"/>
      <c r="AS2558" s="156" t="n"/>
      <c r="AT2558" s="156"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0">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5" t="n"/>
      <c r="F2562" s="156" t="n"/>
      <c r="G2562" s="156" t="n"/>
      <c r="H2562" s="156" t="n"/>
      <c r="I2562" s="156" t="n"/>
      <c r="J2562" s="156" t="n"/>
      <c r="K2562" s="157" t="n"/>
      <c r="L2562" s="156" t="n"/>
      <c r="M2562" s="156" t="n"/>
      <c r="N2562" s="156" t="n"/>
      <c r="O2562" s="156" t="n"/>
      <c r="P2562" s="156" t="n"/>
      <c r="Q2562" s="156" t="n"/>
      <c r="R2562" s="156" t="n"/>
      <c r="S2562" s="156" t="n"/>
      <c r="T2562" s="156" t="n"/>
      <c r="U2562" s="156" t="n"/>
      <c r="V2562" s="156" t="n"/>
      <c r="W2562" s="156" t="n"/>
      <c r="X2562" s="156" t="n"/>
      <c r="Y2562" s="156" t="n"/>
      <c r="Z2562" s="156" t="n"/>
      <c r="AA2562" s="156" t="n"/>
      <c r="AB2562" s="156" t="n"/>
      <c r="AC2562" s="156" t="n"/>
      <c r="AD2562" s="156" t="n"/>
      <c r="AE2562" s="156" t="n"/>
      <c r="AF2562" s="156" t="n"/>
      <c r="AG2562" s="156" t="n"/>
      <c r="AH2562" s="156" t="n"/>
      <c r="AI2562" s="156" t="n"/>
      <c r="AJ2562" s="156" t="n"/>
      <c r="AK2562" s="156" t="n"/>
      <c r="AL2562" s="156" t="n"/>
      <c r="AM2562" s="156" t="n"/>
      <c r="AN2562" s="156" t="n"/>
      <c r="AO2562" s="156" t="n"/>
      <c r="AP2562" s="156" t="n"/>
      <c r="AQ2562" s="156" t="n"/>
      <c r="AR2562" s="156" t="n"/>
      <c r="AS2562" s="156" t="n"/>
      <c r="AT2562" s="157"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1" t="inlineStr">
        <is>
          <t>名　前</t>
        </is>
      </c>
      <c r="F2563" s="149" t="n"/>
      <c r="G2563" s="149" t="n"/>
      <c r="H2563" s="149" t="n"/>
      <c r="I2563" s="149" t="n"/>
      <c r="J2563" s="149" t="n"/>
      <c r="K2563" s="150" t="n"/>
      <c r="L2563" s="162">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61"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5" t="n"/>
      <c r="F2568" s="156" t="n"/>
      <c r="G2568" s="156" t="n"/>
      <c r="H2568" s="156" t="n"/>
      <c r="I2568" s="156" t="n"/>
      <c r="J2568" s="156" t="n"/>
      <c r="K2568" s="157" t="n"/>
      <c r="L2568" s="155" t="n"/>
      <c r="M2568" s="156" t="n"/>
      <c r="N2568" s="156" t="n"/>
      <c r="O2568" s="156" t="n"/>
      <c r="P2568" s="156" t="n"/>
      <c r="Q2568" s="156" t="n"/>
      <c r="R2568" s="156" t="n"/>
      <c r="S2568" s="156" t="n"/>
      <c r="T2568" s="156" t="n"/>
      <c r="U2568" s="156" t="n"/>
      <c r="V2568" s="156" t="n"/>
      <c r="W2568" s="156" t="n"/>
      <c r="X2568" s="156" t="n"/>
      <c r="Y2568" s="156" t="n"/>
      <c r="Z2568" s="156" t="n"/>
      <c r="AA2568" s="156" t="n"/>
      <c r="AB2568" s="156" t="n"/>
      <c r="AC2568" s="156" t="n"/>
      <c r="AD2568" s="156" t="n"/>
      <c r="AE2568" s="156" t="n"/>
      <c r="AF2568" s="156" t="n"/>
      <c r="AG2568" s="156" t="n"/>
      <c r="AH2568" s="156" t="n"/>
      <c r="AI2568" s="156" t="n"/>
      <c r="AJ2568" s="156" t="n"/>
      <c r="AK2568" s="156" t="n"/>
      <c r="AL2568" s="156" t="n"/>
      <c r="AM2568" s="156" t="n"/>
      <c r="AN2568" s="156" t="n"/>
      <c r="AO2568" s="156" t="n"/>
      <c r="AP2568" s="156" t="n"/>
      <c r="AQ2568" s="156" t="n"/>
      <c r="AR2568" s="156" t="n"/>
      <c r="AS2568" s="156" t="n"/>
      <c r="AT2568" s="157"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1" t="inlineStr">
        <is>
          <t>生年月日</t>
        </is>
      </c>
      <c r="F2569" s="149" t="n"/>
      <c r="G2569" s="149" t="n"/>
      <c r="H2569" s="149" t="n"/>
      <c r="I2569" s="149" t="n"/>
      <c r="J2569" s="149" t="n"/>
      <c r="K2569" s="150" t="n"/>
      <c r="L2569" s="163" t="inlineStr">
        <is>
          <t>昭和 ・ 平成</t>
        </is>
      </c>
      <c r="M2569" s="149" t="n"/>
      <c r="N2569" s="149" t="n"/>
      <c r="O2569" s="149" t="n"/>
      <c r="P2569" s="149" t="n"/>
      <c r="Q2569" s="149" t="n"/>
      <c r="R2569" s="149" t="n"/>
      <c r="S2569" s="149" t="n"/>
      <c r="T2569" s="149" t="n"/>
      <c r="U2569" s="149" t="n"/>
      <c r="V2569" s="164">
        <f>計算!$D$31</f>
        <v/>
      </c>
      <c r="W2569" s="149" t="n"/>
      <c r="X2569" s="165" t="inlineStr">
        <is>
          <t>年</t>
        </is>
      </c>
      <c r="Y2569" s="149" t="n"/>
      <c r="Z2569" s="166">
        <f>計算!$E$31</f>
        <v/>
      </c>
      <c r="AA2569" s="149" t="n"/>
      <c r="AB2569" s="149" t="n"/>
      <c r="AC2569" s="165" t="inlineStr">
        <is>
          <t>月</t>
        </is>
      </c>
      <c r="AD2569" s="149" t="n"/>
      <c r="AE2569" s="166">
        <f>計算!$F$31</f>
        <v/>
      </c>
      <c r="AF2569" s="149" t="n"/>
      <c r="AG2569" s="149" t="n"/>
      <c r="AH2569" s="165" t="inlineStr">
        <is>
          <t>日　生 （満</t>
        </is>
      </c>
      <c r="AI2569" s="149" t="n"/>
      <c r="AJ2569" s="149" t="n"/>
      <c r="AK2569" s="149" t="n"/>
      <c r="AL2569" s="149" t="n"/>
      <c r="AM2569" s="149" t="n"/>
      <c r="AN2569" s="149" t="n"/>
      <c r="AO2569" s="149" t="n"/>
      <c r="AP2569" s="167">
        <f>計算!$G$31</f>
        <v/>
      </c>
      <c r="AQ2569" s="149" t="n"/>
      <c r="AR2569" s="168"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5" t="n"/>
      <c r="F2572" s="156" t="n"/>
      <c r="G2572" s="156" t="n"/>
      <c r="H2572" s="156" t="n"/>
      <c r="I2572" s="156" t="n"/>
      <c r="J2572" s="156" t="n"/>
      <c r="K2572" s="157" t="n"/>
      <c r="L2572" s="155" t="n"/>
      <c r="M2572" s="156" t="n"/>
      <c r="N2572" s="156" t="n"/>
      <c r="O2572" s="156" t="n"/>
      <c r="P2572" s="156" t="n"/>
      <c r="Q2572" s="156" t="n"/>
      <c r="R2572" s="156" t="n"/>
      <c r="S2572" s="156" t="n"/>
      <c r="T2572" s="156" t="n"/>
      <c r="U2572" s="156" t="n"/>
      <c r="X2572" s="156" t="n"/>
      <c r="Y2572" s="156" t="n"/>
      <c r="AC2572" s="156" t="n"/>
      <c r="AD2572" s="156" t="n"/>
      <c r="AH2572" s="156" t="n"/>
      <c r="AI2572" s="156" t="n"/>
      <c r="AJ2572" s="156" t="n"/>
      <c r="AK2572" s="156" t="n"/>
      <c r="AL2572" s="156" t="n"/>
      <c r="AM2572" s="156" t="n"/>
      <c r="AN2572" s="156" t="n"/>
      <c r="AO2572" s="156" t="n"/>
      <c r="AP2572" s="156" t="n"/>
      <c r="AQ2572" s="156" t="n"/>
      <c r="AR2572" s="156" t="n"/>
      <c r="AS2572" s="156" t="n"/>
      <c r="AT2572" s="157"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69" t="inlineStr">
        <is>
          <t>ふ り が な</t>
        </is>
      </c>
      <c r="F2573" s="149" t="n"/>
      <c r="G2573" s="149" t="n"/>
      <c r="H2573" s="149" t="n"/>
      <c r="I2573" s="149" t="n"/>
      <c r="J2573" s="149" t="n"/>
      <c r="K2573" s="150" t="n"/>
      <c r="L2573" s="170">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1" t="n"/>
      <c r="F2575" s="172" t="n"/>
      <c r="G2575" s="172" t="n"/>
      <c r="H2575" s="172" t="n"/>
      <c r="I2575" s="172" t="n"/>
      <c r="J2575" s="172" t="n"/>
      <c r="K2575" s="173" t="n"/>
      <c r="L2575" s="172" t="n"/>
      <c r="M2575" s="172" t="n"/>
      <c r="N2575" s="172" t="n"/>
      <c r="O2575" s="172" t="n"/>
      <c r="P2575" s="172" t="n"/>
      <c r="Q2575" s="172" t="n"/>
      <c r="R2575" s="172" t="n"/>
      <c r="S2575" s="172" t="n"/>
      <c r="T2575" s="172" t="n"/>
      <c r="U2575" s="172" t="n"/>
      <c r="V2575" s="172" t="n"/>
      <c r="W2575" s="172" t="n"/>
      <c r="X2575" s="172" t="n"/>
      <c r="Y2575" s="172" t="n"/>
      <c r="Z2575" s="172" t="n"/>
      <c r="AA2575" s="172" t="n"/>
      <c r="AB2575" s="172" t="n"/>
      <c r="AC2575" s="172" t="n"/>
      <c r="AD2575" s="172" t="n"/>
      <c r="AE2575" s="172" t="n"/>
      <c r="AF2575" s="172" t="n"/>
      <c r="AG2575" s="172" t="n"/>
      <c r="AH2575" s="172" t="n"/>
      <c r="AI2575" s="172" t="n"/>
      <c r="AJ2575" s="172" t="n"/>
      <c r="AK2575" s="172" t="n"/>
      <c r="AL2575" s="172" t="n"/>
      <c r="AM2575" s="172" t="n"/>
      <c r="AN2575" s="172" t="n"/>
      <c r="AO2575" s="172" t="n"/>
      <c r="AP2575" s="172" t="n"/>
      <c r="AQ2575" s="172" t="n"/>
      <c r="AR2575" s="172" t="n"/>
      <c r="AS2575" s="172" t="n"/>
      <c r="AT2575" s="172" t="n"/>
      <c r="AU2575" s="172" t="n"/>
      <c r="AV2575" s="172" t="n"/>
      <c r="AW2575" s="172" t="n"/>
      <c r="AX2575" s="172" t="n"/>
      <c r="AY2575" s="172" t="n"/>
      <c r="AZ2575" s="172" t="n"/>
      <c r="BA2575" s="172" t="n"/>
      <c r="BB2575" s="172" t="n"/>
      <c r="BC2575" s="172" t="n"/>
      <c r="BD2575" s="172" t="n"/>
      <c r="BE2575" s="172" t="n"/>
      <c r="BF2575" s="172" t="n"/>
      <c r="BG2575" s="172" t="n"/>
      <c r="BH2575" s="172" t="n"/>
      <c r="BI2575" s="173"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4" t="inlineStr">
        <is>
          <t>現住所</t>
        </is>
      </c>
      <c r="F2576" s="175" t="n"/>
      <c r="G2576" s="175" t="n"/>
      <c r="H2576" s="175" t="n"/>
      <c r="I2576" s="175" t="n"/>
      <c r="J2576" s="175" t="n"/>
      <c r="K2576" s="176" t="n"/>
      <c r="L2576" s="83" t="inlineStr">
        <is>
          <t>〒</t>
        </is>
      </c>
      <c r="M2576" s="175" t="n"/>
      <c r="N2576" s="175" t="n"/>
      <c r="O2576" s="175" t="n"/>
      <c r="P2576" s="177">
        <f>計算!$H$31</f>
        <v/>
      </c>
      <c r="Q2576" s="175" t="n"/>
      <c r="R2576" s="175" t="n"/>
      <c r="S2576" s="175" t="n"/>
      <c r="T2576" s="175" t="n"/>
      <c r="U2576" s="175" t="n"/>
      <c r="V2576" s="175" t="n"/>
      <c r="W2576" s="175" t="n"/>
      <c r="X2576" s="175" t="n"/>
      <c r="Y2576" s="175" t="n"/>
      <c r="Z2576" s="175" t="n"/>
      <c r="AA2576" s="175" t="n"/>
      <c r="AB2576" s="175" t="n"/>
      <c r="AC2576" s="175" t="n"/>
      <c r="AD2576" s="175" t="n"/>
      <c r="AE2576" s="175" t="n"/>
      <c r="AF2576" s="175" t="n"/>
      <c r="AG2576" s="175" t="n"/>
      <c r="AH2576" s="175" t="n"/>
      <c r="AI2576" s="175" t="n"/>
      <c r="AJ2576" s="175"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5" t="n"/>
      <c r="BQ2577" s="156" t="n"/>
      <c r="BR2577" s="156" t="n"/>
      <c r="BS2577" s="156" t="n"/>
      <c r="BT2577" s="156" t="n"/>
      <c r="BU2577" s="156" t="n"/>
      <c r="BV2577" s="157" t="n"/>
      <c r="BW2577" s="155" t="n"/>
      <c r="BX2577" s="156" t="n"/>
      <c r="BY2577" s="156" t="n"/>
      <c r="BZ2577" s="156" t="n"/>
      <c r="CA2577" s="156" t="n"/>
      <c r="CB2577" s="156" t="n"/>
      <c r="CC2577" s="156" t="n"/>
      <c r="CD2577" s="156" t="n"/>
      <c r="CE2577" s="156" t="n"/>
      <c r="CF2577" s="156" t="n"/>
      <c r="CG2577" s="157"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8" t="inlineStr">
        <is>
          <t>校内外の諸活動</t>
        </is>
      </c>
      <c r="BQ2578" s="149" t="n"/>
      <c r="BR2578" s="149" t="n"/>
      <c r="BS2578" s="149" t="n"/>
      <c r="BT2578" s="149" t="n"/>
      <c r="BU2578" s="149" t="n"/>
      <c r="BV2578" s="150" t="n"/>
      <c r="BW2578" s="179">
        <f>計算!$BO$31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0">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5" t="n"/>
      <c r="F2581" s="156" t="n"/>
      <c r="G2581" s="156" t="n"/>
      <c r="H2581" s="156" t="n"/>
      <c r="I2581" s="156" t="n"/>
      <c r="J2581" s="156" t="n"/>
      <c r="K2581" s="157" t="n"/>
      <c r="L2581" s="155" t="n"/>
      <c r="M2581" s="156" t="n"/>
      <c r="N2581" s="156" t="n"/>
      <c r="O2581" s="156" t="n"/>
      <c r="P2581" s="156" t="n"/>
      <c r="Q2581" s="156" t="n"/>
      <c r="R2581" s="156" t="n"/>
      <c r="S2581" s="156" t="n"/>
      <c r="T2581" s="156" t="n"/>
      <c r="U2581" s="156" t="n"/>
      <c r="V2581" s="156" t="n"/>
      <c r="W2581" s="156" t="n"/>
      <c r="X2581" s="156" t="n"/>
      <c r="Y2581" s="156" t="n"/>
      <c r="Z2581" s="156" t="n"/>
      <c r="AA2581" s="156" t="n"/>
      <c r="AB2581" s="156" t="n"/>
      <c r="AC2581" s="156" t="n"/>
      <c r="AD2581" s="156" t="n"/>
      <c r="AE2581" s="156" t="n"/>
      <c r="AF2581" s="156" t="n"/>
      <c r="AG2581" s="156" t="n"/>
      <c r="AH2581" s="156" t="n"/>
      <c r="AI2581" s="156" t="n"/>
      <c r="AJ2581" s="156" t="n"/>
      <c r="AK2581" s="156" t="n"/>
      <c r="AL2581" s="156" t="n"/>
      <c r="AM2581" s="156" t="n"/>
      <c r="AN2581" s="156" t="n"/>
      <c r="AO2581" s="156" t="n"/>
      <c r="AP2581" s="156" t="n"/>
      <c r="AQ2581" s="156" t="n"/>
      <c r="AR2581" s="156" t="n"/>
      <c r="AS2581" s="156" t="n"/>
      <c r="AT2581" s="156" t="n"/>
      <c r="AU2581" s="156" t="n"/>
      <c r="AV2581" s="156" t="n"/>
      <c r="AW2581" s="156" t="n"/>
      <c r="AX2581" s="156" t="n"/>
      <c r="AY2581" s="156" t="n"/>
      <c r="AZ2581" s="156" t="n"/>
      <c r="BA2581" s="156" t="n"/>
      <c r="BB2581" s="156" t="n"/>
      <c r="BC2581" s="156" t="n"/>
      <c r="BD2581" s="156" t="n"/>
      <c r="BE2581" s="156" t="n"/>
      <c r="BF2581" s="156" t="n"/>
      <c r="BG2581" s="156" t="n"/>
      <c r="BH2581" s="156" t="n"/>
      <c r="BI2581" s="157"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69" t="inlineStr">
        <is>
          <t>ふ り が な</t>
        </is>
      </c>
      <c r="F2582" s="149" t="n"/>
      <c r="G2582" s="149" t="n"/>
      <c r="H2582" s="149" t="n"/>
      <c r="I2582" s="149" t="n"/>
      <c r="J2582" s="149" t="n"/>
      <c r="K2582" s="150" t="n"/>
      <c r="L2582" s="170">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1" t="n"/>
      <c r="F2584" s="172" t="n"/>
      <c r="G2584" s="172" t="n"/>
      <c r="H2584" s="172" t="n"/>
      <c r="I2584" s="172" t="n"/>
      <c r="J2584" s="172" t="n"/>
      <c r="K2584" s="173" t="n"/>
      <c r="L2584" s="172" t="n"/>
      <c r="M2584" s="172" t="n"/>
      <c r="N2584" s="172" t="n"/>
      <c r="O2584" s="172" t="n"/>
      <c r="P2584" s="172" t="n"/>
      <c r="Q2584" s="172" t="n"/>
      <c r="R2584" s="172" t="n"/>
      <c r="S2584" s="172" t="n"/>
      <c r="T2584" s="172" t="n"/>
      <c r="U2584" s="172" t="n"/>
      <c r="V2584" s="172" t="n"/>
      <c r="W2584" s="172" t="n"/>
      <c r="X2584" s="172" t="n"/>
      <c r="Y2584" s="172" t="n"/>
      <c r="Z2584" s="172" t="n"/>
      <c r="AA2584" s="172" t="n"/>
      <c r="AB2584" s="172" t="n"/>
      <c r="AC2584" s="172" t="n"/>
      <c r="AD2584" s="172" t="n"/>
      <c r="AE2584" s="172" t="n"/>
      <c r="AF2584" s="172" t="n"/>
      <c r="AG2584" s="172" t="n"/>
      <c r="AH2584" s="172" t="n"/>
      <c r="AI2584" s="172" t="n"/>
      <c r="AJ2584" s="172" t="n"/>
      <c r="AK2584" s="172" t="n"/>
      <c r="AL2584" s="172" t="n"/>
      <c r="AM2584" s="172" t="n"/>
      <c r="AN2584" s="172" t="n"/>
      <c r="AO2584" s="172" t="n"/>
      <c r="AP2584" s="172" t="n"/>
      <c r="AQ2584" s="172" t="n"/>
      <c r="AR2584" s="172" t="n"/>
      <c r="AS2584" s="172" t="n"/>
      <c r="AT2584" s="172" t="n"/>
      <c r="AU2584" s="172" t="n"/>
      <c r="AV2584" s="172" t="n"/>
      <c r="AW2584" s="172" t="n"/>
      <c r="AX2584" s="172" t="n"/>
      <c r="AY2584" s="172" t="n"/>
      <c r="AZ2584" s="172" t="n"/>
      <c r="BA2584" s="172" t="n"/>
      <c r="BB2584" s="172" t="n"/>
      <c r="BC2584" s="172" t="n"/>
      <c r="BD2584" s="172" t="n"/>
      <c r="BE2584" s="172" t="n"/>
      <c r="BF2584" s="172" t="n"/>
      <c r="BG2584" s="172" t="n"/>
      <c r="BH2584" s="172" t="n"/>
      <c r="BI2584" s="173"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4" t="inlineStr">
        <is>
          <t>連絡先</t>
        </is>
      </c>
      <c r="F2585" s="175" t="n"/>
      <c r="G2585" s="175" t="n"/>
      <c r="H2585" s="175" t="n"/>
      <c r="I2585" s="175" t="n"/>
      <c r="J2585" s="175" t="n"/>
      <c r="K2585" s="176" t="n"/>
      <c r="L2585" s="83" t="inlineStr">
        <is>
          <t>〒</t>
        </is>
      </c>
      <c r="M2585" s="175" t="n"/>
      <c r="N2585" s="175" t="n"/>
      <c r="O2585" s="175" t="n"/>
      <c r="P2585" s="181">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2">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5" t="n"/>
      <c r="F2589" s="156" t="n"/>
      <c r="G2589" s="156" t="n"/>
      <c r="H2589" s="156" t="n"/>
      <c r="I2589" s="156" t="n"/>
      <c r="J2589" s="156" t="n"/>
      <c r="K2589" s="157" t="n"/>
      <c r="L2589" s="156" t="n"/>
      <c r="M2589" s="156" t="n"/>
      <c r="N2589" s="156" t="n"/>
      <c r="O2589" s="156" t="n"/>
      <c r="P2589" s="156" t="n"/>
      <c r="Q2589" s="156" t="n"/>
      <c r="R2589" s="156" t="n"/>
      <c r="S2589" s="156" t="n"/>
      <c r="T2589" s="156" t="n"/>
      <c r="U2589" s="156" t="n"/>
      <c r="V2589" s="156" t="n"/>
      <c r="W2589" s="156" t="n"/>
      <c r="X2589" s="156" t="n"/>
      <c r="Y2589" s="156" t="n"/>
      <c r="Z2589" s="156" t="n"/>
      <c r="AA2589" s="156" t="n"/>
      <c r="AB2589" s="156" t="n"/>
      <c r="AC2589" s="156" t="n"/>
      <c r="AD2589" s="156" t="n"/>
      <c r="AE2589" s="156" t="n"/>
      <c r="AF2589" s="156" t="n"/>
      <c r="AG2589" s="156" t="n"/>
      <c r="AH2589" s="156" t="n"/>
      <c r="AI2589" s="156" t="n"/>
      <c r="AJ2589" s="156" t="n"/>
      <c r="AK2589" s="156" t="n"/>
      <c r="AL2589" s="156" t="n"/>
      <c r="AM2589" s="156" t="n"/>
      <c r="AN2589" s="156" t="n"/>
      <c r="AO2589" s="156" t="n"/>
      <c r="AP2589" s="156" t="n"/>
      <c r="AQ2589" s="156" t="n"/>
      <c r="AR2589" s="156" t="n"/>
      <c r="AS2589" s="156" t="n"/>
      <c r="AT2589" s="156" t="n"/>
      <c r="AU2589" s="156" t="n"/>
      <c r="AV2589" s="156" t="n"/>
      <c r="AW2589" s="156" t="n"/>
      <c r="AX2589" s="156" t="n"/>
      <c r="AY2589" s="156" t="n"/>
      <c r="AZ2589" s="156" t="n"/>
      <c r="BA2589" s="156" t="n"/>
      <c r="BB2589" s="156" t="n"/>
      <c r="BC2589" s="156" t="n"/>
      <c r="BD2589" s="156" t="n"/>
      <c r="BE2589" s="156" t="n"/>
      <c r="BF2589" s="156" t="n"/>
      <c r="BG2589" s="156" t="n"/>
      <c r="BH2589" s="156" t="n"/>
      <c r="BI2589" s="157"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86"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3" t="n"/>
      <c r="BQ2595" s="149" t="n"/>
      <c r="BR2595" s="184" t="n"/>
      <c r="BS2595" s="149" t="n"/>
      <c r="BT2595" s="149" t="n"/>
      <c r="BU2595" s="28" t="n"/>
      <c r="BV2595" s="29" t="n"/>
      <c r="BW2595" s="185">
        <f>計算!$BP$31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115"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6"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107"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7">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188">
        <f>IF(入力!$D$33="","",設定!$B$6)&amp;""</f>
        <v/>
      </c>
      <c r="S2603" s="11" t="n"/>
      <c r="T2603" s="11" t="n"/>
      <c r="U2603" s="188">
        <f>IF(入力!$D$33="","",設定!$B$7)&amp;""</f>
        <v/>
      </c>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110" t="inlineStr">
        <is>
          <t>令和</t>
        </is>
      </c>
      <c r="S2604" s="61" t="inlineStr">
        <is>
          <t>年</t>
        </is>
      </c>
      <c r="W2604" s="62"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90"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5" t="n"/>
      <c r="F2608" s="156" t="n"/>
      <c r="G2608" s="156" t="n"/>
      <c r="H2608" s="156" t="n"/>
      <c r="I2608" s="156" t="n"/>
      <c r="J2608" s="156" t="n"/>
      <c r="K2608" s="157"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6" t="n"/>
      <c r="AX2608" s="156" t="n"/>
      <c r="AY2608" s="156" t="n"/>
      <c r="AZ2608" s="156" t="n"/>
      <c r="BA2608" s="156" t="n"/>
      <c r="BB2608" s="156" t="n"/>
      <c r="BC2608" s="156" t="n"/>
      <c r="BD2608" s="156" t="n"/>
      <c r="BE2608" s="156" t="n"/>
      <c r="BF2608" s="156" t="n"/>
      <c r="BG2608" s="156" t="n"/>
      <c r="BH2608" s="156" t="n"/>
      <c r="BI2608" s="157"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58" t="n"/>
      <c r="T2609" s="149" t="n"/>
      <c r="U2609" s="17" t="n"/>
      <c r="V2609" s="17" t="n"/>
      <c r="W2609" s="58"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89" t="inlineStr">
        <is>
          <t>職　歴</t>
        </is>
      </c>
      <c r="K2612" s="153" t="n"/>
      <c r="L2612" s="69" t="inlineStr">
        <is>
          <t>平成</t>
        </is>
      </c>
      <c r="M2612" s="149" t="n"/>
      <c r="N2612" s="149" t="n"/>
      <c r="O2612" s="149" t="n"/>
      <c r="P2612" s="19" t="n"/>
      <c r="Q2612" s="19" t="n"/>
      <c r="R2612" s="19" t="n"/>
      <c r="S2612" s="19" t="n"/>
      <c r="T2612" s="19" t="n"/>
      <c r="U2612" s="19" t="n"/>
      <c r="V2612" s="19" t="n"/>
      <c r="W2612" s="19" t="n"/>
      <c r="X2612" s="37" t="n"/>
      <c r="Y2612" s="180">
        <f>計算!$BT$31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8">
        <f>計算!$BR$31</f>
        <v/>
      </c>
      <c r="S2614" s="61" t="inlineStr">
        <is>
          <t>年</t>
        </is>
      </c>
      <c r="U2614" s="190">
        <f>計算!$BS$31</f>
        <v/>
      </c>
      <c r="W2614" s="62"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74"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5" t="n"/>
      <c r="M2617" s="156" t="n"/>
      <c r="N2617" s="156" t="n"/>
      <c r="O2617" s="156" t="n"/>
      <c r="P2617" s="20" t="n"/>
      <c r="Q2617" s="20" t="n"/>
      <c r="R2617" s="20" t="n"/>
      <c r="S2617" s="20" t="n"/>
      <c r="T2617" s="20" t="n"/>
      <c r="U2617" s="20" t="n"/>
      <c r="V2617" s="20" t="n"/>
      <c r="W2617" s="20" t="n"/>
      <c r="X2617" s="39" t="n"/>
      <c r="Y2617" s="155" t="n"/>
      <c r="Z2617" s="156" t="n"/>
      <c r="AA2617" s="156" t="n"/>
      <c r="AB2617" s="156" t="n"/>
      <c r="AC2617" s="156" t="n"/>
      <c r="AD2617" s="156" t="n"/>
      <c r="AE2617" s="156" t="n"/>
      <c r="AF2617" s="156" t="n"/>
      <c r="AG2617" s="156" t="n"/>
      <c r="AH2617" s="156" t="n"/>
      <c r="AI2617" s="156" t="n"/>
      <c r="AJ2617" s="156" t="n"/>
      <c r="AK2617" s="156" t="n"/>
      <c r="AL2617" s="156" t="n"/>
      <c r="AM2617" s="156" t="n"/>
      <c r="AN2617" s="156" t="n"/>
      <c r="AO2617" s="156" t="n"/>
      <c r="AP2617" s="156" t="n"/>
      <c r="AQ2617" s="156" t="n"/>
      <c r="AR2617" s="156" t="n"/>
      <c r="AS2617" s="156" t="n"/>
      <c r="AT2617" s="156" t="n"/>
      <c r="AU2617" s="156" t="n"/>
      <c r="AV2617" s="156" t="n"/>
      <c r="AW2617" s="156" t="n"/>
      <c r="AX2617" s="156" t="n"/>
      <c r="AY2617" s="156" t="n"/>
      <c r="AZ2617" s="156" t="n"/>
      <c r="BA2617" s="156" t="n"/>
      <c r="BB2617" s="156" t="n"/>
      <c r="BC2617" s="156" t="n"/>
      <c r="BD2617" s="156" t="n"/>
      <c r="BE2617" s="156" t="n"/>
      <c r="BF2617" s="156" t="n"/>
      <c r="BG2617" s="156" t="n"/>
      <c r="BH2617" s="156" t="n"/>
      <c r="BI2617" s="157"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69" t="inlineStr">
        <is>
          <t>平成</t>
        </is>
      </c>
      <c r="M2618" s="149" t="n"/>
      <c r="N2618" s="149" t="n"/>
      <c r="O2618" s="149" t="n"/>
      <c r="P2618" s="18" t="n"/>
      <c r="Q2618" s="18" t="n"/>
      <c r="R2618" s="18" t="n"/>
      <c r="S2618" s="18" t="n"/>
      <c r="T2618" s="18" t="n"/>
      <c r="U2618" s="18" t="n"/>
      <c r="V2618" s="18" t="n"/>
      <c r="W2618" s="18" t="n"/>
      <c r="X2618" s="35" t="n"/>
      <c r="Y2618" s="180">
        <f>計算!$BW$31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8">
        <f>計算!$BU$31</f>
        <v/>
      </c>
      <c r="S2620" s="61" t="inlineStr">
        <is>
          <t>年</t>
        </is>
      </c>
      <c r="U2620" s="190">
        <f>計算!$BV$31</f>
        <v/>
      </c>
      <c r="W2620" s="62"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74"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5" t="n"/>
      <c r="M2623" s="156" t="n"/>
      <c r="N2623" s="156" t="n"/>
      <c r="O2623" s="156" t="n"/>
      <c r="P2623" s="20" t="n"/>
      <c r="Q2623" s="20" t="n"/>
      <c r="R2623" s="20" t="n"/>
      <c r="S2623" s="20" t="n"/>
      <c r="T2623" s="20" t="n"/>
      <c r="U2623" s="20" t="n"/>
      <c r="V2623" s="20" t="n"/>
      <c r="W2623" s="20" t="n"/>
      <c r="X2623" s="39" t="n"/>
      <c r="Y2623" s="155" t="n"/>
      <c r="Z2623" s="156" t="n"/>
      <c r="AA2623" s="156" t="n"/>
      <c r="AB2623" s="156" t="n"/>
      <c r="AC2623" s="156" t="n"/>
      <c r="AD2623" s="156" t="n"/>
      <c r="AE2623" s="156" t="n"/>
      <c r="AF2623" s="156" t="n"/>
      <c r="AG2623" s="156" t="n"/>
      <c r="AH2623" s="156" t="n"/>
      <c r="AI2623" s="156" t="n"/>
      <c r="AJ2623" s="156" t="n"/>
      <c r="AK2623" s="156" t="n"/>
      <c r="AL2623" s="156" t="n"/>
      <c r="AM2623" s="156" t="n"/>
      <c r="AN2623" s="156" t="n"/>
      <c r="AO2623" s="156" t="n"/>
      <c r="AP2623" s="156" t="n"/>
      <c r="AQ2623" s="156" t="n"/>
      <c r="AR2623" s="156" t="n"/>
      <c r="AS2623" s="156" t="n"/>
      <c r="AT2623" s="156" t="n"/>
      <c r="AU2623" s="156" t="n"/>
      <c r="AV2623" s="156" t="n"/>
      <c r="AW2623" s="156" t="n"/>
      <c r="AX2623" s="156" t="n"/>
      <c r="AY2623" s="156" t="n"/>
      <c r="AZ2623" s="156" t="n"/>
      <c r="BA2623" s="156" t="n"/>
      <c r="BB2623" s="156" t="n"/>
      <c r="BC2623" s="156" t="n"/>
      <c r="BD2623" s="156" t="n"/>
      <c r="BE2623" s="156" t="n"/>
      <c r="BF2623" s="156" t="n"/>
      <c r="BG2623" s="156" t="n"/>
      <c r="BH2623" s="156" t="n"/>
      <c r="BI2623" s="157" t="n"/>
      <c r="BJ2623" s="2" t="n"/>
      <c r="BK2623" s="2" t="n"/>
      <c r="BL2623" s="2" t="n"/>
      <c r="BM2623" s="2" t="n"/>
      <c r="BN2623" s="2" t="n"/>
      <c r="BO2623" s="2" t="n"/>
      <c r="BP2623" s="155" t="n"/>
      <c r="BQ2623" s="156" t="n"/>
      <c r="BR2623" s="156" t="n"/>
      <c r="BS2623" s="156" t="n"/>
      <c r="BT2623" s="156" t="n"/>
      <c r="BU2623" s="42" t="n"/>
      <c r="BV2623" s="45" t="n"/>
      <c r="BW2623" s="156" t="n"/>
      <c r="BX2623" s="156" t="n"/>
      <c r="BY2623" s="156" t="n"/>
      <c r="BZ2623" s="156" t="n"/>
      <c r="CA2623" s="156" t="n"/>
      <c r="CB2623" s="156" t="n"/>
      <c r="CC2623" s="156" t="n"/>
      <c r="CD2623" s="156" t="n"/>
      <c r="CE2623" s="156" t="n"/>
      <c r="CF2623" s="156" t="n"/>
      <c r="CG2623" s="156" t="n"/>
      <c r="CH2623" s="156" t="n"/>
      <c r="CI2623" s="156" t="n"/>
      <c r="CJ2623" s="156" t="n"/>
      <c r="CK2623" s="156" t="n"/>
      <c r="CL2623" s="156" t="n"/>
      <c r="CM2623" s="156" t="n"/>
      <c r="CN2623" s="156" t="n"/>
      <c r="CO2623" s="156" t="n"/>
      <c r="CP2623" s="156" t="n"/>
      <c r="CQ2623" s="156" t="n"/>
      <c r="CR2623" s="156" t="n"/>
      <c r="CS2623" s="156" t="n"/>
      <c r="CT2623" s="156" t="n"/>
      <c r="CU2623" s="156" t="n"/>
      <c r="CV2623" s="156" t="n"/>
      <c r="CW2623" s="156" t="n"/>
      <c r="CX2623" s="156" t="n"/>
      <c r="CY2623" s="156" t="n"/>
      <c r="CZ2623" s="156" t="n"/>
      <c r="DA2623" s="156" t="n"/>
      <c r="DB2623" s="156" t="n"/>
      <c r="DC2623" s="156" t="n"/>
      <c r="DD2623" s="156" t="n"/>
      <c r="DE2623" s="156" t="n"/>
      <c r="DF2623" s="156" t="n"/>
      <c r="DG2623" s="156" t="n"/>
      <c r="DH2623" s="156" t="n"/>
      <c r="DI2623" s="156" t="n"/>
      <c r="DJ2623" s="156" t="n"/>
      <c r="DK2623" s="156" t="n"/>
      <c r="DL2623" s="156" t="n"/>
      <c r="DM2623" s="156" t="n"/>
      <c r="DN2623" s="156" t="n"/>
      <c r="DO2623" s="156" t="n"/>
      <c r="DP2623" s="156" t="n"/>
      <c r="DQ2623" s="156" t="n"/>
      <c r="DR2623" s="156" t="n"/>
      <c r="DS2623" s="156" t="n"/>
      <c r="DT2623" s="156" t="n"/>
      <c r="DU2623" s="157" t="n"/>
      <c r="DV2623" s="2" t="n"/>
      <c r="DW2623" s="2" t="n"/>
      <c r="DX2623" s="2" t="n"/>
      <c r="DY2623" s="2" t="n"/>
      <c r="DZ2623" s="2" t="n"/>
      <c r="EA2623" s="2" t="n"/>
      <c r="EB2623" s="2" t="n"/>
      <c r="EC2623" s="2" t="n"/>
    </row>
    <row r="2624" ht="6.75" customHeight="1" s="118">
      <c r="A2624" s="2" t="n"/>
      <c r="B2624" s="2" t="n"/>
      <c r="C2624" s="2" t="n"/>
      <c r="D2624" s="2" t="n"/>
      <c r="E2624" s="152" t="n"/>
      <c r="K2624" s="153" t="n"/>
      <c r="L2624" s="69"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5">
        <f>計算!$BQ$31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61" t="inlineStr">
        <is>
          <t>年</t>
        </is>
      </c>
      <c r="U2626" s="11" t="n"/>
      <c r="V2626" s="11" t="n"/>
      <c r="W2626" s="62"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74"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5" t="n"/>
      <c r="M2629" s="156" t="n"/>
      <c r="N2629" s="156" t="n"/>
      <c r="O2629" s="156"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69"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61" t="inlineStr">
        <is>
          <t>年</t>
        </is>
      </c>
      <c r="U2632" s="11" t="n"/>
      <c r="V2632" s="11" t="n"/>
      <c r="W2632" s="62"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74"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61" t="n"/>
      <c r="T2634" s="61" t="n"/>
      <c r="U2634" s="11" t="n"/>
      <c r="V2634" s="11" t="n"/>
      <c r="W2634" s="61" t="n"/>
      <c r="X2634" s="62"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5" t="n"/>
      <c r="F2635" s="156" t="n"/>
      <c r="G2635" s="156" t="n"/>
      <c r="H2635" s="156" t="n"/>
      <c r="I2635" s="156" t="n"/>
      <c r="J2635" s="156" t="n"/>
      <c r="K2635" s="157" t="n"/>
      <c r="L2635" s="155" t="n"/>
      <c r="M2635" s="156" t="n"/>
      <c r="N2635" s="156" t="n"/>
      <c r="O2635" s="156"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5" t="n"/>
      <c r="BQ2635" s="156" t="n"/>
      <c r="BR2635" s="156" t="n"/>
      <c r="BS2635" s="156" t="n"/>
      <c r="BT2635" s="156" t="n"/>
      <c r="BU2635" s="156" t="n"/>
      <c r="BV2635" s="157" t="n"/>
      <c r="BW2635" s="156" t="n"/>
      <c r="BX2635" s="156" t="n"/>
      <c r="BY2635" s="156" t="n"/>
      <c r="BZ2635" s="156" t="n"/>
      <c r="CA2635" s="156" t="n"/>
      <c r="CB2635" s="156" t="n"/>
      <c r="CC2635" s="156" t="n"/>
      <c r="CD2635" s="156" t="n"/>
      <c r="CE2635" s="156" t="n"/>
      <c r="CF2635" s="156" t="n"/>
      <c r="CG2635" s="156" t="n"/>
      <c r="CH2635" s="156" t="n"/>
      <c r="CI2635" s="156" t="n"/>
      <c r="CJ2635" s="156" t="n"/>
      <c r="CK2635" s="156" t="n"/>
      <c r="CL2635" s="156" t="n"/>
      <c r="CM2635" s="156" t="n"/>
      <c r="CN2635" s="156" t="n"/>
      <c r="CO2635" s="156" t="n"/>
      <c r="CP2635" s="156" t="n"/>
      <c r="CQ2635" s="156" t="n"/>
      <c r="CR2635" s="156" t="n"/>
      <c r="CS2635" s="156" t="n"/>
      <c r="CT2635" s="156" t="n"/>
      <c r="CU2635" s="156" t="n"/>
      <c r="CV2635" s="156" t="n"/>
      <c r="CW2635" s="156" t="n"/>
      <c r="CX2635" s="156" t="n"/>
      <c r="CY2635" s="156" t="n"/>
      <c r="CZ2635" s="156" t="n"/>
      <c r="DA2635" s="156" t="n"/>
      <c r="DB2635" s="156" t="n"/>
      <c r="DC2635" s="156" t="n"/>
      <c r="DD2635" s="156" t="n"/>
      <c r="DE2635" s="156" t="n"/>
      <c r="DF2635" s="156" t="n"/>
      <c r="DG2635" s="156" t="n"/>
      <c r="DH2635" s="156" t="n"/>
      <c r="DI2635" s="156" t="n"/>
      <c r="DJ2635" s="156" t="n"/>
      <c r="DK2635" s="156" t="n"/>
      <c r="DL2635" s="156" t="n"/>
      <c r="DM2635" s="156" t="n"/>
      <c r="DN2635" s="156" t="n"/>
      <c r="DO2635" s="156" t="n"/>
      <c r="DP2635" s="156" t="n"/>
      <c r="DQ2635" s="156" t="n"/>
      <c r="DR2635" s="156" t="n"/>
      <c r="DS2635" s="156" t="n"/>
      <c r="DT2635" s="156" t="n"/>
      <c r="DU2635" s="157"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87" t="inlineStr">
        <is>
          <t xml:space="preserve">    (近畿高等学校統一用紙　  その２ 　  令和７年度改定)　</t>
        </is>
      </c>
      <c r="DV2637" s="2" t="n"/>
      <c r="DW2637" s="2" t="n"/>
      <c r="DX2637" s="2" t="n"/>
      <c r="DY2637" s="2" t="n"/>
      <c r="DZ2637" s="2" t="n"/>
      <c r="EA2637" s="2" t="n"/>
      <c r="EB2637" s="2" t="n"/>
      <c r="EC2637" s="2" t="n"/>
    </row>
    <row r="2638" hidden="1"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idden="1"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47"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64" t="inlineStr">
        <is>
          <t>令和</t>
        </is>
      </c>
      <c r="AD2647" s="154">
        <f>IF(入力!$D$34="","",IF(N(設定!$B$3)=0,"",YEAR(設定!$B$3)-2018))&amp;""</f>
        <v/>
      </c>
      <c r="AG2647" s="64" t="inlineStr">
        <is>
          <t>年</t>
        </is>
      </c>
      <c r="AI2647" s="154">
        <f>IF(入力!$D$34="","",IF(N(設定!$B$3)=0,"",MONTH(設定!$B$3)))&amp;""</f>
        <v/>
      </c>
      <c r="AL2647" s="64" t="inlineStr">
        <is>
          <t>月</t>
        </is>
      </c>
      <c r="AN2647" s="154">
        <f>IF(入力!$D$34="","",IF(N(設定!$B$3)=0,"",DAY(設定!$B$3)))&amp;""</f>
        <v/>
      </c>
      <c r="AP2647" s="64"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5" t="n"/>
      <c r="BX2647" s="156" t="n"/>
      <c r="BY2647" s="156" t="n"/>
      <c r="BZ2647" s="156" t="n"/>
      <c r="CA2647" s="156" t="n"/>
      <c r="CB2647" s="156" t="n"/>
      <c r="CC2647" s="156" t="n"/>
      <c r="CD2647" s="156" t="n"/>
      <c r="CE2647" s="156" t="n"/>
      <c r="CF2647" s="156" t="n"/>
      <c r="CG2647" s="157" t="n"/>
      <c r="CH2647" s="155" t="n"/>
      <c r="CI2647" s="156" t="n"/>
      <c r="CJ2647" s="156" t="n"/>
      <c r="CK2647" s="156" t="n"/>
      <c r="CL2647" s="156" t="n"/>
      <c r="CM2647" s="156" t="n"/>
      <c r="CN2647" s="156" t="n"/>
      <c r="CO2647" s="156" t="n"/>
      <c r="CP2647" s="156" t="n"/>
      <c r="CQ2647" s="156" t="n"/>
      <c r="CR2647" s="156" t="n"/>
      <c r="CS2647" s="156" t="n"/>
      <c r="CT2647" s="156" t="n"/>
      <c r="CU2647" s="156" t="n"/>
      <c r="CV2647" s="156" t="n"/>
      <c r="CW2647" s="156" t="n"/>
      <c r="CX2647" s="156" t="n"/>
      <c r="CY2647" s="156" t="n"/>
      <c r="CZ2647" s="156" t="n"/>
      <c r="DA2647" s="156" t="n"/>
      <c r="DB2647" s="156" t="n"/>
      <c r="DC2647" s="156" t="n"/>
      <c r="DD2647" s="156" t="n"/>
      <c r="DE2647" s="156" t="n"/>
      <c r="DF2647" s="156" t="n"/>
      <c r="DG2647" s="156" t="n"/>
      <c r="DH2647" s="156" t="n"/>
      <c r="DI2647" s="156" t="n"/>
      <c r="DJ2647" s="156" t="n"/>
      <c r="DK2647" s="156" t="n"/>
      <c r="DL2647" s="156" t="n"/>
      <c r="DM2647" s="156" t="n"/>
      <c r="DN2647" s="156" t="n"/>
      <c r="DO2647" s="156" t="n"/>
      <c r="DP2647" s="156" t="n"/>
      <c r="DQ2647" s="156" t="n"/>
      <c r="DR2647" s="156" t="n"/>
      <c r="DS2647" s="156" t="n"/>
      <c r="DT2647" s="156" t="n"/>
      <c r="DU2647" s="157"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68" t="inlineStr">
        <is>
          <t>写真をはる位置</t>
        </is>
      </c>
      <c r="BI2648" s="8" t="n"/>
      <c r="BJ2648" s="7" t="n"/>
      <c r="BK2648" s="2" t="n"/>
      <c r="BL2648" s="2" t="n"/>
      <c r="BM2648" s="2" t="n"/>
      <c r="BN2648" s="2" t="n"/>
      <c r="BO2648" s="2" t="n"/>
      <c r="BP2648" s="152" t="n"/>
      <c r="BV2648" s="153" t="n"/>
      <c r="BW2648" s="158">
        <f>計算!$CB$32</f>
        <v/>
      </c>
      <c r="CG2648" s="153" t="n"/>
      <c r="CH2648" s="159">
        <f>計算!$CC$32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6" t="n"/>
      <c r="AA2649" s="156" t="n"/>
      <c r="AB2649" s="156" t="n"/>
      <c r="AC2649" s="156" t="n"/>
      <c r="AD2649" s="156" t="n"/>
      <c r="AE2649" s="156" t="n"/>
      <c r="AF2649" s="156" t="n"/>
      <c r="AG2649" s="156" t="n"/>
      <c r="AH2649" s="156" t="n"/>
      <c r="AI2649" s="156" t="n"/>
      <c r="AJ2649" s="156" t="n"/>
      <c r="AK2649" s="156" t="n"/>
      <c r="AL2649" s="156" t="n"/>
      <c r="AM2649" s="156" t="n"/>
      <c r="AN2649" s="156" t="n"/>
      <c r="AO2649" s="156" t="n"/>
      <c r="AP2649" s="156" t="n"/>
      <c r="AQ2649" s="156" t="n"/>
      <c r="AR2649" s="156" t="n"/>
      <c r="AS2649" s="156" t="n"/>
      <c r="AT2649" s="156"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0">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5" t="n"/>
      <c r="F2653" s="156" t="n"/>
      <c r="G2653" s="156" t="n"/>
      <c r="H2653" s="156" t="n"/>
      <c r="I2653" s="156" t="n"/>
      <c r="J2653" s="156" t="n"/>
      <c r="K2653" s="157" t="n"/>
      <c r="L2653" s="156" t="n"/>
      <c r="M2653" s="156" t="n"/>
      <c r="N2653" s="156" t="n"/>
      <c r="O2653" s="156" t="n"/>
      <c r="P2653" s="156" t="n"/>
      <c r="Q2653" s="156" t="n"/>
      <c r="R2653" s="156" t="n"/>
      <c r="S2653" s="156" t="n"/>
      <c r="T2653" s="156" t="n"/>
      <c r="U2653" s="156" t="n"/>
      <c r="V2653" s="156" t="n"/>
      <c r="W2653" s="156" t="n"/>
      <c r="X2653" s="156" t="n"/>
      <c r="Y2653" s="156" t="n"/>
      <c r="Z2653" s="156" t="n"/>
      <c r="AA2653" s="156" t="n"/>
      <c r="AB2653" s="156" t="n"/>
      <c r="AC2653" s="156" t="n"/>
      <c r="AD2653" s="156" t="n"/>
      <c r="AE2653" s="156" t="n"/>
      <c r="AF2653" s="156" t="n"/>
      <c r="AG2653" s="156" t="n"/>
      <c r="AH2653" s="156" t="n"/>
      <c r="AI2653" s="156" t="n"/>
      <c r="AJ2653" s="156" t="n"/>
      <c r="AK2653" s="156" t="n"/>
      <c r="AL2653" s="156" t="n"/>
      <c r="AM2653" s="156" t="n"/>
      <c r="AN2653" s="156" t="n"/>
      <c r="AO2653" s="156" t="n"/>
      <c r="AP2653" s="156" t="n"/>
      <c r="AQ2653" s="156" t="n"/>
      <c r="AR2653" s="156" t="n"/>
      <c r="AS2653" s="156" t="n"/>
      <c r="AT2653" s="157"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1" t="inlineStr">
        <is>
          <t>名　前</t>
        </is>
      </c>
      <c r="F2654" s="149" t="n"/>
      <c r="G2654" s="149" t="n"/>
      <c r="H2654" s="149" t="n"/>
      <c r="I2654" s="149" t="n"/>
      <c r="J2654" s="149" t="n"/>
      <c r="K2654" s="150" t="n"/>
      <c r="L2654" s="162">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61"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5" t="n"/>
      <c r="F2659" s="156" t="n"/>
      <c r="G2659" s="156" t="n"/>
      <c r="H2659" s="156" t="n"/>
      <c r="I2659" s="156" t="n"/>
      <c r="J2659" s="156" t="n"/>
      <c r="K2659" s="157" t="n"/>
      <c r="L2659" s="155" t="n"/>
      <c r="M2659" s="156" t="n"/>
      <c r="N2659" s="156" t="n"/>
      <c r="O2659" s="156" t="n"/>
      <c r="P2659" s="156" t="n"/>
      <c r="Q2659" s="156" t="n"/>
      <c r="R2659" s="156" t="n"/>
      <c r="S2659" s="156" t="n"/>
      <c r="T2659" s="156" t="n"/>
      <c r="U2659" s="156" t="n"/>
      <c r="V2659" s="156" t="n"/>
      <c r="W2659" s="156" t="n"/>
      <c r="X2659" s="156" t="n"/>
      <c r="Y2659" s="156" t="n"/>
      <c r="Z2659" s="156" t="n"/>
      <c r="AA2659" s="156" t="n"/>
      <c r="AB2659" s="156" t="n"/>
      <c r="AC2659" s="156" t="n"/>
      <c r="AD2659" s="156" t="n"/>
      <c r="AE2659" s="156" t="n"/>
      <c r="AF2659" s="156" t="n"/>
      <c r="AG2659" s="156" t="n"/>
      <c r="AH2659" s="156" t="n"/>
      <c r="AI2659" s="156" t="n"/>
      <c r="AJ2659" s="156" t="n"/>
      <c r="AK2659" s="156" t="n"/>
      <c r="AL2659" s="156" t="n"/>
      <c r="AM2659" s="156" t="n"/>
      <c r="AN2659" s="156" t="n"/>
      <c r="AO2659" s="156" t="n"/>
      <c r="AP2659" s="156" t="n"/>
      <c r="AQ2659" s="156" t="n"/>
      <c r="AR2659" s="156" t="n"/>
      <c r="AS2659" s="156" t="n"/>
      <c r="AT2659" s="157"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1" t="inlineStr">
        <is>
          <t>生年月日</t>
        </is>
      </c>
      <c r="F2660" s="149" t="n"/>
      <c r="G2660" s="149" t="n"/>
      <c r="H2660" s="149" t="n"/>
      <c r="I2660" s="149" t="n"/>
      <c r="J2660" s="149" t="n"/>
      <c r="K2660" s="150" t="n"/>
      <c r="L2660" s="163" t="inlineStr">
        <is>
          <t>昭和 ・ 平成</t>
        </is>
      </c>
      <c r="M2660" s="149" t="n"/>
      <c r="N2660" s="149" t="n"/>
      <c r="O2660" s="149" t="n"/>
      <c r="P2660" s="149" t="n"/>
      <c r="Q2660" s="149" t="n"/>
      <c r="R2660" s="149" t="n"/>
      <c r="S2660" s="149" t="n"/>
      <c r="T2660" s="149" t="n"/>
      <c r="U2660" s="149" t="n"/>
      <c r="V2660" s="164">
        <f>計算!$D$32</f>
        <v/>
      </c>
      <c r="W2660" s="149" t="n"/>
      <c r="X2660" s="165" t="inlineStr">
        <is>
          <t>年</t>
        </is>
      </c>
      <c r="Y2660" s="149" t="n"/>
      <c r="Z2660" s="166">
        <f>計算!$E$32</f>
        <v/>
      </c>
      <c r="AA2660" s="149" t="n"/>
      <c r="AB2660" s="149" t="n"/>
      <c r="AC2660" s="165" t="inlineStr">
        <is>
          <t>月</t>
        </is>
      </c>
      <c r="AD2660" s="149" t="n"/>
      <c r="AE2660" s="166">
        <f>計算!$F$32</f>
        <v/>
      </c>
      <c r="AF2660" s="149" t="n"/>
      <c r="AG2660" s="149" t="n"/>
      <c r="AH2660" s="165" t="inlineStr">
        <is>
          <t>日　生 （満</t>
        </is>
      </c>
      <c r="AI2660" s="149" t="n"/>
      <c r="AJ2660" s="149" t="n"/>
      <c r="AK2660" s="149" t="n"/>
      <c r="AL2660" s="149" t="n"/>
      <c r="AM2660" s="149" t="n"/>
      <c r="AN2660" s="149" t="n"/>
      <c r="AO2660" s="149" t="n"/>
      <c r="AP2660" s="167">
        <f>計算!$G$32</f>
        <v/>
      </c>
      <c r="AQ2660" s="149" t="n"/>
      <c r="AR2660" s="168"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5" t="n"/>
      <c r="F2663" s="156" t="n"/>
      <c r="G2663" s="156" t="n"/>
      <c r="H2663" s="156" t="n"/>
      <c r="I2663" s="156" t="n"/>
      <c r="J2663" s="156" t="n"/>
      <c r="K2663" s="157" t="n"/>
      <c r="L2663" s="155" t="n"/>
      <c r="M2663" s="156" t="n"/>
      <c r="N2663" s="156" t="n"/>
      <c r="O2663" s="156" t="n"/>
      <c r="P2663" s="156" t="n"/>
      <c r="Q2663" s="156" t="n"/>
      <c r="R2663" s="156" t="n"/>
      <c r="S2663" s="156" t="n"/>
      <c r="T2663" s="156" t="n"/>
      <c r="U2663" s="156" t="n"/>
      <c r="X2663" s="156" t="n"/>
      <c r="Y2663" s="156" t="n"/>
      <c r="AC2663" s="156" t="n"/>
      <c r="AD2663" s="156" t="n"/>
      <c r="AH2663" s="156" t="n"/>
      <c r="AI2663" s="156" t="n"/>
      <c r="AJ2663" s="156" t="n"/>
      <c r="AK2663" s="156" t="n"/>
      <c r="AL2663" s="156" t="n"/>
      <c r="AM2663" s="156" t="n"/>
      <c r="AN2663" s="156" t="n"/>
      <c r="AO2663" s="156" t="n"/>
      <c r="AP2663" s="156" t="n"/>
      <c r="AQ2663" s="156" t="n"/>
      <c r="AR2663" s="156" t="n"/>
      <c r="AS2663" s="156" t="n"/>
      <c r="AT2663" s="157"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69" t="inlineStr">
        <is>
          <t>ふ り が な</t>
        </is>
      </c>
      <c r="F2664" s="149" t="n"/>
      <c r="G2664" s="149" t="n"/>
      <c r="H2664" s="149" t="n"/>
      <c r="I2664" s="149" t="n"/>
      <c r="J2664" s="149" t="n"/>
      <c r="K2664" s="150" t="n"/>
      <c r="L2664" s="170">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1" t="n"/>
      <c r="F2666" s="172" t="n"/>
      <c r="G2666" s="172" t="n"/>
      <c r="H2666" s="172" t="n"/>
      <c r="I2666" s="172" t="n"/>
      <c r="J2666" s="172" t="n"/>
      <c r="K2666" s="173" t="n"/>
      <c r="L2666" s="172" t="n"/>
      <c r="M2666" s="172" t="n"/>
      <c r="N2666" s="172" t="n"/>
      <c r="O2666" s="172" t="n"/>
      <c r="P2666" s="172" t="n"/>
      <c r="Q2666" s="172" t="n"/>
      <c r="R2666" s="172" t="n"/>
      <c r="S2666" s="172" t="n"/>
      <c r="T2666" s="172" t="n"/>
      <c r="U2666" s="172" t="n"/>
      <c r="V2666" s="172" t="n"/>
      <c r="W2666" s="172" t="n"/>
      <c r="X2666" s="172" t="n"/>
      <c r="Y2666" s="172" t="n"/>
      <c r="Z2666" s="172" t="n"/>
      <c r="AA2666" s="172" t="n"/>
      <c r="AB2666" s="172" t="n"/>
      <c r="AC2666" s="172" t="n"/>
      <c r="AD2666" s="172" t="n"/>
      <c r="AE2666" s="172" t="n"/>
      <c r="AF2666" s="172" t="n"/>
      <c r="AG2666" s="172" t="n"/>
      <c r="AH2666" s="172" t="n"/>
      <c r="AI2666" s="172" t="n"/>
      <c r="AJ2666" s="172" t="n"/>
      <c r="AK2666" s="172" t="n"/>
      <c r="AL2666" s="172" t="n"/>
      <c r="AM2666" s="172" t="n"/>
      <c r="AN2666" s="172" t="n"/>
      <c r="AO2666" s="172" t="n"/>
      <c r="AP2666" s="172" t="n"/>
      <c r="AQ2666" s="172" t="n"/>
      <c r="AR2666" s="172" t="n"/>
      <c r="AS2666" s="172" t="n"/>
      <c r="AT2666" s="172" t="n"/>
      <c r="AU2666" s="172" t="n"/>
      <c r="AV2666" s="172" t="n"/>
      <c r="AW2666" s="172" t="n"/>
      <c r="AX2666" s="172" t="n"/>
      <c r="AY2666" s="172" t="n"/>
      <c r="AZ2666" s="172" t="n"/>
      <c r="BA2666" s="172" t="n"/>
      <c r="BB2666" s="172" t="n"/>
      <c r="BC2666" s="172" t="n"/>
      <c r="BD2666" s="172" t="n"/>
      <c r="BE2666" s="172" t="n"/>
      <c r="BF2666" s="172" t="n"/>
      <c r="BG2666" s="172" t="n"/>
      <c r="BH2666" s="172" t="n"/>
      <c r="BI2666" s="173"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4" t="inlineStr">
        <is>
          <t>現住所</t>
        </is>
      </c>
      <c r="F2667" s="175" t="n"/>
      <c r="G2667" s="175" t="n"/>
      <c r="H2667" s="175" t="n"/>
      <c r="I2667" s="175" t="n"/>
      <c r="J2667" s="175" t="n"/>
      <c r="K2667" s="176" t="n"/>
      <c r="L2667" s="83" t="inlineStr">
        <is>
          <t>〒</t>
        </is>
      </c>
      <c r="M2667" s="175" t="n"/>
      <c r="N2667" s="175" t="n"/>
      <c r="O2667" s="175" t="n"/>
      <c r="P2667" s="177">
        <f>計算!$H$32</f>
        <v/>
      </c>
      <c r="Q2667" s="175" t="n"/>
      <c r="R2667" s="175" t="n"/>
      <c r="S2667" s="175" t="n"/>
      <c r="T2667" s="175" t="n"/>
      <c r="U2667" s="175" t="n"/>
      <c r="V2667" s="175" t="n"/>
      <c r="W2667" s="175" t="n"/>
      <c r="X2667" s="175" t="n"/>
      <c r="Y2667" s="175" t="n"/>
      <c r="Z2667" s="175" t="n"/>
      <c r="AA2667" s="175" t="n"/>
      <c r="AB2667" s="175" t="n"/>
      <c r="AC2667" s="175" t="n"/>
      <c r="AD2667" s="175" t="n"/>
      <c r="AE2667" s="175" t="n"/>
      <c r="AF2667" s="175" t="n"/>
      <c r="AG2667" s="175" t="n"/>
      <c r="AH2667" s="175" t="n"/>
      <c r="AI2667" s="175" t="n"/>
      <c r="AJ2667" s="175"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5" t="n"/>
      <c r="BQ2668" s="156" t="n"/>
      <c r="BR2668" s="156" t="n"/>
      <c r="BS2668" s="156" t="n"/>
      <c r="BT2668" s="156" t="n"/>
      <c r="BU2668" s="156" t="n"/>
      <c r="BV2668" s="157" t="n"/>
      <c r="BW2668" s="155" t="n"/>
      <c r="BX2668" s="156" t="n"/>
      <c r="BY2668" s="156" t="n"/>
      <c r="BZ2668" s="156" t="n"/>
      <c r="CA2668" s="156" t="n"/>
      <c r="CB2668" s="156" t="n"/>
      <c r="CC2668" s="156" t="n"/>
      <c r="CD2668" s="156" t="n"/>
      <c r="CE2668" s="156" t="n"/>
      <c r="CF2668" s="156" t="n"/>
      <c r="CG2668" s="157"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8" t="inlineStr">
        <is>
          <t>校内外の諸活動</t>
        </is>
      </c>
      <c r="BQ2669" s="149" t="n"/>
      <c r="BR2669" s="149" t="n"/>
      <c r="BS2669" s="149" t="n"/>
      <c r="BT2669" s="149" t="n"/>
      <c r="BU2669" s="149" t="n"/>
      <c r="BV2669" s="150" t="n"/>
      <c r="BW2669" s="179">
        <f>計算!$BO$32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0">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5" t="n"/>
      <c r="F2672" s="156" t="n"/>
      <c r="G2672" s="156" t="n"/>
      <c r="H2672" s="156" t="n"/>
      <c r="I2672" s="156" t="n"/>
      <c r="J2672" s="156" t="n"/>
      <c r="K2672" s="157" t="n"/>
      <c r="L2672" s="155" t="n"/>
      <c r="M2672" s="156" t="n"/>
      <c r="N2672" s="156" t="n"/>
      <c r="O2672" s="156" t="n"/>
      <c r="P2672" s="156" t="n"/>
      <c r="Q2672" s="156" t="n"/>
      <c r="R2672" s="156" t="n"/>
      <c r="S2672" s="156" t="n"/>
      <c r="T2672" s="156" t="n"/>
      <c r="U2672" s="156" t="n"/>
      <c r="V2672" s="156" t="n"/>
      <c r="W2672" s="156" t="n"/>
      <c r="X2672" s="156" t="n"/>
      <c r="Y2672" s="156" t="n"/>
      <c r="Z2672" s="156" t="n"/>
      <c r="AA2672" s="156" t="n"/>
      <c r="AB2672" s="156" t="n"/>
      <c r="AC2672" s="156" t="n"/>
      <c r="AD2672" s="156" t="n"/>
      <c r="AE2672" s="156" t="n"/>
      <c r="AF2672" s="156" t="n"/>
      <c r="AG2672" s="156" t="n"/>
      <c r="AH2672" s="156" t="n"/>
      <c r="AI2672" s="156" t="n"/>
      <c r="AJ2672" s="156" t="n"/>
      <c r="AK2672" s="156" t="n"/>
      <c r="AL2672" s="156" t="n"/>
      <c r="AM2672" s="156" t="n"/>
      <c r="AN2672" s="156" t="n"/>
      <c r="AO2672" s="156" t="n"/>
      <c r="AP2672" s="156" t="n"/>
      <c r="AQ2672" s="156" t="n"/>
      <c r="AR2672" s="156" t="n"/>
      <c r="AS2672" s="156" t="n"/>
      <c r="AT2672" s="156" t="n"/>
      <c r="AU2672" s="156" t="n"/>
      <c r="AV2672" s="156" t="n"/>
      <c r="AW2672" s="156" t="n"/>
      <c r="AX2672" s="156" t="n"/>
      <c r="AY2672" s="156" t="n"/>
      <c r="AZ2672" s="156" t="n"/>
      <c r="BA2672" s="156" t="n"/>
      <c r="BB2672" s="156" t="n"/>
      <c r="BC2672" s="156" t="n"/>
      <c r="BD2672" s="156" t="n"/>
      <c r="BE2672" s="156" t="n"/>
      <c r="BF2672" s="156" t="n"/>
      <c r="BG2672" s="156" t="n"/>
      <c r="BH2672" s="156" t="n"/>
      <c r="BI2672" s="157"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69" t="inlineStr">
        <is>
          <t>ふ り が な</t>
        </is>
      </c>
      <c r="F2673" s="149" t="n"/>
      <c r="G2673" s="149" t="n"/>
      <c r="H2673" s="149" t="n"/>
      <c r="I2673" s="149" t="n"/>
      <c r="J2673" s="149" t="n"/>
      <c r="K2673" s="150" t="n"/>
      <c r="L2673" s="170">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1" t="n"/>
      <c r="F2675" s="172" t="n"/>
      <c r="G2675" s="172" t="n"/>
      <c r="H2675" s="172" t="n"/>
      <c r="I2675" s="172" t="n"/>
      <c r="J2675" s="172" t="n"/>
      <c r="K2675" s="173" t="n"/>
      <c r="L2675" s="172" t="n"/>
      <c r="M2675" s="172" t="n"/>
      <c r="N2675" s="172" t="n"/>
      <c r="O2675" s="172" t="n"/>
      <c r="P2675" s="172" t="n"/>
      <c r="Q2675" s="172" t="n"/>
      <c r="R2675" s="172" t="n"/>
      <c r="S2675" s="172" t="n"/>
      <c r="T2675" s="172" t="n"/>
      <c r="U2675" s="172" t="n"/>
      <c r="V2675" s="172" t="n"/>
      <c r="W2675" s="172" t="n"/>
      <c r="X2675" s="172" t="n"/>
      <c r="Y2675" s="172" t="n"/>
      <c r="Z2675" s="172" t="n"/>
      <c r="AA2675" s="172" t="n"/>
      <c r="AB2675" s="172" t="n"/>
      <c r="AC2675" s="172" t="n"/>
      <c r="AD2675" s="172" t="n"/>
      <c r="AE2675" s="172" t="n"/>
      <c r="AF2675" s="172" t="n"/>
      <c r="AG2675" s="172" t="n"/>
      <c r="AH2675" s="172" t="n"/>
      <c r="AI2675" s="172" t="n"/>
      <c r="AJ2675" s="172" t="n"/>
      <c r="AK2675" s="172" t="n"/>
      <c r="AL2675" s="172" t="n"/>
      <c r="AM2675" s="172" t="n"/>
      <c r="AN2675" s="172" t="n"/>
      <c r="AO2675" s="172" t="n"/>
      <c r="AP2675" s="172" t="n"/>
      <c r="AQ2675" s="172" t="n"/>
      <c r="AR2675" s="172" t="n"/>
      <c r="AS2675" s="172" t="n"/>
      <c r="AT2675" s="172" t="n"/>
      <c r="AU2675" s="172" t="n"/>
      <c r="AV2675" s="172" t="n"/>
      <c r="AW2675" s="172" t="n"/>
      <c r="AX2675" s="172" t="n"/>
      <c r="AY2675" s="172" t="n"/>
      <c r="AZ2675" s="172" t="n"/>
      <c r="BA2675" s="172" t="n"/>
      <c r="BB2675" s="172" t="n"/>
      <c r="BC2675" s="172" t="n"/>
      <c r="BD2675" s="172" t="n"/>
      <c r="BE2675" s="172" t="n"/>
      <c r="BF2675" s="172" t="n"/>
      <c r="BG2675" s="172" t="n"/>
      <c r="BH2675" s="172" t="n"/>
      <c r="BI2675" s="173"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4" t="inlineStr">
        <is>
          <t>連絡先</t>
        </is>
      </c>
      <c r="F2676" s="175" t="n"/>
      <c r="G2676" s="175" t="n"/>
      <c r="H2676" s="175" t="n"/>
      <c r="I2676" s="175" t="n"/>
      <c r="J2676" s="175" t="n"/>
      <c r="K2676" s="176" t="n"/>
      <c r="L2676" s="83" t="inlineStr">
        <is>
          <t>〒</t>
        </is>
      </c>
      <c r="M2676" s="175" t="n"/>
      <c r="N2676" s="175" t="n"/>
      <c r="O2676" s="175" t="n"/>
      <c r="P2676" s="181">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2">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5" t="n"/>
      <c r="F2680" s="156" t="n"/>
      <c r="G2680" s="156" t="n"/>
      <c r="H2680" s="156" t="n"/>
      <c r="I2680" s="156" t="n"/>
      <c r="J2680" s="156" t="n"/>
      <c r="K2680" s="157" t="n"/>
      <c r="L2680" s="156" t="n"/>
      <c r="M2680" s="156" t="n"/>
      <c r="N2680" s="156" t="n"/>
      <c r="O2680" s="156" t="n"/>
      <c r="P2680" s="156" t="n"/>
      <c r="Q2680" s="156" t="n"/>
      <c r="R2680" s="156" t="n"/>
      <c r="S2680" s="156" t="n"/>
      <c r="T2680" s="156" t="n"/>
      <c r="U2680" s="156" t="n"/>
      <c r="V2680" s="156" t="n"/>
      <c r="W2680" s="156" t="n"/>
      <c r="X2680" s="156" t="n"/>
      <c r="Y2680" s="156" t="n"/>
      <c r="Z2680" s="156" t="n"/>
      <c r="AA2680" s="156" t="n"/>
      <c r="AB2680" s="156" t="n"/>
      <c r="AC2680" s="156" t="n"/>
      <c r="AD2680" s="156" t="n"/>
      <c r="AE2680" s="156" t="n"/>
      <c r="AF2680" s="156" t="n"/>
      <c r="AG2680" s="156" t="n"/>
      <c r="AH2680" s="156" t="n"/>
      <c r="AI2680" s="156" t="n"/>
      <c r="AJ2680" s="156" t="n"/>
      <c r="AK2680" s="156" t="n"/>
      <c r="AL2680" s="156" t="n"/>
      <c r="AM2680" s="156" t="n"/>
      <c r="AN2680" s="156" t="n"/>
      <c r="AO2680" s="156" t="n"/>
      <c r="AP2680" s="156" t="n"/>
      <c r="AQ2680" s="156" t="n"/>
      <c r="AR2680" s="156" t="n"/>
      <c r="AS2680" s="156" t="n"/>
      <c r="AT2680" s="156" t="n"/>
      <c r="AU2680" s="156" t="n"/>
      <c r="AV2680" s="156" t="n"/>
      <c r="AW2680" s="156" t="n"/>
      <c r="AX2680" s="156" t="n"/>
      <c r="AY2680" s="156" t="n"/>
      <c r="AZ2680" s="156" t="n"/>
      <c r="BA2680" s="156" t="n"/>
      <c r="BB2680" s="156" t="n"/>
      <c r="BC2680" s="156" t="n"/>
      <c r="BD2680" s="156" t="n"/>
      <c r="BE2680" s="156" t="n"/>
      <c r="BF2680" s="156" t="n"/>
      <c r="BG2680" s="156" t="n"/>
      <c r="BH2680" s="156" t="n"/>
      <c r="BI2680" s="157"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86"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3" t="n"/>
      <c r="BQ2686" s="149" t="n"/>
      <c r="BR2686" s="184" t="n"/>
      <c r="BS2686" s="149" t="n"/>
      <c r="BT2686" s="149" t="n"/>
      <c r="BU2686" s="28" t="n"/>
      <c r="BV2686" s="29" t="n"/>
      <c r="BW2686" s="185">
        <f>計算!$BP$32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115"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6"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107"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7">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188">
        <f>IF(入力!$D$34="","",設定!$B$6)&amp;""</f>
        <v/>
      </c>
      <c r="S2694" s="11" t="n"/>
      <c r="T2694" s="11" t="n"/>
      <c r="U2694" s="188">
        <f>IF(入力!$D$34="","",設定!$B$7)&amp;""</f>
        <v/>
      </c>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110" t="inlineStr">
        <is>
          <t>令和</t>
        </is>
      </c>
      <c r="S2695" s="61" t="inlineStr">
        <is>
          <t>年</t>
        </is>
      </c>
      <c r="W2695" s="62"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90"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5" t="n"/>
      <c r="F2699" s="156" t="n"/>
      <c r="G2699" s="156" t="n"/>
      <c r="H2699" s="156" t="n"/>
      <c r="I2699" s="156" t="n"/>
      <c r="J2699" s="156" t="n"/>
      <c r="K2699" s="157"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6" t="n"/>
      <c r="AX2699" s="156" t="n"/>
      <c r="AY2699" s="156" t="n"/>
      <c r="AZ2699" s="156" t="n"/>
      <c r="BA2699" s="156" t="n"/>
      <c r="BB2699" s="156" t="n"/>
      <c r="BC2699" s="156" t="n"/>
      <c r="BD2699" s="156" t="n"/>
      <c r="BE2699" s="156" t="n"/>
      <c r="BF2699" s="156" t="n"/>
      <c r="BG2699" s="156" t="n"/>
      <c r="BH2699" s="156" t="n"/>
      <c r="BI2699" s="157"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58" t="n"/>
      <c r="T2700" s="149" t="n"/>
      <c r="U2700" s="17" t="n"/>
      <c r="V2700" s="17" t="n"/>
      <c r="W2700" s="58"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89" t="inlineStr">
        <is>
          <t>職　歴</t>
        </is>
      </c>
      <c r="K2703" s="153" t="n"/>
      <c r="L2703" s="69" t="inlineStr">
        <is>
          <t>平成</t>
        </is>
      </c>
      <c r="M2703" s="149" t="n"/>
      <c r="N2703" s="149" t="n"/>
      <c r="O2703" s="149" t="n"/>
      <c r="P2703" s="19" t="n"/>
      <c r="Q2703" s="19" t="n"/>
      <c r="R2703" s="19" t="n"/>
      <c r="S2703" s="19" t="n"/>
      <c r="T2703" s="19" t="n"/>
      <c r="U2703" s="19" t="n"/>
      <c r="V2703" s="19" t="n"/>
      <c r="W2703" s="19" t="n"/>
      <c r="X2703" s="37" t="n"/>
      <c r="Y2703" s="180">
        <f>計算!$BT$32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8">
        <f>計算!$BR$32</f>
        <v/>
      </c>
      <c r="S2705" s="61" t="inlineStr">
        <is>
          <t>年</t>
        </is>
      </c>
      <c r="U2705" s="190">
        <f>計算!$BS$32</f>
        <v/>
      </c>
      <c r="W2705" s="62"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74"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5" t="n"/>
      <c r="M2708" s="156" t="n"/>
      <c r="N2708" s="156" t="n"/>
      <c r="O2708" s="156" t="n"/>
      <c r="P2708" s="20" t="n"/>
      <c r="Q2708" s="20" t="n"/>
      <c r="R2708" s="20" t="n"/>
      <c r="S2708" s="20" t="n"/>
      <c r="T2708" s="20" t="n"/>
      <c r="U2708" s="20" t="n"/>
      <c r="V2708" s="20" t="n"/>
      <c r="W2708" s="20" t="n"/>
      <c r="X2708" s="39" t="n"/>
      <c r="Y2708" s="155" t="n"/>
      <c r="Z2708" s="156" t="n"/>
      <c r="AA2708" s="156" t="n"/>
      <c r="AB2708" s="156" t="n"/>
      <c r="AC2708" s="156" t="n"/>
      <c r="AD2708" s="156" t="n"/>
      <c r="AE2708" s="156" t="n"/>
      <c r="AF2708" s="156" t="n"/>
      <c r="AG2708" s="156" t="n"/>
      <c r="AH2708" s="156" t="n"/>
      <c r="AI2708" s="156" t="n"/>
      <c r="AJ2708" s="156" t="n"/>
      <c r="AK2708" s="156" t="n"/>
      <c r="AL2708" s="156" t="n"/>
      <c r="AM2708" s="156" t="n"/>
      <c r="AN2708" s="156" t="n"/>
      <c r="AO2708" s="156" t="n"/>
      <c r="AP2708" s="156" t="n"/>
      <c r="AQ2708" s="156" t="n"/>
      <c r="AR2708" s="156" t="n"/>
      <c r="AS2708" s="156" t="n"/>
      <c r="AT2708" s="156" t="n"/>
      <c r="AU2708" s="156" t="n"/>
      <c r="AV2708" s="156" t="n"/>
      <c r="AW2708" s="156" t="n"/>
      <c r="AX2708" s="156" t="n"/>
      <c r="AY2708" s="156" t="n"/>
      <c r="AZ2708" s="156" t="n"/>
      <c r="BA2708" s="156" t="n"/>
      <c r="BB2708" s="156" t="n"/>
      <c r="BC2708" s="156" t="n"/>
      <c r="BD2708" s="156" t="n"/>
      <c r="BE2708" s="156" t="n"/>
      <c r="BF2708" s="156" t="n"/>
      <c r="BG2708" s="156" t="n"/>
      <c r="BH2708" s="156" t="n"/>
      <c r="BI2708" s="157"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69" t="inlineStr">
        <is>
          <t>平成</t>
        </is>
      </c>
      <c r="M2709" s="149" t="n"/>
      <c r="N2709" s="149" t="n"/>
      <c r="O2709" s="149" t="n"/>
      <c r="P2709" s="18" t="n"/>
      <c r="Q2709" s="18" t="n"/>
      <c r="R2709" s="18" t="n"/>
      <c r="S2709" s="18" t="n"/>
      <c r="T2709" s="18" t="n"/>
      <c r="U2709" s="18" t="n"/>
      <c r="V2709" s="18" t="n"/>
      <c r="W2709" s="18" t="n"/>
      <c r="X2709" s="35" t="n"/>
      <c r="Y2709" s="180">
        <f>計算!$BW$32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8">
        <f>計算!$BU$32</f>
        <v/>
      </c>
      <c r="S2711" s="61" t="inlineStr">
        <is>
          <t>年</t>
        </is>
      </c>
      <c r="U2711" s="190">
        <f>計算!$BV$32</f>
        <v/>
      </c>
      <c r="W2711" s="62"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74"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5" t="n"/>
      <c r="M2714" s="156" t="n"/>
      <c r="N2714" s="156" t="n"/>
      <c r="O2714" s="156" t="n"/>
      <c r="P2714" s="20" t="n"/>
      <c r="Q2714" s="20" t="n"/>
      <c r="R2714" s="20" t="n"/>
      <c r="S2714" s="20" t="n"/>
      <c r="T2714" s="20" t="n"/>
      <c r="U2714" s="20" t="n"/>
      <c r="V2714" s="20" t="n"/>
      <c r="W2714" s="20" t="n"/>
      <c r="X2714" s="39" t="n"/>
      <c r="Y2714" s="155" t="n"/>
      <c r="Z2714" s="156" t="n"/>
      <c r="AA2714" s="156" t="n"/>
      <c r="AB2714" s="156" t="n"/>
      <c r="AC2714" s="156" t="n"/>
      <c r="AD2714" s="156" t="n"/>
      <c r="AE2714" s="156" t="n"/>
      <c r="AF2714" s="156" t="n"/>
      <c r="AG2714" s="156" t="n"/>
      <c r="AH2714" s="156" t="n"/>
      <c r="AI2714" s="156" t="n"/>
      <c r="AJ2714" s="156" t="n"/>
      <c r="AK2714" s="156" t="n"/>
      <c r="AL2714" s="156" t="n"/>
      <c r="AM2714" s="156" t="n"/>
      <c r="AN2714" s="156" t="n"/>
      <c r="AO2714" s="156" t="n"/>
      <c r="AP2714" s="156" t="n"/>
      <c r="AQ2714" s="156" t="n"/>
      <c r="AR2714" s="156" t="n"/>
      <c r="AS2714" s="156" t="n"/>
      <c r="AT2714" s="156" t="n"/>
      <c r="AU2714" s="156" t="n"/>
      <c r="AV2714" s="156" t="n"/>
      <c r="AW2714" s="156" t="n"/>
      <c r="AX2714" s="156" t="n"/>
      <c r="AY2714" s="156" t="n"/>
      <c r="AZ2714" s="156" t="n"/>
      <c r="BA2714" s="156" t="n"/>
      <c r="BB2714" s="156" t="n"/>
      <c r="BC2714" s="156" t="n"/>
      <c r="BD2714" s="156" t="n"/>
      <c r="BE2714" s="156" t="n"/>
      <c r="BF2714" s="156" t="n"/>
      <c r="BG2714" s="156" t="n"/>
      <c r="BH2714" s="156" t="n"/>
      <c r="BI2714" s="157" t="n"/>
      <c r="BJ2714" s="2" t="n"/>
      <c r="BK2714" s="2" t="n"/>
      <c r="BL2714" s="2" t="n"/>
      <c r="BM2714" s="2" t="n"/>
      <c r="BN2714" s="2" t="n"/>
      <c r="BO2714" s="2" t="n"/>
      <c r="BP2714" s="155" t="n"/>
      <c r="BQ2714" s="156" t="n"/>
      <c r="BR2714" s="156" t="n"/>
      <c r="BS2714" s="156" t="n"/>
      <c r="BT2714" s="156" t="n"/>
      <c r="BU2714" s="42" t="n"/>
      <c r="BV2714" s="45" t="n"/>
      <c r="BW2714" s="156" t="n"/>
      <c r="BX2714" s="156" t="n"/>
      <c r="BY2714" s="156" t="n"/>
      <c r="BZ2714" s="156" t="n"/>
      <c r="CA2714" s="156" t="n"/>
      <c r="CB2714" s="156" t="n"/>
      <c r="CC2714" s="156" t="n"/>
      <c r="CD2714" s="156" t="n"/>
      <c r="CE2714" s="156" t="n"/>
      <c r="CF2714" s="156" t="n"/>
      <c r="CG2714" s="156" t="n"/>
      <c r="CH2714" s="156" t="n"/>
      <c r="CI2714" s="156" t="n"/>
      <c r="CJ2714" s="156" t="n"/>
      <c r="CK2714" s="156" t="n"/>
      <c r="CL2714" s="156" t="n"/>
      <c r="CM2714" s="156" t="n"/>
      <c r="CN2714" s="156" t="n"/>
      <c r="CO2714" s="156" t="n"/>
      <c r="CP2714" s="156" t="n"/>
      <c r="CQ2714" s="156" t="n"/>
      <c r="CR2714" s="156" t="n"/>
      <c r="CS2714" s="156" t="n"/>
      <c r="CT2714" s="156" t="n"/>
      <c r="CU2714" s="156" t="n"/>
      <c r="CV2714" s="156" t="n"/>
      <c r="CW2714" s="156" t="n"/>
      <c r="CX2714" s="156" t="n"/>
      <c r="CY2714" s="156" t="n"/>
      <c r="CZ2714" s="156" t="n"/>
      <c r="DA2714" s="156" t="n"/>
      <c r="DB2714" s="156" t="n"/>
      <c r="DC2714" s="156" t="n"/>
      <c r="DD2714" s="156" t="n"/>
      <c r="DE2714" s="156" t="n"/>
      <c r="DF2714" s="156" t="n"/>
      <c r="DG2714" s="156" t="n"/>
      <c r="DH2714" s="156" t="n"/>
      <c r="DI2714" s="156" t="n"/>
      <c r="DJ2714" s="156" t="n"/>
      <c r="DK2714" s="156" t="n"/>
      <c r="DL2714" s="156" t="n"/>
      <c r="DM2714" s="156" t="n"/>
      <c r="DN2714" s="156" t="n"/>
      <c r="DO2714" s="156" t="n"/>
      <c r="DP2714" s="156" t="n"/>
      <c r="DQ2714" s="156" t="n"/>
      <c r="DR2714" s="156" t="n"/>
      <c r="DS2714" s="156" t="n"/>
      <c r="DT2714" s="156" t="n"/>
      <c r="DU2714" s="157" t="n"/>
      <c r="DV2714" s="2" t="n"/>
      <c r="DW2714" s="2" t="n"/>
      <c r="DX2714" s="2" t="n"/>
      <c r="DY2714" s="2" t="n"/>
      <c r="DZ2714" s="2" t="n"/>
      <c r="EA2714" s="2" t="n"/>
      <c r="EB2714" s="2" t="n"/>
      <c r="EC2714" s="2" t="n"/>
    </row>
    <row r="2715" ht="6.75" customHeight="1" s="118">
      <c r="A2715" s="2" t="n"/>
      <c r="B2715" s="2" t="n"/>
      <c r="C2715" s="2" t="n"/>
      <c r="D2715" s="2" t="n"/>
      <c r="E2715" s="152" t="n"/>
      <c r="K2715" s="153" t="n"/>
      <c r="L2715" s="69"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5">
        <f>計算!$BQ$32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61" t="inlineStr">
        <is>
          <t>年</t>
        </is>
      </c>
      <c r="U2717" s="11" t="n"/>
      <c r="V2717" s="11" t="n"/>
      <c r="W2717" s="62"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74"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5" t="n"/>
      <c r="M2720" s="156" t="n"/>
      <c r="N2720" s="156" t="n"/>
      <c r="O2720" s="156"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69"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61" t="inlineStr">
        <is>
          <t>年</t>
        </is>
      </c>
      <c r="U2723" s="11" t="n"/>
      <c r="V2723" s="11" t="n"/>
      <c r="W2723" s="62"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74"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61" t="n"/>
      <c r="T2725" s="61" t="n"/>
      <c r="U2725" s="11" t="n"/>
      <c r="V2725" s="11" t="n"/>
      <c r="W2725" s="61" t="n"/>
      <c r="X2725" s="62"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5" t="n"/>
      <c r="F2726" s="156" t="n"/>
      <c r="G2726" s="156" t="n"/>
      <c r="H2726" s="156" t="n"/>
      <c r="I2726" s="156" t="n"/>
      <c r="J2726" s="156" t="n"/>
      <c r="K2726" s="157" t="n"/>
      <c r="L2726" s="155" t="n"/>
      <c r="M2726" s="156" t="n"/>
      <c r="N2726" s="156" t="n"/>
      <c r="O2726" s="156"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5" t="n"/>
      <c r="BQ2726" s="156" t="n"/>
      <c r="BR2726" s="156" t="n"/>
      <c r="BS2726" s="156" t="n"/>
      <c r="BT2726" s="156" t="n"/>
      <c r="BU2726" s="156" t="n"/>
      <c r="BV2726" s="157" t="n"/>
      <c r="BW2726" s="156" t="n"/>
      <c r="BX2726" s="156" t="n"/>
      <c r="BY2726" s="156" t="n"/>
      <c r="BZ2726" s="156" t="n"/>
      <c r="CA2726" s="156" t="n"/>
      <c r="CB2726" s="156" t="n"/>
      <c r="CC2726" s="156" t="n"/>
      <c r="CD2726" s="156" t="n"/>
      <c r="CE2726" s="156" t="n"/>
      <c r="CF2726" s="156" t="n"/>
      <c r="CG2726" s="156" t="n"/>
      <c r="CH2726" s="156" t="n"/>
      <c r="CI2726" s="156" t="n"/>
      <c r="CJ2726" s="156" t="n"/>
      <c r="CK2726" s="156" t="n"/>
      <c r="CL2726" s="156" t="n"/>
      <c r="CM2726" s="156" t="n"/>
      <c r="CN2726" s="156" t="n"/>
      <c r="CO2726" s="156" t="n"/>
      <c r="CP2726" s="156" t="n"/>
      <c r="CQ2726" s="156" t="n"/>
      <c r="CR2726" s="156" t="n"/>
      <c r="CS2726" s="156" t="n"/>
      <c r="CT2726" s="156" t="n"/>
      <c r="CU2726" s="156" t="n"/>
      <c r="CV2726" s="156" t="n"/>
      <c r="CW2726" s="156" t="n"/>
      <c r="CX2726" s="156" t="n"/>
      <c r="CY2726" s="156" t="n"/>
      <c r="CZ2726" s="156" t="n"/>
      <c r="DA2726" s="156" t="n"/>
      <c r="DB2726" s="156" t="n"/>
      <c r="DC2726" s="156" t="n"/>
      <c r="DD2726" s="156" t="n"/>
      <c r="DE2726" s="156" t="n"/>
      <c r="DF2726" s="156" t="n"/>
      <c r="DG2726" s="156" t="n"/>
      <c r="DH2726" s="156" t="n"/>
      <c r="DI2726" s="156" t="n"/>
      <c r="DJ2726" s="156" t="n"/>
      <c r="DK2726" s="156" t="n"/>
      <c r="DL2726" s="156" t="n"/>
      <c r="DM2726" s="156" t="n"/>
      <c r="DN2726" s="156" t="n"/>
      <c r="DO2726" s="156" t="n"/>
      <c r="DP2726" s="156" t="n"/>
      <c r="DQ2726" s="156" t="n"/>
      <c r="DR2726" s="156" t="n"/>
      <c r="DS2726" s="156" t="n"/>
      <c r="DT2726" s="156" t="n"/>
      <c r="DU2726" s="157"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87" t="inlineStr">
        <is>
          <t xml:space="preserve">    (近畿高等学校統一用紙　  その２ 　  令和７年度改定)　</t>
        </is>
      </c>
      <c r="DV2728" s="2" t="n"/>
      <c r="DW2728" s="2" t="n"/>
      <c r="DX2728" s="2" t="n"/>
      <c r="DY2728" s="2" t="n"/>
      <c r="DZ2728" s="2" t="n"/>
      <c r="EA2728" s="2" t="n"/>
      <c r="EB2728" s="2" t="n"/>
      <c r="EC2728" s="2" t="n"/>
    </row>
    <row r="2729" hidden="1"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idden="1"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47"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64" t="inlineStr">
        <is>
          <t>令和</t>
        </is>
      </c>
      <c r="AD2738" s="154">
        <f>IF(入力!$D$35="","",IF(N(設定!$B$3)=0,"",YEAR(設定!$B$3)-2018))&amp;""</f>
        <v/>
      </c>
      <c r="AG2738" s="64" t="inlineStr">
        <is>
          <t>年</t>
        </is>
      </c>
      <c r="AI2738" s="154">
        <f>IF(入力!$D$35="","",IF(N(設定!$B$3)=0,"",MONTH(設定!$B$3)))&amp;""</f>
        <v/>
      </c>
      <c r="AL2738" s="64" t="inlineStr">
        <is>
          <t>月</t>
        </is>
      </c>
      <c r="AN2738" s="154">
        <f>IF(入力!$D$35="","",IF(N(設定!$B$3)=0,"",DAY(設定!$B$3)))&amp;""</f>
        <v/>
      </c>
      <c r="AP2738" s="64"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5" t="n"/>
      <c r="BX2738" s="156" t="n"/>
      <c r="BY2738" s="156" t="n"/>
      <c r="BZ2738" s="156" t="n"/>
      <c r="CA2738" s="156" t="n"/>
      <c r="CB2738" s="156" t="n"/>
      <c r="CC2738" s="156" t="n"/>
      <c r="CD2738" s="156" t="n"/>
      <c r="CE2738" s="156" t="n"/>
      <c r="CF2738" s="156" t="n"/>
      <c r="CG2738" s="157" t="n"/>
      <c r="CH2738" s="155" t="n"/>
      <c r="CI2738" s="156" t="n"/>
      <c r="CJ2738" s="156" t="n"/>
      <c r="CK2738" s="156" t="n"/>
      <c r="CL2738" s="156" t="n"/>
      <c r="CM2738" s="156" t="n"/>
      <c r="CN2738" s="156" t="n"/>
      <c r="CO2738" s="156" t="n"/>
      <c r="CP2738" s="156" t="n"/>
      <c r="CQ2738" s="156" t="n"/>
      <c r="CR2738" s="156" t="n"/>
      <c r="CS2738" s="156" t="n"/>
      <c r="CT2738" s="156" t="n"/>
      <c r="CU2738" s="156" t="n"/>
      <c r="CV2738" s="156" t="n"/>
      <c r="CW2738" s="156" t="n"/>
      <c r="CX2738" s="156" t="n"/>
      <c r="CY2738" s="156" t="n"/>
      <c r="CZ2738" s="156" t="n"/>
      <c r="DA2738" s="156" t="n"/>
      <c r="DB2738" s="156" t="n"/>
      <c r="DC2738" s="156" t="n"/>
      <c r="DD2738" s="156" t="n"/>
      <c r="DE2738" s="156" t="n"/>
      <c r="DF2738" s="156" t="n"/>
      <c r="DG2738" s="156" t="n"/>
      <c r="DH2738" s="156" t="n"/>
      <c r="DI2738" s="156" t="n"/>
      <c r="DJ2738" s="156" t="n"/>
      <c r="DK2738" s="156" t="n"/>
      <c r="DL2738" s="156" t="n"/>
      <c r="DM2738" s="156" t="n"/>
      <c r="DN2738" s="156" t="n"/>
      <c r="DO2738" s="156" t="n"/>
      <c r="DP2738" s="156" t="n"/>
      <c r="DQ2738" s="156" t="n"/>
      <c r="DR2738" s="156" t="n"/>
      <c r="DS2738" s="156" t="n"/>
      <c r="DT2738" s="156" t="n"/>
      <c r="DU2738" s="157"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68" t="inlineStr">
        <is>
          <t>写真をはる位置</t>
        </is>
      </c>
      <c r="BI2739" s="8" t="n"/>
      <c r="BJ2739" s="7" t="n"/>
      <c r="BK2739" s="2" t="n"/>
      <c r="BL2739" s="2" t="n"/>
      <c r="BM2739" s="2" t="n"/>
      <c r="BN2739" s="2" t="n"/>
      <c r="BO2739" s="2" t="n"/>
      <c r="BP2739" s="152" t="n"/>
      <c r="BV2739" s="153" t="n"/>
      <c r="BW2739" s="158">
        <f>計算!$CB$33</f>
        <v/>
      </c>
      <c r="CG2739" s="153" t="n"/>
      <c r="CH2739" s="159">
        <f>計算!$CC$33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6" t="n"/>
      <c r="AA2740" s="156" t="n"/>
      <c r="AB2740" s="156" t="n"/>
      <c r="AC2740" s="156" t="n"/>
      <c r="AD2740" s="156" t="n"/>
      <c r="AE2740" s="156" t="n"/>
      <c r="AF2740" s="156" t="n"/>
      <c r="AG2740" s="156" t="n"/>
      <c r="AH2740" s="156" t="n"/>
      <c r="AI2740" s="156" t="n"/>
      <c r="AJ2740" s="156" t="n"/>
      <c r="AK2740" s="156" t="n"/>
      <c r="AL2740" s="156" t="n"/>
      <c r="AM2740" s="156" t="n"/>
      <c r="AN2740" s="156" t="n"/>
      <c r="AO2740" s="156" t="n"/>
      <c r="AP2740" s="156" t="n"/>
      <c r="AQ2740" s="156" t="n"/>
      <c r="AR2740" s="156" t="n"/>
      <c r="AS2740" s="156" t="n"/>
      <c r="AT2740" s="156"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0">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5" t="n"/>
      <c r="F2744" s="156" t="n"/>
      <c r="G2744" s="156" t="n"/>
      <c r="H2744" s="156" t="n"/>
      <c r="I2744" s="156" t="n"/>
      <c r="J2744" s="156" t="n"/>
      <c r="K2744" s="157" t="n"/>
      <c r="L2744" s="156" t="n"/>
      <c r="M2744" s="156" t="n"/>
      <c r="N2744" s="156" t="n"/>
      <c r="O2744" s="156" t="n"/>
      <c r="P2744" s="156" t="n"/>
      <c r="Q2744" s="156" t="n"/>
      <c r="R2744" s="156" t="n"/>
      <c r="S2744" s="156" t="n"/>
      <c r="T2744" s="156" t="n"/>
      <c r="U2744" s="156" t="n"/>
      <c r="V2744" s="156" t="n"/>
      <c r="W2744" s="156" t="n"/>
      <c r="X2744" s="156" t="n"/>
      <c r="Y2744" s="156" t="n"/>
      <c r="Z2744" s="156" t="n"/>
      <c r="AA2744" s="156" t="n"/>
      <c r="AB2744" s="156" t="n"/>
      <c r="AC2744" s="156" t="n"/>
      <c r="AD2744" s="156" t="n"/>
      <c r="AE2744" s="156" t="n"/>
      <c r="AF2744" s="156" t="n"/>
      <c r="AG2744" s="156" t="n"/>
      <c r="AH2744" s="156" t="n"/>
      <c r="AI2744" s="156" t="n"/>
      <c r="AJ2744" s="156" t="n"/>
      <c r="AK2744" s="156" t="n"/>
      <c r="AL2744" s="156" t="n"/>
      <c r="AM2744" s="156" t="n"/>
      <c r="AN2744" s="156" t="n"/>
      <c r="AO2744" s="156" t="n"/>
      <c r="AP2744" s="156" t="n"/>
      <c r="AQ2744" s="156" t="n"/>
      <c r="AR2744" s="156" t="n"/>
      <c r="AS2744" s="156" t="n"/>
      <c r="AT2744" s="157"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1" t="inlineStr">
        <is>
          <t>名　前</t>
        </is>
      </c>
      <c r="F2745" s="149" t="n"/>
      <c r="G2745" s="149" t="n"/>
      <c r="H2745" s="149" t="n"/>
      <c r="I2745" s="149" t="n"/>
      <c r="J2745" s="149" t="n"/>
      <c r="K2745" s="150" t="n"/>
      <c r="L2745" s="162">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61"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5" t="n"/>
      <c r="F2750" s="156" t="n"/>
      <c r="G2750" s="156" t="n"/>
      <c r="H2750" s="156" t="n"/>
      <c r="I2750" s="156" t="n"/>
      <c r="J2750" s="156" t="n"/>
      <c r="K2750" s="157" t="n"/>
      <c r="L2750" s="155" t="n"/>
      <c r="M2750" s="156" t="n"/>
      <c r="N2750" s="156" t="n"/>
      <c r="O2750" s="156" t="n"/>
      <c r="P2750" s="156" t="n"/>
      <c r="Q2750" s="156" t="n"/>
      <c r="R2750" s="156" t="n"/>
      <c r="S2750" s="156" t="n"/>
      <c r="T2750" s="156" t="n"/>
      <c r="U2750" s="156" t="n"/>
      <c r="V2750" s="156" t="n"/>
      <c r="W2750" s="156" t="n"/>
      <c r="X2750" s="156" t="n"/>
      <c r="Y2750" s="156" t="n"/>
      <c r="Z2750" s="156" t="n"/>
      <c r="AA2750" s="156" t="n"/>
      <c r="AB2750" s="156" t="n"/>
      <c r="AC2750" s="156" t="n"/>
      <c r="AD2750" s="156" t="n"/>
      <c r="AE2750" s="156" t="n"/>
      <c r="AF2750" s="156" t="n"/>
      <c r="AG2750" s="156" t="n"/>
      <c r="AH2750" s="156" t="n"/>
      <c r="AI2750" s="156" t="n"/>
      <c r="AJ2750" s="156" t="n"/>
      <c r="AK2750" s="156" t="n"/>
      <c r="AL2750" s="156" t="n"/>
      <c r="AM2750" s="156" t="n"/>
      <c r="AN2750" s="156" t="n"/>
      <c r="AO2750" s="156" t="n"/>
      <c r="AP2750" s="156" t="n"/>
      <c r="AQ2750" s="156" t="n"/>
      <c r="AR2750" s="156" t="n"/>
      <c r="AS2750" s="156" t="n"/>
      <c r="AT2750" s="157"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1" t="inlineStr">
        <is>
          <t>生年月日</t>
        </is>
      </c>
      <c r="F2751" s="149" t="n"/>
      <c r="G2751" s="149" t="n"/>
      <c r="H2751" s="149" t="n"/>
      <c r="I2751" s="149" t="n"/>
      <c r="J2751" s="149" t="n"/>
      <c r="K2751" s="150" t="n"/>
      <c r="L2751" s="163" t="inlineStr">
        <is>
          <t>昭和 ・ 平成</t>
        </is>
      </c>
      <c r="M2751" s="149" t="n"/>
      <c r="N2751" s="149" t="n"/>
      <c r="O2751" s="149" t="n"/>
      <c r="P2751" s="149" t="n"/>
      <c r="Q2751" s="149" t="n"/>
      <c r="R2751" s="149" t="n"/>
      <c r="S2751" s="149" t="n"/>
      <c r="T2751" s="149" t="n"/>
      <c r="U2751" s="149" t="n"/>
      <c r="V2751" s="164">
        <f>計算!$D$33</f>
        <v/>
      </c>
      <c r="W2751" s="149" t="n"/>
      <c r="X2751" s="165" t="inlineStr">
        <is>
          <t>年</t>
        </is>
      </c>
      <c r="Y2751" s="149" t="n"/>
      <c r="Z2751" s="166">
        <f>計算!$E$33</f>
        <v/>
      </c>
      <c r="AA2751" s="149" t="n"/>
      <c r="AB2751" s="149" t="n"/>
      <c r="AC2751" s="165" t="inlineStr">
        <is>
          <t>月</t>
        </is>
      </c>
      <c r="AD2751" s="149" t="n"/>
      <c r="AE2751" s="166">
        <f>計算!$F$33</f>
        <v/>
      </c>
      <c r="AF2751" s="149" t="n"/>
      <c r="AG2751" s="149" t="n"/>
      <c r="AH2751" s="165" t="inlineStr">
        <is>
          <t>日　生 （満</t>
        </is>
      </c>
      <c r="AI2751" s="149" t="n"/>
      <c r="AJ2751" s="149" t="n"/>
      <c r="AK2751" s="149" t="n"/>
      <c r="AL2751" s="149" t="n"/>
      <c r="AM2751" s="149" t="n"/>
      <c r="AN2751" s="149" t="n"/>
      <c r="AO2751" s="149" t="n"/>
      <c r="AP2751" s="167">
        <f>計算!$G$33</f>
        <v/>
      </c>
      <c r="AQ2751" s="149" t="n"/>
      <c r="AR2751" s="168"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5" t="n"/>
      <c r="F2754" s="156" t="n"/>
      <c r="G2754" s="156" t="n"/>
      <c r="H2754" s="156" t="n"/>
      <c r="I2754" s="156" t="n"/>
      <c r="J2754" s="156" t="n"/>
      <c r="K2754" s="157" t="n"/>
      <c r="L2754" s="155" t="n"/>
      <c r="M2754" s="156" t="n"/>
      <c r="N2754" s="156" t="n"/>
      <c r="O2754" s="156" t="n"/>
      <c r="P2754" s="156" t="n"/>
      <c r="Q2754" s="156" t="n"/>
      <c r="R2754" s="156" t="n"/>
      <c r="S2754" s="156" t="n"/>
      <c r="T2754" s="156" t="n"/>
      <c r="U2754" s="156" t="n"/>
      <c r="X2754" s="156" t="n"/>
      <c r="Y2754" s="156" t="n"/>
      <c r="AC2754" s="156" t="n"/>
      <c r="AD2754" s="156" t="n"/>
      <c r="AH2754" s="156" t="n"/>
      <c r="AI2754" s="156" t="n"/>
      <c r="AJ2754" s="156" t="n"/>
      <c r="AK2754" s="156" t="n"/>
      <c r="AL2754" s="156" t="n"/>
      <c r="AM2754" s="156" t="n"/>
      <c r="AN2754" s="156" t="n"/>
      <c r="AO2754" s="156" t="n"/>
      <c r="AP2754" s="156" t="n"/>
      <c r="AQ2754" s="156" t="n"/>
      <c r="AR2754" s="156" t="n"/>
      <c r="AS2754" s="156" t="n"/>
      <c r="AT2754" s="157"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69" t="inlineStr">
        <is>
          <t>ふ り が な</t>
        </is>
      </c>
      <c r="F2755" s="149" t="n"/>
      <c r="G2755" s="149" t="n"/>
      <c r="H2755" s="149" t="n"/>
      <c r="I2755" s="149" t="n"/>
      <c r="J2755" s="149" t="n"/>
      <c r="K2755" s="150" t="n"/>
      <c r="L2755" s="170">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1" t="n"/>
      <c r="F2757" s="172" t="n"/>
      <c r="G2757" s="172" t="n"/>
      <c r="H2757" s="172" t="n"/>
      <c r="I2757" s="172" t="n"/>
      <c r="J2757" s="172" t="n"/>
      <c r="K2757" s="173" t="n"/>
      <c r="L2757" s="172" t="n"/>
      <c r="M2757" s="172" t="n"/>
      <c r="N2757" s="172" t="n"/>
      <c r="O2757" s="172" t="n"/>
      <c r="P2757" s="172" t="n"/>
      <c r="Q2757" s="172" t="n"/>
      <c r="R2757" s="172" t="n"/>
      <c r="S2757" s="172" t="n"/>
      <c r="T2757" s="172" t="n"/>
      <c r="U2757" s="172" t="n"/>
      <c r="V2757" s="172" t="n"/>
      <c r="W2757" s="172" t="n"/>
      <c r="X2757" s="172" t="n"/>
      <c r="Y2757" s="172" t="n"/>
      <c r="Z2757" s="172" t="n"/>
      <c r="AA2757" s="172" t="n"/>
      <c r="AB2757" s="172" t="n"/>
      <c r="AC2757" s="172" t="n"/>
      <c r="AD2757" s="172" t="n"/>
      <c r="AE2757" s="172" t="n"/>
      <c r="AF2757" s="172" t="n"/>
      <c r="AG2757" s="172" t="n"/>
      <c r="AH2757" s="172" t="n"/>
      <c r="AI2757" s="172" t="n"/>
      <c r="AJ2757" s="172" t="n"/>
      <c r="AK2757" s="172" t="n"/>
      <c r="AL2757" s="172" t="n"/>
      <c r="AM2757" s="172" t="n"/>
      <c r="AN2757" s="172" t="n"/>
      <c r="AO2757" s="172" t="n"/>
      <c r="AP2757" s="172" t="n"/>
      <c r="AQ2757" s="172" t="n"/>
      <c r="AR2757" s="172" t="n"/>
      <c r="AS2757" s="172" t="n"/>
      <c r="AT2757" s="172" t="n"/>
      <c r="AU2757" s="172" t="n"/>
      <c r="AV2757" s="172" t="n"/>
      <c r="AW2757" s="172" t="n"/>
      <c r="AX2757" s="172" t="n"/>
      <c r="AY2757" s="172" t="n"/>
      <c r="AZ2757" s="172" t="n"/>
      <c r="BA2757" s="172" t="n"/>
      <c r="BB2757" s="172" t="n"/>
      <c r="BC2757" s="172" t="n"/>
      <c r="BD2757" s="172" t="n"/>
      <c r="BE2757" s="172" t="n"/>
      <c r="BF2757" s="172" t="n"/>
      <c r="BG2757" s="172" t="n"/>
      <c r="BH2757" s="172" t="n"/>
      <c r="BI2757" s="173"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4" t="inlineStr">
        <is>
          <t>現住所</t>
        </is>
      </c>
      <c r="F2758" s="175" t="n"/>
      <c r="G2758" s="175" t="n"/>
      <c r="H2758" s="175" t="n"/>
      <c r="I2758" s="175" t="n"/>
      <c r="J2758" s="175" t="n"/>
      <c r="K2758" s="176" t="n"/>
      <c r="L2758" s="83" t="inlineStr">
        <is>
          <t>〒</t>
        </is>
      </c>
      <c r="M2758" s="175" t="n"/>
      <c r="N2758" s="175" t="n"/>
      <c r="O2758" s="175" t="n"/>
      <c r="P2758" s="177">
        <f>計算!$H$33</f>
        <v/>
      </c>
      <c r="Q2758" s="175" t="n"/>
      <c r="R2758" s="175" t="n"/>
      <c r="S2758" s="175" t="n"/>
      <c r="T2758" s="175" t="n"/>
      <c r="U2758" s="175" t="n"/>
      <c r="V2758" s="175" t="n"/>
      <c r="W2758" s="175" t="n"/>
      <c r="X2758" s="175" t="n"/>
      <c r="Y2758" s="175" t="n"/>
      <c r="Z2758" s="175" t="n"/>
      <c r="AA2758" s="175" t="n"/>
      <c r="AB2758" s="175" t="n"/>
      <c r="AC2758" s="175" t="n"/>
      <c r="AD2758" s="175" t="n"/>
      <c r="AE2758" s="175" t="n"/>
      <c r="AF2758" s="175" t="n"/>
      <c r="AG2758" s="175" t="n"/>
      <c r="AH2758" s="175" t="n"/>
      <c r="AI2758" s="175" t="n"/>
      <c r="AJ2758" s="175"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5" t="n"/>
      <c r="BQ2759" s="156" t="n"/>
      <c r="BR2759" s="156" t="n"/>
      <c r="BS2759" s="156" t="n"/>
      <c r="BT2759" s="156" t="n"/>
      <c r="BU2759" s="156" t="n"/>
      <c r="BV2759" s="157" t="n"/>
      <c r="BW2759" s="155" t="n"/>
      <c r="BX2759" s="156" t="n"/>
      <c r="BY2759" s="156" t="n"/>
      <c r="BZ2759" s="156" t="n"/>
      <c r="CA2759" s="156" t="n"/>
      <c r="CB2759" s="156" t="n"/>
      <c r="CC2759" s="156" t="n"/>
      <c r="CD2759" s="156" t="n"/>
      <c r="CE2759" s="156" t="n"/>
      <c r="CF2759" s="156" t="n"/>
      <c r="CG2759" s="157"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8" t="inlineStr">
        <is>
          <t>校内外の諸活動</t>
        </is>
      </c>
      <c r="BQ2760" s="149" t="n"/>
      <c r="BR2760" s="149" t="n"/>
      <c r="BS2760" s="149" t="n"/>
      <c r="BT2760" s="149" t="n"/>
      <c r="BU2760" s="149" t="n"/>
      <c r="BV2760" s="150" t="n"/>
      <c r="BW2760" s="179">
        <f>計算!$BO$33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0">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5" t="n"/>
      <c r="F2763" s="156" t="n"/>
      <c r="G2763" s="156" t="n"/>
      <c r="H2763" s="156" t="n"/>
      <c r="I2763" s="156" t="n"/>
      <c r="J2763" s="156" t="n"/>
      <c r="K2763" s="157" t="n"/>
      <c r="L2763" s="155" t="n"/>
      <c r="M2763" s="156" t="n"/>
      <c r="N2763" s="156" t="n"/>
      <c r="O2763" s="156" t="n"/>
      <c r="P2763" s="156" t="n"/>
      <c r="Q2763" s="156" t="n"/>
      <c r="R2763" s="156" t="n"/>
      <c r="S2763" s="156" t="n"/>
      <c r="T2763" s="156" t="n"/>
      <c r="U2763" s="156" t="n"/>
      <c r="V2763" s="156" t="n"/>
      <c r="W2763" s="156" t="n"/>
      <c r="X2763" s="156" t="n"/>
      <c r="Y2763" s="156" t="n"/>
      <c r="Z2763" s="156" t="n"/>
      <c r="AA2763" s="156" t="n"/>
      <c r="AB2763" s="156" t="n"/>
      <c r="AC2763" s="156" t="n"/>
      <c r="AD2763" s="156" t="n"/>
      <c r="AE2763" s="156" t="n"/>
      <c r="AF2763" s="156" t="n"/>
      <c r="AG2763" s="156" t="n"/>
      <c r="AH2763" s="156" t="n"/>
      <c r="AI2763" s="156" t="n"/>
      <c r="AJ2763" s="156" t="n"/>
      <c r="AK2763" s="156" t="n"/>
      <c r="AL2763" s="156" t="n"/>
      <c r="AM2763" s="156" t="n"/>
      <c r="AN2763" s="156" t="n"/>
      <c r="AO2763" s="156" t="n"/>
      <c r="AP2763" s="156" t="n"/>
      <c r="AQ2763" s="156" t="n"/>
      <c r="AR2763" s="156" t="n"/>
      <c r="AS2763" s="156" t="n"/>
      <c r="AT2763" s="156" t="n"/>
      <c r="AU2763" s="156" t="n"/>
      <c r="AV2763" s="156" t="n"/>
      <c r="AW2763" s="156" t="n"/>
      <c r="AX2763" s="156" t="n"/>
      <c r="AY2763" s="156" t="n"/>
      <c r="AZ2763" s="156" t="n"/>
      <c r="BA2763" s="156" t="n"/>
      <c r="BB2763" s="156" t="n"/>
      <c r="BC2763" s="156" t="n"/>
      <c r="BD2763" s="156" t="n"/>
      <c r="BE2763" s="156" t="n"/>
      <c r="BF2763" s="156" t="n"/>
      <c r="BG2763" s="156" t="n"/>
      <c r="BH2763" s="156" t="n"/>
      <c r="BI2763" s="157"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69" t="inlineStr">
        <is>
          <t>ふ り が な</t>
        </is>
      </c>
      <c r="F2764" s="149" t="n"/>
      <c r="G2764" s="149" t="n"/>
      <c r="H2764" s="149" t="n"/>
      <c r="I2764" s="149" t="n"/>
      <c r="J2764" s="149" t="n"/>
      <c r="K2764" s="150" t="n"/>
      <c r="L2764" s="170">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1" t="n"/>
      <c r="F2766" s="172" t="n"/>
      <c r="G2766" s="172" t="n"/>
      <c r="H2766" s="172" t="n"/>
      <c r="I2766" s="172" t="n"/>
      <c r="J2766" s="172" t="n"/>
      <c r="K2766" s="173" t="n"/>
      <c r="L2766" s="172" t="n"/>
      <c r="M2766" s="172" t="n"/>
      <c r="N2766" s="172" t="n"/>
      <c r="O2766" s="172" t="n"/>
      <c r="P2766" s="172" t="n"/>
      <c r="Q2766" s="172" t="n"/>
      <c r="R2766" s="172" t="n"/>
      <c r="S2766" s="172" t="n"/>
      <c r="T2766" s="172" t="n"/>
      <c r="U2766" s="172" t="n"/>
      <c r="V2766" s="172" t="n"/>
      <c r="W2766" s="172" t="n"/>
      <c r="X2766" s="172" t="n"/>
      <c r="Y2766" s="172" t="n"/>
      <c r="Z2766" s="172" t="n"/>
      <c r="AA2766" s="172" t="n"/>
      <c r="AB2766" s="172" t="n"/>
      <c r="AC2766" s="172" t="n"/>
      <c r="AD2766" s="172" t="n"/>
      <c r="AE2766" s="172" t="n"/>
      <c r="AF2766" s="172" t="n"/>
      <c r="AG2766" s="172" t="n"/>
      <c r="AH2766" s="172" t="n"/>
      <c r="AI2766" s="172" t="n"/>
      <c r="AJ2766" s="172" t="n"/>
      <c r="AK2766" s="172" t="n"/>
      <c r="AL2766" s="172" t="n"/>
      <c r="AM2766" s="172" t="n"/>
      <c r="AN2766" s="172" t="n"/>
      <c r="AO2766" s="172" t="n"/>
      <c r="AP2766" s="172" t="n"/>
      <c r="AQ2766" s="172" t="n"/>
      <c r="AR2766" s="172" t="n"/>
      <c r="AS2766" s="172" t="n"/>
      <c r="AT2766" s="172" t="n"/>
      <c r="AU2766" s="172" t="n"/>
      <c r="AV2766" s="172" t="n"/>
      <c r="AW2766" s="172" t="n"/>
      <c r="AX2766" s="172" t="n"/>
      <c r="AY2766" s="172" t="n"/>
      <c r="AZ2766" s="172" t="n"/>
      <c r="BA2766" s="172" t="n"/>
      <c r="BB2766" s="172" t="n"/>
      <c r="BC2766" s="172" t="n"/>
      <c r="BD2766" s="172" t="n"/>
      <c r="BE2766" s="172" t="n"/>
      <c r="BF2766" s="172" t="n"/>
      <c r="BG2766" s="172" t="n"/>
      <c r="BH2766" s="172" t="n"/>
      <c r="BI2766" s="173"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4" t="inlineStr">
        <is>
          <t>連絡先</t>
        </is>
      </c>
      <c r="F2767" s="175" t="n"/>
      <c r="G2767" s="175" t="n"/>
      <c r="H2767" s="175" t="n"/>
      <c r="I2767" s="175" t="n"/>
      <c r="J2767" s="175" t="n"/>
      <c r="K2767" s="176" t="n"/>
      <c r="L2767" s="83" t="inlineStr">
        <is>
          <t>〒</t>
        </is>
      </c>
      <c r="M2767" s="175" t="n"/>
      <c r="N2767" s="175" t="n"/>
      <c r="O2767" s="175" t="n"/>
      <c r="P2767" s="181">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2">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5" t="n"/>
      <c r="F2771" s="156" t="n"/>
      <c r="G2771" s="156" t="n"/>
      <c r="H2771" s="156" t="n"/>
      <c r="I2771" s="156" t="n"/>
      <c r="J2771" s="156" t="n"/>
      <c r="K2771" s="157" t="n"/>
      <c r="L2771" s="156" t="n"/>
      <c r="M2771" s="156" t="n"/>
      <c r="N2771" s="156" t="n"/>
      <c r="O2771" s="156" t="n"/>
      <c r="P2771" s="156" t="n"/>
      <c r="Q2771" s="156" t="n"/>
      <c r="R2771" s="156" t="n"/>
      <c r="S2771" s="156" t="n"/>
      <c r="T2771" s="156" t="n"/>
      <c r="U2771" s="156" t="n"/>
      <c r="V2771" s="156" t="n"/>
      <c r="W2771" s="156" t="n"/>
      <c r="X2771" s="156" t="n"/>
      <c r="Y2771" s="156" t="n"/>
      <c r="Z2771" s="156" t="n"/>
      <c r="AA2771" s="156" t="n"/>
      <c r="AB2771" s="156" t="n"/>
      <c r="AC2771" s="156" t="n"/>
      <c r="AD2771" s="156" t="n"/>
      <c r="AE2771" s="156" t="n"/>
      <c r="AF2771" s="156" t="n"/>
      <c r="AG2771" s="156" t="n"/>
      <c r="AH2771" s="156" t="n"/>
      <c r="AI2771" s="156" t="n"/>
      <c r="AJ2771" s="156" t="n"/>
      <c r="AK2771" s="156" t="n"/>
      <c r="AL2771" s="156" t="n"/>
      <c r="AM2771" s="156" t="n"/>
      <c r="AN2771" s="156" t="n"/>
      <c r="AO2771" s="156" t="n"/>
      <c r="AP2771" s="156" t="n"/>
      <c r="AQ2771" s="156" t="n"/>
      <c r="AR2771" s="156" t="n"/>
      <c r="AS2771" s="156" t="n"/>
      <c r="AT2771" s="156" t="n"/>
      <c r="AU2771" s="156" t="n"/>
      <c r="AV2771" s="156" t="n"/>
      <c r="AW2771" s="156" t="n"/>
      <c r="AX2771" s="156" t="n"/>
      <c r="AY2771" s="156" t="n"/>
      <c r="AZ2771" s="156" t="n"/>
      <c r="BA2771" s="156" t="n"/>
      <c r="BB2771" s="156" t="n"/>
      <c r="BC2771" s="156" t="n"/>
      <c r="BD2771" s="156" t="n"/>
      <c r="BE2771" s="156" t="n"/>
      <c r="BF2771" s="156" t="n"/>
      <c r="BG2771" s="156" t="n"/>
      <c r="BH2771" s="156" t="n"/>
      <c r="BI2771" s="157"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86"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3" t="n"/>
      <c r="BQ2777" s="149" t="n"/>
      <c r="BR2777" s="184" t="n"/>
      <c r="BS2777" s="149" t="n"/>
      <c r="BT2777" s="149" t="n"/>
      <c r="BU2777" s="28" t="n"/>
      <c r="BV2777" s="29" t="n"/>
      <c r="BW2777" s="185">
        <f>計算!$BP$33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115"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6"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107"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7">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188">
        <f>IF(入力!$D$35="","",設定!$B$6)&amp;""</f>
        <v/>
      </c>
      <c r="S2785" s="11" t="n"/>
      <c r="T2785" s="11" t="n"/>
      <c r="U2785" s="188">
        <f>IF(入力!$D$35="","",設定!$B$7)&amp;""</f>
        <v/>
      </c>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110" t="inlineStr">
        <is>
          <t>令和</t>
        </is>
      </c>
      <c r="S2786" s="61" t="inlineStr">
        <is>
          <t>年</t>
        </is>
      </c>
      <c r="W2786" s="62"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90"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5" t="n"/>
      <c r="F2790" s="156" t="n"/>
      <c r="G2790" s="156" t="n"/>
      <c r="H2790" s="156" t="n"/>
      <c r="I2790" s="156" t="n"/>
      <c r="J2790" s="156" t="n"/>
      <c r="K2790" s="157"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6" t="n"/>
      <c r="AX2790" s="156" t="n"/>
      <c r="AY2790" s="156" t="n"/>
      <c r="AZ2790" s="156" t="n"/>
      <c r="BA2790" s="156" t="n"/>
      <c r="BB2790" s="156" t="n"/>
      <c r="BC2790" s="156" t="n"/>
      <c r="BD2790" s="156" t="n"/>
      <c r="BE2790" s="156" t="n"/>
      <c r="BF2790" s="156" t="n"/>
      <c r="BG2790" s="156" t="n"/>
      <c r="BH2790" s="156" t="n"/>
      <c r="BI2790" s="157"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58" t="n"/>
      <c r="T2791" s="149" t="n"/>
      <c r="U2791" s="17" t="n"/>
      <c r="V2791" s="17" t="n"/>
      <c r="W2791" s="58"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89" t="inlineStr">
        <is>
          <t>職　歴</t>
        </is>
      </c>
      <c r="K2794" s="153" t="n"/>
      <c r="L2794" s="69" t="inlineStr">
        <is>
          <t>平成</t>
        </is>
      </c>
      <c r="M2794" s="149" t="n"/>
      <c r="N2794" s="149" t="n"/>
      <c r="O2794" s="149" t="n"/>
      <c r="P2794" s="19" t="n"/>
      <c r="Q2794" s="19" t="n"/>
      <c r="R2794" s="19" t="n"/>
      <c r="S2794" s="19" t="n"/>
      <c r="T2794" s="19" t="n"/>
      <c r="U2794" s="19" t="n"/>
      <c r="V2794" s="19" t="n"/>
      <c r="W2794" s="19" t="n"/>
      <c r="X2794" s="37" t="n"/>
      <c r="Y2794" s="180">
        <f>計算!$BT$33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8">
        <f>計算!$BR$33</f>
        <v/>
      </c>
      <c r="S2796" s="61" t="inlineStr">
        <is>
          <t>年</t>
        </is>
      </c>
      <c r="U2796" s="190">
        <f>計算!$BS$33</f>
        <v/>
      </c>
      <c r="W2796" s="62"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74"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5" t="n"/>
      <c r="M2799" s="156" t="n"/>
      <c r="N2799" s="156" t="n"/>
      <c r="O2799" s="156" t="n"/>
      <c r="P2799" s="20" t="n"/>
      <c r="Q2799" s="20" t="n"/>
      <c r="R2799" s="20" t="n"/>
      <c r="S2799" s="20" t="n"/>
      <c r="T2799" s="20" t="n"/>
      <c r="U2799" s="20" t="n"/>
      <c r="V2799" s="20" t="n"/>
      <c r="W2799" s="20" t="n"/>
      <c r="X2799" s="39" t="n"/>
      <c r="Y2799" s="155" t="n"/>
      <c r="Z2799" s="156" t="n"/>
      <c r="AA2799" s="156" t="n"/>
      <c r="AB2799" s="156" t="n"/>
      <c r="AC2799" s="156" t="n"/>
      <c r="AD2799" s="156" t="n"/>
      <c r="AE2799" s="156" t="n"/>
      <c r="AF2799" s="156" t="n"/>
      <c r="AG2799" s="156" t="n"/>
      <c r="AH2799" s="156" t="n"/>
      <c r="AI2799" s="156" t="n"/>
      <c r="AJ2799" s="156" t="n"/>
      <c r="AK2799" s="156" t="n"/>
      <c r="AL2799" s="156" t="n"/>
      <c r="AM2799" s="156" t="n"/>
      <c r="AN2799" s="156" t="n"/>
      <c r="AO2799" s="156" t="n"/>
      <c r="AP2799" s="156" t="n"/>
      <c r="AQ2799" s="156" t="n"/>
      <c r="AR2799" s="156" t="n"/>
      <c r="AS2799" s="156" t="n"/>
      <c r="AT2799" s="156" t="n"/>
      <c r="AU2799" s="156" t="n"/>
      <c r="AV2799" s="156" t="n"/>
      <c r="AW2799" s="156" t="n"/>
      <c r="AX2799" s="156" t="n"/>
      <c r="AY2799" s="156" t="n"/>
      <c r="AZ2799" s="156" t="n"/>
      <c r="BA2799" s="156" t="n"/>
      <c r="BB2799" s="156" t="n"/>
      <c r="BC2799" s="156" t="n"/>
      <c r="BD2799" s="156" t="n"/>
      <c r="BE2799" s="156" t="n"/>
      <c r="BF2799" s="156" t="n"/>
      <c r="BG2799" s="156" t="n"/>
      <c r="BH2799" s="156" t="n"/>
      <c r="BI2799" s="157"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69" t="inlineStr">
        <is>
          <t>平成</t>
        </is>
      </c>
      <c r="M2800" s="149" t="n"/>
      <c r="N2800" s="149" t="n"/>
      <c r="O2800" s="149" t="n"/>
      <c r="P2800" s="18" t="n"/>
      <c r="Q2800" s="18" t="n"/>
      <c r="R2800" s="18" t="n"/>
      <c r="S2800" s="18" t="n"/>
      <c r="T2800" s="18" t="n"/>
      <c r="U2800" s="18" t="n"/>
      <c r="V2800" s="18" t="n"/>
      <c r="W2800" s="18" t="n"/>
      <c r="X2800" s="35" t="n"/>
      <c r="Y2800" s="180">
        <f>計算!$BW$33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8">
        <f>計算!$BU$33</f>
        <v/>
      </c>
      <c r="S2802" s="61" t="inlineStr">
        <is>
          <t>年</t>
        </is>
      </c>
      <c r="U2802" s="190">
        <f>計算!$BV$33</f>
        <v/>
      </c>
      <c r="W2802" s="62"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74"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5" t="n"/>
      <c r="M2805" s="156" t="n"/>
      <c r="N2805" s="156" t="n"/>
      <c r="O2805" s="156" t="n"/>
      <c r="P2805" s="20" t="n"/>
      <c r="Q2805" s="20" t="n"/>
      <c r="R2805" s="20" t="n"/>
      <c r="S2805" s="20" t="n"/>
      <c r="T2805" s="20" t="n"/>
      <c r="U2805" s="20" t="n"/>
      <c r="V2805" s="20" t="n"/>
      <c r="W2805" s="20" t="n"/>
      <c r="X2805" s="39" t="n"/>
      <c r="Y2805" s="155" t="n"/>
      <c r="Z2805" s="156" t="n"/>
      <c r="AA2805" s="156" t="n"/>
      <c r="AB2805" s="156" t="n"/>
      <c r="AC2805" s="156" t="n"/>
      <c r="AD2805" s="156" t="n"/>
      <c r="AE2805" s="156" t="n"/>
      <c r="AF2805" s="156" t="n"/>
      <c r="AG2805" s="156" t="n"/>
      <c r="AH2805" s="156" t="n"/>
      <c r="AI2805" s="156" t="n"/>
      <c r="AJ2805" s="156" t="n"/>
      <c r="AK2805" s="156" t="n"/>
      <c r="AL2805" s="156" t="n"/>
      <c r="AM2805" s="156" t="n"/>
      <c r="AN2805" s="156" t="n"/>
      <c r="AO2805" s="156" t="n"/>
      <c r="AP2805" s="156" t="n"/>
      <c r="AQ2805" s="156" t="n"/>
      <c r="AR2805" s="156" t="n"/>
      <c r="AS2805" s="156" t="n"/>
      <c r="AT2805" s="156" t="n"/>
      <c r="AU2805" s="156" t="n"/>
      <c r="AV2805" s="156" t="n"/>
      <c r="AW2805" s="156" t="n"/>
      <c r="AX2805" s="156" t="n"/>
      <c r="AY2805" s="156" t="n"/>
      <c r="AZ2805" s="156" t="n"/>
      <c r="BA2805" s="156" t="n"/>
      <c r="BB2805" s="156" t="n"/>
      <c r="BC2805" s="156" t="n"/>
      <c r="BD2805" s="156" t="n"/>
      <c r="BE2805" s="156" t="n"/>
      <c r="BF2805" s="156" t="n"/>
      <c r="BG2805" s="156" t="n"/>
      <c r="BH2805" s="156" t="n"/>
      <c r="BI2805" s="157" t="n"/>
      <c r="BJ2805" s="2" t="n"/>
      <c r="BK2805" s="2" t="n"/>
      <c r="BL2805" s="2" t="n"/>
      <c r="BM2805" s="2" t="n"/>
      <c r="BN2805" s="2" t="n"/>
      <c r="BO2805" s="2" t="n"/>
      <c r="BP2805" s="155" t="n"/>
      <c r="BQ2805" s="156" t="n"/>
      <c r="BR2805" s="156" t="n"/>
      <c r="BS2805" s="156" t="n"/>
      <c r="BT2805" s="156" t="n"/>
      <c r="BU2805" s="42" t="n"/>
      <c r="BV2805" s="45" t="n"/>
      <c r="BW2805" s="156" t="n"/>
      <c r="BX2805" s="156" t="n"/>
      <c r="BY2805" s="156" t="n"/>
      <c r="BZ2805" s="156" t="n"/>
      <c r="CA2805" s="156" t="n"/>
      <c r="CB2805" s="156" t="n"/>
      <c r="CC2805" s="156" t="n"/>
      <c r="CD2805" s="156" t="n"/>
      <c r="CE2805" s="156" t="n"/>
      <c r="CF2805" s="156" t="n"/>
      <c r="CG2805" s="156" t="n"/>
      <c r="CH2805" s="156" t="n"/>
      <c r="CI2805" s="156" t="n"/>
      <c r="CJ2805" s="156" t="n"/>
      <c r="CK2805" s="156" t="n"/>
      <c r="CL2805" s="156" t="n"/>
      <c r="CM2805" s="156" t="n"/>
      <c r="CN2805" s="156" t="n"/>
      <c r="CO2805" s="156" t="n"/>
      <c r="CP2805" s="156" t="n"/>
      <c r="CQ2805" s="156" t="n"/>
      <c r="CR2805" s="156" t="n"/>
      <c r="CS2805" s="156" t="n"/>
      <c r="CT2805" s="156" t="n"/>
      <c r="CU2805" s="156" t="n"/>
      <c r="CV2805" s="156" t="n"/>
      <c r="CW2805" s="156" t="n"/>
      <c r="CX2805" s="156" t="n"/>
      <c r="CY2805" s="156" t="n"/>
      <c r="CZ2805" s="156" t="n"/>
      <c r="DA2805" s="156" t="n"/>
      <c r="DB2805" s="156" t="n"/>
      <c r="DC2805" s="156" t="n"/>
      <c r="DD2805" s="156" t="n"/>
      <c r="DE2805" s="156" t="n"/>
      <c r="DF2805" s="156" t="n"/>
      <c r="DG2805" s="156" t="n"/>
      <c r="DH2805" s="156" t="n"/>
      <c r="DI2805" s="156" t="n"/>
      <c r="DJ2805" s="156" t="n"/>
      <c r="DK2805" s="156" t="n"/>
      <c r="DL2805" s="156" t="n"/>
      <c r="DM2805" s="156" t="n"/>
      <c r="DN2805" s="156" t="n"/>
      <c r="DO2805" s="156" t="n"/>
      <c r="DP2805" s="156" t="n"/>
      <c r="DQ2805" s="156" t="n"/>
      <c r="DR2805" s="156" t="n"/>
      <c r="DS2805" s="156" t="n"/>
      <c r="DT2805" s="156" t="n"/>
      <c r="DU2805" s="157" t="n"/>
      <c r="DV2805" s="2" t="n"/>
      <c r="DW2805" s="2" t="n"/>
      <c r="DX2805" s="2" t="n"/>
      <c r="DY2805" s="2" t="n"/>
      <c r="DZ2805" s="2" t="n"/>
      <c r="EA2805" s="2" t="n"/>
      <c r="EB2805" s="2" t="n"/>
      <c r="EC2805" s="2" t="n"/>
    </row>
    <row r="2806" ht="6.75" customHeight="1" s="118">
      <c r="A2806" s="2" t="n"/>
      <c r="B2806" s="2" t="n"/>
      <c r="C2806" s="2" t="n"/>
      <c r="D2806" s="2" t="n"/>
      <c r="E2806" s="152" t="n"/>
      <c r="K2806" s="153" t="n"/>
      <c r="L2806" s="69"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5">
        <f>計算!$BQ$33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61" t="inlineStr">
        <is>
          <t>年</t>
        </is>
      </c>
      <c r="U2808" s="11" t="n"/>
      <c r="V2808" s="11" t="n"/>
      <c r="W2808" s="62"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74"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5" t="n"/>
      <c r="M2811" s="156" t="n"/>
      <c r="N2811" s="156" t="n"/>
      <c r="O2811" s="156"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69"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61" t="inlineStr">
        <is>
          <t>年</t>
        </is>
      </c>
      <c r="U2814" s="11" t="n"/>
      <c r="V2814" s="11" t="n"/>
      <c r="W2814" s="62"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74"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61" t="n"/>
      <c r="T2816" s="61" t="n"/>
      <c r="U2816" s="11" t="n"/>
      <c r="V2816" s="11" t="n"/>
      <c r="W2816" s="61" t="n"/>
      <c r="X2816" s="62"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5" t="n"/>
      <c r="F2817" s="156" t="n"/>
      <c r="G2817" s="156" t="n"/>
      <c r="H2817" s="156" t="n"/>
      <c r="I2817" s="156" t="n"/>
      <c r="J2817" s="156" t="n"/>
      <c r="K2817" s="157" t="n"/>
      <c r="L2817" s="155" t="n"/>
      <c r="M2817" s="156" t="n"/>
      <c r="N2817" s="156" t="n"/>
      <c r="O2817" s="156"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5" t="n"/>
      <c r="BQ2817" s="156" t="n"/>
      <c r="BR2817" s="156" t="n"/>
      <c r="BS2817" s="156" t="n"/>
      <c r="BT2817" s="156" t="n"/>
      <c r="BU2817" s="156" t="n"/>
      <c r="BV2817" s="157" t="n"/>
      <c r="BW2817" s="156" t="n"/>
      <c r="BX2817" s="156" t="n"/>
      <c r="BY2817" s="156" t="n"/>
      <c r="BZ2817" s="156" t="n"/>
      <c r="CA2817" s="156" t="n"/>
      <c r="CB2817" s="156" t="n"/>
      <c r="CC2817" s="156" t="n"/>
      <c r="CD2817" s="156" t="n"/>
      <c r="CE2817" s="156" t="n"/>
      <c r="CF2817" s="156" t="n"/>
      <c r="CG2817" s="156" t="n"/>
      <c r="CH2817" s="156" t="n"/>
      <c r="CI2817" s="156" t="n"/>
      <c r="CJ2817" s="156" t="n"/>
      <c r="CK2817" s="156" t="n"/>
      <c r="CL2817" s="156" t="n"/>
      <c r="CM2817" s="156" t="n"/>
      <c r="CN2817" s="156" t="n"/>
      <c r="CO2817" s="156" t="n"/>
      <c r="CP2817" s="156" t="n"/>
      <c r="CQ2817" s="156" t="n"/>
      <c r="CR2817" s="156" t="n"/>
      <c r="CS2817" s="156" t="n"/>
      <c r="CT2817" s="156" t="n"/>
      <c r="CU2817" s="156" t="n"/>
      <c r="CV2817" s="156" t="n"/>
      <c r="CW2817" s="156" t="n"/>
      <c r="CX2817" s="156" t="n"/>
      <c r="CY2817" s="156" t="n"/>
      <c r="CZ2817" s="156" t="n"/>
      <c r="DA2817" s="156" t="n"/>
      <c r="DB2817" s="156" t="n"/>
      <c r="DC2817" s="156" t="n"/>
      <c r="DD2817" s="156" t="n"/>
      <c r="DE2817" s="156" t="n"/>
      <c r="DF2817" s="156" t="n"/>
      <c r="DG2817" s="156" t="n"/>
      <c r="DH2817" s="156" t="n"/>
      <c r="DI2817" s="156" t="n"/>
      <c r="DJ2817" s="156" t="n"/>
      <c r="DK2817" s="156" t="n"/>
      <c r="DL2817" s="156" t="n"/>
      <c r="DM2817" s="156" t="n"/>
      <c r="DN2817" s="156" t="n"/>
      <c r="DO2817" s="156" t="n"/>
      <c r="DP2817" s="156" t="n"/>
      <c r="DQ2817" s="156" t="n"/>
      <c r="DR2817" s="156" t="n"/>
      <c r="DS2817" s="156" t="n"/>
      <c r="DT2817" s="156" t="n"/>
      <c r="DU2817" s="157"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87" t="inlineStr">
        <is>
          <t xml:space="preserve">    (近畿高等学校統一用紙　  その２ 　  令和７年度改定)　</t>
        </is>
      </c>
      <c r="DV2819" s="2" t="n"/>
      <c r="DW2819" s="2" t="n"/>
      <c r="DX2819" s="2" t="n"/>
      <c r="DY2819" s="2" t="n"/>
      <c r="DZ2819" s="2" t="n"/>
      <c r="EA2819" s="2" t="n"/>
      <c r="EB2819" s="2" t="n"/>
      <c r="EC2819" s="2" t="n"/>
    </row>
    <row r="2820" hidden="1"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idden="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47"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64" t="inlineStr">
        <is>
          <t>令和</t>
        </is>
      </c>
      <c r="AD2829" s="154">
        <f>IF(入力!$D$36="","",IF(N(設定!$B$3)=0,"",YEAR(設定!$B$3)-2018))&amp;""</f>
        <v/>
      </c>
      <c r="AG2829" s="64" t="inlineStr">
        <is>
          <t>年</t>
        </is>
      </c>
      <c r="AI2829" s="154">
        <f>IF(入力!$D$36="","",IF(N(設定!$B$3)=0,"",MONTH(設定!$B$3)))&amp;""</f>
        <v/>
      </c>
      <c r="AL2829" s="64" t="inlineStr">
        <is>
          <t>月</t>
        </is>
      </c>
      <c r="AN2829" s="154">
        <f>IF(入力!$D$36="","",IF(N(設定!$B$3)=0,"",DAY(設定!$B$3)))&amp;""</f>
        <v/>
      </c>
      <c r="AP2829" s="64"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5" t="n"/>
      <c r="BX2829" s="156" t="n"/>
      <c r="BY2829" s="156" t="n"/>
      <c r="BZ2829" s="156" t="n"/>
      <c r="CA2829" s="156" t="n"/>
      <c r="CB2829" s="156" t="n"/>
      <c r="CC2829" s="156" t="n"/>
      <c r="CD2829" s="156" t="n"/>
      <c r="CE2829" s="156" t="n"/>
      <c r="CF2829" s="156" t="n"/>
      <c r="CG2829" s="157" t="n"/>
      <c r="CH2829" s="155" t="n"/>
      <c r="CI2829" s="156" t="n"/>
      <c r="CJ2829" s="156" t="n"/>
      <c r="CK2829" s="156" t="n"/>
      <c r="CL2829" s="156" t="n"/>
      <c r="CM2829" s="156" t="n"/>
      <c r="CN2829" s="156" t="n"/>
      <c r="CO2829" s="156" t="n"/>
      <c r="CP2829" s="156" t="n"/>
      <c r="CQ2829" s="156" t="n"/>
      <c r="CR2829" s="156" t="n"/>
      <c r="CS2829" s="156" t="n"/>
      <c r="CT2829" s="156" t="n"/>
      <c r="CU2829" s="156" t="n"/>
      <c r="CV2829" s="156" t="n"/>
      <c r="CW2829" s="156" t="n"/>
      <c r="CX2829" s="156" t="n"/>
      <c r="CY2829" s="156" t="n"/>
      <c r="CZ2829" s="156" t="n"/>
      <c r="DA2829" s="156" t="n"/>
      <c r="DB2829" s="156" t="n"/>
      <c r="DC2829" s="156" t="n"/>
      <c r="DD2829" s="156" t="n"/>
      <c r="DE2829" s="156" t="n"/>
      <c r="DF2829" s="156" t="n"/>
      <c r="DG2829" s="156" t="n"/>
      <c r="DH2829" s="156" t="n"/>
      <c r="DI2829" s="156" t="n"/>
      <c r="DJ2829" s="156" t="n"/>
      <c r="DK2829" s="156" t="n"/>
      <c r="DL2829" s="156" t="n"/>
      <c r="DM2829" s="156" t="n"/>
      <c r="DN2829" s="156" t="n"/>
      <c r="DO2829" s="156" t="n"/>
      <c r="DP2829" s="156" t="n"/>
      <c r="DQ2829" s="156" t="n"/>
      <c r="DR2829" s="156" t="n"/>
      <c r="DS2829" s="156" t="n"/>
      <c r="DT2829" s="156" t="n"/>
      <c r="DU2829" s="157"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68" t="inlineStr">
        <is>
          <t>写真をはる位置</t>
        </is>
      </c>
      <c r="BI2830" s="8" t="n"/>
      <c r="BJ2830" s="7" t="n"/>
      <c r="BK2830" s="2" t="n"/>
      <c r="BL2830" s="2" t="n"/>
      <c r="BM2830" s="2" t="n"/>
      <c r="BN2830" s="2" t="n"/>
      <c r="BO2830" s="2" t="n"/>
      <c r="BP2830" s="152" t="n"/>
      <c r="BV2830" s="153" t="n"/>
      <c r="BW2830" s="158">
        <f>計算!$CB$34</f>
        <v/>
      </c>
      <c r="CG2830" s="153" t="n"/>
      <c r="CH2830" s="159">
        <f>計算!$CC$34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6" t="n"/>
      <c r="AA2831" s="156" t="n"/>
      <c r="AB2831" s="156" t="n"/>
      <c r="AC2831" s="156" t="n"/>
      <c r="AD2831" s="156" t="n"/>
      <c r="AE2831" s="156" t="n"/>
      <c r="AF2831" s="156" t="n"/>
      <c r="AG2831" s="156" t="n"/>
      <c r="AH2831" s="156" t="n"/>
      <c r="AI2831" s="156" t="n"/>
      <c r="AJ2831" s="156" t="n"/>
      <c r="AK2831" s="156" t="n"/>
      <c r="AL2831" s="156" t="n"/>
      <c r="AM2831" s="156" t="n"/>
      <c r="AN2831" s="156" t="n"/>
      <c r="AO2831" s="156" t="n"/>
      <c r="AP2831" s="156" t="n"/>
      <c r="AQ2831" s="156" t="n"/>
      <c r="AR2831" s="156" t="n"/>
      <c r="AS2831" s="156" t="n"/>
      <c r="AT2831" s="156"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0">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5" t="n"/>
      <c r="F2835" s="156" t="n"/>
      <c r="G2835" s="156" t="n"/>
      <c r="H2835" s="156" t="n"/>
      <c r="I2835" s="156" t="n"/>
      <c r="J2835" s="156" t="n"/>
      <c r="K2835" s="157" t="n"/>
      <c r="L2835" s="156" t="n"/>
      <c r="M2835" s="156" t="n"/>
      <c r="N2835" s="156" t="n"/>
      <c r="O2835" s="156" t="n"/>
      <c r="P2835" s="156" t="n"/>
      <c r="Q2835" s="156" t="n"/>
      <c r="R2835" s="156" t="n"/>
      <c r="S2835" s="156" t="n"/>
      <c r="T2835" s="156" t="n"/>
      <c r="U2835" s="156" t="n"/>
      <c r="V2835" s="156" t="n"/>
      <c r="W2835" s="156" t="n"/>
      <c r="X2835" s="156" t="n"/>
      <c r="Y2835" s="156" t="n"/>
      <c r="Z2835" s="156" t="n"/>
      <c r="AA2835" s="156" t="n"/>
      <c r="AB2835" s="156" t="n"/>
      <c r="AC2835" s="156" t="n"/>
      <c r="AD2835" s="156" t="n"/>
      <c r="AE2835" s="156" t="n"/>
      <c r="AF2835" s="156" t="n"/>
      <c r="AG2835" s="156" t="n"/>
      <c r="AH2835" s="156" t="n"/>
      <c r="AI2835" s="156" t="n"/>
      <c r="AJ2835" s="156" t="n"/>
      <c r="AK2835" s="156" t="n"/>
      <c r="AL2835" s="156" t="n"/>
      <c r="AM2835" s="156" t="n"/>
      <c r="AN2835" s="156" t="n"/>
      <c r="AO2835" s="156" t="n"/>
      <c r="AP2835" s="156" t="n"/>
      <c r="AQ2835" s="156" t="n"/>
      <c r="AR2835" s="156" t="n"/>
      <c r="AS2835" s="156" t="n"/>
      <c r="AT2835" s="157"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1" t="inlineStr">
        <is>
          <t>名　前</t>
        </is>
      </c>
      <c r="F2836" s="149" t="n"/>
      <c r="G2836" s="149" t="n"/>
      <c r="H2836" s="149" t="n"/>
      <c r="I2836" s="149" t="n"/>
      <c r="J2836" s="149" t="n"/>
      <c r="K2836" s="150" t="n"/>
      <c r="L2836" s="162">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61"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5" t="n"/>
      <c r="F2841" s="156" t="n"/>
      <c r="G2841" s="156" t="n"/>
      <c r="H2841" s="156" t="n"/>
      <c r="I2841" s="156" t="n"/>
      <c r="J2841" s="156" t="n"/>
      <c r="K2841" s="157" t="n"/>
      <c r="L2841" s="155" t="n"/>
      <c r="M2841" s="156" t="n"/>
      <c r="N2841" s="156" t="n"/>
      <c r="O2841" s="156" t="n"/>
      <c r="P2841" s="156" t="n"/>
      <c r="Q2841" s="156" t="n"/>
      <c r="R2841" s="156" t="n"/>
      <c r="S2841" s="156" t="n"/>
      <c r="T2841" s="156" t="n"/>
      <c r="U2841" s="156" t="n"/>
      <c r="V2841" s="156" t="n"/>
      <c r="W2841" s="156" t="n"/>
      <c r="X2841" s="156" t="n"/>
      <c r="Y2841" s="156" t="n"/>
      <c r="Z2841" s="156" t="n"/>
      <c r="AA2841" s="156" t="n"/>
      <c r="AB2841" s="156" t="n"/>
      <c r="AC2841" s="156" t="n"/>
      <c r="AD2841" s="156" t="n"/>
      <c r="AE2841" s="156" t="n"/>
      <c r="AF2841" s="156" t="n"/>
      <c r="AG2841" s="156" t="n"/>
      <c r="AH2841" s="156" t="n"/>
      <c r="AI2841" s="156" t="n"/>
      <c r="AJ2841" s="156" t="n"/>
      <c r="AK2841" s="156" t="n"/>
      <c r="AL2841" s="156" t="n"/>
      <c r="AM2841" s="156" t="n"/>
      <c r="AN2841" s="156" t="n"/>
      <c r="AO2841" s="156" t="n"/>
      <c r="AP2841" s="156" t="n"/>
      <c r="AQ2841" s="156" t="n"/>
      <c r="AR2841" s="156" t="n"/>
      <c r="AS2841" s="156" t="n"/>
      <c r="AT2841" s="157"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1" t="inlineStr">
        <is>
          <t>生年月日</t>
        </is>
      </c>
      <c r="F2842" s="149" t="n"/>
      <c r="G2842" s="149" t="n"/>
      <c r="H2842" s="149" t="n"/>
      <c r="I2842" s="149" t="n"/>
      <c r="J2842" s="149" t="n"/>
      <c r="K2842" s="150" t="n"/>
      <c r="L2842" s="163" t="inlineStr">
        <is>
          <t>昭和 ・ 平成</t>
        </is>
      </c>
      <c r="M2842" s="149" t="n"/>
      <c r="N2842" s="149" t="n"/>
      <c r="O2842" s="149" t="n"/>
      <c r="P2842" s="149" t="n"/>
      <c r="Q2842" s="149" t="n"/>
      <c r="R2842" s="149" t="n"/>
      <c r="S2842" s="149" t="n"/>
      <c r="T2842" s="149" t="n"/>
      <c r="U2842" s="149" t="n"/>
      <c r="V2842" s="164">
        <f>計算!$D$34</f>
        <v/>
      </c>
      <c r="W2842" s="149" t="n"/>
      <c r="X2842" s="165" t="inlineStr">
        <is>
          <t>年</t>
        </is>
      </c>
      <c r="Y2842" s="149" t="n"/>
      <c r="Z2842" s="166">
        <f>計算!$E$34</f>
        <v/>
      </c>
      <c r="AA2842" s="149" t="n"/>
      <c r="AB2842" s="149" t="n"/>
      <c r="AC2842" s="165" t="inlineStr">
        <is>
          <t>月</t>
        </is>
      </c>
      <c r="AD2842" s="149" t="n"/>
      <c r="AE2842" s="166">
        <f>計算!$F$34</f>
        <v/>
      </c>
      <c r="AF2842" s="149" t="n"/>
      <c r="AG2842" s="149" t="n"/>
      <c r="AH2842" s="165" t="inlineStr">
        <is>
          <t>日　生 （満</t>
        </is>
      </c>
      <c r="AI2842" s="149" t="n"/>
      <c r="AJ2842" s="149" t="n"/>
      <c r="AK2842" s="149" t="n"/>
      <c r="AL2842" s="149" t="n"/>
      <c r="AM2842" s="149" t="n"/>
      <c r="AN2842" s="149" t="n"/>
      <c r="AO2842" s="149" t="n"/>
      <c r="AP2842" s="167">
        <f>計算!$G$34</f>
        <v/>
      </c>
      <c r="AQ2842" s="149" t="n"/>
      <c r="AR2842" s="168"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5" t="n"/>
      <c r="F2845" s="156" t="n"/>
      <c r="G2845" s="156" t="n"/>
      <c r="H2845" s="156" t="n"/>
      <c r="I2845" s="156" t="n"/>
      <c r="J2845" s="156" t="n"/>
      <c r="K2845" s="157" t="n"/>
      <c r="L2845" s="155" t="n"/>
      <c r="M2845" s="156" t="n"/>
      <c r="N2845" s="156" t="n"/>
      <c r="O2845" s="156" t="n"/>
      <c r="P2845" s="156" t="n"/>
      <c r="Q2845" s="156" t="n"/>
      <c r="R2845" s="156" t="n"/>
      <c r="S2845" s="156" t="n"/>
      <c r="T2845" s="156" t="n"/>
      <c r="U2845" s="156" t="n"/>
      <c r="X2845" s="156" t="n"/>
      <c r="Y2845" s="156" t="n"/>
      <c r="AC2845" s="156" t="n"/>
      <c r="AD2845" s="156" t="n"/>
      <c r="AH2845" s="156" t="n"/>
      <c r="AI2845" s="156" t="n"/>
      <c r="AJ2845" s="156" t="n"/>
      <c r="AK2845" s="156" t="n"/>
      <c r="AL2845" s="156" t="n"/>
      <c r="AM2845" s="156" t="n"/>
      <c r="AN2845" s="156" t="n"/>
      <c r="AO2845" s="156" t="n"/>
      <c r="AP2845" s="156" t="n"/>
      <c r="AQ2845" s="156" t="n"/>
      <c r="AR2845" s="156" t="n"/>
      <c r="AS2845" s="156" t="n"/>
      <c r="AT2845" s="157"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69" t="inlineStr">
        <is>
          <t>ふ り が な</t>
        </is>
      </c>
      <c r="F2846" s="149" t="n"/>
      <c r="G2846" s="149" t="n"/>
      <c r="H2846" s="149" t="n"/>
      <c r="I2846" s="149" t="n"/>
      <c r="J2846" s="149" t="n"/>
      <c r="K2846" s="150" t="n"/>
      <c r="L2846" s="170">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1" t="n"/>
      <c r="F2848" s="172" t="n"/>
      <c r="G2848" s="172" t="n"/>
      <c r="H2848" s="172" t="n"/>
      <c r="I2848" s="172" t="n"/>
      <c r="J2848" s="172" t="n"/>
      <c r="K2848" s="173" t="n"/>
      <c r="L2848" s="172" t="n"/>
      <c r="M2848" s="172" t="n"/>
      <c r="N2848" s="172" t="n"/>
      <c r="O2848" s="172" t="n"/>
      <c r="P2848" s="172" t="n"/>
      <c r="Q2848" s="172" t="n"/>
      <c r="R2848" s="172" t="n"/>
      <c r="S2848" s="172" t="n"/>
      <c r="T2848" s="172" t="n"/>
      <c r="U2848" s="172" t="n"/>
      <c r="V2848" s="172" t="n"/>
      <c r="W2848" s="172" t="n"/>
      <c r="X2848" s="172" t="n"/>
      <c r="Y2848" s="172" t="n"/>
      <c r="Z2848" s="172" t="n"/>
      <c r="AA2848" s="172" t="n"/>
      <c r="AB2848" s="172" t="n"/>
      <c r="AC2848" s="172" t="n"/>
      <c r="AD2848" s="172" t="n"/>
      <c r="AE2848" s="172" t="n"/>
      <c r="AF2848" s="172" t="n"/>
      <c r="AG2848" s="172" t="n"/>
      <c r="AH2848" s="172" t="n"/>
      <c r="AI2848" s="172" t="n"/>
      <c r="AJ2848" s="172" t="n"/>
      <c r="AK2848" s="172" t="n"/>
      <c r="AL2848" s="172" t="n"/>
      <c r="AM2848" s="172" t="n"/>
      <c r="AN2848" s="172" t="n"/>
      <c r="AO2848" s="172" t="n"/>
      <c r="AP2848" s="172" t="n"/>
      <c r="AQ2848" s="172" t="n"/>
      <c r="AR2848" s="172" t="n"/>
      <c r="AS2848" s="172" t="n"/>
      <c r="AT2848" s="172" t="n"/>
      <c r="AU2848" s="172" t="n"/>
      <c r="AV2848" s="172" t="n"/>
      <c r="AW2848" s="172" t="n"/>
      <c r="AX2848" s="172" t="n"/>
      <c r="AY2848" s="172" t="n"/>
      <c r="AZ2848" s="172" t="n"/>
      <c r="BA2848" s="172" t="n"/>
      <c r="BB2848" s="172" t="n"/>
      <c r="BC2848" s="172" t="n"/>
      <c r="BD2848" s="172" t="n"/>
      <c r="BE2848" s="172" t="n"/>
      <c r="BF2848" s="172" t="n"/>
      <c r="BG2848" s="172" t="n"/>
      <c r="BH2848" s="172" t="n"/>
      <c r="BI2848" s="173"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4" t="inlineStr">
        <is>
          <t>現住所</t>
        </is>
      </c>
      <c r="F2849" s="175" t="n"/>
      <c r="G2849" s="175" t="n"/>
      <c r="H2849" s="175" t="n"/>
      <c r="I2849" s="175" t="n"/>
      <c r="J2849" s="175" t="n"/>
      <c r="K2849" s="176" t="n"/>
      <c r="L2849" s="83" t="inlineStr">
        <is>
          <t>〒</t>
        </is>
      </c>
      <c r="M2849" s="175" t="n"/>
      <c r="N2849" s="175" t="n"/>
      <c r="O2849" s="175" t="n"/>
      <c r="P2849" s="177">
        <f>計算!$H$34</f>
        <v/>
      </c>
      <c r="Q2849" s="175" t="n"/>
      <c r="R2849" s="175" t="n"/>
      <c r="S2849" s="175" t="n"/>
      <c r="T2849" s="175" t="n"/>
      <c r="U2849" s="175" t="n"/>
      <c r="V2849" s="175" t="n"/>
      <c r="W2849" s="175" t="n"/>
      <c r="X2849" s="175" t="n"/>
      <c r="Y2849" s="175" t="n"/>
      <c r="Z2849" s="175" t="n"/>
      <c r="AA2849" s="175" t="n"/>
      <c r="AB2849" s="175" t="n"/>
      <c r="AC2849" s="175" t="n"/>
      <c r="AD2849" s="175" t="n"/>
      <c r="AE2849" s="175" t="n"/>
      <c r="AF2849" s="175" t="n"/>
      <c r="AG2849" s="175" t="n"/>
      <c r="AH2849" s="175" t="n"/>
      <c r="AI2849" s="175" t="n"/>
      <c r="AJ2849" s="175"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5" t="n"/>
      <c r="BQ2850" s="156" t="n"/>
      <c r="BR2850" s="156" t="n"/>
      <c r="BS2850" s="156" t="n"/>
      <c r="BT2850" s="156" t="n"/>
      <c r="BU2850" s="156" t="n"/>
      <c r="BV2850" s="157" t="n"/>
      <c r="BW2850" s="155" t="n"/>
      <c r="BX2850" s="156" t="n"/>
      <c r="BY2850" s="156" t="n"/>
      <c r="BZ2850" s="156" t="n"/>
      <c r="CA2850" s="156" t="n"/>
      <c r="CB2850" s="156" t="n"/>
      <c r="CC2850" s="156" t="n"/>
      <c r="CD2850" s="156" t="n"/>
      <c r="CE2850" s="156" t="n"/>
      <c r="CF2850" s="156" t="n"/>
      <c r="CG2850" s="157"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8" t="inlineStr">
        <is>
          <t>校内外の諸活動</t>
        </is>
      </c>
      <c r="BQ2851" s="149" t="n"/>
      <c r="BR2851" s="149" t="n"/>
      <c r="BS2851" s="149" t="n"/>
      <c r="BT2851" s="149" t="n"/>
      <c r="BU2851" s="149" t="n"/>
      <c r="BV2851" s="150" t="n"/>
      <c r="BW2851" s="179">
        <f>計算!$BO$34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0">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5" t="n"/>
      <c r="F2854" s="156" t="n"/>
      <c r="G2854" s="156" t="n"/>
      <c r="H2854" s="156" t="n"/>
      <c r="I2854" s="156" t="n"/>
      <c r="J2854" s="156" t="n"/>
      <c r="K2854" s="157" t="n"/>
      <c r="L2854" s="155" t="n"/>
      <c r="M2854" s="156" t="n"/>
      <c r="N2854" s="156" t="n"/>
      <c r="O2854" s="156" t="n"/>
      <c r="P2854" s="156" t="n"/>
      <c r="Q2854" s="156" t="n"/>
      <c r="R2854" s="156" t="n"/>
      <c r="S2854" s="156" t="n"/>
      <c r="T2854" s="156" t="n"/>
      <c r="U2854" s="156" t="n"/>
      <c r="V2854" s="156" t="n"/>
      <c r="W2854" s="156" t="n"/>
      <c r="X2854" s="156" t="n"/>
      <c r="Y2854" s="156" t="n"/>
      <c r="Z2854" s="156" t="n"/>
      <c r="AA2854" s="156" t="n"/>
      <c r="AB2854" s="156" t="n"/>
      <c r="AC2854" s="156" t="n"/>
      <c r="AD2854" s="156" t="n"/>
      <c r="AE2854" s="156" t="n"/>
      <c r="AF2854" s="156" t="n"/>
      <c r="AG2854" s="156" t="n"/>
      <c r="AH2854" s="156" t="n"/>
      <c r="AI2854" s="156" t="n"/>
      <c r="AJ2854" s="156" t="n"/>
      <c r="AK2854" s="156" t="n"/>
      <c r="AL2854" s="156" t="n"/>
      <c r="AM2854" s="156" t="n"/>
      <c r="AN2854" s="156" t="n"/>
      <c r="AO2854" s="156" t="n"/>
      <c r="AP2854" s="156" t="n"/>
      <c r="AQ2854" s="156" t="n"/>
      <c r="AR2854" s="156" t="n"/>
      <c r="AS2854" s="156" t="n"/>
      <c r="AT2854" s="156" t="n"/>
      <c r="AU2854" s="156" t="n"/>
      <c r="AV2854" s="156" t="n"/>
      <c r="AW2854" s="156" t="n"/>
      <c r="AX2854" s="156" t="n"/>
      <c r="AY2854" s="156" t="n"/>
      <c r="AZ2854" s="156" t="n"/>
      <c r="BA2854" s="156" t="n"/>
      <c r="BB2854" s="156" t="n"/>
      <c r="BC2854" s="156" t="n"/>
      <c r="BD2854" s="156" t="n"/>
      <c r="BE2854" s="156" t="n"/>
      <c r="BF2854" s="156" t="n"/>
      <c r="BG2854" s="156" t="n"/>
      <c r="BH2854" s="156" t="n"/>
      <c r="BI2854" s="157"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69" t="inlineStr">
        <is>
          <t>ふ り が な</t>
        </is>
      </c>
      <c r="F2855" s="149" t="n"/>
      <c r="G2855" s="149" t="n"/>
      <c r="H2855" s="149" t="n"/>
      <c r="I2855" s="149" t="n"/>
      <c r="J2855" s="149" t="n"/>
      <c r="K2855" s="150" t="n"/>
      <c r="L2855" s="170">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1" t="n"/>
      <c r="F2857" s="172" t="n"/>
      <c r="G2857" s="172" t="n"/>
      <c r="H2857" s="172" t="n"/>
      <c r="I2857" s="172" t="n"/>
      <c r="J2857" s="172" t="n"/>
      <c r="K2857" s="173" t="n"/>
      <c r="L2857" s="172" t="n"/>
      <c r="M2857" s="172" t="n"/>
      <c r="N2857" s="172" t="n"/>
      <c r="O2857" s="172" t="n"/>
      <c r="P2857" s="172" t="n"/>
      <c r="Q2857" s="172" t="n"/>
      <c r="R2857" s="172" t="n"/>
      <c r="S2857" s="172" t="n"/>
      <c r="T2857" s="172" t="n"/>
      <c r="U2857" s="172" t="n"/>
      <c r="V2857" s="172" t="n"/>
      <c r="W2857" s="172" t="n"/>
      <c r="X2857" s="172" t="n"/>
      <c r="Y2857" s="172" t="n"/>
      <c r="Z2857" s="172" t="n"/>
      <c r="AA2857" s="172" t="n"/>
      <c r="AB2857" s="172" t="n"/>
      <c r="AC2857" s="172" t="n"/>
      <c r="AD2857" s="172" t="n"/>
      <c r="AE2857" s="172" t="n"/>
      <c r="AF2857" s="172" t="n"/>
      <c r="AG2857" s="172" t="n"/>
      <c r="AH2857" s="172" t="n"/>
      <c r="AI2857" s="172" t="n"/>
      <c r="AJ2857" s="172" t="n"/>
      <c r="AK2857" s="172" t="n"/>
      <c r="AL2857" s="172" t="n"/>
      <c r="AM2857" s="172" t="n"/>
      <c r="AN2857" s="172" t="n"/>
      <c r="AO2857" s="172" t="n"/>
      <c r="AP2857" s="172" t="n"/>
      <c r="AQ2857" s="172" t="n"/>
      <c r="AR2857" s="172" t="n"/>
      <c r="AS2857" s="172" t="n"/>
      <c r="AT2857" s="172" t="n"/>
      <c r="AU2857" s="172" t="n"/>
      <c r="AV2857" s="172" t="n"/>
      <c r="AW2857" s="172" t="n"/>
      <c r="AX2857" s="172" t="n"/>
      <c r="AY2857" s="172" t="n"/>
      <c r="AZ2857" s="172" t="n"/>
      <c r="BA2857" s="172" t="n"/>
      <c r="BB2857" s="172" t="n"/>
      <c r="BC2857" s="172" t="n"/>
      <c r="BD2857" s="172" t="n"/>
      <c r="BE2857" s="172" t="n"/>
      <c r="BF2857" s="172" t="n"/>
      <c r="BG2857" s="172" t="n"/>
      <c r="BH2857" s="172" t="n"/>
      <c r="BI2857" s="173"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4" t="inlineStr">
        <is>
          <t>連絡先</t>
        </is>
      </c>
      <c r="F2858" s="175" t="n"/>
      <c r="G2858" s="175" t="n"/>
      <c r="H2858" s="175" t="n"/>
      <c r="I2858" s="175" t="n"/>
      <c r="J2858" s="175" t="n"/>
      <c r="K2858" s="176" t="n"/>
      <c r="L2858" s="83" t="inlineStr">
        <is>
          <t>〒</t>
        </is>
      </c>
      <c r="M2858" s="175" t="n"/>
      <c r="N2858" s="175" t="n"/>
      <c r="O2858" s="175" t="n"/>
      <c r="P2858" s="181">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2">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5" t="n"/>
      <c r="F2862" s="156" t="n"/>
      <c r="G2862" s="156" t="n"/>
      <c r="H2862" s="156" t="n"/>
      <c r="I2862" s="156" t="n"/>
      <c r="J2862" s="156" t="n"/>
      <c r="K2862" s="157" t="n"/>
      <c r="L2862" s="156" t="n"/>
      <c r="M2862" s="156" t="n"/>
      <c r="N2862" s="156" t="n"/>
      <c r="O2862" s="156" t="n"/>
      <c r="P2862" s="156" t="n"/>
      <c r="Q2862" s="156" t="n"/>
      <c r="R2862" s="156" t="n"/>
      <c r="S2862" s="156" t="n"/>
      <c r="T2862" s="156" t="n"/>
      <c r="U2862" s="156" t="n"/>
      <c r="V2862" s="156" t="n"/>
      <c r="W2862" s="156" t="n"/>
      <c r="X2862" s="156" t="n"/>
      <c r="Y2862" s="156" t="n"/>
      <c r="Z2862" s="156" t="n"/>
      <c r="AA2862" s="156" t="n"/>
      <c r="AB2862" s="156" t="n"/>
      <c r="AC2862" s="156" t="n"/>
      <c r="AD2862" s="156" t="n"/>
      <c r="AE2862" s="156" t="n"/>
      <c r="AF2862" s="156" t="n"/>
      <c r="AG2862" s="156" t="n"/>
      <c r="AH2862" s="156" t="n"/>
      <c r="AI2862" s="156" t="n"/>
      <c r="AJ2862" s="156" t="n"/>
      <c r="AK2862" s="156" t="n"/>
      <c r="AL2862" s="156" t="n"/>
      <c r="AM2862" s="156" t="n"/>
      <c r="AN2862" s="156" t="n"/>
      <c r="AO2862" s="156" t="n"/>
      <c r="AP2862" s="156" t="n"/>
      <c r="AQ2862" s="156" t="n"/>
      <c r="AR2862" s="156" t="n"/>
      <c r="AS2862" s="156" t="n"/>
      <c r="AT2862" s="156" t="n"/>
      <c r="AU2862" s="156" t="n"/>
      <c r="AV2862" s="156" t="n"/>
      <c r="AW2862" s="156" t="n"/>
      <c r="AX2862" s="156" t="n"/>
      <c r="AY2862" s="156" t="n"/>
      <c r="AZ2862" s="156" t="n"/>
      <c r="BA2862" s="156" t="n"/>
      <c r="BB2862" s="156" t="n"/>
      <c r="BC2862" s="156" t="n"/>
      <c r="BD2862" s="156" t="n"/>
      <c r="BE2862" s="156" t="n"/>
      <c r="BF2862" s="156" t="n"/>
      <c r="BG2862" s="156" t="n"/>
      <c r="BH2862" s="156" t="n"/>
      <c r="BI2862" s="157"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86"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3" t="n"/>
      <c r="BQ2868" s="149" t="n"/>
      <c r="BR2868" s="184" t="n"/>
      <c r="BS2868" s="149" t="n"/>
      <c r="BT2868" s="149" t="n"/>
      <c r="BU2868" s="28" t="n"/>
      <c r="BV2868" s="29" t="n"/>
      <c r="BW2868" s="185">
        <f>計算!$BP$34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115"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6"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107"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7">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188">
        <f>IF(入力!$D$36="","",設定!$B$6)&amp;""</f>
        <v/>
      </c>
      <c r="S2876" s="11" t="n"/>
      <c r="T2876" s="11" t="n"/>
      <c r="U2876" s="188">
        <f>IF(入力!$D$36="","",設定!$B$7)&amp;""</f>
        <v/>
      </c>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110" t="inlineStr">
        <is>
          <t>令和</t>
        </is>
      </c>
      <c r="S2877" s="61" t="inlineStr">
        <is>
          <t>年</t>
        </is>
      </c>
      <c r="W2877" s="62"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90"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5" t="n"/>
      <c r="F2881" s="156" t="n"/>
      <c r="G2881" s="156" t="n"/>
      <c r="H2881" s="156" t="n"/>
      <c r="I2881" s="156" t="n"/>
      <c r="J2881" s="156" t="n"/>
      <c r="K2881" s="157"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6" t="n"/>
      <c r="AX2881" s="156" t="n"/>
      <c r="AY2881" s="156" t="n"/>
      <c r="AZ2881" s="156" t="n"/>
      <c r="BA2881" s="156" t="n"/>
      <c r="BB2881" s="156" t="n"/>
      <c r="BC2881" s="156" t="n"/>
      <c r="BD2881" s="156" t="n"/>
      <c r="BE2881" s="156" t="n"/>
      <c r="BF2881" s="156" t="n"/>
      <c r="BG2881" s="156" t="n"/>
      <c r="BH2881" s="156" t="n"/>
      <c r="BI2881" s="157"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58" t="n"/>
      <c r="T2882" s="149" t="n"/>
      <c r="U2882" s="17" t="n"/>
      <c r="V2882" s="17" t="n"/>
      <c r="W2882" s="58"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89" t="inlineStr">
        <is>
          <t>職　歴</t>
        </is>
      </c>
      <c r="K2885" s="153" t="n"/>
      <c r="L2885" s="69" t="inlineStr">
        <is>
          <t>平成</t>
        </is>
      </c>
      <c r="M2885" s="149" t="n"/>
      <c r="N2885" s="149" t="n"/>
      <c r="O2885" s="149" t="n"/>
      <c r="P2885" s="19" t="n"/>
      <c r="Q2885" s="19" t="n"/>
      <c r="R2885" s="19" t="n"/>
      <c r="S2885" s="19" t="n"/>
      <c r="T2885" s="19" t="n"/>
      <c r="U2885" s="19" t="n"/>
      <c r="V2885" s="19" t="n"/>
      <c r="W2885" s="19" t="n"/>
      <c r="X2885" s="37" t="n"/>
      <c r="Y2885" s="180">
        <f>計算!$BT$34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8">
        <f>計算!$BR$34</f>
        <v/>
      </c>
      <c r="S2887" s="61" t="inlineStr">
        <is>
          <t>年</t>
        </is>
      </c>
      <c r="U2887" s="190">
        <f>計算!$BS$34</f>
        <v/>
      </c>
      <c r="W2887" s="62"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74"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5" t="n"/>
      <c r="M2890" s="156" t="n"/>
      <c r="N2890" s="156" t="n"/>
      <c r="O2890" s="156" t="n"/>
      <c r="P2890" s="20" t="n"/>
      <c r="Q2890" s="20" t="n"/>
      <c r="R2890" s="20" t="n"/>
      <c r="S2890" s="20" t="n"/>
      <c r="T2890" s="20" t="n"/>
      <c r="U2890" s="20" t="n"/>
      <c r="V2890" s="20" t="n"/>
      <c r="W2890" s="20" t="n"/>
      <c r="X2890" s="39" t="n"/>
      <c r="Y2890" s="155" t="n"/>
      <c r="Z2890" s="156" t="n"/>
      <c r="AA2890" s="156" t="n"/>
      <c r="AB2890" s="156" t="n"/>
      <c r="AC2890" s="156" t="n"/>
      <c r="AD2890" s="156" t="n"/>
      <c r="AE2890" s="156" t="n"/>
      <c r="AF2890" s="156" t="n"/>
      <c r="AG2890" s="156" t="n"/>
      <c r="AH2890" s="156" t="n"/>
      <c r="AI2890" s="156" t="n"/>
      <c r="AJ2890" s="156" t="n"/>
      <c r="AK2890" s="156" t="n"/>
      <c r="AL2890" s="156" t="n"/>
      <c r="AM2890" s="156" t="n"/>
      <c r="AN2890" s="156" t="n"/>
      <c r="AO2890" s="156" t="n"/>
      <c r="AP2890" s="156" t="n"/>
      <c r="AQ2890" s="156" t="n"/>
      <c r="AR2890" s="156" t="n"/>
      <c r="AS2890" s="156" t="n"/>
      <c r="AT2890" s="156" t="n"/>
      <c r="AU2890" s="156" t="n"/>
      <c r="AV2890" s="156" t="n"/>
      <c r="AW2890" s="156" t="n"/>
      <c r="AX2890" s="156" t="n"/>
      <c r="AY2890" s="156" t="n"/>
      <c r="AZ2890" s="156" t="n"/>
      <c r="BA2890" s="156" t="n"/>
      <c r="BB2890" s="156" t="n"/>
      <c r="BC2890" s="156" t="n"/>
      <c r="BD2890" s="156" t="n"/>
      <c r="BE2890" s="156" t="n"/>
      <c r="BF2890" s="156" t="n"/>
      <c r="BG2890" s="156" t="n"/>
      <c r="BH2890" s="156" t="n"/>
      <c r="BI2890" s="157"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69" t="inlineStr">
        <is>
          <t>平成</t>
        </is>
      </c>
      <c r="M2891" s="149" t="n"/>
      <c r="N2891" s="149" t="n"/>
      <c r="O2891" s="149" t="n"/>
      <c r="P2891" s="18" t="n"/>
      <c r="Q2891" s="18" t="n"/>
      <c r="R2891" s="18" t="n"/>
      <c r="S2891" s="18" t="n"/>
      <c r="T2891" s="18" t="n"/>
      <c r="U2891" s="18" t="n"/>
      <c r="V2891" s="18" t="n"/>
      <c r="W2891" s="18" t="n"/>
      <c r="X2891" s="35" t="n"/>
      <c r="Y2891" s="180">
        <f>計算!$BW$34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8">
        <f>計算!$BU$34</f>
        <v/>
      </c>
      <c r="S2893" s="61" t="inlineStr">
        <is>
          <t>年</t>
        </is>
      </c>
      <c r="U2893" s="190">
        <f>計算!$BV$34</f>
        <v/>
      </c>
      <c r="W2893" s="62"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74"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5" t="n"/>
      <c r="M2896" s="156" t="n"/>
      <c r="N2896" s="156" t="n"/>
      <c r="O2896" s="156" t="n"/>
      <c r="P2896" s="20" t="n"/>
      <c r="Q2896" s="20" t="n"/>
      <c r="R2896" s="20" t="n"/>
      <c r="S2896" s="20" t="n"/>
      <c r="T2896" s="20" t="n"/>
      <c r="U2896" s="20" t="n"/>
      <c r="V2896" s="20" t="n"/>
      <c r="W2896" s="20" t="n"/>
      <c r="X2896" s="39" t="n"/>
      <c r="Y2896" s="155" t="n"/>
      <c r="Z2896" s="156" t="n"/>
      <c r="AA2896" s="156" t="n"/>
      <c r="AB2896" s="156" t="n"/>
      <c r="AC2896" s="156" t="n"/>
      <c r="AD2896" s="156" t="n"/>
      <c r="AE2896" s="156" t="n"/>
      <c r="AF2896" s="156" t="n"/>
      <c r="AG2896" s="156" t="n"/>
      <c r="AH2896" s="156" t="n"/>
      <c r="AI2896" s="156" t="n"/>
      <c r="AJ2896" s="156" t="n"/>
      <c r="AK2896" s="156" t="n"/>
      <c r="AL2896" s="156" t="n"/>
      <c r="AM2896" s="156" t="n"/>
      <c r="AN2896" s="156" t="n"/>
      <c r="AO2896" s="156" t="n"/>
      <c r="AP2896" s="156" t="n"/>
      <c r="AQ2896" s="156" t="n"/>
      <c r="AR2896" s="156" t="n"/>
      <c r="AS2896" s="156" t="n"/>
      <c r="AT2896" s="156" t="n"/>
      <c r="AU2896" s="156" t="n"/>
      <c r="AV2896" s="156" t="n"/>
      <c r="AW2896" s="156" t="n"/>
      <c r="AX2896" s="156" t="n"/>
      <c r="AY2896" s="156" t="n"/>
      <c r="AZ2896" s="156" t="n"/>
      <c r="BA2896" s="156" t="n"/>
      <c r="BB2896" s="156" t="n"/>
      <c r="BC2896" s="156" t="n"/>
      <c r="BD2896" s="156" t="n"/>
      <c r="BE2896" s="156" t="n"/>
      <c r="BF2896" s="156" t="n"/>
      <c r="BG2896" s="156" t="n"/>
      <c r="BH2896" s="156" t="n"/>
      <c r="BI2896" s="157" t="n"/>
      <c r="BJ2896" s="2" t="n"/>
      <c r="BK2896" s="2" t="n"/>
      <c r="BL2896" s="2" t="n"/>
      <c r="BM2896" s="2" t="n"/>
      <c r="BN2896" s="2" t="n"/>
      <c r="BO2896" s="2" t="n"/>
      <c r="BP2896" s="155" t="n"/>
      <c r="BQ2896" s="156" t="n"/>
      <c r="BR2896" s="156" t="n"/>
      <c r="BS2896" s="156" t="n"/>
      <c r="BT2896" s="156" t="n"/>
      <c r="BU2896" s="42" t="n"/>
      <c r="BV2896" s="45" t="n"/>
      <c r="BW2896" s="156" t="n"/>
      <c r="BX2896" s="156" t="n"/>
      <c r="BY2896" s="156" t="n"/>
      <c r="BZ2896" s="156" t="n"/>
      <c r="CA2896" s="156" t="n"/>
      <c r="CB2896" s="156" t="n"/>
      <c r="CC2896" s="156" t="n"/>
      <c r="CD2896" s="156" t="n"/>
      <c r="CE2896" s="156" t="n"/>
      <c r="CF2896" s="156" t="n"/>
      <c r="CG2896" s="156" t="n"/>
      <c r="CH2896" s="156" t="n"/>
      <c r="CI2896" s="156" t="n"/>
      <c r="CJ2896" s="156" t="n"/>
      <c r="CK2896" s="156" t="n"/>
      <c r="CL2896" s="156" t="n"/>
      <c r="CM2896" s="156" t="n"/>
      <c r="CN2896" s="156" t="n"/>
      <c r="CO2896" s="156" t="n"/>
      <c r="CP2896" s="156" t="n"/>
      <c r="CQ2896" s="156" t="n"/>
      <c r="CR2896" s="156" t="n"/>
      <c r="CS2896" s="156" t="n"/>
      <c r="CT2896" s="156" t="n"/>
      <c r="CU2896" s="156" t="n"/>
      <c r="CV2896" s="156" t="n"/>
      <c r="CW2896" s="156" t="n"/>
      <c r="CX2896" s="156" t="n"/>
      <c r="CY2896" s="156" t="n"/>
      <c r="CZ2896" s="156" t="n"/>
      <c r="DA2896" s="156" t="n"/>
      <c r="DB2896" s="156" t="n"/>
      <c r="DC2896" s="156" t="n"/>
      <c r="DD2896" s="156" t="n"/>
      <c r="DE2896" s="156" t="n"/>
      <c r="DF2896" s="156" t="n"/>
      <c r="DG2896" s="156" t="n"/>
      <c r="DH2896" s="156" t="n"/>
      <c r="DI2896" s="156" t="n"/>
      <c r="DJ2896" s="156" t="n"/>
      <c r="DK2896" s="156" t="n"/>
      <c r="DL2896" s="156" t="n"/>
      <c r="DM2896" s="156" t="n"/>
      <c r="DN2896" s="156" t="n"/>
      <c r="DO2896" s="156" t="n"/>
      <c r="DP2896" s="156" t="n"/>
      <c r="DQ2896" s="156" t="n"/>
      <c r="DR2896" s="156" t="n"/>
      <c r="DS2896" s="156" t="n"/>
      <c r="DT2896" s="156" t="n"/>
      <c r="DU2896" s="157" t="n"/>
      <c r="DV2896" s="2" t="n"/>
      <c r="DW2896" s="2" t="n"/>
      <c r="DX2896" s="2" t="n"/>
      <c r="DY2896" s="2" t="n"/>
      <c r="DZ2896" s="2" t="n"/>
      <c r="EA2896" s="2" t="n"/>
      <c r="EB2896" s="2" t="n"/>
      <c r="EC2896" s="2" t="n"/>
    </row>
    <row r="2897" ht="6.75" customHeight="1" s="118">
      <c r="A2897" s="2" t="n"/>
      <c r="B2897" s="2" t="n"/>
      <c r="C2897" s="2" t="n"/>
      <c r="D2897" s="2" t="n"/>
      <c r="E2897" s="152" t="n"/>
      <c r="K2897" s="153" t="n"/>
      <c r="L2897" s="69"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5">
        <f>計算!$BQ$34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61" t="inlineStr">
        <is>
          <t>年</t>
        </is>
      </c>
      <c r="U2899" s="11" t="n"/>
      <c r="V2899" s="11" t="n"/>
      <c r="W2899" s="62"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74"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5" t="n"/>
      <c r="M2902" s="156" t="n"/>
      <c r="N2902" s="156" t="n"/>
      <c r="O2902" s="156"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69"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61" t="inlineStr">
        <is>
          <t>年</t>
        </is>
      </c>
      <c r="U2905" s="11" t="n"/>
      <c r="V2905" s="11" t="n"/>
      <c r="W2905" s="62"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74"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61" t="n"/>
      <c r="T2907" s="61" t="n"/>
      <c r="U2907" s="11" t="n"/>
      <c r="V2907" s="11" t="n"/>
      <c r="W2907" s="61" t="n"/>
      <c r="X2907" s="62"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5" t="n"/>
      <c r="F2908" s="156" t="n"/>
      <c r="G2908" s="156" t="n"/>
      <c r="H2908" s="156" t="n"/>
      <c r="I2908" s="156" t="n"/>
      <c r="J2908" s="156" t="n"/>
      <c r="K2908" s="157" t="n"/>
      <c r="L2908" s="155" t="n"/>
      <c r="M2908" s="156" t="n"/>
      <c r="N2908" s="156" t="n"/>
      <c r="O2908" s="156"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5" t="n"/>
      <c r="BQ2908" s="156" t="n"/>
      <c r="BR2908" s="156" t="n"/>
      <c r="BS2908" s="156" t="n"/>
      <c r="BT2908" s="156" t="n"/>
      <c r="BU2908" s="156" t="n"/>
      <c r="BV2908" s="157" t="n"/>
      <c r="BW2908" s="156" t="n"/>
      <c r="BX2908" s="156" t="n"/>
      <c r="BY2908" s="156" t="n"/>
      <c r="BZ2908" s="156" t="n"/>
      <c r="CA2908" s="156" t="n"/>
      <c r="CB2908" s="156" t="n"/>
      <c r="CC2908" s="156" t="n"/>
      <c r="CD2908" s="156" t="n"/>
      <c r="CE2908" s="156" t="n"/>
      <c r="CF2908" s="156" t="n"/>
      <c r="CG2908" s="156" t="n"/>
      <c r="CH2908" s="156" t="n"/>
      <c r="CI2908" s="156" t="n"/>
      <c r="CJ2908" s="156" t="n"/>
      <c r="CK2908" s="156" t="n"/>
      <c r="CL2908" s="156" t="n"/>
      <c r="CM2908" s="156" t="n"/>
      <c r="CN2908" s="156" t="n"/>
      <c r="CO2908" s="156" t="n"/>
      <c r="CP2908" s="156" t="n"/>
      <c r="CQ2908" s="156" t="n"/>
      <c r="CR2908" s="156" t="n"/>
      <c r="CS2908" s="156" t="n"/>
      <c r="CT2908" s="156" t="n"/>
      <c r="CU2908" s="156" t="n"/>
      <c r="CV2908" s="156" t="n"/>
      <c r="CW2908" s="156" t="n"/>
      <c r="CX2908" s="156" t="n"/>
      <c r="CY2908" s="156" t="n"/>
      <c r="CZ2908" s="156" t="n"/>
      <c r="DA2908" s="156" t="n"/>
      <c r="DB2908" s="156" t="n"/>
      <c r="DC2908" s="156" t="n"/>
      <c r="DD2908" s="156" t="n"/>
      <c r="DE2908" s="156" t="n"/>
      <c r="DF2908" s="156" t="n"/>
      <c r="DG2908" s="156" t="n"/>
      <c r="DH2908" s="156" t="n"/>
      <c r="DI2908" s="156" t="n"/>
      <c r="DJ2908" s="156" t="n"/>
      <c r="DK2908" s="156" t="n"/>
      <c r="DL2908" s="156" t="n"/>
      <c r="DM2908" s="156" t="n"/>
      <c r="DN2908" s="156" t="n"/>
      <c r="DO2908" s="156" t="n"/>
      <c r="DP2908" s="156" t="n"/>
      <c r="DQ2908" s="156" t="n"/>
      <c r="DR2908" s="156" t="n"/>
      <c r="DS2908" s="156" t="n"/>
      <c r="DT2908" s="156" t="n"/>
      <c r="DU2908" s="157"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87" t="inlineStr">
        <is>
          <t xml:space="preserve">    (近畿高等学校統一用紙　  その２ 　  令和７年度改定)　</t>
        </is>
      </c>
      <c r="DV2910" s="2" t="n"/>
      <c r="DW2910" s="2" t="n"/>
      <c r="DX2910" s="2" t="n"/>
      <c r="DY2910" s="2" t="n"/>
      <c r="DZ2910" s="2" t="n"/>
      <c r="EA2910" s="2" t="n"/>
      <c r="EB2910" s="2" t="n"/>
      <c r="EC2910" s="2" t="n"/>
    </row>
    <row r="2911" hidden="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idden="1"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47"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64" t="inlineStr">
        <is>
          <t>令和</t>
        </is>
      </c>
      <c r="AD2920" s="154">
        <f>IF(入力!$D$37="","",IF(N(設定!$B$3)=0,"",YEAR(設定!$B$3)-2018))&amp;""</f>
        <v/>
      </c>
      <c r="AG2920" s="64" t="inlineStr">
        <is>
          <t>年</t>
        </is>
      </c>
      <c r="AI2920" s="154">
        <f>IF(入力!$D$37="","",IF(N(設定!$B$3)=0,"",MONTH(設定!$B$3)))&amp;""</f>
        <v/>
      </c>
      <c r="AL2920" s="64" t="inlineStr">
        <is>
          <t>月</t>
        </is>
      </c>
      <c r="AN2920" s="154">
        <f>IF(入力!$D$37="","",IF(N(設定!$B$3)=0,"",DAY(設定!$B$3)))&amp;""</f>
        <v/>
      </c>
      <c r="AP2920" s="64"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5" t="n"/>
      <c r="BX2920" s="156" t="n"/>
      <c r="BY2920" s="156" t="n"/>
      <c r="BZ2920" s="156" t="n"/>
      <c r="CA2920" s="156" t="n"/>
      <c r="CB2920" s="156" t="n"/>
      <c r="CC2920" s="156" t="n"/>
      <c r="CD2920" s="156" t="n"/>
      <c r="CE2920" s="156" t="n"/>
      <c r="CF2920" s="156" t="n"/>
      <c r="CG2920" s="157" t="n"/>
      <c r="CH2920" s="155" t="n"/>
      <c r="CI2920" s="156" t="n"/>
      <c r="CJ2920" s="156" t="n"/>
      <c r="CK2920" s="156" t="n"/>
      <c r="CL2920" s="156" t="n"/>
      <c r="CM2920" s="156" t="n"/>
      <c r="CN2920" s="156" t="n"/>
      <c r="CO2920" s="156" t="n"/>
      <c r="CP2920" s="156" t="n"/>
      <c r="CQ2920" s="156" t="n"/>
      <c r="CR2920" s="156" t="n"/>
      <c r="CS2920" s="156" t="n"/>
      <c r="CT2920" s="156" t="n"/>
      <c r="CU2920" s="156" t="n"/>
      <c r="CV2920" s="156" t="n"/>
      <c r="CW2920" s="156" t="n"/>
      <c r="CX2920" s="156" t="n"/>
      <c r="CY2920" s="156" t="n"/>
      <c r="CZ2920" s="156" t="n"/>
      <c r="DA2920" s="156" t="n"/>
      <c r="DB2920" s="156" t="n"/>
      <c r="DC2920" s="156" t="n"/>
      <c r="DD2920" s="156" t="n"/>
      <c r="DE2920" s="156" t="n"/>
      <c r="DF2920" s="156" t="n"/>
      <c r="DG2920" s="156" t="n"/>
      <c r="DH2920" s="156" t="n"/>
      <c r="DI2920" s="156" t="n"/>
      <c r="DJ2920" s="156" t="n"/>
      <c r="DK2920" s="156" t="n"/>
      <c r="DL2920" s="156" t="n"/>
      <c r="DM2920" s="156" t="n"/>
      <c r="DN2920" s="156" t="n"/>
      <c r="DO2920" s="156" t="n"/>
      <c r="DP2920" s="156" t="n"/>
      <c r="DQ2920" s="156" t="n"/>
      <c r="DR2920" s="156" t="n"/>
      <c r="DS2920" s="156" t="n"/>
      <c r="DT2920" s="156" t="n"/>
      <c r="DU2920" s="157"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68" t="inlineStr">
        <is>
          <t>写真をはる位置</t>
        </is>
      </c>
      <c r="BI2921" s="8" t="n"/>
      <c r="BJ2921" s="7" t="n"/>
      <c r="BK2921" s="2" t="n"/>
      <c r="BL2921" s="2" t="n"/>
      <c r="BM2921" s="2" t="n"/>
      <c r="BN2921" s="2" t="n"/>
      <c r="BO2921" s="2" t="n"/>
      <c r="BP2921" s="152" t="n"/>
      <c r="BV2921" s="153" t="n"/>
      <c r="BW2921" s="158">
        <f>計算!$CB$35</f>
        <v/>
      </c>
      <c r="CG2921" s="153" t="n"/>
      <c r="CH2921" s="159">
        <f>計算!$CC$35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6" t="n"/>
      <c r="AA2922" s="156" t="n"/>
      <c r="AB2922" s="156" t="n"/>
      <c r="AC2922" s="156" t="n"/>
      <c r="AD2922" s="156" t="n"/>
      <c r="AE2922" s="156" t="n"/>
      <c r="AF2922" s="156" t="n"/>
      <c r="AG2922" s="156" t="n"/>
      <c r="AH2922" s="156" t="n"/>
      <c r="AI2922" s="156" t="n"/>
      <c r="AJ2922" s="156" t="n"/>
      <c r="AK2922" s="156" t="n"/>
      <c r="AL2922" s="156" t="n"/>
      <c r="AM2922" s="156" t="n"/>
      <c r="AN2922" s="156" t="n"/>
      <c r="AO2922" s="156" t="n"/>
      <c r="AP2922" s="156" t="n"/>
      <c r="AQ2922" s="156" t="n"/>
      <c r="AR2922" s="156" t="n"/>
      <c r="AS2922" s="156" t="n"/>
      <c r="AT2922" s="156"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0">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5" t="n"/>
      <c r="F2926" s="156" t="n"/>
      <c r="G2926" s="156" t="n"/>
      <c r="H2926" s="156" t="n"/>
      <c r="I2926" s="156" t="n"/>
      <c r="J2926" s="156" t="n"/>
      <c r="K2926" s="157" t="n"/>
      <c r="L2926" s="156" t="n"/>
      <c r="M2926" s="156" t="n"/>
      <c r="N2926" s="156" t="n"/>
      <c r="O2926" s="156" t="n"/>
      <c r="P2926" s="156" t="n"/>
      <c r="Q2926" s="156" t="n"/>
      <c r="R2926" s="156" t="n"/>
      <c r="S2926" s="156" t="n"/>
      <c r="T2926" s="156" t="n"/>
      <c r="U2926" s="156" t="n"/>
      <c r="V2926" s="156" t="n"/>
      <c r="W2926" s="156" t="n"/>
      <c r="X2926" s="156" t="n"/>
      <c r="Y2926" s="156" t="n"/>
      <c r="Z2926" s="156" t="n"/>
      <c r="AA2926" s="156" t="n"/>
      <c r="AB2926" s="156" t="n"/>
      <c r="AC2926" s="156" t="n"/>
      <c r="AD2926" s="156" t="n"/>
      <c r="AE2926" s="156" t="n"/>
      <c r="AF2926" s="156" t="n"/>
      <c r="AG2926" s="156" t="n"/>
      <c r="AH2926" s="156" t="n"/>
      <c r="AI2926" s="156" t="n"/>
      <c r="AJ2926" s="156" t="n"/>
      <c r="AK2926" s="156" t="n"/>
      <c r="AL2926" s="156" t="n"/>
      <c r="AM2926" s="156" t="n"/>
      <c r="AN2926" s="156" t="n"/>
      <c r="AO2926" s="156" t="n"/>
      <c r="AP2926" s="156" t="n"/>
      <c r="AQ2926" s="156" t="n"/>
      <c r="AR2926" s="156" t="n"/>
      <c r="AS2926" s="156" t="n"/>
      <c r="AT2926" s="157"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1" t="inlineStr">
        <is>
          <t>名　前</t>
        </is>
      </c>
      <c r="F2927" s="149" t="n"/>
      <c r="G2927" s="149" t="n"/>
      <c r="H2927" s="149" t="n"/>
      <c r="I2927" s="149" t="n"/>
      <c r="J2927" s="149" t="n"/>
      <c r="K2927" s="150" t="n"/>
      <c r="L2927" s="162">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61"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5" t="n"/>
      <c r="F2932" s="156" t="n"/>
      <c r="G2932" s="156" t="n"/>
      <c r="H2932" s="156" t="n"/>
      <c r="I2932" s="156" t="n"/>
      <c r="J2932" s="156" t="n"/>
      <c r="K2932" s="157" t="n"/>
      <c r="L2932" s="155" t="n"/>
      <c r="M2932" s="156" t="n"/>
      <c r="N2932" s="156" t="n"/>
      <c r="O2932" s="156" t="n"/>
      <c r="P2932" s="156" t="n"/>
      <c r="Q2932" s="156" t="n"/>
      <c r="R2932" s="156" t="n"/>
      <c r="S2932" s="156" t="n"/>
      <c r="T2932" s="156" t="n"/>
      <c r="U2932" s="156" t="n"/>
      <c r="V2932" s="156" t="n"/>
      <c r="W2932" s="156" t="n"/>
      <c r="X2932" s="156" t="n"/>
      <c r="Y2932" s="156" t="n"/>
      <c r="Z2932" s="156" t="n"/>
      <c r="AA2932" s="156" t="n"/>
      <c r="AB2932" s="156" t="n"/>
      <c r="AC2932" s="156" t="n"/>
      <c r="AD2932" s="156" t="n"/>
      <c r="AE2932" s="156" t="n"/>
      <c r="AF2932" s="156" t="n"/>
      <c r="AG2932" s="156" t="n"/>
      <c r="AH2932" s="156" t="n"/>
      <c r="AI2932" s="156" t="n"/>
      <c r="AJ2932" s="156" t="n"/>
      <c r="AK2932" s="156" t="n"/>
      <c r="AL2932" s="156" t="n"/>
      <c r="AM2932" s="156" t="n"/>
      <c r="AN2932" s="156" t="n"/>
      <c r="AO2932" s="156" t="n"/>
      <c r="AP2932" s="156" t="n"/>
      <c r="AQ2932" s="156" t="n"/>
      <c r="AR2932" s="156" t="n"/>
      <c r="AS2932" s="156" t="n"/>
      <c r="AT2932" s="157"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1" t="inlineStr">
        <is>
          <t>生年月日</t>
        </is>
      </c>
      <c r="F2933" s="149" t="n"/>
      <c r="G2933" s="149" t="n"/>
      <c r="H2933" s="149" t="n"/>
      <c r="I2933" s="149" t="n"/>
      <c r="J2933" s="149" t="n"/>
      <c r="K2933" s="150" t="n"/>
      <c r="L2933" s="163" t="inlineStr">
        <is>
          <t>昭和 ・ 平成</t>
        </is>
      </c>
      <c r="M2933" s="149" t="n"/>
      <c r="N2933" s="149" t="n"/>
      <c r="O2933" s="149" t="n"/>
      <c r="P2933" s="149" t="n"/>
      <c r="Q2933" s="149" t="n"/>
      <c r="R2933" s="149" t="n"/>
      <c r="S2933" s="149" t="n"/>
      <c r="T2933" s="149" t="n"/>
      <c r="U2933" s="149" t="n"/>
      <c r="V2933" s="164">
        <f>計算!$D$35</f>
        <v/>
      </c>
      <c r="W2933" s="149" t="n"/>
      <c r="X2933" s="165" t="inlineStr">
        <is>
          <t>年</t>
        </is>
      </c>
      <c r="Y2933" s="149" t="n"/>
      <c r="Z2933" s="166">
        <f>計算!$E$35</f>
        <v/>
      </c>
      <c r="AA2933" s="149" t="n"/>
      <c r="AB2933" s="149" t="n"/>
      <c r="AC2933" s="165" t="inlineStr">
        <is>
          <t>月</t>
        </is>
      </c>
      <c r="AD2933" s="149" t="n"/>
      <c r="AE2933" s="166">
        <f>計算!$F$35</f>
        <v/>
      </c>
      <c r="AF2933" s="149" t="n"/>
      <c r="AG2933" s="149" t="n"/>
      <c r="AH2933" s="165" t="inlineStr">
        <is>
          <t>日　生 （満</t>
        </is>
      </c>
      <c r="AI2933" s="149" t="n"/>
      <c r="AJ2933" s="149" t="n"/>
      <c r="AK2933" s="149" t="n"/>
      <c r="AL2933" s="149" t="n"/>
      <c r="AM2933" s="149" t="n"/>
      <c r="AN2933" s="149" t="n"/>
      <c r="AO2933" s="149" t="n"/>
      <c r="AP2933" s="167">
        <f>計算!$G$35</f>
        <v/>
      </c>
      <c r="AQ2933" s="149" t="n"/>
      <c r="AR2933" s="168"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5" t="n"/>
      <c r="F2936" s="156" t="n"/>
      <c r="G2936" s="156" t="n"/>
      <c r="H2936" s="156" t="n"/>
      <c r="I2936" s="156" t="n"/>
      <c r="J2936" s="156" t="n"/>
      <c r="K2936" s="157" t="n"/>
      <c r="L2936" s="155" t="n"/>
      <c r="M2936" s="156" t="n"/>
      <c r="N2936" s="156" t="n"/>
      <c r="O2936" s="156" t="n"/>
      <c r="P2936" s="156" t="n"/>
      <c r="Q2936" s="156" t="n"/>
      <c r="R2936" s="156" t="n"/>
      <c r="S2936" s="156" t="n"/>
      <c r="T2936" s="156" t="n"/>
      <c r="U2936" s="156" t="n"/>
      <c r="X2936" s="156" t="n"/>
      <c r="Y2936" s="156" t="n"/>
      <c r="AC2936" s="156" t="n"/>
      <c r="AD2936" s="156" t="n"/>
      <c r="AH2936" s="156" t="n"/>
      <c r="AI2936" s="156" t="n"/>
      <c r="AJ2936" s="156" t="n"/>
      <c r="AK2936" s="156" t="n"/>
      <c r="AL2936" s="156" t="n"/>
      <c r="AM2936" s="156" t="n"/>
      <c r="AN2936" s="156" t="n"/>
      <c r="AO2936" s="156" t="n"/>
      <c r="AP2936" s="156" t="n"/>
      <c r="AQ2936" s="156" t="n"/>
      <c r="AR2936" s="156" t="n"/>
      <c r="AS2936" s="156" t="n"/>
      <c r="AT2936" s="157"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69" t="inlineStr">
        <is>
          <t>ふ り が な</t>
        </is>
      </c>
      <c r="F2937" s="149" t="n"/>
      <c r="G2937" s="149" t="n"/>
      <c r="H2937" s="149" t="n"/>
      <c r="I2937" s="149" t="n"/>
      <c r="J2937" s="149" t="n"/>
      <c r="K2937" s="150" t="n"/>
      <c r="L2937" s="170">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1" t="n"/>
      <c r="F2939" s="172" t="n"/>
      <c r="G2939" s="172" t="n"/>
      <c r="H2939" s="172" t="n"/>
      <c r="I2939" s="172" t="n"/>
      <c r="J2939" s="172" t="n"/>
      <c r="K2939" s="173" t="n"/>
      <c r="L2939" s="172" t="n"/>
      <c r="M2939" s="172" t="n"/>
      <c r="N2939" s="172" t="n"/>
      <c r="O2939" s="172" t="n"/>
      <c r="P2939" s="172" t="n"/>
      <c r="Q2939" s="172" t="n"/>
      <c r="R2939" s="172" t="n"/>
      <c r="S2939" s="172" t="n"/>
      <c r="T2939" s="172" t="n"/>
      <c r="U2939" s="172" t="n"/>
      <c r="V2939" s="172" t="n"/>
      <c r="W2939" s="172" t="n"/>
      <c r="X2939" s="172" t="n"/>
      <c r="Y2939" s="172" t="n"/>
      <c r="Z2939" s="172" t="n"/>
      <c r="AA2939" s="172" t="n"/>
      <c r="AB2939" s="172" t="n"/>
      <c r="AC2939" s="172" t="n"/>
      <c r="AD2939" s="172" t="n"/>
      <c r="AE2939" s="172" t="n"/>
      <c r="AF2939" s="172" t="n"/>
      <c r="AG2939" s="172" t="n"/>
      <c r="AH2939" s="172" t="n"/>
      <c r="AI2939" s="172" t="n"/>
      <c r="AJ2939" s="172" t="n"/>
      <c r="AK2939" s="172" t="n"/>
      <c r="AL2939" s="172" t="n"/>
      <c r="AM2939" s="172" t="n"/>
      <c r="AN2939" s="172" t="n"/>
      <c r="AO2939" s="172" t="n"/>
      <c r="AP2939" s="172" t="n"/>
      <c r="AQ2939" s="172" t="n"/>
      <c r="AR2939" s="172" t="n"/>
      <c r="AS2939" s="172" t="n"/>
      <c r="AT2939" s="172" t="n"/>
      <c r="AU2939" s="172" t="n"/>
      <c r="AV2939" s="172" t="n"/>
      <c r="AW2939" s="172" t="n"/>
      <c r="AX2939" s="172" t="n"/>
      <c r="AY2939" s="172" t="n"/>
      <c r="AZ2939" s="172" t="n"/>
      <c r="BA2939" s="172" t="n"/>
      <c r="BB2939" s="172" t="n"/>
      <c r="BC2939" s="172" t="n"/>
      <c r="BD2939" s="172" t="n"/>
      <c r="BE2939" s="172" t="n"/>
      <c r="BF2939" s="172" t="n"/>
      <c r="BG2939" s="172" t="n"/>
      <c r="BH2939" s="172" t="n"/>
      <c r="BI2939" s="173"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4" t="inlineStr">
        <is>
          <t>現住所</t>
        </is>
      </c>
      <c r="F2940" s="175" t="n"/>
      <c r="G2940" s="175" t="n"/>
      <c r="H2940" s="175" t="n"/>
      <c r="I2940" s="175" t="n"/>
      <c r="J2940" s="175" t="n"/>
      <c r="K2940" s="176" t="n"/>
      <c r="L2940" s="83" t="inlineStr">
        <is>
          <t>〒</t>
        </is>
      </c>
      <c r="M2940" s="175" t="n"/>
      <c r="N2940" s="175" t="n"/>
      <c r="O2940" s="175" t="n"/>
      <c r="P2940" s="177">
        <f>計算!$H$35</f>
        <v/>
      </c>
      <c r="Q2940" s="175" t="n"/>
      <c r="R2940" s="175" t="n"/>
      <c r="S2940" s="175" t="n"/>
      <c r="T2940" s="175" t="n"/>
      <c r="U2940" s="175" t="n"/>
      <c r="V2940" s="175" t="n"/>
      <c r="W2940" s="175" t="n"/>
      <c r="X2940" s="175" t="n"/>
      <c r="Y2940" s="175" t="n"/>
      <c r="Z2940" s="175" t="n"/>
      <c r="AA2940" s="175" t="n"/>
      <c r="AB2940" s="175" t="n"/>
      <c r="AC2940" s="175" t="n"/>
      <c r="AD2940" s="175" t="n"/>
      <c r="AE2940" s="175" t="n"/>
      <c r="AF2940" s="175" t="n"/>
      <c r="AG2940" s="175" t="n"/>
      <c r="AH2940" s="175" t="n"/>
      <c r="AI2940" s="175" t="n"/>
      <c r="AJ2940" s="175"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5" t="n"/>
      <c r="BQ2941" s="156" t="n"/>
      <c r="BR2941" s="156" t="n"/>
      <c r="BS2941" s="156" t="n"/>
      <c r="BT2941" s="156" t="n"/>
      <c r="BU2941" s="156" t="n"/>
      <c r="BV2941" s="157" t="n"/>
      <c r="BW2941" s="155" t="n"/>
      <c r="BX2941" s="156" t="n"/>
      <c r="BY2941" s="156" t="n"/>
      <c r="BZ2941" s="156" t="n"/>
      <c r="CA2941" s="156" t="n"/>
      <c r="CB2941" s="156" t="n"/>
      <c r="CC2941" s="156" t="n"/>
      <c r="CD2941" s="156" t="n"/>
      <c r="CE2941" s="156" t="n"/>
      <c r="CF2941" s="156" t="n"/>
      <c r="CG2941" s="157"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8" t="inlineStr">
        <is>
          <t>校内外の諸活動</t>
        </is>
      </c>
      <c r="BQ2942" s="149" t="n"/>
      <c r="BR2942" s="149" t="n"/>
      <c r="BS2942" s="149" t="n"/>
      <c r="BT2942" s="149" t="n"/>
      <c r="BU2942" s="149" t="n"/>
      <c r="BV2942" s="150" t="n"/>
      <c r="BW2942" s="179">
        <f>計算!$BO$35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0">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5" t="n"/>
      <c r="F2945" s="156" t="n"/>
      <c r="G2945" s="156" t="n"/>
      <c r="H2945" s="156" t="n"/>
      <c r="I2945" s="156" t="n"/>
      <c r="J2945" s="156" t="n"/>
      <c r="K2945" s="157" t="n"/>
      <c r="L2945" s="155" t="n"/>
      <c r="M2945" s="156" t="n"/>
      <c r="N2945" s="156" t="n"/>
      <c r="O2945" s="156" t="n"/>
      <c r="P2945" s="156" t="n"/>
      <c r="Q2945" s="156" t="n"/>
      <c r="R2945" s="156" t="n"/>
      <c r="S2945" s="156" t="n"/>
      <c r="T2945" s="156" t="n"/>
      <c r="U2945" s="156" t="n"/>
      <c r="V2945" s="156" t="n"/>
      <c r="W2945" s="156" t="n"/>
      <c r="X2945" s="156" t="n"/>
      <c r="Y2945" s="156" t="n"/>
      <c r="Z2945" s="156" t="n"/>
      <c r="AA2945" s="156" t="n"/>
      <c r="AB2945" s="156" t="n"/>
      <c r="AC2945" s="156" t="n"/>
      <c r="AD2945" s="156" t="n"/>
      <c r="AE2945" s="156" t="n"/>
      <c r="AF2945" s="156" t="n"/>
      <c r="AG2945" s="156" t="n"/>
      <c r="AH2945" s="156" t="n"/>
      <c r="AI2945" s="156" t="n"/>
      <c r="AJ2945" s="156" t="n"/>
      <c r="AK2945" s="156" t="n"/>
      <c r="AL2945" s="156" t="n"/>
      <c r="AM2945" s="156" t="n"/>
      <c r="AN2945" s="156" t="n"/>
      <c r="AO2945" s="156" t="n"/>
      <c r="AP2945" s="156" t="n"/>
      <c r="AQ2945" s="156" t="n"/>
      <c r="AR2945" s="156" t="n"/>
      <c r="AS2945" s="156" t="n"/>
      <c r="AT2945" s="156" t="n"/>
      <c r="AU2945" s="156" t="n"/>
      <c r="AV2945" s="156" t="n"/>
      <c r="AW2945" s="156" t="n"/>
      <c r="AX2945" s="156" t="n"/>
      <c r="AY2945" s="156" t="n"/>
      <c r="AZ2945" s="156" t="n"/>
      <c r="BA2945" s="156" t="n"/>
      <c r="BB2945" s="156" t="n"/>
      <c r="BC2945" s="156" t="n"/>
      <c r="BD2945" s="156" t="n"/>
      <c r="BE2945" s="156" t="n"/>
      <c r="BF2945" s="156" t="n"/>
      <c r="BG2945" s="156" t="n"/>
      <c r="BH2945" s="156" t="n"/>
      <c r="BI2945" s="157"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69" t="inlineStr">
        <is>
          <t>ふ り が な</t>
        </is>
      </c>
      <c r="F2946" s="149" t="n"/>
      <c r="G2946" s="149" t="n"/>
      <c r="H2946" s="149" t="n"/>
      <c r="I2946" s="149" t="n"/>
      <c r="J2946" s="149" t="n"/>
      <c r="K2946" s="150" t="n"/>
      <c r="L2946" s="170">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1" t="n"/>
      <c r="F2948" s="172" t="n"/>
      <c r="G2948" s="172" t="n"/>
      <c r="H2948" s="172" t="n"/>
      <c r="I2948" s="172" t="n"/>
      <c r="J2948" s="172" t="n"/>
      <c r="K2948" s="173" t="n"/>
      <c r="L2948" s="172" t="n"/>
      <c r="M2948" s="172" t="n"/>
      <c r="N2948" s="172" t="n"/>
      <c r="O2948" s="172" t="n"/>
      <c r="P2948" s="172" t="n"/>
      <c r="Q2948" s="172" t="n"/>
      <c r="R2948" s="172" t="n"/>
      <c r="S2948" s="172" t="n"/>
      <c r="T2948" s="172" t="n"/>
      <c r="U2948" s="172" t="n"/>
      <c r="V2948" s="172" t="n"/>
      <c r="W2948" s="172" t="n"/>
      <c r="X2948" s="172" t="n"/>
      <c r="Y2948" s="172" t="n"/>
      <c r="Z2948" s="172" t="n"/>
      <c r="AA2948" s="172" t="n"/>
      <c r="AB2948" s="172" t="n"/>
      <c r="AC2948" s="172" t="n"/>
      <c r="AD2948" s="172" t="n"/>
      <c r="AE2948" s="172" t="n"/>
      <c r="AF2948" s="172" t="n"/>
      <c r="AG2948" s="172" t="n"/>
      <c r="AH2948" s="172" t="n"/>
      <c r="AI2948" s="172" t="n"/>
      <c r="AJ2948" s="172" t="n"/>
      <c r="AK2948" s="172" t="n"/>
      <c r="AL2948" s="172" t="n"/>
      <c r="AM2948" s="172" t="n"/>
      <c r="AN2948" s="172" t="n"/>
      <c r="AO2948" s="172" t="n"/>
      <c r="AP2948" s="172" t="n"/>
      <c r="AQ2948" s="172" t="n"/>
      <c r="AR2948" s="172" t="n"/>
      <c r="AS2948" s="172" t="n"/>
      <c r="AT2948" s="172" t="n"/>
      <c r="AU2948" s="172" t="n"/>
      <c r="AV2948" s="172" t="n"/>
      <c r="AW2948" s="172" t="n"/>
      <c r="AX2948" s="172" t="n"/>
      <c r="AY2948" s="172" t="n"/>
      <c r="AZ2948" s="172" t="n"/>
      <c r="BA2948" s="172" t="n"/>
      <c r="BB2948" s="172" t="n"/>
      <c r="BC2948" s="172" t="n"/>
      <c r="BD2948" s="172" t="n"/>
      <c r="BE2948" s="172" t="n"/>
      <c r="BF2948" s="172" t="n"/>
      <c r="BG2948" s="172" t="n"/>
      <c r="BH2948" s="172" t="n"/>
      <c r="BI2948" s="173"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4" t="inlineStr">
        <is>
          <t>連絡先</t>
        </is>
      </c>
      <c r="F2949" s="175" t="n"/>
      <c r="G2949" s="175" t="n"/>
      <c r="H2949" s="175" t="n"/>
      <c r="I2949" s="175" t="n"/>
      <c r="J2949" s="175" t="n"/>
      <c r="K2949" s="176" t="n"/>
      <c r="L2949" s="83" t="inlineStr">
        <is>
          <t>〒</t>
        </is>
      </c>
      <c r="M2949" s="175" t="n"/>
      <c r="N2949" s="175" t="n"/>
      <c r="O2949" s="175" t="n"/>
      <c r="P2949" s="181">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2">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5" t="n"/>
      <c r="F2953" s="156" t="n"/>
      <c r="G2953" s="156" t="n"/>
      <c r="H2953" s="156" t="n"/>
      <c r="I2953" s="156" t="n"/>
      <c r="J2953" s="156" t="n"/>
      <c r="K2953" s="157" t="n"/>
      <c r="L2953" s="156" t="n"/>
      <c r="M2953" s="156" t="n"/>
      <c r="N2953" s="156" t="n"/>
      <c r="O2953" s="156" t="n"/>
      <c r="P2953" s="156" t="n"/>
      <c r="Q2953" s="156" t="n"/>
      <c r="R2953" s="156" t="n"/>
      <c r="S2953" s="156" t="n"/>
      <c r="T2953" s="156" t="n"/>
      <c r="U2953" s="156" t="n"/>
      <c r="V2953" s="156" t="n"/>
      <c r="W2953" s="156" t="n"/>
      <c r="X2953" s="156" t="n"/>
      <c r="Y2953" s="156" t="n"/>
      <c r="Z2953" s="156" t="n"/>
      <c r="AA2953" s="156" t="n"/>
      <c r="AB2953" s="156" t="n"/>
      <c r="AC2953" s="156" t="n"/>
      <c r="AD2953" s="156" t="n"/>
      <c r="AE2953" s="156" t="n"/>
      <c r="AF2953" s="156" t="n"/>
      <c r="AG2953" s="156" t="n"/>
      <c r="AH2953" s="156" t="n"/>
      <c r="AI2953" s="156" t="n"/>
      <c r="AJ2953" s="156" t="n"/>
      <c r="AK2953" s="156" t="n"/>
      <c r="AL2953" s="156" t="n"/>
      <c r="AM2953" s="156" t="n"/>
      <c r="AN2953" s="156" t="n"/>
      <c r="AO2953" s="156" t="n"/>
      <c r="AP2953" s="156" t="n"/>
      <c r="AQ2953" s="156" t="n"/>
      <c r="AR2953" s="156" t="n"/>
      <c r="AS2953" s="156" t="n"/>
      <c r="AT2953" s="156" t="n"/>
      <c r="AU2953" s="156" t="n"/>
      <c r="AV2953" s="156" t="n"/>
      <c r="AW2953" s="156" t="n"/>
      <c r="AX2953" s="156" t="n"/>
      <c r="AY2953" s="156" t="n"/>
      <c r="AZ2953" s="156" t="n"/>
      <c r="BA2953" s="156" t="n"/>
      <c r="BB2953" s="156" t="n"/>
      <c r="BC2953" s="156" t="n"/>
      <c r="BD2953" s="156" t="n"/>
      <c r="BE2953" s="156" t="n"/>
      <c r="BF2953" s="156" t="n"/>
      <c r="BG2953" s="156" t="n"/>
      <c r="BH2953" s="156" t="n"/>
      <c r="BI2953" s="157"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86"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3" t="n"/>
      <c r="BQ2959" s="149" t="n"/>
      <c r="BR2959" s="184" t="n"/>
      <c r="BS2959" s="149" t="n"/>
      <c r="BT2959" s="149" t="n"/>
      <c r="BU2959" s="28" t="n"/>
      <c r="BV2959" s="29" t="n"/>
      <c r="BW2959" s="185">
        <f>計算!$BP$35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115"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6"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107"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7">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188">
        <f>IF(入力!$D$37="","",設定!$B$6)&amp;""</f>
        <v/>
      </c>
      <c r="S2967" s="11" t="n"/>
      <c r="T2967" s="11" t="n"/>
      <c r="U2967" s="188">
        <f>IF(入力!$D$37="","",設定!$B$7)&amp;""</f>
        <v/>
      </c>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110" t="inlineStr">
        <is>
          <t>令和</t>
        </is>
      </c>
      <c r="S2968" s="61" t="inlineStr">
        <is>
          <t>年</t>
        </is>
      </c>
      <c r="W2968" s="62"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90"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5" t="n"/>
      <c r="F2972" s="156" t="n"/>
      <c r="G2972" s="156" t="n"/>
      <c r="H2972" s="156" t="n"/>
      <c r="I2972" s="156" t="n"/>
      <c r="J2972" s="156" t="n"/>
      <c r="K2972" s="157"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6" t="n"/>
      <c r="AX2972" s="156" t="n"/>
      <c r="AY2972" s="156" t="n"/>
      <c r="AZ2972" s="156" t="n"/>
      <c r="BA2972" s="156" t="n"/>
      <c r="BB2972" s="156" t="n"/>
      <c r="BC2972" s="156" t="n"/>
      <c r="BD2972" s="156" t="n"/>
      <c r="BE2972" s="156" t="n"/>
      <c r="BF2972" s="156" t="n"/>
      <c r="BG2972" s="156" t="n"/>
      <c r="BH2972" s="156" t="n"/>
      <c r="BI2972" s="157"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58" t="n"/>
      <c r="T2973" s="149" t="n"/>
      <c r="U2973" s="17" t="n"/>
      <c r="V2973" s="17" t="n"/>
      <c r="W2973" s="58"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89" t="inlineStr">
        <is>
          <t>職　歴</t>
        </is>
      </c>
      <c r="K2976" s="153" t="n"/>
      <c r="L2976" s="69" t="inlineStr">
        <is>
          <t>平成</t>
        </is>
      </c>
      <c r="M2976" s="149" t="n"/>
      <c r="N2976" s="149" t="n"/>
      <c r="O2976" s="149" t="n"/>
      <c r="P2976" s="19" t="n"/>
      <c r="Q2976" s="19" t="n"/>
      <c r="R2976" s="19" t="n"/>
      <c r="S2976" s="19" t="n"/>
      <c r="T2976" s="19" t="n"/>
      <c r="U2976" s="19" t="n"/>
      <c r="V2976" s="19" t="n"/>
      <c r="W2976" s="19" t="n"/>
      <c r="X2976" s="37" t="n"/>
      <c r="Y2976" s="180">
        <f>計算!$BT$35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8">
        <f>計算!$BR$35</f>
        <v/>
      </c>
      <c r="S2978" s="61" t="inlineStr">
        <is>
          <t>年</t>
        </is>
      </c>
      <c r="U2978" s="190">
        <f>計算!$BS$35</f>
        <v/>
      </c>
      <c r="W2978" s="62"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74"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5" t="n"/>
      <c r="M2981" s="156" t="n"/>
      <c r="N2981" s="156" t="n"/>
      <c r="O2981" s="156" t="n"/>
      <c r="P2981" s="20" t="n"/>
      <c r="Q2981" s="20" t="n"/>
      <c r="R2981" s="20" t="n"/>
      <c r="S2981" s="20" t="n"/>
      <c r="T2981" s="20" t="n"/>
      <c r="U2981" s="20" t="n"/>
      <c r="V2981" s="20" t="n"/>
      <c r="W2981" s="20" t="n"/>
      <c r="X2981" s="39" t="n"/>
      <c r="Y2981" s="155" t="n"/>
      <c r="Z2981" s="156" t="n"/>
      <c r="AA2981" s="156" t="n"/>
      <c r="AB2981" s="156" t="n"/>
      <c r="AC2981" s="156" t="n"/>
      <c r="AD2981" s="156" t="n"/>
      <c r="AE2981" s="156" t="n"/>
      <c r="AF2981" s="156" t="n"/>
      <c r="AG2981" s="156" t="n"/>
      <c r="AH2981" s="156" t="n"/>
      <c r="AI2981" s="156" t="n"/>
      <c r="AJ2981" s="156" t="n"/>
      <c r="AK2981" s="156" t="n"/>
      <c r="AL2981" s="156" t="n"/>
      <c r="AM2981" s="156" t="n"/>
      <c r="AN2981" s="156" t="n"/>
      <c r="AO2981" s="156" t="n"/>
      <c r="AP2981" s="156" t="n"/>
      <c r="AQ2981" s="156" t="n"/>
      <c r="AR2981" s="156" t="n"/>
      <c r="AS2981" s="156" t="n"/>
      <c r="AT2981" s="156" t="n"/>
      <c r="AU2981" s="156" t="n"/>
      <c r="AV2981" s="156" t="n"/>
      <c r="AW2981" s="156" t="n"/>
      <c r="AX2981" s="156" t="n"/>
      <c r="AY2981" s="156" t="n"/>
      <c r="AZ2981" s="156" t="n"/>
      <c r="BA2981" s="156" t="n"/>
      <c r="BB2981" s="156" t="n"/>
      <c r="BC2981" s="156" t="n"/>
      <c r="BD2981" s="156" t="n"/>
      <c r="BE2981" s="156" t="n"/>
      <c r="BF2981" s="156" t="n"/>
      <c r="BG2981" s="156" t="n"/>
      <c r="BH2981" s="156" t="n"/>
      <c r="BI2981" s="157"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69" t="inlineStr">
        <is>
          <t>平成</t>
        </is>
      </c>
      <c r="M2982" s="149" t="n"/>
      <c r="N2982" s="149" t="n"/>
      <c r="O2982" s="149" t="n"/>
      <c r="P2982" s="18" t="n"/>
      <c r="Q2982" s="18" t="n"/>
      <c r="R2982" s="18" t="n"/>
      <c r="S2982" s="18" t="n"/>
      <c r="T2982" s="18" t="n"/>
      <c r="U2982" s="18" t="n"/>
      <c r="V2982" s="18" t="n"/>
      <c r="W2982" s="18" t="n"/>
      <c r="X2982" s="35" t="n"/>
      <c r="Y2982" s="180">
        <f>計算!$BW$35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8">
        <f>計算!$BU$35</f>
        <v/>
      </c>
      <c r="S2984" s="61" t="inlineStr">
        <is>
          <t>年</t>
        </is>
      </c>
      <c r="U2984" s="190">
        <f>計算!$BV$35</f>
        <v/>
      </c>
      <c r="W2984" s="62"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74"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5" t="n"/>
      <c r="M2987" s="156" t="n"/>
      <c r="N2987" s="156" t="n"/>
      <c r="O2987" s="156" t="n"/>
      <c r="P2987" s="20" t="n"/>
      <c r="Q2987" s="20" t="n"/>
      <c r="R2987" s="20" t="n"/>
      <c r="S2987" s="20" t="n"/>
      <c r="T2987" s="20" t="n"/>
      <c r="U2987" s="20" t="n"/>
      <c r="V2987" s="20" t="n"/>
      <c r="W2987" s="20" t="n"/>
      <c r="X2987" s="39" t="n"/>
      <c r="Y2987" s="155" t="n"/>
      <c r="Z2987" s="156" t="n"/>
      <c r="AA2987" s="156" t="n"/>
      <c r="AB2987" s="156" t="n"/>
      <c r="AC2987" s="156" t="n"/>
      <c r="AD2987" s="156" t="n"/>
      <c r="AE2987" s="156" t="n"/>
      <c r="AF2987" s="156" t="n"/>
      <c r="AG2987" s="156" t="n"/>
      <c r="AH2987" s="156" t="n"/>
      <c r="AI2987" s="156" t="n"/>
      <c r="AJ2987" s="156" t="n"/>
      <c r="AK2987" s="156" t="n"/>
      <c r="AL2987" s="156" t="n"/>
      <c r="AM2987" s="156" t="n"/>
      <c r="AN2987" s="156" t="n"/>
      <c r="AO2987" s="156" t="n"/>
      <c r="AP2987" s="156" t="n"/>
      <c r="AQ2987" s="156" t="n"/>
      <c r="AR2987" s="156" t="n"/>
      <c r="AS2987" s="156" t="n"/>
      <c r="AT2987" s="156" t="n"/>
      <c r="AU2987" s="156" t="n"/>
      <c r="AV2987" s="156" t="n"/>
      <c r="AW2987" s="156" t="n"/>
      <c r="AX2987" s="156" t="n"/>
      <c r="AY2987" s="156" t="n"/>
      <c r="AZ2987" s="156" t="n"/>
      <c r="BA2987" s="156" t="n"/>
      <c r="BB2987" s="156" t="n"/>
      <c r="BC2987" s="156" t="n"/>
      <c r="BD2987" s="156" t="n"/>
      <c r="BE2987" s="156" t="n"/>
      <c r="BF2987" s="156" t="n"/>
      <c r="BG2987" s="156" t="n"/>
      <c r="BH2987" s="156" t="n"/>
      <c r="BI2987" s="157" t="n"/>
      <c r="BJ2987" s="2" t="n"/>
      <c r="BK2987" s="2" t="n"/>
      <c r="BL2987" s="2" t="n"/>
      <c r="BM2987" s="2" t="n"/>
      <c r="BN2987" s="2" t="n"/>
      <c r="BO2987" s="2" t="n"/>
      <c r="BP2987" s="155" t="n"/>
      <c r="BQ2987" s="156" t="n"/>
      <c r="BR2987" s="156" t="n"/>
      <c r="BS2987" s="156" t="n"/>
      <c r="BT2987" s="156" t="n"/>
      <c r="BU2987" s="42" t="n"/>
      <c r="BV2987" s="45" t="n"/>
      <c r="BW2987" s="156" t="n"/>
      <c r="BX2987" s="156" t="n"/>
      <c r="BY2987" s="156" t="n"/>
      <c r="BZ2987" s="156" t="n"/>
      <c r="CA2987" s="156" t="n"/>
      <c r="CB2987" s="156" t="n"/>
      <c r="CC2987" s="156" t="n"/>
      <c r="CD2987" s="156" t="n"/>
      <c r="CE2987" s="156" t="n"/>
      <c r="CF2987" s="156" t="n"/>
      <c r="CG2987" s="156" t="n"/>
      <c r="CH2987" s="156" t="n"/>
      <c r="CI2987" s="156" t="n"/>
      <c r="CJ2987" s="156" t="n"/>
      <c r="CK2987" s="156" t="n"/>
      <c r="CL2987" s="156" t="n"/>
      <c r="CM2987" s="156" t="n"/>
      <c r="CN2987" s="156" t="n"/>
      <c r="CO2987" s="156" t="n"/>
      <c r="CP2987" s="156" t="n"/>
      <c r="CQ2987" s="156" t="n"/>
      <c r="CR2987" s="156" t="n"/>
      <c r="CS2987" s="156" t="n"/>
      <c r="CT2987" s="156" t="n"/>
      <c r="CU2987" s="156" t="n"/>
      <c r="CV2987" s="156" t="n"/>
      <c r="CW2987" s="156" t="n"/>
      <c r="CX2987" s="156" t="n"/>
      <c r="CY2987" s="156" t="n"/>
      <c r="CZ2987" s="156" t="n"/>
      <c r="DA2987" s="156" t="n"/>
      <c r="DB2987" s="156" t="n"/>
      <c r="DC2987" s="156" t="n"/>
      <c r="DD2987" s="156" t="n"/>
      <c r="DE2987" s="156" t="n"/>
      <c r="DF2987" s="156" t="n"/>
      <c r="DG2987" s="156" t="n"/>
      <c r="DH2987" s="156" t="n"/>
      <c r="DI2987" s="156" t="n"/>
      <c r="DJ2987" s="156" t="n"/>
      <c r="DK2987" s="156" t="n"/>
      <c r="DL2987" s="156" t="n"/>
      <c r="DM2987" s="156" t="n"/>
      <c r="DN2987" s="156" t="n"/>
      <c r="DO2987" s="156" t="n"/>
      <c r="DP2987" s="156" t="n"/>
      <c r="DQ2987" s="156" t="n"/>
      <c r="DR2987" s="156" t="n"/>
      <c r="DS2987" s="156" t="n"/>
      <c r="DT2987" s="156" t="n"/>
      <c r="DU2987" s="157" t="n"/>
      <c r="DV2987" s="2" t="n"/>
      <c r="DW2987" s="2" t="n"/>
      <c r="DX2987" s="2" t="n"/>
      <c r="DY2987" s="2" t="n"/>
      <c r="DZ2987" s="2" t="n"/>
      <c r="EA2987" s="2" t="n"/>
      <c r="EB2987" s="2" t="n"/>
      <c r="EC2987" s="2" t="n"/>
    </row>
    <row r="2988" ht="6.75" customHeight="1" s="118">
      <c r="A2988" s="2" t="n"/>
      <c r="B2988" s="2" t="n"/>
      <c r="C2988" s="2" t="n"/>
      <c r="D2988" s="2" t="n"/>
      <c r="E2988" s="152" t="n"/>
      <c r="K2988" s="153" t="n"/>
      <c r="L2988" s="69"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5">
        <f>計算!$BQ$35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61" t="inlineStr">
        <is>
          <t>年</t>
        </is>
      </c>
      <c r="U2990" s="11" t="n"/>
      <c r="V2990" s="11" t="n"/>
      <c r="W2990" s="62"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74"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5" t="n"/>
      <c r="M2993" s="156" t="n"/>
      <c r="N2993" s="156" t="n"/>
      <c r="O2993" s="156"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69"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61" t="inlineStr">
        <is>
          <t>年</t>
        </is>
      </c>
      <c r="U2996" s="11" t="n"/>
      <c r="V2996" s="11" t="n"/>
      <c r="W2996" s="62"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74"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61" t="n"/>
      <c r="T2998" s="61" t="n"/>
      <c r="U2998" s="11" t="n"/>
      <c r="V2998" s="11" t="n"/>
      <c r="W2998" s="61" t="n"/>
      <c r="X2998" s="62"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5" t="n"/>
      <c r="F2999" s="156" t="n"/>
      <c r="G2999" s="156" t="n"/>
      <c r="H2999" s="156" t="n"/>
      <c r="I2999" s="156" t="n"/>
      <c r="J2999" s="156" t="n"/>
      <c r="K2999" s="157" t="n"/>
      <c r="L2999" s="155" t="n"/>
      <c r="M2999" s="156" t="n"/>
      <c r="N2999" s="156" t="n"/>
      <c r="O2999" s="156"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5" t="n"/>
      <c r="BQ2999" s="156" t="n"/>
      <c r="BR2999" s="156" t="n"/>
      <c r="BS2999" s="156" t="n"/>
      <c r="BT2999" s="156" t="n"/>
      <c r="BU2999" s="156" t="n"/>
      <c r="BV2999" s="157" t="n"/>
      <c r="BW2999" s="156" t="n"/>
      <c r="BX2999" s="156" t="n"/>
      <c r="BY2999" s="156" t="n"/>
      <c r="BZ2999" s="156" t="n"/>
      <c r="CA2999" s="156" t="n"/>
      <c r="CB2999" s="156" t="n"/>
      <c r="CC2999" s="156" t="n"/>
      <c r="CD2999" s="156" t="n"/>
      <c r="CE2999" s="156" t="n"/>
      <c r="CF2999" s="156" t="n"/>
      <c r="CG2999" s="156" t="n"/>
      <c r="CH2999" s="156" t="n"/>
      <c r="CI2999" s="156" t="n"/>
      <c r="CJ2999" s="156" t="n"/>
      <c r="CK2999" s="156" t="n"/>
      <c r="CL2999" s="156" t="n"/>
      <c r="CM2999" s="156" t="n"/>
      <c r="CN2999" s="156" t="n"/>
      <c r="CO2999" s="156" t="n"/>
      <c r="CP2999" s="156" t="n"/>
      <c r="CQ2999" s="156" t="n"/>
      <c r="CR2999" s="156" t="n"/>
      <c r="CS2999" s="156" t="n"/>
      <c r="CT2999" s="156" t="n"/>
      <c r="CU2999" s="156" t="n"/>
      <c r="CV2999" s="156" t="n"/>
      <c r="CW2999" s="156" t="n"/>
      <c r="CX2999" s="156" t="n"/>
      <c r="CY2999" s="156" t="n"/>
      <c r="CZ2999" s="156" t="n"/>
      <c r="DA2999" s="156" t="n"/>
      <c r="DB2999" s="156" t="n"/>
      <c r="DC2999" s="156" t="n"/>
      <c r="DD2999" s="156" t="n"/>
      <c r="DE2999" s="156" t="n"/>
      <c r="DF2999" s="156" t="n"/>
      <c r="DG2999" s="156" t="n"/>
      <c r="DH2999" s="156" t="n"/>
      <c r="DI2999" s="156" t="n"/>
      <c r="DJ2999" s="156" t="n"/>
      <c r="DK2999" s="156" t="n"/>
      <c r="DL2999" s="156" t="n"/>
      <c r="DM2999" s="156" t="n"/>
      <c r="DN2999" s="156" t="n"/>
      <c r="DO2999" s="156" t="n"/>
      <c r="DP2999" s="156" t="n"/>
      <c r="DQ2999" s="156" t="n"/>
      <c r="DR2999" s="156" t="n"/>
      <c r="DS2999" s="156" t="n"/>
      <c r="DT2999" s="156" t="n"/>
      <c r="DU2999" s="157"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87" t="inlineStr">
        <is>
          <t xml:space="preserve">    (近畿高等学校統一用紙　  その２ 　  令和７年度改定)　</t>
        </is>
      </c>
      <c r="DV3001" s="2" t="n"/>
      <c r="DW3001" s="2" t="n"/>
      <c r="DX3001" s="2" t="n"/>
      <c r="DY3001" s="2" t="n"/>
      <c r="DZ3001" s="2" t="n"/>
      <c r="EA3001" s="2" t="n"/>
      <c r="EB3001" s="2" t="n"/>
      <c r="EC3001" s="2" t="n"/>
    </row>
    <row r="3002" hidden="1"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idden="1"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47"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64" t="inlineStr">
        <is>
          <t>令和</t>
        </is>
      </c>
      <c r="AD3011" s="154">
        <f>IF(入力!$D$38="","",IF(N(設定!$B$3)=0,"",YEAR(設定!$B$3)-2018))&amp;""</f>
        <v/>
      </c>
      <c r="AG3011" s="64" t="inlineStr">
        <is>
          <t>年</t>
        </is>
      </c>
      <c r="AI3011" s="154">
        <f>IF(入力!$D$38="","",IF(N(設定!$B$3)=0,"",MONTH(設定!$B$3)))&amp;""</f>
        <v/>
      </c>
      <c r="AL3011" s="64" t="inlineStr">
        <is>
          <t>月</t>
        </is>
      </c>
      <c r="AN3011" s="154">
        <f>IF(入力!$D$38="","",IF(N(設定!$B$3)=0,"",DAY(設定!$B$3)))&amp;""</f>
        <v/>
      </c>
      <c r="AP3011" s="64"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5" t="n"/>
      <c r="BX3011" s="156" t="n"/>
      <c r="BY3011" s="156" t="n"/>
      <c r="BZ3011" s="156" t="n"/>
      <c r="CA3011" s="156" t="n"/>
      <c r="CB3011" s="156" t="n"/>
      <c r="CC3011" s="156" t="n"/>
      <c r="CD3011" s="156" t="n"/>
      <c r="CE3011" s="156" t="n"/>
      <c r="CF3011" s="156" t="n"/>
      <c r="CG3011" s="157" t="n"/>
      <c r="CH3011" s="155" t="n"/>
      <c r="CI3011" s="156" t="n"/>
      <c r="CJ3011" s="156" t="n"/>
      <c r="CK3011" s="156" t="n"/>
      <c r="CL3011" s="156" t="n"/>
      <c r="CM3011" s="156" t="n"/>
      <c r="CN3011" s="156" t="n"/>
      <c r="CO3011" s="156" t="n"/>
      <c r="CP3011" s="156" t="n"/>
      <c r="CQ3011" s="156" t="n"/>
      <c r="CR3011" s="156" t="n"/>
      <c r="CS3011" s="156" t="n"/>
      <c r="CT3011" s="156" t="n"/>
      <c r="CU3011" s="156" t="n"/>
      <c r="CV3011" s="156" t="n"/>
      <c r="CW3011" s="156" t="n"/>
      <c r="CX3011" s="156" t="n"/>
      <c r="CY3011" s="156" t="n"/>
      <c r="CZ3011" s="156" t="n"/>
      <c r="DA3011" s="156" t="n"/>
      <c r="DB3011" s="156" t="n"/>
      <c r="DC3011" s="156" t="n"/>
      <c r="DD3011" s="156" t="n"/>
      <c r="DE3011" s="156" t="n"/>
      <c r="DF3011" s="156" t="n"/>
      <c r="DG3011" s="156" t="n"/>
      <c r="DH3011" s="156" t="n"/>
      <c r="DI3011" s="156" t="n"/>
      <c r="DJ3011" s="156" t="n"/>
      <c r="DK3011" s="156" t="n"/>
      <c r="DL3011" s="156" t="n"/>
      <c r="DM3011" s="156" t="n"/>
      <c r="DN3011" s="156" t="n"/>
      <c r="DO3011" s="156" t="n"/>
      <c r="DP3011" s="156" t="n"/>
      <c r="DQ3011" s="156" t="n"/>
      <c r="DR3011" s="156" t="n"/>
      <c r="DS3011" s="156" t="n"/>
      <c r="DT3011" s="156" t="n"/>
      <c r="DU3011" s="157"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68" t="inlineStr">
        <is>
          <t>写真をはる位置</t>
        </is>
      </c>
      <c r="BI3012" s="8" t="n"/>
      <c r="BJ3012" s="7" t="n"/>
      <c r="BK3012" s="2" t="n"/>
      <c r="BL3012" s="2" t="n"/>
      <c r="BM3012" s="2" t="n"/>
      <c r="BN3012" s="2" t="n"/>
      <c r="BO3012" s="2" t="n"/>
      <c r="BP3012" s="152" t="n"/>
      <c r="BV3012" s="153" t="n"/>
      <c r="BW3012" s="158">
        <f>計算!$CB$36</f>
        <v/>
      </c>
      <c r="CG3012" s="153" t="n"/>
      <c r="CH3012" s="159">
        <f>計算!$CC$36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6" t="n"/>
      <c r="AA3013" s="156" t="n"/>
      <c r="AB3013" s="156" t="n"/>
      <c r="AC3013" s="156" t="n"/>
      <c r="AD3013" s="156" t="n"/>
      <c r="AE3013" s="156" t="n"/>
      <c r="AF3013" s="156" t="n"/>
      <c r="AG3013" s="156" t="n"/>
      <c r="AH3013" s="156" t="n"/>
      <c r="AI3013" s="156" t="n"/>
      <c r="AJ3013" s="156" t="n"/>
      <c r="AK3013" s="156" t="n"/>
      <c r="AL3013" s="156" t="n"/>
      <c r="AM3013" s="156" t="n"/>
      <c r="AN3013" s="156" t="n"/>
      <c r="AO3013" s="156" t="n"/>
      <c r="AP3013" s="156" t="n"/>
      <c r="AQ3013" s="156" t="n"/>
      <c r="AR3013" s="156" t="n"/>
      <c r="AS3013" s="156" t="n"/>
      <c r="AT3013" s="156"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0">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5" t="n"/>
      <c r="F3017" s="156" t="n"/>
      <c r="G3017" s="156" t="n"/>
      <c r="H3017" s="156" t="n"/>
      <c r="I3017" s="156" t="n"/>
      <c r="J3017" s="156" t="n"/>
      <c r="K3017" s="157" t="n"/>
      <c r="L3017" s="156" t="n"/>
      <c r="M3017" s="156" t="n"/>
      <c r="N3017" s="156" t="n"/>
      <c r="O3017" s="156" t="n"/>
      <c r="P3017" s="156" t="n"/>
      <c r="Q3017" s="156" t="n"/>
      <c r="R3017" s="156" t="n"/>
      <c r="S3017" s="156" t="n"/>
      <c r="T3017" s="156" t="n"/>
      <c r="U3017" s="156" t="n"/>
      <c r="V3017" s="156" t="n"/>
      <c r="W3017" s="156" t="n"/>
      <c r="X3017" s="156" t="n"/>
      <c r="Y3017" s="156" t="n"/>
      <c r="Z3017" s="156" t="n"/>
      <c r="AA3017" s="156" t="n"/>
      <c r="AB3017" s="156" t="n"/>
      <c r="AC3017" s="156" t="n"/>
      <c r="AD3017" s="156" t="n"/>
      <c r="AE3017" s="156" t="n"/>
      <c r="AF3017" s="156" t="n"/>
      <c r="AG3017" s="156" t="n"/>
      <c r="AH3017" s="156" t="n"/>
      <c r="AI3017" s="156" t="n"/>
      <c r="AJ3017" s="156" t="n"/>
      <c r="AK3017" s="156" t="n"/>
      <c r="AL3017" s="156" t="n"/>
      <c r="AM3017" s="156" t="n"/>
      <c r="AN3017" s="156" t="n"/>
      <c r="AO3017" s="156" t="n"/>
      <c r="AP3017" s="156" t="n"/>
      <c r="AQ3017" s="156" t="n"/>
      <c r="AR3017" s="156" t="n"/>
      <c r="AS3017" s="156" t="n"/>
      <c r="AT3017" s="157"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1" t="inlineStr">
        <is>
          <t>名　前</t>
        </is>
      </c>
      <c r="F3018" s="149" t="n"/>
      <c r="G3018" s="149" t="n"/>
      <c r="H3018" s="149" t="n"/>
      <c r="I3018" s="149" t="n"/>
      <c r="J3018" s="149" t="n"/>
      <c r="K3018" s="150" t="n"/>
      <c r="L3018" s="162">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61"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5" t="n"/>
      <c r="F3023" s="156" t="n"/>
      <c r="G3023" s="156" t="n"/>
      <c r="H3023" s="156" t="n"/>
      <c r="I3023" s="156" t="n"/>
      <c r="J3023" s="156" t="n"/>
      <c r="K3023" s="157" t="n"/>
      <c r="L3023" s="155" t="n"/>
      <c r="M3023" s="156" t="n"/>
      <c r="N3023" s="156" t="n"/>
      <c r="O3023" s="156" t="n"/>
      <c r="P3023" s="156" t="n"/>
      <c r="Q3023" s="156" t="n"/>
      <c r="R3023" s="156" t="n"/>
      <c r="S3023" s="156" t="n"/>
      <c r="T3023" s="156" t="n"/>
      <c r="U3023" s="156" t="n"/>
      <c r="V3023" s="156" t="n"/>
      <c r="W3023" s="156" t="n"/>
      <c r="X3023" s="156" t="n"/>
      <c r="Y3023" s="156" t="n"/>
      <c r="Z3023" s="156" t="n"/>
      <c r="AA3023" s="156" t="n"/>
      <c r="AB3023" s="156" t="n"/>
      <c r="AC3023" s="156" t="n"/>
      <c r="AD3023" s="156" t="n"/>
      <c r="AE3023" s="156" t="n"/>
      <c r="AF3023" s="156" t="n"/>
      <c r="AG3023" s="156" t="n"/>
      <c r="AH3023" s="156" t="n"/>
      <c r="AI3023" s="156" t="n"/>
      <c r="AJ3023" s="156" t="n"/>
      <c r="AK3023" s="156" t="n"/>
      <c r="AL3023" s="156" t="n"/>
      <c r="AM3023" s="156" t="n"/>
      <c r="AN3023" s="156" t="n"/>
      <c r="AO3023" s="156" t="n"/>
      <c r="AP3023" s="156" t="n"/>
      <c r="AQ3023" s="156" t="n"/>
      <c r="AR3023" s="156" t="n"/>
      <c r="AS3023" s="156" t="n"/>
      <c r="AT3023" s="157"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1" t="inlineStr">
        <is>
          <t>生年月日</t>
        </is>
      </c>
      <c r="F3024" s="149" t="n"/>
      <c r="G3024" s="149" t="n"/>
      <c r="H3024" s="149" t="n"/>
      <c r="I3024" s="149" t="n"/>
      <c r="J3024" s="149" t="n"/>
      <c r="K3024" s="150" t="n"/>
      <c r="L3024" s="163" t="inlineStr">
        <is>
          <t>昭和 ・ 平成</t>
        </is>
      </c>
      <c r="M3024" s="149" t="n"/>
      <c r="N3024" s="149" t="n"/>
      <c r="O3024" s="149" t="n"/>
      <c r="P3024" s="149" t="n"/>
      <c r="Q3024" s="149" t="n"/>
      <c r="R3024" s="149" t="n"/>
      <c r="S3024" s="149" t="n"/>
      <c r="T3024" s="149" t="n"/>
      <c r="U3024" s="149" t="n"/>
      <c r="V3024" s="164">
        <f>計算!$D$36</f>
        <v/>
      </c>
      <c r="W3024" s="149" t="n"/>
      <c r="X3024" s="165" t="inlineStr">
        <is>
          <t>年</t>
        </is>
      </c>
      <c r="Y3024" s="149" t="n"/>
      <c r="Z3024" s="166">
        <f>計算!$E$36</f>
        <v/>
      </c>
      <c r="AA3024" s="149" t="n"/>
      <c r="AB3024" s="149" t="n"/>
      <c r="AC3024" s="165" t="inlineStr">
        <is>
          <t>月</t>
        </is>
      </c>
      <c r="AD3024" s="149" t="n"/>
      <c r="AE3024" s="166">
        <f>計算!$F$36</f>
        <v/>
      </c>
      <c r="AF3024" s="149" t="n"/>
      <c r="AG3024" s="149" t="n"/>
      <c r="AH3024" s="165" t="inlineStr">
        <is>
          <t>日　生 （満</t>
        </is>
      </c>
      <c r="AI3024" s="149" t="n"/>
      <c r="AJ3024" s="149" t="n"/>
      <c r="AK3024" s="149" t="n"/>
      <c r="AL3024" s="149" t="n"/>
      <c r="AM3024" s="149" t="n"/>
      <c r="AN3024" s="149" t="n"/>
      <c r="AO3024" s="149" t="n"/>
      <c r="AP3024" s="167">
        <f>計算!$G$36</f>
        <v/>
      </c>
      <c r="AQ3024" s="149" t="n"/>
      <c r="AR3024" s="168"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5" t="n"/>
      <c r="F3027" s="156" t="n"/>
      <c r="G3027" s="156" t="n"/>
      <c r="H3027" s="156" t="n"/>
      <c r="I3027" s="156" t="n"/>
      <c r="J3027" s="156" t="n"/>
      <c r="K3027" s="157" t="n"/>
      <c r="L3027" s="155" t="n"/>
      <c r="M3027" s="156" t="n"/>
      <c r="N3027" s="156" t="n"/>
      <c r="O3027" s="156" t="n"/>
      <c r="P3027" s="156" t="n"/>
      <c r="Q3027" s="156" t="n"/>
      <c r="R3027" s="156" t="n"/>
      <c r="S3027" s="156" t="n"/>
      <c r="T3027" s="156" t="n"/>
      <c r="U3027" s="156" t="n"/>
      <c r="X3027" s="156" t="n"/>
      <c r="Y3027" s="156" t="n"/>
      <c r="AC3027" s="156" t="n"/>
      <c r="AD3027" s="156" t="n"/>
      <c r="AH3027" s="156" t="n"/>
      <c r="AI3027" s="156" t="n"/>
      <c r="AJ3027" s="156" t="n"/>
      <c r="AK3027" s="156" t="n"/>
      <c r="AL3027" s="156" t="n"/>
      <c r="AM3027" s="156" t="n"/>
      <c r="AN3027" s="156" t="n"/>
      <c r="AO3027" s="156" t="n"/>
      <c r="AP3027" s="156" t="n"/>
      <c r="AQ3027" s="156" t="n"/>
      <c r="AR3027" s="156" t="n"/>
      <c r="AS3027" s="156" t="n"/>
      <c r="AT3027" s="157"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69" t="inlineStr">
        <is>
          <t>ふ り が な</t>
        </is>
      </c>
      <c r="F3028" s="149" t="n"/>
      <c r="G3028" s="149" t="n"/>
      <c r="H3028" s="149" t="n"/>
      <c r="I3028" s="149" t="n"/>
      <c r="J3028" s="149" t="n"/>
      <c r="K3028" s="150" t="n"/>
      <c r="L3028" s="170">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1" t="n"/>
      <c r="F3030" s="172" t="n"/>
      <c r="G3030" s="172" t="n"/>
      <c r="H3030" s="172" t="n"/>
      <c r="I3030" s="172" t="n"/>
      <c r="J3030" s="172" t="n"/>
      <c r="K3030" s="173" t="n"/>
      <c r="L3030" s="172" t="n"/>
      <c r="M3030" s="172" t="n"/>
      <c r="N3030" s="172" t="n"/>
      <c r="O3030" s="172" t="n"/>
      <c r="P3030" s="172" t="n"/>
      <c r="Q3030" s="172" t="n"/>
      <c r="R3030" s="172" t="n"/>
      <c r="S3030" s="172" t="n"/>
      <c r="T3030" s="172" t="n"/>
      <c r="U3030" s="172" t="n"/>
      <c r="V3030" s="172" t="n"/>
      <c r="W3030" s="172" t="n"/>
      <c r="X3030" s="172" t="n"/>
      <c r="Y3030" s="172" t="n"/>
      <c r="Z3030" s="172" t="n"/>
      <c r="AA3030" s="172" t="n"/>
      <c r="AB3030" s="172" t="n"/>
      <c r="AC3030" s="172" t="n"/>
      <c r="AD3030" s="172" t="n"/>
      <c r="AE3030" s="172" t="n"/>
      <c r="AF3030" s="172" t="n"/>
      <c r="AG3030" s="172" t="n"/>
      <c r="AH3030" s="172" t="n"/>
      <c r="AI3030" s="172" t="n"/>
      <c r="AJ3030" s="172" t="n"/>
      <c r="AK3030" s="172" t="n"/>
      <c r="AL3030" s="172" t="n"/>
      <c r="AM3030" s="172" t="n"/>
      <c r="AN3030" s="172" t="n"/>
      <c r="AO3030" s="172" t="n"/>
      <c r="AP3030" s="172" t="n"/>
      <c r="AQ3030" s="172" t="n"/>
      <c r="AR3030" s="172" t="n"/>
      <c r="AS3030" s="172" t="n"/>
      <c r="AT3030" s="172" t="n"/>
      <c r="AU3030" s="172" t="n"/>
      <c r="AV3030" s="172" t="n"/>
      <c r="AW3030" s="172" t="n"/>
      <c r="AX3030" s="172" t="n"/>
      <c r="AY3030" s="172" t="n"/>
      <c r="AZ3030" s="172" t="n"/>
      <c r="BA3030" s="172" t="n"/>
      <c r="BB3030" s="172" t="n"/>
      <c r="BC3030" s="172" t="n"/>
      <c r="BD3030" s="172" t="n"/>
      <c r="BE3030" s="172" t="n"/>
      <c r="BF3030" s="172" t="n"/>
      <c r="BG3030" s="172" t="n"/>
      <c r="BH3030" s="172" t="n"/>
      <c r="BI3030" s="173"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4" t="inlineStr">
        <is>
          <t>現住所</t>
        </is>
      </c>
      <c r="F3031" s="175" t="n"/>
      <c r="G3031" s="175" t="n"/>
      <c r="H3031" s="175" t="n"/>
      <c r="I3031" s="175" t="n"/>
      <c r="J3031" s="175" t="n"/>
      <c r="K3031" s="176" t="n"/>
      <c r="L3031" s="83" t="inlineStr">
        <is>
          <t>〒</t>
        </is>
      </c>
      <c r="M3031" s="175" t="n"/>
      <c r="N3031" s="175" t="n"/>
      <c r="O3031" s="175" t="n"/>
      <c r="P3031" s="177">
        <f>計算!$H$36</f>
        <v/>
      </c>
      <c r="Q3031" s="175" t="n"/>
      <c r="R3031" s="175" t="n"/>
      <c r="S3031" s="175" t="n"/>
      <c r="T3031" s="175" t="n"/>
      <c r="U3031" s="175" t="n"/>
      <c r="V3031" s="175" t="n"/>
      <c r="W3031" s="175" t="n"/>
      <c r="X3031" s="175" t="n"/>
      <c r="Y3031" s="175" t="n"/>
      <c r="Z3031" s="175" t="n"/>
      <c r="AA3031" s="175" t="n"/>
      <c r="AB3031" s="175" t="n"/>
      <c r="AC3031" s="175" t="n"/>
      <c r="AD3031" s="175" t="n"/>
      <c r="AE3031" s="175" t="n"/>
      <c r="AF3031" s="175" t="n"/>
      <c r="AG3031" s="175" t="n"/>
      <c r="AH3031" s="175" t="n"/>
      <c r="AI3031" s="175" t="n"/>
      <c r="AJ3031" s="175"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5" t="n"/>
      <c r="BQ3032" s="156" t="n"/>
      <c r="BR3032" s="156" t="n"/>
      <c r="BS3032" s="156" t="n"/>
      <c r="BT3032" s="156" t="n"/>
      <c r="BU3032" s="156" t="n"/>
      <c r="BV3032" s="157" t="n"/>
      <c r="BW3032" s="155" t="n"/>
      <c r="BX3032" s="156" t="n"/>
      <c r="BY3032" s="156" t="n"/>
      <c r="BZ3032" s="156" t="n"/>
      <c r="CA3032" s="156" t="n"/>
      <c r="CB3032" s="156" t="n"/>
      <c r="CC3032" s="156" t="n"/>
      <c r="CD3032" s="156" t="n"/>
      <c r="CE3032" s="156" t="n"/>
      <c r="CF3032" s="156" t="n"/>
      <c r="CG3032" s="157"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8" t="inlineStr">
        <is>
          <t>校内外の諸活動</t>
        </is>
      </c>
      <c r="BQ3033" s="149" t="n"/>
      <c r="BR3033" s="149" t="n"/>
      <c r="BS3033" s="149" t="n"/>
      <c r="BT3033" s="149" t="n"/>
      <c r="BU3033" s="149" t="n"/>
      <c r="BV3033" s="150" t="n"/>
      <c r="BW3033" s="179">
        <f>計算!$BO$36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0">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5" t="n"/>
      <c r="F3036" s="156" t="n"/>
      <c r="G3036" s="156" t="n"/>
      <c r="H3036" s="156" t="n"/>
      <c r="I3036" s="156" t="n"/>
      <c r="J3036" s="156" t="n"/>
      <c r="K3036" s="157" t="n"/>
      <c r="L3036" s="155" t="n"/>
      <c r="M3036" s="156" t="n"/>
      <c r="N3036" s="156" t="n"/>
      <c r="O3036" s="156" t="n"/>
      <c r="P3036" s="156" t="n"/>
      <c r="Q3036" s="156" t="n"/>
      <c r="R3036" s="156" t="n"/>
      <c r="S3036" s="156" t="n"/>
      <c r="T3036" s="156" t="n"/>
      <c r="U3036" s="156" t="n"/>
      <c r="V3036" s="156" t="n"/>
      <c r="W3036" s="156" t="n"/>
      <c r="X3036" s="156" t="n"/>
      <c r="Y3036" s="156" t="n"/>
      <c r="Z3036" s="156" t="n"/>
      <c r="AA3036" s="156" t="n"/>
      <c r="AB3036" s="156" t="n"/>
      <c r="AC3036" s="156" t="n"/>
      <c r="AD3036" s="156" t="n"/>
      <c r="AE3036" s="156" t="n"/>
      <c r="AF3036" s="156" t="n"/>
      <c r="AG3036" s="156" t="n"/>
      <c r="AH3036" s="156" t="n"/>
      <c r="AI3036" s="156" t="n"/>
      <c r="AJ3036" s="156" t="n"/>
      <c r="AK3036" s="156" t="n"/>
      <c r="AL3036" s="156" t="n"/>
      <c r="AM3036" s="156" t="n"/>
      <c r="AN3036" s="156" t="n"/>
      <c r="AO3036" s="156" t="n"/>
      <c r="AP3036" s="156" t="n"/>
      <c r="AQ3036" s="156" t="n"/>
      <c r="AR3036" s="156" t="n"/>
      <c r="AS3036" s="156" t="n"/>
      <c r="AT3036" s="156" t="n"/>
      <c r="AU3036" s="156" t="n"/>
      <c r="AV3036" s="156" t="n"/>
      <c r="AW3036" s="156" t="n"/>
      <c r="AX3036" s="156" t="n"/>
      <c r="AY3036" s="156" t="n"/>
      <c r="AZ3036" s="156" t="n"/>
      <c r="BA3036" s="156" t="n"/>
      <c r="BB3036" s="156" t="n"/>
      <c r="BC3036" s="156" t="n"/>
      <c r="BD3036" s="156" t="n"/>
      <c r="BE3036" s="156" t="n"/>
      <c r="BF3036" s="156" t="n"/>
      <c r="BG3036" s="156" t="n"/>
      <c r="BH3036" s="156" t="n"/>
      <c r="BI3036" s="157"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69" t="inlineStr">
        <is>
          <t>ふ り が な</t>
        </is>
      </c>
      <c r="F3037" s="149" t="n"/>
      <c r="G3037" s="149" t="n"/>
      <c r="H3037" s="149" t="n"/>
      <c r="I3037" s="149" t="n"/>
      <c r="J3037" s="149" t="n"/>
      <c r="K3037" s="150" t="n"/>
      <c r="L3037" s="170">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1" t="n"/>
      <c r="F3039" s="172" t="n"/>
      <c r="G3039" s="172" t="n"/>
      <c r="H3039" s="172" t="n"/>
      <c r="I3039" s="172" t="n"/>
      <c r="J3039" s="172" t="n"/>
      <c r="K3039" s="173" t="n"/>
      <c r="L3039" s="172" t="n"/>
      <c r="M3039" s="172" t="n"/>
      <c r="N3039" s="172" t="n"/>
      <c r="O3039" s="172" t="n"/>
      <c r="P3039" s="172" t="n"/>
      <c r="Q3039" s="172" t="n"/>
      <c r="R3039" s="172" t="n"/>
      <c r="S3039" s="172" t="n"/>
      <c r="T3039" s="172" t="n"/>
      <c r="U3039" s="172" t="n"/>
      <c r="V3039" s="172" t="n"/>
      <c r="W3039" s="172" t="n"/>
      <c r="X3039" s="172" t="n"/>
      <c r="Y3039" s="172" t="n"/>
      <c r="Z3039" s="172" t="n"/>
      <c r="AA3039" s="172" t="n"/>
      <c r="AB3039" s="172" t="n"/>
      <c r="AC3039" s="172" t="n"/>
      <c r="AD3039" s="172" t="n"/>
      <c r="AE3039" s="172" t="n"/>
      <c r="AF3039" s="172" t="n"/>
      <c r="AG3039" s="172" t="n"/>
      <c r="AH3039" s="172" t="n"/>
      <c r="AI3039" s="172" t="n"/>
      <c r="AJ3039" s="172" t="n"/>
      <c r="AK3039" s="172" t="n"/>
      <c r="AL3039" s="172" t="n"/>
      <c r="AM3039" s="172" t="n"/>
      <c r="AN3039" s="172" t="n"/>
      <c r="AO3039" s="172" t="n"/>
      <c r="AP3039" s="172" t="n"/>
      <c r="AQ3039" s="172" t="n"/>
      <c r="AR3039" s="172" t="n"/>
      <c r="AS3039" s="172" t="n"/>
      <c r="AT3039" s="172" t="n"/>
      <c r="AU3039" s="172" t="n"/>
      <c r="AV3039" s="172" t="n"/>
      <c r="AW3039" s="172" t="n"/>
      <c r="AX3039" s="172" t="n"/>
      <c r="AY3039" s="172" t="n"/>
      <c r="AZ3039" s="172" t="n"/>
      <c r="BA3039" s="172" t="n"/>
      <c r="BB3039" s="172" t="n"/>
      <c r="BC3039" s="172" t="n"/>
      <c r="BD3039" s="172" t="n"/>
      <c r="BE3039" s="172" t="n"/>
      <c r="BF3039" s="172" t="n"/>
      <c r="BG3039" s="172" t="n"/>
      <c r="BH3039" s="172" t="n"/>
      <c r="BI3039" s="173"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4" t="inlineStr">
        <is>
          <t>連絡先</t>
        </is>
      </c>
      <c r="F3040" s="175" t="n"/>
      <c r="G3040" s="175" t="n"/>
      <c r="H3040" s="175" t="n"/>
      <c r="I3040" s="175" t="n"/>
      <c r="J3040" s="175" t="n"/>
      <c r="K3040" s="176" t="n"/>
      <c r="L3040" s="83" t="inlineStr">
        <is>
          <t>〒</t>
        </is>
      </c>
      <c r="M3040" s="175" t="n"/>
      <c r="N3040" s="175" t="n"/>
      <c r="O3040" s="175" t="n"/>
      <c r="P3040" s="181">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2">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5" t="n"/>
      <c r="F3044" s="156" t="n"/>
      <c r="G3044" s="156" t="n"/>
      <c r="H3044" s="156" t="n"/>
      <c r="I3044" s="156" t="n"/>
      <c r="J3044" s="156" t="n"/>
      <c r="K3044" s="157" t="n"/>
      <c r="L3044" s="156" t="n"/>
      <c r="M3044" s="156" t="n"/>
      <c r="N3044" s="156" t="n"/>
      <c r="O3044" s="156" t="n"/>
      <c r="P3044" s="156" t="n"/>
      <c r="Q3044" s="156" t="n"/>
      <c r="R3044" s="156" t="n"/>
      <c r="S3044" s="156" t="n"/>
      <c r="T3044" s="156" t="n"/>
      <c r="U3044" s="156" t="n"/>
      <c r="V3044" s="156" t="n"/>
      <c r="W3044" s="156" t="n"/>
      <c r="X3044" s="156" t="n"/>
      <c r="Y3044" s="156" t="n"/>
      <c r="Z3044" s="156" t="n"/>
      <c r="AA3044" s="156" t="n"/>
      <c r="AB3044" s="156" t="n"/>
      <c r="AC3044" s="156" t="n"/>
      <c r="AD3044" s="156" t="n"/>
      <c r="AE3044" s="156" t="n"/>
      <c r="AF3044" s="156" t="n"/>
      <c r="AG3044" s="156" t="n"/>
      <c r="AH3044" s="156" t="n"/>
      <c r="AI3044" s="156" t="n"/>
      <c r="AJ3044" s="156" t="n"/>
      <c r="AK3044" s="156" t="n"/>
      <c r="AL3044" s="156" t="n"/>
      <c r="AM3044" s="156" t="n"/>
      <c r="AN3044" s="156" t="n"/>
      <c r="AO3044" s="156" t="n"/>
      <c r="AP3044" s="156" t="n"/>
      <c r="AQ3044" s="156" t="n"/>
      <c r="AR3044" s="156" t="n"/>
      <c r="AS3044" s="156" t="n"/>
      <c r="AT3044" s="156" t="n"/>
      <c r="AU3044" s="156" t="n"/>
      <c r="AV3044" s="156" t="n"/>
      <c r="AW3044" s="156" t="n"/>
      <c r="AX3044" s="156" t="n"/>
      <c r="AY3044" s="156" t="n"/>
      <c r="AZ3044" s="156" t="n"/>
      <c r="BA3044" s="156" t="n"/>
      <c r="BB3044" s="156" t="n"/>
      <c r="BC3044" s="156" t="n"/>
      <c r="BD3044" s="156" t="n"/>
      <c r="BE3044" s="156" t="n"/>
      <c r="BF3044" s="156" t="n"/>
      <c r="BG3044" s="156" t="n"/>
      <c r="BH3044" s="156" t="n"/>
      <c r="BI3044" s="157"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86"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3" t="n"/>
      <c r="BQ3050" s="149" t="n"/>
      <c r="BR3050" s="184" t="n"/>
      <c r="BS3050" s="149" t="n"/>
      <c r="BT3050" s="149" t="n"/>
      <c r="BU3050" s="28" t="n"/>
      <c r="BV3050" s="29" t="n"/>
      <c r="BW3050" s="185">
        <f>計算!$BP$36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115"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6"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107"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7">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188">
        <f>IF(入力!$D$38="","",設定!$B$6)&amp;""</f>
        <v/>
      </c>
      <c r="S3058" s="11" t="n"/>
      <c r="T3058" s="11" t="n"/>
      <c r="U3058" s="188">
        <f>IF(入力!$D$38="","",設定!$B$7)&amp;""</f>
        <v/>
      </c>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110" t="inlineStr">
        <is>
          <t>令和</t>
        </is>
      </c>
      <c r="S3059" s="61" t="inlineStr">
        <is>
          <t>年</t>
        </is>
      </c>
      <c r="W3059" s="62"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90"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5" t="n"/>
      <c r="F3063" s="156" t="n"/>
      <c r="G3063" s="156" t="n"/>
      <c r="H3063" s="156" t="n"/>
      <c r="I3063" s="156" t="n"/>
      <c r="J3063" s="156" t="n"/>
      <c r="K3063" s="157"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6" t="n"/>
      <c r="AX3063" s="156" t="n"/>
      <c r="AY3063" s="156" t="n"/>
      <c r="AZ3063" s="156" t="n"/>
      <c r="BA3063" s="156" t="n"/>
      <c r="BB3063" s="156" t="n"/>
      <c r="BC3063" s="156" t="n"/>
      <c r="BD3063" s="156" t="n"/>
      <c r="BE3063" s="156" t="n"/>
      <c r="BF3063" s="156" t="n"/>
      <c r="BG3063" s="156" t="n"/>
      <c r="BH3063" s="156" t="n"/>
      <c r="BI3063" s="157"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58" t="n"/>
      <c r="T3064" s="149" t="n"/>
      <c r="U3064" s="17" t="n"/>
      <c r="V3064" s="17" t="n"/>
      <c r="W3064" s="58"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89" t="inlineStr">
        <is>
          <t>職　歴</t>
        </is>
      </c>
      <c r="K3067" s="153" t="n"/>
      <c r="L3067" s="69" t="inlineStr">
        <is>
          <t>平成</t>
        </is>
      </c>
      <c r="M3067" s="149" t="n"/>
      <c r="N3067" s="149" t="n"/>
      <c r="O3067" s="149" t="n"/>
      <c r="P3067" s="19" t="n"/>
      <c r="Q3067" s="19" t="n"/>
      <c r="R3067" s="19" t="n"/>
      <c r="S3067" s="19" t="n"/>
      <c r="T3067" s="19" t="n"/>
      <c r="U3067" s="19" t="n"/>
      <c r="V3067" s="19" t="n"/>
      <c r="W3067" s="19" t="n"/>
      <c r="X3067" s="37" t="n"/>
      <c r="Y3067" s="180">
        <f>計算!$BT$36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8">
        <f>計算!$BR$36</f>
        <v/>
      </c>
      <c r="S3069" s="61" t="inlineStr">
        <is>
          <t>年</t>
        </is>
      </c>
      <c r="U3069" s="190">
        <f>計算!$BS$36</f>
        <v/>
      </c>
      <c r="W3069" s="62"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74"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5" t="n"/>
      <c r="M3072" s="156" t="n"/>
      <c r="N3072" s="156" t="n"/>
      <c r="O3072" s="156" t="n"/>
      <c r="P3072" s="20" t="n"/>
      <c r="Q3072" s="20" t="n"/>
      <c r="R3072" s="20" t="n"/>
      <c r="S3072" s="20" t="n"/>
      <c r="T3072" s="20" t="n"/>
      <c r="U3072" s="20" t="n"/>
      <c r="V3072" s="20" t="n"/>
      <c r="W3072" s="20" t="n"/>
      <c r="X3072" s="39" t="n"/>
      <c r="Y3072" s="155" t="n"/>
      <c r="Z3072" s="156" t="n"/>
      <c r="AA3072" s="156" t="n"/>
      <c r="AB3072" s="156" t="n"/>
      <c r="AC3072" s="156" t="n"/>
      <c r="AD3072" s="156" t="n"/>
      <c r="AE3072" s="156" t="n"/>
      <c r="AF3072" s="156" t="n"/>
      <c r="AG3072" s="156" t="n"/>
      <c r="AH3072" s="156" t="n"/>
      <c r="AI3072" s="156" t="n"/>
      <c r="AJ3072" s="156" t="n"/>
      <c r="AK3072" s="156" t="n"/>
      <c r="AL3072" s="156" t="n"/>
      <c r="AM3072" s="156" t="n"/>
      <c r="AN3072" s="156" t="n"/>
      <c r="AO3072" s="156" t="n"/>
      <c r="AP3072" s="156" t="n"/>
      <c r="AQ3072" s="156" t="n"/>
      <c r="AR3072" s="156" t="n"/>
      <c r="AS3072" s="156" t="n"/>
      <c r="AT3072" s="156" t="n"/>
      <c r="AU3072" s="156" t="n"/>
      <c r="AV3072" s="156" t="n"/>
      <c r="AW3072" s="156" t="n"/>
      <c r="AX3072" s="156" t="n"/>
      <c r="AY3072" s="156" t="n"/>
      <c r="AZ3072" s="156" t="n"/>
      <c r="BA3072" s="156" t="n"/>
      <c r="BB3072" s="156" t="n"/>
      <c r="BC3072" s="156" t="n"/>
      <c r="BD3072" s="156" t="n"/>
      <c r="BE3072" s="156" t="n"/>
      <c r="BF3072" s="156" t="n"/>
      <c r="BG3072" s="156" t="n"/>
      <c r="BH3072" s="156" t="n"/>
      <c r="BI3072" s="157"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69" t="inlineStr">
        <is>
          <t>平成</t>
        </is>
      </c>
      <c r="M3073" s="149" t="n"/>
      <c r="N3073" s="149" t="n"/>
      <c r="O3073" s="149" t="n"/>
      <c r="P3073" s="18" t="n"/>
      <c r="Q3073" s="18" t="n"/>
      <c r="R3073" s="18" t="n"/>
      <c r="S3073" s="18" t="n"/>
      <c r="T3073" s="18" t="n"/>
      <c r="U3073" s="18" t="n"/>
      <c r="V3073" s="18" t="n"/>
      <c r="W3073" s="18" t="n"/>
      <c r="X3073" s="35" t="n"/>
      <c r="Y3073" s="180">
        <f>計算!$BW$36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8">
        <f>計算!$BU$36</f>
        <v/>
      </c>
      <c r="S3075" s="61" t="inlineStr">
        <is>
          <t>年</t>
        </is>
      </c>
      <c r="U3075" s="190">
        <f>計算!$BV$36</f>
        <v/>
      </c>
      <c r="W3075" s="62"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74"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5" t="n"/>
      <c r="M3078" s="156" t="n"/>
      <c r="N3078" s="156" t="n"/>
      <c r="O3078" s="156" t="n"/>
      <c r="P3078" s="20" t="n"/>
      <c r="Q3078" s="20" t="n"/>
      <c r="R3078" s="20" t="n"/>
      <c r="S3078" s="20" t="n"/>
      <c r="T3078" s="20" t="n"/>
      <c r="U3078" s="20" t="n"/>
      <c r="V3078" s="20" t="n"/>
      <c r="W3078" s="20" t="n"/>
      <c r="X3078" s="39" t="n"/>
      <c r="Y3078" s="155" t="n"/>
      <c r="Z3078" s="156" t="n"/>
      <c r="AA3078" s="156" t="n"/>
      <c r="AB3078" s="156" t="n"/>
      <c r="AC3078" s="156" t="n"/>
      <c r="AD3078" s="156" t="n"/>
      <c r="AE3078" s="156" t="n"/>
      <c r="AF3078" s="156" t="n"/>
      <c r="AG3078" s="156" t="n"/>
      <c r="AH3078" s="156" t="n"/>
      <c r="AI3078" s="156" t="n"/>
      <c r="AJ3078" s="156" t="n"/>
      <c r="AK3078" s="156" t="n"/>
      <c r="AL3078" s="156" t="n"/>
      <c r="AM3078" s="156" t="n"/>
      <c r="AN3078" s="156" t="n"/>
      <c r="AO3078" s="156" t="n"/>
      <c r="AP3078" s="156" t="n"/>
      <c r="AQ3078" s="156" t="n"/>
      <c r="AR3078" s="156" t="n"/>
      <c r="AS3078" s="156" t="n"/>
      <c r="AT3078" s="156" t="n"/>
      <c r="AU3078" s="156" t="n"/>
      <c r="AV3078" s="156" t="n"/>
      <c r="AW3078" s="156" t="n"/>
      <c r="AX3078" s="156" t="n"/>
      <c r="AY3078" s="156" t="n"/>
      <c r="AZ3078" s="156" t="n"/>
      <c r="BA3078" s="156" t="n"/>
      <c r="BB3078" s="156" t="n"/>
      <c r="BC3078" s="156" t="n"/>
      <c r="BD3078" s="156" t="n"/>
      <c r="BE3078" s="156" t="n"/>
      <c r="BF3078" s="156" t="n"/>
      <c r="BG3078" s="156" t="n"/>
      <c r="BH3078" s="156" t="n"/>
      <c r="BI3078" s="157" t="n"/>
      <c r="BJ3078" s="2" t="n"/>
      <c r="BK3078" s="2" t="n"/>
      <c r="BL3078" s="2" t="n"/>
      <c r="BM3078" s="2" t="n"/>
      <c r="BN3078" s="2" t="n"/>
      <c r="BO3078" s="2" t="n"/>
      <c r="BP3078" s="155" t="n"/>
      <c r="BQ3078" s="156" t="n"/>
      <c r="BR3078" s="156" t="n"/>
      <c r="BS3078" s="156" t="n"/>
      <c r="BT3078" s="156" t="n"/>
      <c r="BU3078" s="42" t="n"/>
      <c r="BV3078" s="45" t="n"/>
      <c r="BW3078" s="156" t="n"/>
      <c r="BX3078" s="156" t="n"/>
      <c r="BY3078" s="156" t="n"/>
      <c r="BZ3078" s="156" t="n"/>
      <c r="CA3078" s="156" t="n"/>
      <c r="CB3078" s="156" t="n"/>
      <c r="CC3078" s="156" t="n"/>
      <c r="CD3078" s="156" t="n"/>
      <c r="CE3078" s="156" t="n"/>
      <c r="CF3078" s="156" t="n"/>
      <c r="CG3078" s="156" t="n"/>
      <c r="CH3078" s="156" t="n"/>
      <c r="CI3078" s="156" t="n"/>
      <c r="CJ3078" s="156" t="n"/>
      <c r="CK3078" s="156" t="n"/>
      <c r="CL3078" s="156" t="n"/>
      <c r="CM3078" s="156" t="n"/>
      <c r="CN3078" s="156" t="n"/>
      <c r="CO3078" s="156" t="n"/>
      <c r="CP3078" s="156" t="n"/>
      <c r="CQ3078" s="156" t="n"/>
      <c r="CR3078" s="156" t="n"/>
      <c r="CS3078" s="156" t="n"/>
      <c r="CT3078" s="156" t="n"/>
      <c r="CU3078" s="156" t="n"/>
      <c r="CV3078" s="156" t="n"/>
      <c r="CW3078" s="156" t="n"/>
      <c r="CX3078" s="156" t="n"/>
      <c r="CY3078" s="156" t="n"/>
      <c r="CZ3078" s="156" t="n"/>
      <c r="DA3078" s="156" t="n"/>
      <c r="DB3078" s="156" t="n"/>
      <c r="DC3078" s="156" t="n"/>
      <c r="DD3078" s="156" t="n"/>
      <c r="DE3078" s="156" t="n"/>
      <c r="DF3078" s="156" t="n"/>
      <c r="DG3078" s="156" t="n"/>
      <c r="DH3078" s="156" t="n"/>
      <c r="DI3078" s="156" t="n"/>
      <c r="DJ3078" s="156" t="n"/>
      <c r="DK3078" s="156" t="n"/>
      <c r="DL3078" s="156" t="n"/>
      <c r="DM3078" s="156" t="n"/>
      <c r="DN3078" s="156" t="n"/>
      <c r="DO3078" s="156" t="n"/>
      <c r="DP3078" s="156" t="n"/>
      <c r="DQ3078" s="156" t="n"/>
      <c r="DR3078" s="156" t="n"/>
      <c r="DS3078" s="156" t="n"/>
      <c r="DT3078" s="156" t="n"/>
      <c r="DU3078" s="157" t="n"/>
      <c r="DV3078" s="2" t="n"/>
      <c r="DW3078" s="2" t="n"/>
      <c r="DX3078" s="2" t="n"/>
      <c r="DY3078" s="2" t="n"/>
      <c r="DZ3078" s="2" t="n"/>
      <c r="EA3078" s="2" t="n"/>
      <c r="EB3078" s="2" t="n"/>
      <c r="EC3078" s="2" t="n"/>
    </row>
    <row r="3079" ht="6.75" customHeight="1" s="118">
      <c r="A3079" s="2" t="n"/>
      <c r="B3079" s="2" t="n"/>
      <c r="C3079" s="2" t="n"/>
      <c r="D3079" s="2" t="n"/>
      <c r="E3079" s="152" t="n"/>
      <c r="K3079" s="153" t="n"/>
      <c r="L3079" s="69"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5">
        <f>計算!$BQ$36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61" t="inlineStr">
        <is>
          <t>年</t>
        </is>
      </c>
      <c r="U3081" s="11" t="n"/>
      <c r="V3081" s="11" t="n"/>
      <c r="W3081" s="62"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74"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5" t="n"/>
      <c r="M3084" s="156" t="n"/>
      <c r="N3084" s="156" t="n"/>
      <c r="O3084" s="156"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69"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61" t="inlineStr">
        <is>
          <t>年</t>
        </is>
      </c>
      <c r="U3087" s="11" t="n"/>
      <c r="V3087" s="11" t="n"/>
      <c r="W3087" s="62"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74"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61" t="n"/>
      <c r="T3089" s="61" t="n"/>
      <c r="U3089" s="11" t="n"/>
      <c r="V3089" s="11" t="n"/>
      <c r="W3089" s="61" t="n"/>
      <c r="X3089" s="62"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5" t="n"/>
      <c r="F3090" s="156" t="n"/>
      <c r="G3090" s="156" t="n"/>
      <c r="H3090" s="156" t="n"/>
      <c r="I3090" s="156" t="n"/>
      <c r="J3090" s="156" t="n"/>
      <c r="K3090" s="157" t="n"/>
      <c r="L3090" s="155" t="n"/>
      <c r="M3090" s="156" t="n"/>
      <c r="N3090" s="156" t="n"/>
      <c r="O3090" s="156"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5" t="n"/>
      <c r="BQ3090" s="156" t="n"/>
      <c r="BR3090" s="156" t="n"/>
      <c r="BS3090" s="156" t="n"/>
      <c r="BT3090" s="156" t="n"/>
      <c r="BU3090" s="156" t="n"/>
      <c r="BV3090" s="157" t="n"/>
      <c r="BW3090" s="156" t="n"/>
      <c r="BX3090" s="156" t="n"/>
      <c r="BY3090" s="156" t="n"/>
      <c r="BZ3090" s="156" t="n"/>
      <c r="CA3090" s="156" t="n"/>
      <c r="CB3090" s="156" t="n"/>
      <c r="CC3090" s="156" t="n"/>
      <c r="CD3090" s="156" t="n"/>
      <c r="CE3090" s="156" t="n"/>
      <c r="CF3090" s="156" t="n"/>
      <c r="CG3090" s="156" t="n"/>
      <c r="CH3090" s="156" t="n"/>
      <c r="CI3090" s="156" t="n"/>
      <c r="CJ3090" s="156" t="n"/>
      <c r="CK3090" s="156" t="n"/>
      <c r="CL3090" s="156" t="n"/>
      <c r="CM3090" s="156" t="n"/>
      <c r="CN3090" s="156" t="n"/>
      <c r="CO3090" s="156" t="n"/>
      <c r="CP3090" s="156" t="n"/>
      <c r="CQ3090" s="156" t="n"/>
      <c r="CR3090" s="156" t="n"/>
      <c r="CS3090" s="156" t="n"/>
      <c r="CT3090" s="156" t="n"/>
      <c r="CU3090" s="156" t="n"/>
      <c r="CV3090" s="156" t="n"/>
      <c r="CW3090" s="156" t="n"/>
      <c r="CX3090" s="156" t="n"/>
      <c r="CY3090" s="156" t="n"/>
      <c r="CZ3090" s="156" t="n"/>
      <c r="DA3090" s="156" t="n"/>
      <c r="DB3090" s="156" t="n"/>
      <c r="DC3090" s="156" t="n"/>
      <c r="DD3090" s="156" t="n"/>
      <c r="DE3090" s="156" t="n"/>
      <c r="DF3090" s="156" t="n"/>
      <c r="DG3090" s="156" t="n"/>
      <c r="DH3090" s="156" t="n"/>
      <c r="DI3090" s="156" t="n"/>
      <c r="DJ3090" s="156" t="n"/>
      <c r="DK3090" s="156" t="n"/>
      <c r="DL3090" s="156" t="n"/>
      <c r="DM3090" s="156" t="n"/>
      <c r="DN3090" s="156" t="n"/>
      <c r="DO3090" s="156" t="n"/>
      <c r="DP3090" s="156" t="n"/>
      <c r="DQ3090" s="156" t="n"/>
      <c r="DR3090" s="156" t="n"/>
      <c r="DS3090" s="156" t="n"/>
      <c r="DT3090" s="156" t="n"/>
      <c r="DU3090" s="157"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87" t="inlineStr">
        <is>
          <t xml:space="preserve">    (近畿高等学校統一用紙　  その２ 　  令和７年度改定)　</t>
        </is>
      </c>
      <c r="DV3092" s="2" t="n"/>
      <c r="DW3092" s="2" t="n"/>
      <c r="DX3092" s="2" t="n"/>
      <c r="DY3092" s="2" t="n"/>
      <c r="DZ3092" s="2" t="n"/>
      <c r="EA3092" s="2" t="n"/>
      <c r="EB3092" s="2" t="n"/>
      <c r="EC3092" s="2" t="n"/>
    </row>
    <row r="3093" hidden="1"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idden="1"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47"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64" t="inlineStr">
        <is>
          <t>令和</t>
        </is>
      </c>
      <c r="AD3102" s="154">
        <f>IF(入力!$D$39="","",IF(N(設定!$B$3)=0,"",YEAR(設定!$B$3)-2018))&amp;""</f>
        <v/>
      </c>
      <c r="AG3102" s="64" t="inlineStr">
        <is>
          <t>年</t>
        </is>
      </c>
      <c r="AI3102" s="154">
        <f>IF(入力!$D$39="","",IF(N(設定!$B$3)=0,"",MONTH(設定!$B$3)))&amp;""</f>
        <v/>
      </c>
      <c r="AL3102" s="64" t="inlineStr">
        <is>
          <t>月</t>
        </is>
      </c>
      <c r="AN3102" s="154">
        <f>IF(入力!$D$39="","",IF(N(設定!$B$3)=0,"",DAY(設定!$B$3)))&amp;""</f>
        <v/>
      </c>
      <c r="AP3102" s="64"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5" t="n"/>
      <c r="BX3102" s="156" t="n"/>
      <c r="BY3102" s="156" t="n"/>
      <c r="BZ3102" s="156" t="n"/>
      <c r="CA3102" s="156" t="n"/>
      <c r="CB3102" s="156" t="n"/>
      <c r="CC3102" s="156" t="n"/>
      <c r="CD3102" s="156" t="n"/>
      <c r="CE3102" s="156" t="n"/>
      <c r="CF3102" s="156" t="n"/>
      <c r="CG3102" s="157" t="n"/>
      <c r="CH3102" s="155" t="n"/>
      <c r="CI3102" s="156" t="n"/>
      <c r="CJ3102" s="156" t="n"/>
      <c r="CK3102" s="156" t="n"/>
      <c r="CL3102" s="156" t="n"/>
      <c r="CM3102" s="156" t="n"/>
      <c r="CN3102" s="156" t="n"/>
      <c r="CO3102" s="156" t="n"/>
      <c r="CP3102" s="156" t="n"/>
      <c r="CQ3102" s="156" t="n"/>
      <c r="CR3102" s="156" t="n"/>
      <c r="CS3102" s="156" t="n"/>
      <c r="CT3102" s="156" t="n"/>
      <c r="CU3102" s="156" t="n"/>
      <c r="CV3102" s="156" t="n"/>
      <c r="CW3102" s="156" t="n"/>
      <c r="CX3102" s="156" t="n"/>
      <c r="CY3102" s="156" t="n"/>
      <c r="CZ3102" s="156" t="n"/>
      <c r="DA3102" s="156" t="n"/>
      <c r="DB3102" s="156" t="n"/>
      <c r="DC3102" s="156" t="n"/>
      <c r="DD3102" s="156" t="n"/>
      <c r="DE3102" s="156" t="n"/>
      <c r="DF3102" s="156" t="n"/>
      <c r="DG3102" s="156" t="n"/>
      <c r="DH3102" s="156" t="n"/>
      <c r="DI3102" s="156" t="n"/>
      <c r="DJ3102" s="156" t="n"/>
      <c r="DK3102" s="156" t="n"/>
      <c r="DL3102" s="156" t="n"/>
      <c r="DM3102" s="156" t="n"/>
      <c r="DN3102" s="156" t="n"/>
      <c r="DO3102" s="156" t="n"/>
      <c r="DP3102" s="156" t="n"/>
      <c r="DQ3102" s="156" t="n"/>
      <c r="DR3102" s="156" t="n"/>
      <c r="DS3102" s="156" t="n"/>
      <c r="DT3102" s="156" t="n"/>
      <c r="DU3102" s="157"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68" t="inlineStr">
        <is>
          <t>写真をはる位置</t>
        </is>
      </c>
      <c r="BI3103" s="8" t="n"/>
      <c r="BJ3103" s="7" t="n"/>
      <c r="BK3103" s="2" t="n"/>
      <c r="BL3103" s="2" t="n"/>
      <c r="BM3103" s="2" t="n"/>
      <c r="BN3103" s="2" t="n"/>
      <c r="BO3103" s="2" t="n"/>
      <c r="BP3103" s="152" t="n"/>
      <c r="BV3103" s="153" t="n"/>
      <c r="BW3103" s="158">
        <f>計算!$CB$37</f>
        <v/>
      </c>
      <c r="CG3103" s="153" t="n"/>
      <c r="CH3103" s="159">
        <f>計算!$CC$37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6" t="n"/>
      <c r="AA3104" s="156" t="n"/>
      <c r="AB3104" s="156" t="n"/>
      <c r="AC3104" s="156" t="n"/>
      <c r="AD3104" s="156" t="n"/>
      <c r="AE3104" s="156" t="n"/>
      <c r="AF3104" s="156" t="n"/>
      <c r="AG3104" s="156" t="n"/>
      <c r="AH3104" s="156" t="n"/>
      <c r="AI3104" s="156" t="n"/>
      <c r="AJ3104" s="156" t="n"/>
      <c r="AK3104" s="156" t="n"/>
      <c r="AL3104" s="156" t="n"/>
      <c r="AM3104" s="156" t="n"/>
      <c r="AN3104" s="156" t="n"/>
      <c r="AO3104" s="156" t="n"/>
      <c r="AP3104" s="156" t="n"/>
      <c r="AQ3104" s="156" t="n"/>
      <c r="AR3104" s="156" t="n"/>
      <c r="AS3104" s="156" t="n"/>
      <c r="AT3104" s="156"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0">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5" t="n"/>
      <c r="F3108" s="156" t="n"/>
      <c r="G3108" s="156" t="n"/>
      <c r="H3108" s="156" t="n"/>
      <c r="I3108" s="156" t="n"/>
      <c r="J3108" s="156" t="n"/>
      <c r="K3108" s="157" t="n"/>
      <c r="L3108" s="156" t="n"/>
      <c r="M3108" s="156" t="n"/>
      <c r="N3108" s="156" t="n"/>
      <c r="O3108" s="156" t="n"/>
      <c r="P3108" s="156" t="n"/>
      <c r="Q3108" s="156" t="n"/>
      <c r="R3108" s="156" t="n"/>
      <c r="S3108" s="156" t="n"/>
      <c r="T3108" s="156" t="n"/>
      <c r="U3108" s="156" t="n"/>
      <c r="V3108" s="156" t="n"/>
      <c r="W3108" s="156" t="n"/>
      <c r="X3108" s="156" t="n"/>
      <c r="Y3108" s="156" t="n"/>
      <c r="Z3108" s="156" t="n"/>
      <c r="AA3108" s="156" t="n"/>
      <c r="AB3108" s="156" t="n"/>
      <c r="AC3108" s="156" t="n"/>
      <c r="AD3108" s="156" t="n"/>
      <c r="AE3108" s="156" t="n"/>
      <c r="AF3108" s="156" t="n"/>
      <c r="AG3108" s="156" t="n"/>
      <c r="AH3108" s="156" t="n"/>
      <c r="AI3108" s="156" t="n"/>
      <c r="AJ3108" s="156" t="n"/>
      <c r="AK3108" s="156" t="n"/>
      <c r="AL3108" s="156" t="n"/>
      <c r="AM3108" s="156" t="n"/>
      <c r="AN3108" s="156" t="n"/>
      <c r="AO3108" s="156" t="n"/>
      <c r="AP3108" s="156" t="n"/>
      <c r="AQ3108" s="156" t="n"/>
      <c r="AR3108" s="156" t="n"/>
      <c r="AS3108" s="156" t="n"/>
      <c r="AT3108" s="157"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1" t="inlineStr">
        <is>
          <t>名　前</t>
        </is>
      </c>
      <c r="F3109" s="149" t="n"/>
      <c r="G3109" s="149" t="n"/>
      <c r="H3109" s="149" t="n"/>
      <c r="I3109" s="149" t="n"/>
      <c r="J3109" s="149" t="n"/>
      <c r="K3109" s="150" t="n"/>
      <c r="L3109" s="162">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61"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5" t="n"/>
      <c r="F3114" s="156" t="n"/>
      <c r="G3114" s="156" t="n"/>
      <c r="H3114" s="156" t="n"/>
      <c r="I3114" s="156" t="n"/>
      <c r="J3114" s="156" t="n"/>
      <c r="K3114" s="157" t="n"/>
      <c r="L3114" s="155" t="n"/>
      <c r="M3114" s="156" t="n"/>
      <c r="N3114" s="156" t="n"/>
      <c r="O3114" s="156" t="n"/>
      <c r="P3114" s="156" t="n"/>
      <c r="Q3114" s="156" t="n"/>
      <c r="R3114" s="156" t="n"/>
      <c r="S3114" s="156" t="n"/>
      <c r="T3114" s="156" t="n"/>
      <c r="U3114" s="156" t="n"/>
      <c r="V3114" s="156" t="n"/>
      <c r="W3114" s="156" t="n"/>
      <c r="X3114" s="156" t="n"/>
      <c r="Y3114" s="156" t="n"/>
      <c r="Z3114" s="156" t="n"/>
      <c r="AA3114" s="156" t="n"/>
      <c r="AB3114" s="156" t="n"/>
      <c r="AC3114" s="156" t="n"/>
      <c r="AD3114" s="156" t="n"/>
      <c r="AE3114" s="156" t="n"/>
      <c r="AF3114" s="156" t="n"/>
      <c r="AG3114" s="156" t="n"/>
      <c r="AH3114" s="156" t="n"/>
      <c r="AI3114" s="156" t="n"/>
      <c r="AJ3114" s="156" t="n"/>
      <c r="AK3114" s="156" t="n"/>
      <c r="AL3114" s="156" t="n"/>
      <c r="AM3114" s="156" t="n"/>
      <c r="AN3114" s="156" t="n"/>
      <c r="AO3114" s="156" t="n"/>
      <c r="AP3114" s="156" t="n"/>
      <c r="AQ3114" s="156" t="n"/>
      <c r="AR3114" s="156" t="n"/>
      <c r="AS3114" s="156" t="n"/>
      <c r="AT3114" s="157"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1" t="inlineStr">
        <is>
          <t>生年月日</t>
        </is>
      </c>
      <c r="F3115" s="149" t="n"/>
      <c r="G3115" s="149" t="n"/>
      <c r="H3115" s="149" t="n"/>
      <c r="I3115" s="149" t="n"/>
      <c r="J3115" s="149" t="n"/>
      <c r="K3115" s="150" t="n"/>
      <c r="L3115" s="163" t="inlineStr">
        <is>
          <t>昭和 ・ 平成</t>
        </is>
      </c>
      <c r="M3115" s="149" t="n"/>
      <c r="N3115" s="149" t="n"/>
      <c r="O3115" s="149" t="n"/>
      <c r="P3115" s="149" t="n"/>
      <c r="Q3115" s="149" t="n"/>
      <c r="R3115" s="149" t="n"/>
      <c r="S3115" s="149" t="n"/>
      <c r="T3115" s="149" t="n"/>
      <c r="U3115" s="149" t="n"/>
      <c r="V3115" s="164">
        <f>計算!$D$37</f>
        <v/>
      </c>
      <c r="W3115" s="149" t="n"/>
      <c r="X3115" s="165" t="inlineStr">
        <is>
          <t>年</t>
        </is>
      </c>
      <c r="Y3115" s="149" t="n"/>
      <c r="Z3115" s="166">
        <f>計算!$E$37</f>
        <v/>
      </c>
      <c r="AA3115" s="149" t="n"/>
      <c r="AB3115" s="149" t="n"/>
      <c r="AC3115" s="165" t="inlineStr">
        <is>
          <t>月</t>
        </is>
      </c>
      <c r="AD3115" s="149" t="n"/>
      <c r="AE3115" s="166">
        <f>計算!$F$37</f>
        <v/>
      </c>
      <c r="AF3115" s="149" t="n"/>
      <c r="AG3115" s="149" t="n"/>
      <c r="AH3115" s="165" t="inlineStr">
        <is>
          <t>日　生 （満</t>
        </is>
      </c>
      <c r="AI3115" s="149" t="n"/>
      <c r="AJ3115" s="149" t="n"/>
      <c r="AK3115" s="149" t="n"/>
      <c r="AL3115" s="149" t="n"/>
      <c r="AM3115" s="149" t="n"/>
      <c r="AN3115" s="149" t="n"/>
      <c r="AO3115" s="149" t="n"/>
      <c r="AP3115" s="167">
        <f>計算!$G$37</f>
        <v/>
      </c>
      <c r="AQ3115" s="149" t="n"/>
      <c r="AR3115" s="168"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5" t="n"/>
      <c r="F3118" s="156" t="n"/>
      <c r="G3118" s="156" t="n"/>
      <c r="H3118" s="156" t="n"/>
      <c r="I3118" s="156" t="n"/>
      <c r="J3118" s="156" t="n"/>
      <c r="K3118" s="157" t="n"/>
      <c r="L3118" s="155" t="n"/>
      <c r="M3118" s="156" t="n"/>
      <c r="N3118" s="156" t="n"/>
      <c r="O3118" s="156" t="n"/>
      <c r="P3118" s="156" t="n"/>
      <c r="Q3118" s="156" t="n"/>
      <c r="R3118" s="156" t="n"/>
      <c r="S3118" s="156" t="n"/>
      <c r="T3118" s="156" t="n"/>
      <c r="U3118" s="156" t="n"/>
      <c r="X3118" s="156" t="n"/>
      <c r="Y3118" s="156" t="n"/>
      <c r="AC3118" s="156" t="n"/>
      <c r="AD3118" s="156" t="n"/>
      <c r="AH3118" s="156" t="n"/>
      <c r="AI3118" s="156" t="n"/>
      <c r="AJ3118" s="156" t="n"/>
      <c r="AK3118" s="156" t="n"/>
      <c r="AL3118" s="156" t="n"/>
      <c r="AM3118" s="156" t="n"/>
      <c r="AN3118" s="156" t="n"/>
      <c r="AO3118" s="156" t="n"/>
      <c r="AP3118" s="156" t="n"/>
      <c r="AQ3118" s="156" t="n"/>
      <c r="AR3118" s="156" t="n"/>
      <c r="AS3118" s="156" t="n"/>
      <c r="AT3118" s="157"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69" t="inlineStr">
        <is>
          <t>ふ り が な</t>
        </is>
      </c>
      <c r="F3119" s="149" t="n"/>
      <c r="G3119" s="149" t="n"/>
      <c r="H3119" s="149" t="n"/>
      <c r="I3119" s="149" t="n"/>
      <c r="J3119" s="149" t="n"/>
      <c r="K3119" s="150" t="n"/>
      <c r="L3119" s="170">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1" t="n"/>
      <c r="F3121" s="172" t="n"/>
      <c r="G3121" s="172" t="n"/>
      <c r="H3121" s="172" t="n"/>
      <c r="I3121" s="172" t="n"/>
      <c r="J3121" s="172" t="n"/>
      <c r="K3121" s="173" t="n"/>
      <c r="L3121" s="172" t="n"/>
      <c r="M3121" s="172" t="n"/>
      <c r="N3121" s="172" t="n"/>
      <c r="O3121" s="172" t="n"/>
      <c r="P3121" s="172" t="n"/>
      <c r="Q3121" s="172" t="n"/>
      <c r="R3121" s="172" t="n"/>
      <c r="S3121" s="172" t="n"/>
      <c r="T3121" s="172" t="n"/>
      <c r="U3121" s="172" t="n"/>
      <c r="V3121" s="172" t="n"/>
      <c r="W3121" s="172" t="n"/>
      <c r="X3121" s="172" t="n"/>
      <c r="Y3121" s="172" t="n"/>
      <c r="Z3121" s="172" t="n"/>
      <c r="AA3121" s="172" t="n"/>
      <c r="AB3121" s="172" t="n"/>
      <c r="AC3121" s="172" t="n"/>
      <c r="AD3121" s="172" t="n"/>
      <c r="AE3121" s="172" t="n"/>
      <c r="AF3121" s="172" t="n"/>
      <c r="AG3121" s="172" t="n"/>
      <c r="AH3121" s="172" t="n"/>
      <c r="AI3121" s="172" t="n"/>
      <c r="AJ3121" s="172" t="n"/>
      <c r="AK3121" s="172" t="n"/>
      <c r="AL3121" s="172" t="n"/>
      <c r="AM3121" s="172" t="n"/>
      <c r="AN3121" s="172" t="n"/>
      <c r="AO3121" s="172" t="n"/>
      <c r="AP3121" s="172" t="n"/>
      <c r="AQ3121" s="172" t="n"/>
      <c r="AR3121" s="172" t="n"/>
      <c r="AS3121" s="172" t="n"/>
      <c r="AT3121" s="172" t="n"/>
      <c r="AU3121" s="172" t="n"/>
      <c r="AV3121" s="172" t="n"/>
      <c r="AW3121" s="172" t="n"/>
      <c r="AX3121" s="172" t="n"/>
      <c r="AY3121" s="172" t="n"/>
      <c r="AZ3121" s="172" t="n"/>
      <c r="BA3121" s="172" t="n"/>
      <c r="BB3121" s="172" t="n"/>
      <c r="BC3121" s="172" t="n"/>
      <c r="BD3121" s="172" t="n"/>
      <c r="BE3121" s="172" t="n"/>
      <c r="BF3121" s="172" t="n"/>
      <c r="BG3121" s="172" t="n"/>
      <c r="BH3121" s="172" t="n"/>
      <c r="BI3121" s="173"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4" t="inlineStr">
        <is>
          <t>現住所</t>
        </is>
      </c>
      <c r="F3122" s="175" t="n"/>
      <c r="G3122" s="175" t="n"/>
      <c r="H3122" s="175" t="n"/>
      <c r="I3122" s="175" t="n"/>
      <c r="J3122" s="175" t="n"/>
      <c r="K3122" s="176" t="n"/>
      <c r="L3122" s="83" t="inlineStr">
        <is>
          <t>〒</t>
        </is>
      </c>
      <c r="M3122" s="175" t="n"/>
      <c r="N3122" s="175" t="n"/>
      <c r="O3122" s="175" t="n"/>
      <c r="P3122" s="177">
        <f>計算!$H$37</f>
        <v/>
      </c>
      <c r="Q3122" s="175" t="n"/>
      <c r="R3122" s="175" t="n"/>
      <c r="S3122" s="175" t="n"/>
      <c r="T3122" s="175" t="n"/>
      <c r="U3122" s="175" t="n"/>
      <c r="V3122" s="175" t="n"/>
      <c r="W3122" s="175" t="n"/>
      <c r="X3122" s="175" t="n"/>
      <c r="Y3122" s="175" t="n"/>
      <c r="Z3122" s="175" t="n"/>
      <c r="AA3122" s="175" t="n"/>
      <c r="AB3122" s="175" t="n"/>
      <c r="AC3122" s="175" t="n"/>
      <c r="AD3122" s="175" t="n"/>
      <c r="AE3122" s="175" t="n"/>
      <c r="AF3122" s="175" t="n"/>
      <c r="AG3122" s="175" t="n"/>
      <c r="AH3122" s="175" t="n"/>
      <c r="AI3122" s="175" t="n"/>
      <c r="AJ3122" s="175"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5" t="n"/>
      <c r="BQ3123" s="156" t="n"/>
      <c r="BR3123" s="156" t="n"/>
      <c r="BS3123" s="156" t="n"/>
      <c r="BT3123" s="156" t="n"/>
      <c r="BU3123" s="156" t="n"/>
      <c r="BV3123" s="157" t="n"/>
      <c r="BW3123" s="155" t="n"/>
      <c r="BX3123" s="156" t="n"/>
      <c r="BY3123" s="156" t="n"/>
      <c r="BZ3123" s="156" t="n"/>
      <c r="CA3123" s="156" t="n"/>
      <c r="CB3123" s="156" t="n"/>
      <c r="CC3123" s="156" t="n"/>
      <c r="CD3123" s="156" t="n"/>
      <c r="CE3123" s="156" t="n"/>
      <c r="CF3123" s="156" t="n"/>
      <c r="CG3123" s="157"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8" t="inlineStr">
        <is>
          <t>校内外の諸活動</t>
        </is>
      </c>
      <c r="BQ3124" s="149" t="n"/>
      <c r="BR3124" s="149" t="n"/>
      <c r="BS3124" s="149" t="n"/>
      <c r="BT3124" s="149" t="n"/>
      <c r="BU3124" s="149" t="n"/>
      <c r="BV3124" s="150" t="n"/>
      <c r="BW3124" s="179">
        <f>計算!$BO$37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0">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5" t="n"/>
      <c r="F3127" s="156" t="n"/>
      <c r="G3127" s="156" t="n"/>
      <c r="H3127" s="156" t="n"/>
      <c r="I3127" s="156" t="n"/>
      <c r="J3127" s="156" t="n"/>
      <c r="K3127" s="157" t="n"/>
      <c r="L3127" s="155" t="n"/>
      <c r="M3127" s="156" t="n"/>
      <c r="N3127" s="156" t="n"/>
      <c r="O3127" s="156" t="n"/>
      <c r="P3127" s="156" t="n"/>
      <c r="Q3127" s="156" t="n"/>
      <c r="R3127" s="156" t="n"/>
      <c r="S3127" s="156" t="n"/>
      <c r="T3127" s="156" t="n"/>
      <c r="U3127" s="156" t="n"/>
      <c r="V3127" s="156" t="n"/>
      <c r="W3127" s="156" t="n"/>
      <c r="X3127" s="156" t="n"/>
      <c r="Y3127" s="156" t="n"/>
      <c r="Z3127" s="156" t="n"/>
      <c r="AA3127" s="156" t="n"/>
      <c r="AB3127" s="156" t="n"/>
      <c r="AC3127" s="156" t="n"/>
      <c r="AD3127" s="156" t="n"/>
      <c r="AE3127" s="156" t="n"/>
      <c r="AF3127" s="156" t="n"/>
      <c r="AG3127" s="156" t="n"/>
      <c r="AH3127" s="156" t="n"/>
      <c r="AI3127" s="156" t="n"/>
      <c r="AJ3127" s="156" t="n"/>
      <c r="AK3127" s="156" t="n"/>
      <c r="AL3127" s="156" t="n"/>
      <c r="AM3127" s="156" t="n"/>
      <c r="AN3127" s="156" t="n"/>
      <c r="AO3127" s="156" t="n"/>
      <c r="AP3127" s="156" t="n"/>
      <c r="AQ3127" s="156" t="n"/>
      <c r="AR3127" s="156" t="n"/>
      <c r="AS3127" s="156" t="n"/>
      <c r="AT3127" s="156" t="n"/>
      <c r="AU3127" s="156" t="n"/>
      <c r="AV3127" s="156" t="n"/>
      <c r="AW3127" s="156" t="n"/>
      <c r="AX3127" s="156" t="n"/>
      <c r="AY3127" s="156" t="n"/>
      <c r="AZ3127" s="156" t="n"/>
      <c r="BA3127" s="156" t="n"/>
      <c r="BB3127" s="156" t="n"/>
      <c r="BC3127" s="156" t="n"/>
      <c r="BD3127" s="156" t="n"/>
      <c r="BE3127" s="156" t="n"/>
      <c r="BF3127" s="156" t="n"/>
      <c r="BG3127" s="156" t="n"/>
      <c r="BH3127" s="156" t="n"/>
      <c r="BI3127" s="157"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69" t="inlineStr">
        <is>
          <t>ふ り が な</t>
        </is>
      </c>
      <c r="F3128" s="149" t="n"/>
      <c r="G3128" s="149" t="n"/>
      <c r="H3128" s="149" t="n"/>
      <c r="I3128" s="149" t="n"/>
      <c r="J3128" s="149" t="n"/>
      <c r="K3128" s="150" t="n"/>
      <c r="L3128" s="170">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1" t="n"/>
      <c r="F3130" s="172" t="n"/>
      <c r="G3130" s="172" t="n"/>
      <c r="H3130" s="172" t="n"/>
      <c r="I3130" s="172" t="n"/>
      <c r="J3130" s="172" t="n"/>
      <c r="K3130" s="173" t="n"/>
      <c r="L3130" s="172" t="n"/>
      <c r="M3130" s="172" t="n"/>
      <c r="N3130" s="172" t="n"/>
      <c r="O3130" s="172" t="n"/>
      <c r="P3130" s="172" t="n"/>
      <c r="Q3130" s="172" t="n"/>
      <c r="R3130" s="172" t="n"/>
      <c r="S3130" s="172" t="n"/>
      <c r="T3130" s="172" t="n"/>
      <c r="U3130" s="172" t="n"/>
      <c r="V3130" s="172" t="n"/>
      <c r="W3130" s="172" t="n"/>
      <c r="X3130" s="172" t="n"/>
      <c r="Y3130" s="172" t="n"/>
      <c r="Z3130" s="172" t="n"/>
      <c r="AA3130" s="172" t="n"/>
      <c r="AB3130" s="172" t="n"/>
      <c r="AC3130" s="172" t="n"/>
      <c r="AD3130" s="172" t="n"/>
      <c r="AE3130" s="172" t="n"/>
      <c r="AF3130" s="172" t="n"/>
      <c r="AG3130" s="172" t="n"/>
      <c r="AH3130" s="172" t="n"/>
      <c r="AI3130" s="172" t="n"/>
      <c r="AJ3130" s="172" t="n"/>
      <c r="AK3130" s="172" t="n"/>
      <c r="AL3130" s="172" t="n"/>
      <c r="AM3130" s="172" t="n"/>
      <c r="AN3130" s="172" t="n"/>
      <c r="AO3130" s="172" t="n"/>
      <c r="AP3130" s="172" t="n"/>
      <c r="AQ3130" s="172" t="n"/>
      <c r="AR3130" s="172" t="n"/>
      <c r="AS3130" s="172" t="n"/>
      <c r="AT3130" s="172" t="n"/>
      <c r="AU3130" s="172" t="n"/>
      <c r="AV3130" s="172" t="n"/>
      <c r="AW3130" s="172" t="n"/>
      <c r="AX3130" s="172" t="n"/>
      <c r="AY3130" s="172" t="n"/>
      <c r="AZ3130" s="172" t="n"/>
      <c r="BA3130" s="172" t="n"/>
      <c r="BB3130" s="172" t="n"/>
      <c r="BC3130" s="172" t="n"/>
      <c r="BD3130" s="172" t="n"/>
      <c r="BE3130" s="172" t="n"/>
      <c r="BF3130" s="172" t="n"/>
      <c r="BG3130" s="172" t="n"/>
      <c r="BH3130" s="172" t="n"/>
      <c r="BI3130" s="173"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4" t="inlineStr">
        <is>
          <t>連絡先</t>
        </is>
      </c>
      <c r="F3131" s="175" t="n"/>
      <c r="G3131" s="175" t="n"/>
      <c r="H3131" s="175" t="n"/>
      <c r="I3131" s="175" t="n"/>
      <c r="J3131" s="175" t="n"/>
      <c r="K3131" s="176" t="n"/>
      <c r="L3131" s="83" t="inlineStr">
        <is>
          <t>〒</t>
        </is>
      </c>
      <c r="M3131" s="175" t="n"/>
      <c r="N3131" s="175" t="n"/>
      <c r="O3131" s="175" t="n"/>
      <c r="P3131" s="181">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2">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5" t="n"/>
      <c r="F3135" s="156" t="n"/>
      <c r="G3135" s="156" t="n"/>
      <c r="H3135" s="156" t="n"/>
      <c r="I3135" s="156" t="n"/>
      <c r="J3135" s="156" t="n"/>
      <c r="K3135" s="157" t="n"/>
      <c r="L3135" s="156" t="n"/>
      <c r="M3135" s="156" t="n"/>
      <c r="N3135" s="156" t="n"/>
      <c r="O3135" s="156" t="n"/>
      <c r="P3135" s="156" t="n"/>
      <c r="Q3135" s="156" t="n"/>
      <c r="R3135" s="156" t="n"/>
      <c r="S3135" s="156" t="n"/>
      <c r="T3135" s="156" t="n"/>
      <c r="U3135" s="156" t="n"/>
      <c r="V3135" s="156" t="n"/>
      <c r="W3135" s="156" t="n"/>
      <c r="X3135" s="156" t="n"/>
      <c r="Y3135" s="156" t="n"/>
      <c r="Z3135" s="156" t="n"/>
      <c r="AA3135" s="156" t="n"/>
      <c r="AB3135" s="156" t="n"/>
      <c r="AC3135" s="156" t="n"/>
      <c r="AD3135" s="156" t="n"/>
      <c r="AE3135" s="156" t="n"/>
      <c r="AF3135" s="156" t="n"/>
      <c r="AG3135" s="156" t="n"/>
      <c r="AH3135" s="156" t="n"/>
      <c r="AI3135" s="156" t="n"/>
      <c r="AJ3135" s="156" t="n"/>
      <c r="AK3135" s="156" t="n"/>
      <c r="AL3135" s="156" t="n"/>
      <c r="AM3135" s="156" t="n"/>
      <c r="AN3135" s="156" t="n"/>
      <c r="AO3135" s="156" t="n"/>
      <c r="AP3135" s="156" t="n"/>
      <c r="AQ3135" s="156" t="n"/>
      <c r="AR3135" s="156" t="n"/>
      <c r="AS3135" s="156" t="n"/>
      <c r="AT3135" s="156" t="n"/>
      <c r="AU3135" s="156" t="n"/>
      <c r="AV3135" s="156" t="n"/>
      <c r="AW3135" s="156" t="n"/>
      <c r="AX3135" s="156" t="n"/>
      <c r="AY3135" s="156" t="n"/>
      <c r="AZ3135" s="156" t="n"/>
      <c r="BA3135" s="156" t="n"/>
      <c r="BB3135" s="156" t="n"/>
      <c r="BC3135" s="156" t="n"/>
      <c r="BD3135" s="156" t="n"/>
      <c r="BE3135" s="156" t="n"/>
      <c r="BF3135" s="156" t="n"/>
      <c r="BG3135" s="156" t="n"/>
      <c r="BH3135" s="156" t="n"/>
      <c r="BI3135" s="157"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86"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3" t="n"/>
      <c r="BQ3141" s="149" t="n"/>
      <c r="BR3141" s="184" t="n"/>
      <c r="BS3141" s="149" t="n"/>
      <c r="BT3141" s="149" t="n"/>
      <c r="BU3141" s="28" t="n"/>
      <c r="BV3141" s="29" t="n"/>
      <c r="BW3141" s="185">
        <f>計算!$BP$37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115"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6"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107"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7">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188">
        <f>IF(入力!$D$39="","",設定!$B$6)&amp;""</f>
        <v/>
      </c>
      <c r="S3149" s="11" t="n"/>
      <c r="T3149" s="11" t="n"/>
      <c r="U3149" s="188">
        <f>IF(入力!$D$39="","",設定!$B$7)&amp;""</f>
        <v/>
      </c>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110" t="inlineStr">
        <is>
          <t>令和</t>
        </is>
      </c>
      <c r="S3150" s="61" t="inlineStr">
        <is>
          <t>年</t>
        </is>
      </c>
      <c r="W3150" s="62"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90"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5" t="n"/>
      <c r="F3154" s="156" t="n"/>
      <c r="G3154" s="156" t="n"/>
      <c r="H3154" s="156" t="n"/>
      <c r="I3154" s="156" t="n"/>
      <c r="J3154" s="156" t="n"/>
      <c r="K3154" s="157"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6" t="n"/>
      <c r="AX3154" s="156" t="n"/>
      <c r="AY3154" s="156" t="n"/>
      <c r="AZ3154" s="156" t="n"/>
      <c r="BA3154" s="156" t="n"/>
      <c r="BB3154" s="156" t="n"/>
      <c r="BC3154" s="156" t="n"/>
      <c r="BD3154" s="156" t="n"/>
      <c r="BE3154" s="156" t="n"/>
      <c r="BF3154" s="156" t="n"/>
      <c r="BG3154" s="156" t="n"/>
      <c r="BH3154" s="156" t="n"/>
      <c r="BI3154" s="157"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58" t="n"/>
      <c r="T3155" s="149" t="n"/>
      <c r="U3155" s="17" t="n"/>
      <c r="V3155" s="17" t="n"/>
      <c r="W3155" s="58"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89" t="inlineStr">
        <is>
          <t>職　歴</t>
        </is>
      </c>
      <c r="K3158" s="153" t="n"/>
      <c r="L3158" s="69" t="inlineStr">
        <is>
          <t>平成</t>
        </is>
      </c>
      <c r="M3158" s="149" t="n"/>
      <c r="N3158" s="149" t="n"/>
      <c r="O3158" s="149" t="n"/>
      <c r="P3158" s="19" t="n"/>
      <c r="Q3158" s="19" t="n"/>
      <c r="R3158" s="19" t="n"/>
      <c r="S3158" s="19" t="n"/>
      <c r="T3158" s="19" t="n"/>
      <c r="U3158" s="19" t="n"/>
      <c r="V3158" s="19" t="n"/>
      <c r="W3158" s="19" t="n"/>
      <c r="X3158" s="37" t="n"/>
      <c r="Y3158" s="180">
        <f>計算!$BT$37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8">
        <f>計算!$BR$37</f>
        <v/>
      </c>
      <c r="S3160" s="61" t="inlineStr">
        <is>
          <t>年</t>
        </is>
      </c>
      <c r="U3160" s="190">
        <f>計算!$BS$37</f>
        <v/>
      </c>
      <c r="W3160" s="62"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74"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5" t="n"/>
      <c r="M3163" s="156" t="n"/>
      <c r="N3163" s="156" t="n"/>
      <c r="O3163" s="156" t="n"/>
      <c r="P3163" s="20" t="n"/>
      <c r="Q3163" s="20" t="n"/>
      <c r="R3163" s="20" t="n"/>
      <c r="S3163" s="20" t="n"/>
      <c r="T3163" s="20" t="n"/>
      <c r="U3163" s="20" t="n"/>
      <c r="V3163" s="20" t="n"/>
      <c r="W3163" s="20" t="n"/>
      <c r="X3163" s="39" t="n"/>
      <c r="Y3163" s="155" t="n"/>
      <c r="Z3163" s="156" t="n"/>
      <c r="AA3163" s="156" t="n"/>
      <c r="AB3163" s="156" t="n"/>
      <c r="AC3163" s="156" t="n"/>
      <c r="AD3163" s="156" t="n"/>
      <c r="AE3163" s="156" t="n"/>
      <c r="AF3163" s="156" t="n"/>
      <c r="AG3163" s="156" t="n"/>
      <c r="AH3163" s="156" t="n"/>
      <c r="AI3163" s="156" t="n"/>
      <c r="AJ3163" s="156" t="n"/>
      <c r="AK3163" s="156" t="n"/>
      <c r="AL3163" s="156" t="n"/>
      <c r="AM3163" s="156" t="n"/>
      <c r="AN3163" s="156" t="n"/>
      <c r="AO3163" s="156" t="n"/>
      <c r="AP3163" s="156" t="n"/>
      <c r="AQ3163" s="156" t="n"/>
      <c r="AR3163" s="156" t="n"/>
      <c r="AS3163" s="156" t="n"/>
      <c r="AT3163" s="156" t="n"/>
      <c r="AU3163" s="156" t="n"/>
      <c r="AV3163" s="156" t="n"/>
      <c r="AW3163" s="156" t="n"/>
      <c r="AX3163" s="156" t="n"/>
      <c r="AY3163" s="156" t="n"/>
      <c r="AZ3163" s="156" t="n"/>
      <c r="BA3163" s="156" t="n"/>
      <c r="BB3163" s="156" t="n"/>
      <c r="BC3163" s="156" t="n"/>
      <c r="BD3163" s="156" t="n"/>
      <c r="BE3163" s="156" t="n"/>
      <c r="BF3163" s="156" t="n"/>
      <c r="BG3163" s="156" t="n"/>
      <c r="BH3163" s="156" t="n"/>
      <c r="BI3163" s="157"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69" t="inlineStr">
        <is>
          <t>平成</t>
        </is>
      </c>
      <c r="M3164" s="149" t="n"/>
      <c r="N3164" s="149" t="n"/>
      <c r="O3164" s="149" t="n"/>
      <c r="P3164" s="18" t="n"/>
      <c r="Q3164" s="18" t="n"/>
      <c r="R3164" s="18" t="n"/>
      <c r="S3164" s="18" t="n"/>
      <c r="T3164" s="18" t="n"/>
      <c r="U3164" s="18" t="n"/>
      <c r="V3164" s="18" t="n"/>
      <c r="W3164" s="18" t="n"/>
      <c r="X3164" s="35" t="n"/>
      <c r="Y3164" s="180">
        <f>計算!$BW$37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8">
        <f>計算!$BU$37</f>
        <v/>
      </c>
      <c r="S3166" s="61" t="inlineStr">
        <is>
          <t>年</t>
        </is>
      </c>
      <c r="U3166" s="190">
        <f>計算!$BV$37</f>
        <v/>
      </c>
      <c r="W3166" s="62"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74"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5" t="n"/>
      <c r="M3169" s="156" t="n"/>
      <c r="N3169" s="156" t="n"/>
      <c r="O3169" s="156" t="n"/>
      <c r="P3169" s="20" t="n"/>
      <c r="Q3169" s="20" t="n"/>
      <c r="R3169" s="20" t="n"/>
      <c r="S3169" s="20" t="n"/>
      <c r="T3169" s="20" t="n"/>
      <c r="U3169" s="20" t="n"/>
      <c r="V3169" s="20" t="n"/>
      <c r="W3169" s="20" t="n"/>
      <c r="X3169" s="39" t="n"/>
      <c r="Y3169" s="155" t="n"/>
      <c r="Z3169" s="156" t="n"/>
      <c r="AA3169" s="156" t="n"/>
      <c r="AB3169" s="156" t="n"/>
      <c r="AC3169" s="156" t="n"/>
      <c r="AD3169" s="156" t="n"/>
      <c r="AE3169" s="156" t="n"/>
      <c r="AF3169" s="156" t="n"/>
      <c r="AG3169" s="156" t="n"/>
      <c r="AH3169" s="156" t="n"/>
      <c r="AI3169" s="156" t="n"/>
      <c r="AJ3169" s="156" t="n"/>
      <c r="AK3169" s="156" t="n"/>
      <c r="AL3169" s="156" t="n"/>
      <c r="AM3169" s="156" t="n"/>
      <c r="AN3169" s="156" t="n"/>
      <c r="AO3169" s="156" t="n"/>
      <c r="AP3169" s="156" t="n"/>
      <c r="AQ3169" s="156" t="n"/>
      <c r="AR3169" s="156" t="n"/>
      <c r="AS3169" s="156" t="n"/>
      <c r="AT3169" s="156" t="n"/>
      <c r="AU3169" s="156" t="n"/>
      <c r="AV3169" s="156" t="n"/>
      <c r="AW3169" s="156" t="n"/>
      <c r="AX3169" s="156" t="n"/>
      <c r="AY3169" s="156" t="n"/>
      <c r="AZ3169" s="156" t="n"/>
      <c r="BA3169" s="156" t="n"/>
      <c r="BB3169" s="156" t="n"/>
      <c r="BC3169" s="156" t="n"/>
      <c r="BD3169" s="156" t="n"/>
      <c r="BE3169" s="156" t="n"/>
      <c r="BF3169" s="156" t="n"/>
      <c r="BG3169" s="156" t="n"/>
      <c r="BH3169" s="156" t="n"/>
      <c r="BI3169" s="157" t="n"/>
      <c r="BJ3169" s="2" t="n"/>
      <c r="BK3169" s="2" t="n"/>
      <c r="BL3169" s="2" t="n"/>
      <c r="BM3169" s="2" t="n"/>
      <c r="BN3169" s="2" t="n"/>
      <c r="BO3169" s="2" t="n"/>
      <c r="BP3169" s="155" t="n"/>
      <c r="BQ3169" s="156" t="n"/>
      <c r="BR3169" s="156" t="n"/>
      <c r="BS3169" s="156" t="n"/>
      <c r="BT3169" s="156" t="n"/>
      <c r="BU3169" s="42" t="n"/>
      <c r="BV3169" s="45" t="n"/>
      <c r="BW3169" s="156" t="n"/>
      <c r="BX3169" s="156" t="n"/>
      <c r="BY3169" s="156" t="n"/>
      <c r="BZ3169" s="156" t="n"/>
      <c r="CA3169" s="156" t="n"/>
      <c r="CB3169" s="156" t="n"/>
      <c r="CC3169" s="156" t="n"/>
      <c r="CD3169" s="156" t="n"/>
      <c r="CE3169" s="156" t="n"/>
      <c r="CF3169" s="156" t="n"/>
      <c r="CG3169" s="156" t="n"/>
      <c r="CH3169" s="156" t="n"/>
      <c r="CI3169" s="156" t="n"/>
      <c r="CJ3169" s="156" t="n"/>
      <c r="CK3169" s="156" t="n"/>
      <c r="CL3169" s="156" t="n"/>
      <c r="CM3169" s="156" t="n"/>
      <c r="CN3169" s="156" t="n"/>
      <c r="CO3169" s="156" t="n"/>
      <c r="CP3169" s="156" t="n"/>
      <c r="CQ3169" s="156" t="n"/>
      <c r="CR3169" s="156" t="n"/>
      <c r="CS3169" s="156" t="n"/>
      <c r="CT3169" s="156" t="n"/>
      <c r="CU3169" s="156" t="n"/>
      <c r="CV3169" s="156" t="n"/>
      <c r="CW3169" s="156" t="n"/>
      <c r="CX3169" s="156" t="n"/>
      <c r="CY3169" s="156" t="n"/>
      <c r="CZ3169" s="156" t="n"/>
      <c r="DA3169" s="156" t="n"/>
      <c r="DB3169" s="156" t="n"/>
      <c r="DC3169" s="156" t="n"/>
      <c r="DD3169" s="156" t="n"/>
      <c r="DE3169" s="156" t="n"/>
      <c r="DF3169" s="156" t="n"/>
      <c r="DG3169" s="156" t="n"/>
      <c r="DH3169" s="156" t="n"/>
      <c r="DI3169" s="156" t="n"/>
      <c r="DJ3169" s="156" t="n"/>
      <c r="DK3169" s="156" t="n"/>
      <c r="DL3169" s="156" t="n"/>
      <c r="DM3169" s="156" t="n"/>
      <c r="DN3169" s="156" t="n"/>
      <c r="DO3169" s="156" t="n"/>
      <c r="DP3169" s="156" t="n"/>
      <c r="DQ3169" s="156" t="n"/>
      <c r="DR3169" s="156" t="n"/>
      <c r="DS3169" s="156" t="n"/>
      <c r="DT3169" s="156" t="n"/>
      <c r="DU3169" s="157" t="n"/>
      <c r="DV3169" s="2" t="n"/>
      <c r="DW3169" s="2" t="n"/>
      <c r="DX3169" s="2" t="n"/>
      <c r="DY3169" s="2" t="n"/>
      <c r="DZ3169" s="2" t="n"/>
      <c r="EA3169" s="2" t="n"/>
      <c r="EB3169" s="2" t="n"/>
      <c r="EC3169" s="2" t="n"/>
    </row>
    <row r="3170" ht="6.75" customHeight="1" s="118">
      <c r="A3170" s="2" t="n"/>
      <c r="B3170" s="2" t="n"/>
      <c r="C3170" s="2" t="n"/>
      <c r="D3170" s="2" t="n"/>
      <c r="E3170" s="152" t="n"/>
      <c r="K3170" s="153" t="n"/>
      <c r="L3170" s="69"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5">
        <f>計算!$BQ$37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61" t="inlineStr">
        <is>
          <t>年</t>
        </is>
      </c>
      <c r="U3172" s="11" t="n"/>
      <c r="V3172" s="11" t="n"/>
      <c r="W3172" s="62"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74"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5" t="n"/>
      <c r="M3175" s="156" t="n"/>
      <c r="N3175" s="156" t="n"/>
      <c r="O3175" s="156"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69"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61" t="inlineStr">
        <is>
          <t>年</t>
        </is>
      </c>
      <c r="U3178" s="11" t="n"/>
      <c r="V3178" s="11" t="n"/>
      <c r="W3178" s="62"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74"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61" t="n"/>
      <c r="T3180" s="61" t="n"/>
      <c r="U3180" s="11" t="n"/>
      <c r="V3180" s="11" t="n"/>
      <c r="W3180" s="61" t="n"/>
      <c r="X3180" s="62"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5" t="n"/>
      <c r="F3181" s="156" t="n"/>
      <c r="G3181" s="156" t="n"/>
      <c r="H3181" s="156" t="n"/>
      <c r="I3181" s="156" t="n"/>
      <c r="J3181" s="156" t="n"/>
      <c r="K3181" s="157" t="n"/>
      <c r="L3181" s="155" t="n"/>
      <c r="M3181" s="156" t="n"/>
      <c r="N3181" s="156" t="n"/>
      <c r="O3181" s="156"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5" t="n"/>
      <c r="BQ3181" s="156" t="n"/>
      <c r="BR3181" s="156" t="n"/>
      <c r="BS3181" s="156" t="n"/>
      <c r="BT3181" s="156" t="n"/>
      <c r="BU3181" s="156" t="n"/>
      <c r="BV3181" s="157" t="n"/>
      <c r="BW3181" s="156" t="n"/>
      <c r="BX3181" s="156" t="n"/>
      <c r="BY3181" s="156" t="n"/>
      <c r="BZ3181" s="156" t="n"/>
      <c r="CA3181" s="156" t="n"/>
      <c r="CB3181" s="156" t="n"/>
      <c r="CC3181" s="156" t="n"/>
      <c r="CD3181" s="156" t="n"/>
      <c r="CE3181" s="156" t="n"/>
      <c r="CF3181" s="156" t="n"/>
      <c r="CG3181" s="156" t="n"/>
      <c r="CH3181" s="156" t="n"/>
      <c r="CI3181" s="156" t="n"/>
      <c r="CJ3181" s="156" t="n"/>
      <c r="CK3181" s="156" t="n"/>
      <c r="CL3181" s="156" t="n"/>
      <c r="CM3181" s="156" t="n"/>
      <c r="CN3181" s="156" t="n"/>
      <c r="CO3181" s="156" t="n"/>
      <c r="CP3181" s="156" t="n"/>
      <c r="CQ3181" s="156" t="n"/>
      <c r="CR3181" s="156" t="n"/>
      <c r="CS3181" s="156" t="n"/>
      <c r="CT3181" s="156" t="n"/>
      <c r="CU3181" s="156" t="n"/>
      <c r="CV3181" s="156" t="n"/>
      <c r="CW3181" s="156" t="n"/>
      <c r="CX3181" s="156" t="n"/>
      <c r="CY3181" s="156" t="n"/>
      <c r="CZ3181" s="156" t="n"/>
      <c r="DA3181" s="156" t="n"/>
      <c r="DB3181" s="156" t="n"/>
      <c r="DC3181" s="156" t="n"/>
      <c r="DD3181" s="156" t="n"/>
      <c r="DE3181" s="156" t="n"/>
      <c r="DF3181" s="156" t="n"/>
      <c r="DG3181" s="156" t="n"/>
      <c r="DH3181" s="156" t="n"/>
      <c r="DI3181" s="156" t="n"/>
      <c r="DJ3181" s="156" t="n"/>
      <c r="DK3181" s="156" t="n"/>
      <c r="DL3181" s="156" t="n"/>
      <c r="DM3181" s="156" t="n"/>
      <c r="DN3181" s="156" t="n"/>
      <c r="DO3181" s="156" t="n"/>
      <c r="DP3181" s="156" t="n"/>
      <c r="DQ3181" s="156" t="n"/>
      <c r="DR3181" s="156" t="n"/>
      <c r="DS3181" s="156" t="n"/>
      <c r="DT3181" s="156" t="n"/>
      <c r="DU3181" s="157"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87" t="inlineStr">
        <is>
          <t xml:space="preserve">    (近畿高等学校統一用紙　  その２ 　  令和７年度改定)　</t>
        </is>
      </c>
      <c r="DV3183" s="2" t="n"/>
      <c r="DW3183" s="2" t="n"/>
      <c r="DX3183" s="2" t="n"/>
      <c r="DY3183" s="2" t="n"/>
      <c r="DZ3183" s="2" t="n"/>
      <c r="EA3183" s="2" t="n"/>
      <c r="EB3183" s="2" t="n"/>
      <c r="EC3183" s="2" t="n"/>
    </row>
    <row r="3184" hidden="1"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idden="1"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47"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64" t="inlineStr">
        <is>
          <t>令和</t>
        </is>
      </c>
      <c r="AD3193" s="154">
        <f>IF(入力!$D$40="","",IF(N(設定!$B$3)=0,"",YEAR(設定!$B$3)-2018))&amp;""</f>
        <v/>
      </c>
      <c r="AG3193" s="64" t="inlineStr">
        <is>
          <t>年</t>
        </is>
      </c>
      <c r="AI3193" s="154">
        <f>IF(入力!$D$40="","",IF(N(設定!$B$3)=0,"",MONTH(設定!$B$3)))&amp;""</f>
        <v/>
      </c>
      <c r="AL3193" s="64" t="inlineStr">
        <is>
          <t>月</t>
        </is>
      </c>
      <c r="AN3193" s="154">
        <f>IF(入力!$D$40="","",IF(N(設定!$B$3)=0,"",DAY(設定!$B$3)))&amp;""</f>
        <v/>
      </c>
      <c r="AP3193" s="64"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5" t="n"/>
      <c r="BX3193" s="156" t="n"/>
      <c r="BY3193" s="156" t="n"/>
      <c r="BZ3193" s="156" t="n"/>
      <c r="CA3193" s="156" t="n"/>
      <c r="CB3193" s="156" t="n"/>
      <c r="CC3193" s="156" t="n"/>
      <c r="CD3193" s="156" t="n"/>
      <c r="CE3193" s="156" t="n"/>
      <c r="CF3193" s="156" t="n"/>
      <c r="CG3193" s="157" t="n"/>
      <c r="CH3193" s="155" t="n"/>
      <c r="CI3193" s="156" t="n"/>
      <c r="CJ3193" s="156" t="n"/>
      <c r="CK3193" s="156" t="n"/>
      <c r="CL3193" s="156" t="n"/>
      <c r="CM3193" s="156" t="n"/>
      <c r="CN3193" s="156" t="n"/>
      <c r="CO3193" s="156" t="n"/>
      <c r="CP3193" s="156" t="n"/>
      <c r="CQ3193" s="156" t="n"/>
      <c r="CR3193" s="156" t="n"/>
      <c r="CS3193" s="156" t="n"/>
      <c r="CT3193" s="156" t="n"/>
      <c r="CU3193" s="156" t="n"/>
      <c r="CV3193" s="156" t="n"/>
      <c r="CW3193" s="156" t="n"/>
      <c r="CX3193" s="156" t="n"/>
      <c r="CY3193" s="156" t="n"/>
      <c r="CZ3193" s="156" t="n"/>
      <c r="DA3193" s="156" t="n"/>
      <c r="DB3193" s="156" t="n"/>
      <c r="DC3193" s="156" t="n"/>
      <c r="DD3193" s="156" t="n"/>
      <c r="DE3193" s="156" t="n"/>
      <c r="DF3193" s="156" t="n"/>
      <c r="DG3193" s="156" t="n"/>
      <c r="DH3193" s="156" t="n"/>
      <c r="DI3193" s="156" t="n"/>
      <c r="DJ3193" s="156" t="n"/>
      <c r="DK3193" s="156" t="n"/>
      <c r="DL3193" s="156" t="n"/>
      <c r="DM3193" s="156" t="n"/>
      <c r="DN3193" s="156" t="n"/>
      <c r="DO3193" s="156" t="n"/>
      <c r="DP3193" s="156" t="n"/>
      <c r="DQ3193" s="156" t="n"/>
      <c r="DR3193" s="156" t="n"/>
      <c r="DS3193" s="156" t="n"/>
      <c r="DT3193" s="156" t="n"/>
      <c r="DU3193" s="157"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68" t="inlineStr">
        <is>
          <t>写真をはる位置</t>
        </is>
      </c>
      <c r="BI3194" s="8" t="n"/>
      <c r="BJ3194" s="7" t="n"/>
      <c r="BK3194" s="2" t="n"/>
      <c r="BL3194" s="2" t="n"/>
      <c r="BM3194" s="2" t="n"/>
      <c r="BN3194" s="2" t="n"/>
      <c r="BO3194" s="2" t="n"/>
      <c r="BP3194" s="152" t="n"/>
      <c r="BV3194" s="153" t="n"/>
      <c r="BW3194" s="158">
        <f>計算!$CB$38</f>
        <v/>
      </c>
      <c r="CG3194" s="153" t="n"/>
      <c r="CH3194" s="159">
        <f>計算!$CC$38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6" t="n"/>
      <c r="AA3195" s="156" t="n"/>
      <c r="AB3195" s="156" t="n"/>
      <c r="AC3195" s="156" t="n"/>
      <c r="AD3195" s="156" t="n"/>
      <c r="AE3195" s="156" t="n"/>
      <c r="AF3195" s="156" t="n"/>
      <c r="AG3195" s="156" t="n"/>
      <c r="AH3195" s="156" t="n"/>
      <c r="AI3195" s="156" t="n"/>
      <c r="AJ3195" s="156" t="n"/>
      <c r="AK3195" s="156" t="n"/>
      <c r="AL3195" s="156" t="n"/>
      <c r="AM3195" s="156" t="n"/>
      <c r="AN3195" s="156" t="n"/>
      <c r="AO3195" s="156" t="n"/>
      <c r="AP3195" s="156" t="n"/>
      <c r="AQ3195" s="156" t="n"/>
      <c r="AR3195" s="156" t="n"/>
      <c r="AS3195" s="156" t="n"/>
      <c r="AT3195" s="156"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0">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5" t="n"/>
      <c r="F3199" s="156" t="n"/>
      <c r="G3199" s="156" t="n"/>
      <c r="H3199" s="156" t="n"/>
      <c r="I3199" s="156" t="n"/>
      <c r="J3199" s="156" t="n"/>
      <c r="K3199" s="157" t="n"/>
      <c r="L3199" s="156" t="n"/>
      <c r="M3199" s="156" t="n"/>
      <c r="N3199" s="156" t="n"/>
      <c r="O3199" s="156" t="n"/>
      <c r="P3199" s="156" t="n"/>
      <c r="Q3199" s="156" t="n"/>
      <c r="R3199" s="156" t="n"/>
      <c r="S3199" s="156" t="n"/>
      <c r="T3199" s="156" t="n"/>
      <c r="U3199" s="156" t="n"/>
      <c r="V3199" s="156" t="n"/>
      <c r="W3199" s="156" t="n"/>
      <c r="X3199" s="156" t="n"/>
      <c r="Y3199" s="156" t="n"/>
      <c r="Z3199" s="156" t="n"/>
      <c r="AA3199" s="156" t="n"/>
      <c r="AB3199" s="156" t="n"/>
      <c r="AC3199" s="156" t="n"/>
      <c r="AD3199" s="156" t="n"/>
      <c r="AE3199" s="156" t="n"/>
      <c r="AF3199" s="156" t="n"/>
      <c r="AG3199" s="156" t="n"/>
      <c r="AH3199" s="156" t="n"/>
      <c r="AI3199" s="156" t="n"/>
      <c r="AJ3199" s="156" t="n"/>
      <c r="AK3199" s="156" t="n"/>
      <c r="AL3199" s="156" t="n"/>
      <c r="AM3199" s="156" t="n"/>
      <c r="AN3199" s="156" t="n"/>
      <c r="AO3199" s="156" t="n"/>
      <c r="AP3199" s="156" t="n"/>
      <c r="AQ3199" s="156" t="n"/>
      <c r="AR3199" s="156" t="n"/>
      <c r="AS3199" s="156" t="n"/>
      <c r="AT3199" s="157"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1" t="inlineStr">
        <is>
          <t>名　前</t>
        </is>
      </c>
      <c r="F3200" s="149" t="n"/>
      <c r="G3200" s="149" t="n"/>
      <c r="H3200" s="149" t="n"/>
      <c r="I3200" s="149" t="n"/>
      <c r="J3200" s="149" t="n"/>
      <c r="K3200" s="150" t="n"/>
      <c r="L3200" s="162">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61"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5" t="n"/>
      <c r="F3205" s="156" t="n"/>
      <c r="G3205" s="156" t="n"/>
      <c r="H3205" s="156" t="n"/>
      <c r="I3205" s="156" t="n"/>
      <c r="J3205" s="156" t="n"/>
      <c r="K3205" s="157" t="n"/>
      <c r="L3205" s="155" t="n"/>
      <c r="M3205" s="156" t="n"/>
      <c r="N3205" s="156" t="n"/>
      <c r="O3205" s="156" t="n"/>
      <c r="P3205" s="156" t="n"/>
      <c r="Q3205" s="156" t="n"/>
      <c r="R3205" s="156" t="n"/>
      <c r="S3205" s="156" t="n"/>
      <c r="T3205" s="156" t="n"/>
      <c r="U3205" s="156" t="n"/>
      <c r="V3205" s="156" t="n"/>
      <c r="W3205" s="156" t="n"/>
      <c r="X3205" s="156" t="n"/>
      <c r="Y3205" s="156" t="n"/>
      <c r="Z3205" s="156" t="n"/>
      <c r="AA3205" s="156" t="n"/>
      <c r="AB3205" s="156" t="n"/>
      <c r="AC3205" s="156" t="n"/>
      <c r="AD3205" s="156" t="n"/>
      <c r="AE3205" s="156" t="n"/>
      <c r="AF3205" s="156" t="n"/>
      <c r="AG3205" s="156" t="n"/>
      <c r="AH3205" s="156" t="n"/>
      <c r="AI3205" s="156" t="n"/>
      <c r="AJ3205" s="156" t="n"/>
      <c r="AK3205" s="156" t="n"/>
      <c r="AL3205" s="156" t="n"/>
      <c r="AM3205" s="156" t="n"/>
      <c r="AN3205" s="156" t="n"/>
      <c r="AO3205" s="156" t="n"/>
      <c r="AP3205" s="156" t="n"/>
      <c r="AQ3205" s="156" t="n"/>
      <c r="AR3205" s="156" t="n"/>
      <c r="AS3205" s="156" t="n"/>
      <c r="AT3205" s="157"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1" t="inlineStr">
        <is>
          <t>生年月日</t>
        </is>
      </c>
      <c r="F3206" s="149" t="n"/>
      <c r="G3206" s="149" t="n"/>
      <c r="H3206" s="149" t="n"/>
      <c r="I3206" s="149" t="n"/>
      <c r="J3206" s="149" t="n"/>
      <c r="K3206" s="150" t="n"/>
      <c r="L3206" s="163" t="inlineStr">
        <is>
          <t>昭和 ・ 平成</t>
        </is>
      </c>
      <c r="M3206" s="149" t="n"/>
      <c r="N3206" s="149" t="n"/>
      <c r="O3206" s="149" t="n"/>
      <c r="P3206" s="149" t="n"/>
      <c r="Q3206" s="149" t="n"/>
      <c r="R3206" s="149" t="n"/>
      <c r="S3206" s="149" t="n"/>
      <c r="T3206" s="149" t="n"/>
      <c r="U3206" s="149" t="n"/>
      <c r="V3206" s="164">
        <f>計算!$D$38</f>
        <v/>
      </c>
      <c r="W3206" s="149" t="n"/>
      <c r="X3206" s="165" t="inlineStr">
        <is>
          <t>年</t>
        </is>
      </c>
      <c r="Y3206" s="149" t="n"/>
      <c r="Z3206" s="166">
        <f>計算!$E$38</f>
        <v/>
      </c>
      <c r="AA3206" s="149" t="n"/>
      <c r="AB3206" s="149" t="n"/>
      <c r="AC3206" s="165" t="inlineStr">
        <is>
          <t>月</t>
        </is>
      </c>
      <c r="AD3206" s="149" t="n"/>
      <c r="AE3206" s="166">
        <f>計算!$F$38</f>
        <v/>
      </c>
      <c r="AF3206" s="149" t="n"/>
      <c r="AG3206" s="149" t="n"/>
      <c r="AH3206" s="165" t="inlineStr">
        <is>
          <t>日　生 （満</t>
        </is>
      </c>
      <c r="AI3206" s="149" t="n"/>
      <c r="AJ3206" s="149" t="n"/>
      <c r="AK3206" s="149" t="n"/>
      <c r="AL3206" s="149" t="n"/>
      <c r="AM3206" s="149" t="n"/>
      <c r="AN3206" s="149" t="n"/>
      <c r="AO3206" s="149" t="n"/>
      <c r="AP3206" s="167">
        <f>計算!$G$38</f>
        <v/>
      </c>
      <c r="AQ3206" s="149" t="n"/>
      <c r="AR3206" s="168"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5" t="n"/>
      <c r="F3209" s="156" t="n"/>
      <c r="G3209" s="156" t="n"/>
      <c r="H3209" s="156" t="n"/>
      <c r="I3209" s="156" t="n"/>
      <c r="J3209" s="156" t="n"/>
      <c r="K3209" s="157" t="n"/>
      <c r="L3209" s="155" t="n"/>
      <c r="M3209" s="156" t="n"/>
      <c r="N3209" s="156" t="n"/>
      <c r="O3209" s="156" t="n"/>
      <c r="P3209" s="156" t="n"/>
      <c r="Q3209" s="156" t="n"/>
      <c r="R3209" s="156" t="n"/>
      <c r="S3209" s="156" t="n"/>
      <c r="T3209" s="156" t="n"/>
      <c r="U3209" s="156" t="n"/>
      <c r="X3209" s="156" t="n"/>
      <c r="Y3209" s="156" t="n"/>
      <c r="AC3209" s="156" t="n"/>
      <c r="AD3209" s="156" t="n"/>
      <c r="AH3209" s="156" t="n"/>
      <c r="AI3209" s="156" t="n"/>
      <c r="AJ3209" s="156" t="n"/>
      <c r="AK3209" s="156" t="n"/>
      <c r="AL3209" s="156" t="n"/>
      <c r="AM3209" s="156" t="n"/>
      <c r="AN3209" s="156" t="n"/>
      <c r="AO3209" s="156" t="n"/>
      <c r="AP3209" s="156" t="n"/>
      <c r="AQ3209" s="156" t="n"/>
      <c r="AR3209" s="156" t="n"/>
      <c r="AS3209" s="156" t="n"/>
      <c r="AT3209" s="157"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69" t="inlineStr">
        <is>
          <t>ふ り が な</t>
        </is>
      </c>
      <c r="F3210" s="149" t="n"/>
      <c r="G3210" s="149" t="n"/>
      <c r="H3210" s="149" t="n"/>
      <c r="I3210" s="149" t="n"/>
      <c r="J3210" s="149" t="n"/>
      <c r="K3210" s="150" t="n"/>
      <c r="L3210" s="170">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1" t="n"/>
      <c r="F3212" s="172" t="n"/>
      <c r="G3212" s="172" t="n"/>
      <c r="H3212" s="172" t="n"/>
      <c r="I3212" s="172" t="n"/>
      <c r="J3212" s="172" t="n"/>
      <c r="K3212" s="173" t="n"/>
      <c r="L3212" s="172" t="n"/>
      <c r="M3212" s="172" t="n"/>
      <c r="N3212" s="172" t="n"/>
      <c r="O3212" s="172" t="n"/>
      <c r="P3212" s="172" t="n"/>
      <c r="Q3212" s="172" t="n"/>
      <c r="R3212" s="172" t="n"/>
      <c r="S3212" s="172" t="n"/>
      <c r="T3212" s="172" t="n"/>
      <c r="U3212" s="172" t="n"/>
      <c r="V3212" s="172" t="n"/>
      <c r="W3212" s="172" t="n"/>
      <c r="X3212" s="172" t="n"/>
      <c r="Y3212" s="172" t="n"/>
      <c r="Z3212" s="172" t="n"/>
      <c r="AA3212" s="172" t="n"/>
      <c r="AB3212" s="172" t="n"/>
      <c r="AC3212" s="172" t="n"/>
      <c r="AD3212" s="172" t="n"/>
      <c r="AE3212" s="172" t="n"/>
      <c r="AF3212" s="172" t="n"/>
      <c r="AG3212" s="172" t="n"/>
      <c r="AH3212" s="172" t="n"/>
      <c r="AI3212" s="172" t="n"/>
      <c r="AJ3212" s="172" t="n"/>
      <c r="AK3212" s="172" t="n"/>
      <c r="AL3212" s="172" t="n"/>
      <c r="AM3212" s="172" t="n"/>
      <c r="AN3212" s="172" t="n"/>
      <c r="AO3212" s="172" t="n"/>
      <c r="AP3212" s="172" t="n"/>
      <c r="AQ3212" s="172" t="n"/>
      <c r="AR3212" s="172" t="n"/>
      <c r="AS3212" s="172" t="n"/>
      <c r="AT3212" s="172" t="n"/>
      <c r="AU3212" s="172" t="n"/>
      <c r="AV3212" s="172" t="n"/>
      <c r="AW3212" s="172" t="n"/>
      <c r="AX3212" s="172" t="n"/>
      <c r="AY3212" s="172" t="n"/>
      <c r="AZ3212" s="172" t="n"/>
      <c r="BA3212" s="172" t="n"/>
      <c r="BB3212" s="172" t="n"/>
      <c r="BC3212" s="172" t="n"/>
      <c r="BD3212" s="172" t="n"/>
      <c r="BE3212" s="172" t="n"/>
      <c r="BF3212" s="172" t="n"/>
      <c r="BG3212" s="172" t="n"/>
      <c r="BH3212" s="172" t="n"/>
      <c r="BI3212" s="173"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4" t="inlineStr">
        <is>
          <t>現住所</t>
        </is>
      </c>
      <c r="F3213" s="175" t="n"/>
      <c r="G3213" s="175" t="n"/>
      <c r="H3213" s="175" t="n"/>
      <c r="I3213" s="175" t="n"/>
      <c r="J3213" s="175" t="n"/>
      <c r="K3213" s="176" t="n"/>
      <c r="L3213" s="83" t="inlineStr">
        <is>
          <t>〒</t>
        </is>
      </c>
      <c r="M3213" s="175" t="n"/>
      <c r="N3213" s="175" t="n"/>
      <c r="O3213" s="175" t="n"/>
      <c r="P3213" s="177">
        <f>計算!$H$38</f>
        <v/>
      </c>
      <c r="Q3213" s="175" t="n"/>
      <c r="R3213" s="175" t="n"/>
      <c r="S3213" s="175" t="n"/>
      <c r="T3213" s="175" t="n"/>
      <c r="U3213" s="175" t="n"/>
      <c r="V3213" s="175" t="n"/>
      <c r="W3213" s="175" t="n"/>
      <c r="X3213" s="175" t="n"/>
      <c r="Y3213" s="175" t="n"/>
      <c r="Z3213" s="175" t="n"/>
      <c r="AA3213" s="175" t="n"/>
      <c r="AB3213" s="175" t="n"/>
      <c r="AC3213" s="175" t="n"/>
      <c r="AD3213" s="175" t="n"/>
      <c r="AE3213" s="175" t="n"/>
      <c r="AF3213" s="175" t="n"/>
      <c r="AG3213" s="175" t="n"/>
      <c r="AH3213" s="175" t="n"/>
      <c r="AI3213" s="175" t="n"/>
      <c r="AJ3213" s="175"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5" t="n"/>
      <c r="BQ3214" s="156" t="n"/>
      <c r="BR3214" s="156" t="n"/>
      <c r="BS3214" s="156" t="n"/>
      <c r="BT3214" s="156" t="n"/>
      <c r="BU3214" s="156" t="n"/>
      <c r="BV3214" s="157" t="n"/>
      <c r="BW3214" s="155" t="n"/>
      <c r="BX3214" s="156" t="n"/>
      <c r="BY3214" s="156" t="n"/>
      <c r="BZ3214" s="156" t="n"/>
      <c r="CA3214" s="156" t="n"/>
      <c r="CB3214" s="156" t="n"/>
      <c r="CC3214" s="156" t="n"/>
      <c r="CD3214" s="156" t="n"/>
      <c r="CE3214" s="156" t="n"/>
      <c r="CF3214" s="156" t="n"/>
      <c r="CG3214" s="157"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8" t="inlineStr">
        <is>
          <t>校内外の諸活動</t>
        </is>
      </c>
      <c r="BQ3215" s="149" t="n"/>
      <c r="BR3215" s="149" t="n"/>
      <c r="BS3215" s="149" t="n"/>
      <c r="BT3215" s="149" t="n"/>
      <c r="BU3215" s="149" t="n"/>
      <c r="BV3215" s="150" t="n"/>
      <c r="BW3215" s="179">
        <f>計算!$BO$38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0">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5" t="n"/>
      <c r="F3218" s="156" t="n"/>
      <c r="G3218" s="156" t="n"/>
      <c r="H3218" s="156" t="n"/>
      <c r="I3218" s="156" t="n"/>
      <c r="J3218" s="156" t="n"/>
      <c r="K3218" s="157" t="n"/>
      <c r="L3218" s="155" t="n"/>
      <c r="M3218" s="156" t="n"/>
      <c r="N3218" s="156" t="n"/>
      <c r="O3218" s="156" t="n"/>
      <c r="P3218" s="156" t="n"/>
      <c r="Q3218" s="156" t="n"/>
      <c r="R3218" s="156" t="n"/>
      <c r="S3218" s="156" t="n"/>
      <c r="T3218" s="156" t="n"/>
      <c r="U3218" s="156" t="n"/>
      <c r="V3218" s="156" t="n"/>
      <c r="W3218" s="156" t="n"/>
      <c r="X3218" s="156" t="n"/>
      <c r="Y3218" s="156" t="n"/>
      <c r="Z3218" s="156" t="n"/>
      <c r="AA3218" s="156" t="n"/>
      <c r="AB3218" s="156" t="n"/>
      <c r="AC3218" s="156" t="n"/>
      <c r="AD3218" s="156" t="n"/>
      <c r="AE3218" s="156" t="n"/>
      <c r="AF3218" s="156" t="n"/>
      <c r="AG3218" s="156" t="n"/>
      <c r="AH3218" s="156" t="n"/>
      <c r="AI3218" s="156" t="n"/>
      <c r="AJ3218" s="156" t="n"/>
      <c r="AK3218" s="156" t="n"/>
      <c r="AL3218" s="156" t="n"/>
      <c r="AM3218" s="156" t="n"/>
      <c r="AN3218" s="156" t="n"/>
      <c r="AO3218" s="156" t="n"/>
      <c r="AP3218" s="156" t="n"/>
      <c r="AQ3218" s="156" t="n"/>
      <c r="AR3218" s="156" t="n"/>
      <c r="AS3218" s="156" t="n"/>
      <c r="AT3218" s="156" t="n"/>
      <c r="AU3218" s="156" t="n"/>
      <c r="AV3218" s="156" t="n"/>
      <c r="AW3218" s="156" t="n"/>
      <c r="AX3218" s="156" t="n"/>
      <c r="AY3218" s="156" t="n"/>
      <c r="AZ3218" s="156" t="n"/>
      <c r="BA3218" s="156" t="n"/>
      <c r="BB3218" s="156" t="n"/>
      <c r="BC3218" s="156" t="n"/>
      <c r="BD3218" s="156" t="n"/>
      <c r="BE3218" s="156" t="n"/>
      <c r="BF3218" s="156" t="n"/>
      <c r="BG3218" s="156" t="n"/>
      <c r="BH3218" s="156" t="n"/>
      <c r="BI3218" s="157"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69" t="inlineStr">
        <is>
          <t>ふ り が な</t>
        </is>
      </c>
      <c r="F3219" s="149" t="n"/>
      <c r="G3219" s="149" t="n"/>
      <c r="H3219" s="149" t="n"/>
      <c r="I3219" s="149" t="n"/>
      <c r="J3219" s="149" t="n"/>
      <c r="K3219" s="150" t="n"/>
      <c r="L3219" s="170">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1" t="n"/>
      <c r="F3221" s="172" t="n"/>
      <c r="G3221" s="172" t="n"/>
      <c r="H3221" s="172" t="n"/>
      <c r="I3221" s="172" t="n"/>
      <c r="J3221" s="172" t="n"/>
      <c r="K3221" s="173" t="n"/>
      <c r="L3221" s="172" t="n"/>
      <c r="M3221" s="172" t="n"/>
      <c r="N3221" s="172" t="n"/>
      <c r="O3221" s="172" t="n"/>
      <c r="P3221" s="172" t="n"/>
      <c r="Q3221" s="172" t="n"/>
      <c r="R3221" s="172" t="n"/>
      <c r="S3221" s="172" t="n"/>
      <c r="T3221" s="172" t="n"/>
      <c r="U3221" s="172" t="n"/>
      <c r="V3221" s="172" t="n"/>
      <c r="W3221" s="172" t="n"/>
      <c r="X3221" s="172" t="n"/>
      <c r="Y3221" s="172" t="n"/>
      <c r="Z3221" s="172" t="n"/>
      <c r="AA3221" s="172" t="n"/>
      <c r="AB3221" s="172" t="n"/>
      <c r="AC3221" s="172" t="n"/>
      <c r="AD3221" s="172" t="n"/>
      <c r="AE3221" s="172" t="n"/>
      <c r="AF3221" s="172" t="n"/>
      <c r="AG3221" s="172" t="n"/>
      <c r="AH3221" s="172" t="n"/>
      <c r="AI3221" s="172" t="n"/>
      <c r="AJ3221" s="172" t="n"/>
      <c r="AK3221" s="172" t="n"/>
      <c r="AL3221" s="172" t="n"/>
      <c r="AM3221" s="172" t="n"/>
      <c r="AN3221" s="172" t="n"/>
      <c r="AO3221" s="172" t="n"/>
      <c r="AP3221" s="172" t="n"/>
      <c r="AQ3221" s="172" t="n"/>
      <c r="AR3221" s="172" t="n"/>
      <c r="AS3221" s="172" t="n"/>
      <c r="AT3221" s="172" t="n"/>
      <c r="AU3221" s="172" t="n"/>
      <c r="AV3221" s="172" t="n"/>
      <c r="AW3221" s="172" t="n"/>
      <c r="AX3221" s="172" t="n"/>
      <c r="AY3221" s="172" t="n"/>
      <c r="AZ3221" s="172" t="n"/>
      <c r="BA3221" s="172" t="n"/>
      <c r="BB3221" s="172" t="n"/>
      <c r="BC3221" s="172" t="n"/>
      <c r="BD3221" s="172" t="n"/>
      <c r="BE3221" s="172" t="n"/>
      <c r="BF3221" s="172" t="n"/>
      <c r="BG3221" s="172" t="n"/>
      <c r="BH3221" s="172" t="n"/>
      <c r="BI3221" s="173"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4" t="inlineStr">
        <is>
          <t>連絡先</t>
        </is>
      </c>
      <c r="F3222" s="175" t="n"/>
      <c r="G3222" s="175" t="n"/>
      <c r="H3222" s="175" t="n"/>
      <c r="I3222" s="175" t="n"/>
      <c r="J3222" s="175" t="n"/>
      <c r="K3222" s="176" t="n"/>
      <c r="L3222" s="83" t="inlineStr">
        <is>
          <t>〒</t>
        </is>
      </c>
      <c r="M3222" s="175" t="n"/>
      <c r="N3222" s="175" t="n"/>
      <c r="O3222" s="175" t="n"/>
      <c r="P3222" s="181">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2">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5" t="n"/>
      <c r="F3226" s="156" t="n"/>
      <c r="G3226" s="156" t="n"/>
      <c r="H3226" s="156" t="n"/>
      <c r="I3226" s="156" t="n"/>
      <c r="J3226" s="156" t="n"/>
      <c r="K3226" s="157" t="n"/>
      <c r="L3226" s="156" t="n"/>
      <c r="M3226" s="156" t="n"/>
      <c r="N3226" s="156" t="n"/>
      <c r="O3226" s="156" t="n"/>
      <c r="P3226" s="156" t="n"/>
      <c r="Q3226" s="156" t="n"/>
      <c r="R3226" s="156" t="n"/>
      <c r="S3226" s="156" t="n"/>
      <c r="T3226" s="156" t="n"/>
      <c r="U3226" s="156" t="n"/>
      <c r="V3226" s="156" t="n"/>
      <c r="W3226" s="156" t="n"/>
      <c r="X3226" s="156" t="n"/>
      <c r="Y3226" s="156" t="n"/>
      <c r="Z3226" s="156" t="n"/>
      <c r="AA3226" s="156" t="n"/>
      <c r="AB3226" s="156" t="n"/>
      <c r="AC3226" s="156" t="n"/>
      <c r="AD3226" s="156" t="n"/>
      <c r="AE3226" s="156" t="n"/>
      <c r="AF3226" s="156" t="n"/>
      <c r="AG3226" s="156" t="n"/>
      <c r="AH3226" s="156" t="n"/>
      <c r="AI3226" s="156" t="n"/>
      <c r="AJ3226" s="156" t="n"/>
      <c r="AK3226" s="156" t="n"/>
      <c r="AL3226" s="156" t="n"/>
      <c r="AM3226" s="156" t="n"/>
      <c r="AN3226" s="156" t="n"/>
      <c r="AO3226" s="156" t="n"/>
      <c r="AP3226" s="156" t="n"/>
      <c r="AQ3226" s="156" t="n"/>
      <c r="AR3226" s="156" t="n"/>
      <c r="AS3226" s="156" t="n"/>
      <c r="AT3226" s="156" t="n"/>
      <c r="AU3226" s="156" t="n"/>
      <c r="AV3226" s="156" t="n"/>
      <c r="AW3226" s="156" t="n"/>
      <c r="AX3226" s="156" t="n"/>
      <c r="AY3226" s="156" t="n"/>
      <c r="AZ3226" s="156" t="n"/>
      <c r="BA3226" s="156" t="n"/>
      <c r="BB3226" s="156" t="n"/>
      <c r="BC3226" s="156" t="n"/>
      <c r="BD3226" s="156" t="n"/>
      <c r="BE3226" s="156" t="n"/>
      <c r="BF3226" s="156" t="n"/>
      <c r="BG3226" s="156" t="n"/>
      <c r="BH3226" s="156" t="n"/>
      <c r="BI3226" s="157"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86"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3" t="n"/>
      <c r="BQ3232" s="149" t="n"/>
      <c r="BR3232" s="184" t="n"/>
      <c r="BS3232" s="149" t="n"/>
      <c r="BT3232" s="149" t="n"/>
      <c r="BU3232" s="28" t="n"/>
      <c r="BV3232" s="29" t="n"/>
      <c r="BW3232" s="185">
        <f>計算!$BP$38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115"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6"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107"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7">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188">
        <f>IF(入力!$D$40="","",設定!$B$6)&amp;""</f>
        <v/>
      </c>
      <c r="S3240" s="11" t="n"/>
      <c r="T3240" s="11" t="n"/>
      <c r="U3240" s="188">
        <f>IF(入力!$D$40="","",設定!$B$7)&amp;""</f>
        <v/>
      </c>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110" t="inlineStr">
        <is>
          <t>令和</t>
        </is>
      </c>
      <c r="S3241" s="61" t="inlineStr">
        <is>
          <t>年</t>
        </is>
      </c>
      <c r="W3241" s="62"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90"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5" t="n"/>
      <c r="F3245" s="156" t="n"/>
      <c r="G3245" s="156" t="n"/>
      <c r="H3245" s="156" t="n"/>
      <c r="I3245" s="156" t="n"/>
      <c r="J3245" s="156" t="n"/>
      <c r="K3245" s="157"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6" t="n"/>
      <c r="AX3245" s="156" t="n"/>
      <c r="AY3245" s="156" t="n"/>
      <c r="AZ3245" s="156" t="n"/>
      <c r="BA3245" s="156" t="n"/>
      <c r="BB3245" s="156" t="n"/>
      <c r="BC3245" s="156" t="n"/>
      <c r="BD3245" s="156" t="n"/>
      <c r="BE3245" s="156" t="n"/>
      <c r="BF3245" s="156" t="n"/>
      <c r="BG3245" s="156" t="n"/>
      <c r="BH3245" s="156" t="n"/>
      <c r="BI3245" s="157"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58" t="n"/>
      <c r="T3246" s="149" t="n"/>
      <c r="U3246" s="17" t="n"/>
      <c r="V3246" s="17" t="n"/>
      <c r="W3246" s="58"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89" t="inlineStr">
        <is>
          <t>職　歴</t>
        </is>
      </c>
      <c r="K3249" s="153" t="n"/>
      <c r="L3249" s="69" t="inlineStr">
        <is>
          <t>平成</t>
        </is>
      </c>
      <c r="M3249" s="149" t="n"/>
      <c r="N3249" s="149" t="n"/>
      <c r="O3249" s="149" t="n"/>
      <c r="P3249" s="19" t="n"/>
      <c r="Q3249" s="19" t="n"/>
      <c r="R3249" s="19" t="n"/>
      <c r="S3249" s="19" t="n"/>
      <c r="T3249" s="19" t="n"/>
      <c r="U3249" s="19" t="n"/>
      <c r="V3249" s="19" t="n"/>
      <c r="W3249" s="19" t="n"/>
      <c r="X3249" s="37" t="n"/>
      <c r="Y3249" s="180">
        <f>計算!$BT$38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8">
        <f>計算!$BR$38</f>
        <v/>
      </c>
      <c r="S3251" s="61" t="inlineStr">
        <is>
          <t>年</t>
        </is>
      </c>
      <c r="U3251" s="190">
        <f>計算!$BS$38</f>
        <v/>
      </c>
      <c r="W3251" s="62"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74"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5" t="n"/>
      <c r="M3254" s="156" t="n"/>
      <c r="N3254" s="156" t="n"/>
      <c r="O3254" s="156" t="n"/>
      <c r="P3254" s="20" t="n"/>
      <c r="Q3254" s="20" t="n"/>
      <c r="R3254" s="20" t="n"/>
      <c r="S3254" s="20" t="n"/>
      <c r="T3254" s="20" t="n"/>
      <c r="U3254" s="20" t="n"/>
      <c r="V3254" s="20" t="n"/>
      <c r="W3254" s="20" t="n"/>
      <c r="X3254" s="39" t="n"/>
      <c r="Y3254" s="155" t="n"/>
      <c r="Z3254" s="156" t="n"/>
      <c r="AA3254" s="156" t="n"/>
      <c r="AB3254" s="156" t="n"/>
      <c r="AC3254" s="156" t="n"/>
      <c r="AD3254" s="156" t="n"/>
      <c r="AE3254" s="156" t="n"/>
      <c r="AF3254" s="156" t="n"/>
      <c r="AG3254" s="156" t="n"/>
      <c r="AH3254" s="156" t="n"/>
      <c r="AI3254" s="156" t="n"/>
      <c r="AJ3254" s="156" t="n"/>
      <c r="AK3254" s="156" t="n"/>
      <c r="AL3254" s="156" t="n"/>
      <c r="AM3254" s="156" t="n"/>
      <c r="AN3254" s="156" t="n"/>
      <c r="AO3254" s="156" t="n"/>
      <c r="AP3254" s="156" t="n"/>
      <c r="AQ3254" s="156" t="n"/>
      <c r="AR3254" s="156" t="n"/>
      <c r="AS3254" s="156" t="n"/>
      <c r="AT3254" s="156" t="n"/>
      <c r="AU3254" s="156" t="n"/>
      <c r="AV3254" s="156" t="n"/>
      <c r="AW3254" s="156" t="n"/>
      <c r="AX3254" s="156" t="n"/>
      <c r="AY3254" s="156" t="n"/>
      <c r="AZ3254" s="156" t="n"/>
      <c r="BA3254" s="156" t="n"/>
      <c r="BB3254" s="156" t="n"/>
      <c r="BC3254" s="156" t="n"/>
      <c r="BD3254" s="156" t="n"/>
      <c r="BE3254" s="156" t="n"/>
      <c r="BF3254" s="156" t="n"/>
      <c r="BG3254" s="156" t="n"/>
      <c r="BH3254" s="156" t="n"/>
      <c r="BI3254" s="157"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69" t="inlineStr">
        <is>
          <t>平成</t>
        </is>
      </c>
      <c r="M3255" s="149" t="n"/>
      <c r="N3255" s="149" t="n"/>
      <c r="O3255" s="149" t="n"/>
      <c r="P3255" s="18" t="n"/>
      <c r="Q3255" s="18" t="n"/>
      <c r="R3255" s="18" t="n"/>
      <c r="S3255" s="18" t="n"/>
      <c r="T3255" s="18" t="n"/>
      <c r="U3255" s="18" t="n"/>
      <c r="V3255" s="18" t="n"/>
      <c r="W3255" s="18" t="n"/>
      <c r="X3255" s="35" t="n"/>
      <c r="Y3255" s="180">
        <f>計算!$BW$38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8">
        <f>計算!$BU$38</f>
        <v/>
      </c>
      <c r="S3257" s="61" t="inlineStr">
        <is>
          <t>年</t>
        </is>
      </c>
      <c r="U3257" s="190">
        <f>計算!$BV$38</f>
        <v/>
      </c>
      <c r="W3257" s="62"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74"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5" t="n"/>
      <c r="M3260" s="156" t="n"/>
      <c r="N3260" s="156" t="n"/>
      <c r="O3260" s="156" t="n"/>
      <c r="P3260" s="20" t="n"/>
      <c r="Q3260" s="20" t="n"/>
      <c r="R3260" s="20" t="n"/>
      <c r="S3260" s="20" t="n"/>
      <c r="T3260" s="20" t="n"/>
      <c r="U3260" s="20" t="n"/>
      <c r="V3260" s="20" t="n"/>
      <c r="W3260" s="20" t="n"/>
      <c r="X3260" s="39" t="n"/>
      <c r="Y3260" s="155" t="n"/>
      <c r="Z3260" s="156" t="n"/>
      <c r="AA3260" s="156" t="n"/>
      <c r="AB3260" s="156" t="n"/>
      <c r="AC3260" s="156" t="n"/>
      <c r="AD3260" s="156" t="n"/>
      <c r="AE3260" s="156" t="n"/>
      <c r="AF3260" s="156" t="n"/>
      <c r="AG3260" s="156" t="n"/>
      <c r="AH3260" s="156" t="n"/>
      <c r="AI3260" s="156" t="n"/>
      <c r="AJ3260" s="156" t="n"/>
      <c r="AK3260" s="156" t="n"/>
      <c r="AL3260" s="156" t="n"/>
      <c r="AM3260" s="156" t="n"/>
      <c r="AN3260" s="156" t="n"/>
      <c r="AO3260" s="156" t="n"/>
      <c r="AP3260" s="156" t="n"/>
      <c r="AQ3260" s="156" t="n"/>
      <c r="AR3260" s="156" t="n"/>
      <c r="AS3260" s="156" t="n"/>
      <c r="AT3260" s="156" t="n"/>
      <c r="AU3260" s="156" t="n"/>
      <c r="AV3260" s="156" t="n"/>
      <c r="AW3260" s="156" t="n"/>
      <c r="AX3260" s="156" t="n"/>
      <c r="AY3260" s="156" t="n"/>
      <c r="AZ3260" s="156" t="n"/>
      <c r="BA3260" s="156" t="n"/>
      <c r="BB3260" s="156" t="n"/>
      <c r="BC3260" s="156" t="n"/>
      <c r="BD3260" s="156" t="n"/>
      <c r="BE3260" s="156" t="n"/>
      <c r="BF3260" s="156" t="n"/>
      <c r="BG3260" s="156" t="n"/>
      <c r="BH3260" s="156" t="n"/>
      <c r="BI3260" s="157" t="n"/>
      <c r="BJ3260" s="2" t="n"/>
      <c r="BK3260" s="2" t="n"/>
      <c r="BL3260" s="2" t="n"/>
      <c r="BM3260" s="2" t="n"/>
      <c r="BN3260" s="2" t="n"/>
      <c r="BO3260" s="2" t="n"/>
      <c r="BP3260" s="155" t="n"/>
      <c r="BQ3260" s="156" t="n"/>
      <c r="BR3260" s="156" t="n"/>
      <c r="BS3260" s="156" t="n"/>
      <c r="BT3260" s="156" t="n"/>
      <c r="BU3260" s="42" t="n"/>
      <c r="BV3260" s="45" t="n"/>
      <c r="BW3260" s="156" t="n"/>
      <c r="BX3260" s="156" t="n"/>
      <c r="BY3260" s="156" t="n"/>
      <c r="BZ3260" s="156" t="n"/>
      <c r="CA3260" s="156" t="n"/>
      <c r="CB3260" s="156" t="n"/>
      <c r="CC3260" s="156" t="n"/>
      <c r="CD3260" s="156" t="n"/>
      <c r="CE3260" s="156" t="n"/>
      <c r="CF3260" s="156" t="n"/>
      <c r="CG3260" s="156" t="n"/>
      <c r="CH3260" s="156" t="n"/>
      <c r="CI3260" s="156" t="n"/>
      <c r="CJ3260" s="156" t="n"/>
      <c r="CK3260" s="156" t="n"/>
      <c r="CL3260" s="156" t="n"/>
      <c r="CM3260" s="156" t="n"/>
      <c r="CN3260" s="156" t="n"/>
      <c r="CO3260" s="156" t="n"/>
      <c r="CP3260" s="156" t="n"/>
      <c r="CQ3260" s="156" t="n"/>
      <c r="CR3260" s="156" t="n"/>
      <c r="CS3260" s="156" t="n"/>
      <c r="CT3260" s="156" t="n"/>
      <c r="CU3260" s="156" t="n"/>
      <c r="CV3260" s="156" t="n"/>
      <c r="CW3260" s="156" t="n"/>
      <c r="CX3260" s="156" t="n"/>
      <c r="CY3260" s="156" t="n"/>
      <c r="CZ3260" s="156" t="n"/>
      <c r="DA3260" s="156" t="n"/>
      <c r="DB3260" s="156" t="n"/>
      <c r="DC3260" s="156" t="n"/>
      <c r="DD3260" s="156" t="n"/>
      <c r="DE3260" s="156" t="n"/>
      <c r="DF3260" s="156" t="n"/>
      <c r="DG3260" s="156" t="n"/>
      <c r="DH3260" s="156" t="n"/>
      <c r="DI3260" s="156" t="n"/>
      <c r="DJ3260" s="156" t="n"/>
      <c r="DK3260" s="156" t="n"/>
      <c r="DL3260" s="156" t="n"/>
      <c r="DM3260" s="156" t="n"/>
      <c r="DN3260" s="156" t="n"/>
      <c r="DO3260" s="156" t="n"/>
      <c r="DP3260" s="156" t="n"/>
      <c r="DQ3260" s="156" t="n"/>
      <c r="DR3260" s="156" t="n"/>
      <c r="DS3260" s="156" t="n"/>
      <c r="DT3260" s="156" t="n"/>
      <c r="DU3260" s="157" t="n"/>
      <c r="DV3260" s="2" t="n"/>
      <c r="DW3260" s="2" t="n"/>
      <c r="DX3260" s="2" t="n"/>
      <c r="DY3260" s="2" t="n"/>
      <c r="DZ3260" s="2" t="n"/>
      <c r="EA3260" s="2" t="n"/>
      <c r="EB3260" s="2" t="n"/>
      <c r="EC3260" s="2" t="n"/>
    </row>
    <row r="3261" ht="6.75" customHeight="1" s="118">
      <c r="A3261" s="2" t="n"/>
      <c r="B3261" s="2" t="n"/>
      <c r="C3261" s="2" t="n"/>
      <c r="D3261" s="2" t="n"/>
      <c r="E3261" s="152" t="n"/>
      <c r="K3261" s="153" t="n"/>
      <c r="L3261" s="69"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5">
        <f>計算!$BQ$38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61" t="inlineStr">
        <is>
          <t>年</t>
        </is>
      </c>
      <c r="U3263" s="11" t="n"/>
      <c r="V3263" s="11" t="n"/>
      <c r="W3263" s="62"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74"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5" t="n"/>
      <c r="M3266" s="156" t="n"/>
      <c r="N3266" s="156" t="n"/>
      <c r="O3266" s="156"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69"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61" t="inlineStr">
        <is>
          <t>年</t>
        </is>
      </c>
      <c r="U3269" s="11" t="n"/>
      <c r="V3269" s="11" t="n"/>
      <c r="W3269" s="62"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74"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61" t="n"/>
      <c r="T3271" s="61" t="n"/>
      <c r="U3271" s="11" t="n"/>
      <c r="V3271" s="11" t="n"/>
      <c r="W3271" s="61" t="n"/>
      <c r="X3271" s="62"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5" t="n"/>
      <c r="F3272" s="156" t="n"/>
      <c r="G3272" s="156" t="n"/>
      <c r="H3272" s="156" t="n"/>
      <c r="I3272" s="156" t="n"/>
      <c r="J3272" s="156" t="n"/>
      <c r="K3272" s="157" t="n"/>
      <c r="L3272" s="155" t="n"/>
      <c r="M3272" s="156" t="n"/>
      <c r="N3272" s="156" t="n"/>
      <c r="O3272" s="156"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5" t="n"/>
      <c r="BQ3272" s="156" t="n"/>
      <c r="BR3272" s="156" t="n"/>
      <c r="BS3272" s="156" t="n"/>
      <c r="BT3272" s="156" t="n"/>
      <c r="BU3272" s="156" t="n"/>
      <c r="BV3272" s="157" t="n"/>
      <c r="BW3272" s="156" t="n"/>
      <c r="BX3272" s="156" t="n"/>
      <c r="BY3272" s="156" t="n"/>
      <c r="BZ3272" s="156" t="n"/>
      <c r="CA3272" s="156" t="n"/>
      <c r="CB3272" s="156" t="n"/>
      <c r="CC3272" s="156" t="n"/>
      <c r="CD3272" s="156" t="n"/>
      <c r="CE3272" s="156" t="n"/>
      <c r="CF3272" s="156" t="n"/>
      <c r="CG3272" s="156" t="n"/>
      <c r="CH3272" s="156" t="n"/>
      <c r="CI3272" s="156" t="n"/>
      <c r="CJ3272" s="156" t="n"/>
      <c r="CK3272" s="156" t="n"/>
      <c r="CL3272" s="156" t="n"/>
      <c r="CM3272" s="156" t="n"/>
      <c r="CN3272" s="156" t="n"/>
      <c r="CO3272" s="156" t="n"/>
      <c r="CP3272" s="156" t="n"/>
      <c r="CQ3272" s="156" t="n"/>
      <c r="CR3272" s="156" t="n"/>
      <c r="CS3272" s="156" t="n"/>
      <c r="CT3272" s="156" t="n"/>
      <c r="CU3272" s="156" t="n"/>
      <c r="CV3272" s="156" t="n"/>
      <c r="CW3272" s="156" t="n"/>
      <c r="CX3272" s="156" t="n"/>
      <c r="CY3272" s="156" t="n"/>
      <c r="CZ3272" s="156" t="n"/>
      <c r="DA3272" s="156" t="n"/>
      <c r="DB3272" s="156" t="n"/>
      <c r="DC3272" s="156" t="n"/>
      <c r="DD3272" s="156" t="n"/>
      <c r="DE3272" s="156" t="n"/>
      <c r="DF3272" s="156" t="n"/>
      <c r="DG3272" s="156" t="n"/>
      <c r="DH3272" s="156" t="n"/>
      <c r="DI3272" s="156" t="n"/>
      <c r="DJ3272" s="156" t="n"/>
      <c r="DK3272" s="156" t="n"/>
      <c r="DL3272" s="156" t="n"/>
      <c r="DM3272" s="156" t="n"/>
      <c r="DN3272" s="156" t="n"/>
      <c r="DO3272" s="156" t="n"/>
      <c r="DP3272" s="156" t="n"/>
      <c r="DQ3272" s="156" t="n"/>
      <c r="DR3272" s="156" t="n"/>
      <c r="DS3272" s="156" t="n"/>
      <c r="DT3272" s="156" t="n"/>
      <c r="DU3272" s="157"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87" t="inlineStr">
        <is>
          <t xml:space="preserve">    (近畿高等学校統一用紙　  その２ 　  令和７年度改定)　</t>
        </is>
      </c>
      <c r="DV3274" s="2" t="n"/>
      <c r="DW3274" s="2" t="n"/>
      <c r="DX3274" s="2" t="n"/>
      <c r="DY3274" s="2" t="n"/>
      <c r="DZ3274" s="2" t="n"/>
      <c r="EA3274" s="2" t="n"/>
      <c r="EB3274" s="2" t="n"/>
      <c r="EC3274" s="2" t="n"/>
    </row>
    <row r="3275" hidden="1"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idden="1"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47"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64" t="inlineStr">
        <is>
          <t>令和</t>
        </is>
      </c>
      <c r="AD3284" s="154">
        <f>IF(入力!$D$41="","",IF(N(設定!$B$3)=0,"",YEAR(設定!$B$3)-2018))&amp;""</f>
        <v/>
      </c>
      <c r="AG3284" s="64" t="inlineStr">
        <is>
          <t>年</t>
        </is>
      </c>
      <c r="AI3284" s="154">
        <f>IF(入力!$D$41="","",IF(N(設定!$B$3)=0,"",MONTH(設定!$B$3)))&amp;""</f>
        <v/>
      </c>
      <c r="AL3284" s="64" t="inlineStr">
        <is>
          <t>月</t>
        </is>
      </c>
      <c r="AN3284" s="154">
        <f>IF(入力!$D$41="","",IF(N(設定!$B$3)=0,"",DAY(設定!$B$3)))&amp;""</f>
        <v/>
      </c>
      <c r="AP3284" s="64"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5" t="n"/>
      <c r="BX3284" s="156" t="n"/>
      <c r="BY3284" s="156" t="n"/>
      <c r="BZ3284" s="156" t="n"/>
      <c r="CA3284" s="156" t="n"/>
      <c r="CB3284" s="156" t="n"/>
      <c r="CC3284" s="156" t="n"/>
      <c r="CD3284" s="156" t="n"/>
      <c r="CE3284" s="156" t="n"/>
      <c r="CF3284" s="156" t="n"/>
      <c r="CG3284" s="157" t="n"/>
      <c r="CH3284" s="155" t="n"/>
      <c r="CI3284" s="156" t="n"/>
      <c r="CJ3284" s="156" t="n"/>
      <c r="CK3284" s="156" t="n"/>
      <c r="CL3284" s="156" t="n"/>
      <c r="CM3284" s="156" t="n"/>
      <c r="CN3284" s="156" t="n"/>
      <c r="CO3284" s="156" t="n"/>
      <c r="CP3284" s="156" t="n"/>
      <c r="CQ3284" s="156" t="n"/>
      <c r="CR3284" s="156" t="n"/>
      <c r="CS3284" s="156" t="n"/>
      <c r="CT3284" s="156" t="n"/>
      <c r="CU3284" s="156" t="n"/>
      <c r="CV3284" s="156" t="n"/>
      <c r="CW3284" s="156" t="n"/>
      <c r="CX3284" s="156" t="n"/>
      <c r="CY3284" s="156" t="n"/>
      <c r="CZ3284" s="156" t="n"/>
      <c r="DA3284" s="156" t="n"/>
      <c r="DB3284" s="156" t="n"/>
      <c r="DC3284" s="156" t="n"/>
      <c r="DD3284" s="156" t="n"/>
      <c r="DE3284" s="156" t="n"/>
      <c r="DF3284" s="156" t="n"/>
      <c r="DG3284" s="156" t="n"/>
      <c r="DH3284" s="156" t="n"/>
      <c r="DI3284" s="156" t="n"/>
      <c r="DJ3284" s="156" t="n"/>
      <c r="DK3284" s="156" t="n"/>
      <c r="DL3284" s="156" t="n"/>
      <c r="DM3284" s="156" t="n"/>
      <c r="DN3284" s="156" t="n"/>
      <c r="DO3284" s="156" t="n"/>
      <c r="DP3284" s="156" t="n"/>
      <c r="DQ3284" s="156" t="n"/>
      <c r="DR3284" s="156" t="n"/>
      <c r="DS3284" s="156" t="n"/>
      <c r="DT3284" s="156" t="n"/>
      <c r="DU3284" s="157"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68" t="inlineStr">
        <is>
          <t>写真をはる位置</t>
        </is>
      </c>
      <c r="BI3285" s="8" t="n"/>
      <c r="BJ3285" s="7" t="n"/>
      <c r="BK3285" s="2" t="n"/>
      <c r="BL3285" s="2" t="n"/>
      <c r="BM3285" s="2" t="n"/>
      <c r="BN3285" s="2" t="n"/>
      <c r="BO3285" s="2" t="n"/>
      <c r="BP3285" s="152" t="n"/>
      <c r="BV3285" s="153" t="n"/>
      <c r="BW3285" s="158">
        <f>計算!$CB$39</f>
        <v/>
      </c>
      <c r="CG3285" s="153" t="n"/>
      <c r="CH3285" s="159">
        <f>計算!$CC$39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6" t="n"/>
      <c r="AA3286" s="156" t="n"/>
      <c r="AB3286" s="156" t="n"/>
      <c r="AC3286" s="156" t="n"/>
      <c r="AD3286" s="156" t="n"/>
      <c r="AE3286" s="156" t="n"/>
      <c r="AF3286" s="156" t="n"/>
      <c r="AG3286" s="156" t="n"/>
      <c r="AH3286" s="156" t="n"/>
      <c r="AI3286" s="156" t="n"/>
      <c r="AJ3286" s="156" t="n"/>
      <c r="AK3286" s="156" t="n"/>
      <c r="AL3286" s="156" t="n"/>
      <c r="AM3286" s="156" t="n"/>
      <c r="AN3286" s="156" t="n"/>
      <c r="AO3286" s="156" t="n"/>
      <c r="AP3286" s="156" t="n"/>
      <c r="AQ3286" s="156" t="n"/>
      <c r="AR3286" s="156" t="n"/>
      <c r="AS3286" s="156" t="n"/>
      <c r="AT3286" s="156"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0">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5" t="n"/>
      <c r="F3290" s="156" t="n"/>
      <c r="G3290" s="156" t="n"/>
      <c r="H3290" s="156" t="n"/>
      <c r="I3290" s="156" t="n"/>
      <c r="J3290" s="156" t="n"/>
      <c r="K3290" s="157" t="n"/>
      <c r="L3290" s="156" t="n"/>
      <c r="M3290" s="156" t="n"/>
      <c r="N3290" s="156" t="n"/>
      <c r="O3290" s="156" t="n"/>
      <c r="P3290" s="156" t="n"/>
      <c r="Q3290" s="156" t="n"/>
      <c r="R3290" s="156" t="n"/>
      <c r="S3290" s="156" t="n"/>
      <c r="T3290" s="156" t="n"/>
      <c r="U3290" s="156" t="n"/>
      <c r="V3290" s="156" t="n"/>
      <c r="W3290" s="156" t="n"/>
      <c r="X3290" s="156" t="n"/>
      <c r="Y3290" s="156" t="n"/>
      <c r="Z3290" s="156" t="n"/>
      <c r="AA3290" s="156" t="n"/>
      <c r="AB3290" s="156" t="n"/>
      <c r="AC3290" s="156" t="n"/>
      <c r="AD3290" s="156" t="n"/>
      <c r="AE3290" s="156" t="n"/>
      <c r="AF3290" s="156" t="n"/>
      <c r="AG3290" s="156" t="n"/>
      <c r="AH3290" s="156" t="n"/>
      <c r="AI3290" s="156" t="n"/>
      <c r="AJ3290" s="156" t="n"/>
      <c r="AK3290" s="156" t="n"/>
      <c r="AL3290" s="156" t="n"/>
      <c r="AM3290" s="156" t="n"/>
      <c r="AN3290" s="156" t="n"/>
      <c r="AO3290" s="156" t="n"/>
      <c r="AP3290" s="156" t="n"/>
      <c r="AQ3290" s="156" t="n"/>
      <c r="AR3290" s="156" t="n"/>
      <c r="AS3290" s="156" t="n"/>
      <c r="AT3290" s="157"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1" t="inlineStr">
        <is>
          <t>名　前</t>
        </is>
      </c>
      <c r="F3291" s="149" t="n"/>
      <c r="G3291" s="149" t="n"/>
      <c r="H3291" s="149" t="n"/>
      <c r="I3291" s="149" t="n"/>
      <c r="J3291" s="149" t="n"/>
      <c r="K3291" s="150" t="n"/>
      <c r="L3291" s="162">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61"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5" t="n"/>
      <c r="F3296" s="156" t="n"/>
      <c r="G3296" s="156" t="n"/>
      <c r="H3296" s="156" t="n"/>
      <c r="I3296" s="156" t="n"/>
      <c r="J3296" s="156" t="n"/>
      <c r="K3296" s="157" t="n"/>
      <c r="L3296" s="155" t="n"/>
      <c r="M3296" s="156" t="n"/>
      <c r="N3296" s="156" t="n"/>
      <c r="O3296" s="156" t="n"/>
      <c r="P3296" s="156" t="n"/>
      <c r="Q3296" s="156" t="n"/>
      <c r="R3296" s="156" t="n"/>
      <c r="S3296" s="156" t="n"/>
      <c r="T3296" s="156" t="n"/>
      <c r="U3296" s="156" t="n"/>
      <c r="V3296" s="156" t="n"/>
      <c r="W3296" s="156" t="n"/>
      <c r="X3296" s="156" t="n"/>
      <c r="Y3296" s="156" t="n"/>
      <c r="Z3296" s="156" t="n"/>
      <c r="AA3296" s="156" t="n"/>
      <c r="AB3296" s="156" t="n"/>
      <c r="AC3296" s="156" t="n"/>
      <c r="AD3296" s="156" t="n"/>
      <c r="AE3296" s="156" t="n"/>
      <c r="AF3296" s="156" t="n"/>
      <c r="AG3296" s="156" t="n"/>
      <c r="AH3296" s="156" t="n"/>
      <c r="AI3296" s="156" t="n"/>
      <c r="AJ3296" s="156" t="n"/>
      <c r="AK3296" s="156" t="n"/>
      <c r="AL3296" s="156" t="n"/>
      <c r="AM3296" s="156" t="n"/>
      <c r="AN3296" s="156" t="n"/>
      <c r="AO3296" s="156" t="n"/>
      <c r="AP3296" s="156" t="n"/>
      <c r="AQ3296" s="156" t="n"/>
      <c r="AR3296" s="156" t="n"/>
      <c r="AS3296" s="156" t="n"/>
      <c r="AT3296" s="157"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1" t="inlineStr">
        <is>
          <t>生年月日</t>
        </is>
      </c>
      <c r="F3297" s="149" t="n"/>
      <c r="G3297" s="149" t="n"/>
      <c r="H3297" s="149" t="n"/>
      <c r="I3297" s="149" t="n"/>
      <c r="J3297" s="149" t="n"/>
      <c r="K3297" s="150" t="n"/>
      <c r="L3297" s="163" t="inlineStr">
        <is>
          <t>昭和 ・ 平成</t>
        </is>
      </c>
      <c r="M3297" s="149" t="n"/>
      <c r="N3297" s="149" t="n"/>
      <c r="O3297" s="149" t="n"/>
      <c r="P3297" s="149" t="n"/>
      <c r="Q3297" s="149" t="n"/>
      <c r="R3297" s="149" t="n"/>
      <c r="S3297" s="149" t="n"/>
      <c r="T3297" s="149" t="n"/>
      <c r="U3297" s="149" t="n"/>
      <c r="V3297" s="164">
        <f>計算!$D$39</f>
        <v/>
      </c>
      <c r="W3297" s="149" t="n"/>
      <c r="X3297" s="165" t="inlineStr">
        <is>
          <t>年</t>
        </is>
      </c>
      <c r="Y3297" s="149" t="n"/>
      <c r="Z3297" s="166">
        <f>計算!$E$39</f>
        <v/>
      </c>
      <c r="AA3297" s="149" t="n"/>
      <c r="AB3297" s="149" t="n"/>
      <c r="AC3297" s="165" t="inlineStr">
        <is>
          <t>月</t>
        </is>
      </c>
      <c r="AD3297" s="149" t="n"/>
      <c r="AE3297" s="166">
        <f>計算!$F$39</f>
        <v/>
      </c>
      <c r="AF3297" s="149" t="n"/>
      <c r="AG3297" s="149" t="n"/>
      <c r="AH3297" s="165" t="inlineStr">
        <is>
          <t>日　生 （満</t>
        </is>
      </c>
      <c r="AI3297" s="149" t="n"/>
      <c r="AJ3297" s="149" t="n"/>
      <c r="AK3297" s="149" t="n"/>
      <c r="AL3297" s="149" t="n"/>
      <c r="AM3297" s="149" t="n"/>
      <c r="AN3297" s="149" t="n"/>
      <c r="AO3297" s="149" t="n"/>
      <c r="AP3297" s="167">
        <f>計算!$G$39</f>
        <v/>
      </c>
      <c r="AQ3297" s="149" t="n"/>
      <c r="AR3297" s="168"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5" t="n"/>
      <c r="F3300" s="156" t="n"/>
      <c r="G3300" s="156" t="n"/>
      <c r="H3300" s="156" t="n"/>
      <c r="I3300" s="156" t="n"/>
      <c r="J3300" s="156" t="n"/>
      <c r="K3300" s="157" t="n"/>
      <c r="L3300" s="155" t="n"/>
      <c r="M3300" s="156" t="n"/>
      <c r="N3300" s="156" t="n"/>
      <c r="O3300" s="156" t="n"/>
      <c r="P3300" s="156" t="n"/>
      <c r="Q3300" s="156" t="n"/>
      <c r="R3300" s="156" t="n"/>
      <c r="S3300" s="156" t="n"/>
      <c r="T3300" s="156" t="n"/>
      <c r="U3300" s="156" t="n"/>
      <c r="X3300" s="156" t="n"/>
      <c r="Y3300" s="156" t="n"/>
      <c r="AC3300" s="156" t="n"/>
      <c r="AD3300" s="156" t="n"/>
      <c r="AH3300" s="156" t="n"/>
      <c r="AI3300" s="156" t="n"/>
      <c r="AJ3300" s="156" t="n"/>
      <c r="AK3300" s="156" t="n"/>
      <c r="AL3300" s="156" t="n"/>
      <c r="AM3300" s="156" t="n"/>
      <c r="AN3300" s="156" t="n"/>
      <c r="AO3300" s="156" t="n"/>
      <c r="AP3300" s="156" t="n"/>
      <c r="AQ3300" s="156" t="n"/>
      <c r="AR3300" s="156" t="n"/>
      <c r="AS3300" s="156" t="n"/>
      <c r="AT3300" s="157"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69" t="inlineStr">
        <is>
          <t>ふ り が な</t>
        </is>
      </c>
      <c r="F3301" s="149" t="n"/>
      <c r="G3301" s="149" t="n"/>
      <c r="H3301" s="149" t="n"/>
      <c r="I3301" s="149" t="n"/>
      <c r="J3301" s="149" t="n"/>
      <c r="K3301" s="150" t="n"/>
      <c r="L3301" s="170">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1" t="n"/>
      <c r="F3303" s="172" t="n"/>
      <c r="G3303" s="172" t="n"/>
      <c r="H3303" s="172" t="n"/>
      <c r="I3303" s="172" t="n"/>
      <c r="J3303" s="172" t="n"/>
      <c r="K3303" s="173" t="n"/>
      <c r="L3303" s="172" t="n"/>
      <c r="M3303" s="172" t="n"/>
      <c r="N3303" s="172" t="n"/>
      <c r="O3303" s="172" t="n"/>
      <c r="P3303" s="172" t="n"/>
      <c r="Q3303" s="172" t="n"/>
      <c r="R3303" s="172" t="n"/>
      <c r="S3303" s="172" t="n"/>
      <c r="T3303" s="172" t="n"/>
      <c r="U3303" s="172" t="n"/>
      <c r="V3303" s="172" t="n"/>
      <c r="W3303" s="172" t="n"/>
      <c r="X3303" s="172" t="n"/>
      <c r="Y3303" s="172" t="n"/>
      <c r="Z3303" s="172" t="n"/>
      <c r="AA3303" s="172" t="n"/>
      <c r="AB3303" s="172" t="n"/>
      <c r="AC3303" s="172" t="n"/>
      <c r="AD3303" s="172" t="n"/>
      <c r="AE3303" s="172" t="n"/>
      <c r="AF3303" s="172" t="n"/>
      <c r="AG3303" s="172" t="n"/>
      <c r="AH3303" s="172" t="n"/>
      <c r="AI3303" s="172" t="n"/>
      <c r="AJ3303" s="172" t="n"/>
      <c r="AK3303" s="172" t="n"/>
      <c r="AL3303" s="172" t="n"/>
      <c r="AM3303" s="172" t="n"/>
      <c r="AN3303" s="172" t="n"/>
      <c r="AO3303" s="172" t="n"/>
      <c r="AP3303" s="172" t="n"/>
      <c r="AQ3303" s="172" t="n"/>
      <c r="AR3303" s="172" t="n"/>
      <c r="AS3303" s="172" t="n"/>
      <c r="AT3303" s="172" t="n"/>
      <c r="AU3303" s="172" t="n"/>
      <c r="AV3303" s="172" t="n"/>
      <c r="AW3303" s="172" t="n"/>
      <c r="AX3303" s="172" t="n"/>
      <c r="AY3303" s="172" t="n"/>
      <c r="AZ3303" s="172" t="n"/>
      <c r="BA3303" s="172" t="n"/>
      <c r="BB3303" s="172" t="n"/>
      <c r="BC3303" s="172" t="n"/>
      <c r="BD3303" s="172" t="n"/>
      <c r="BE3303" s="172" t="n"/>
      <c r="BF3303" s="172" t="n"/>
      <c r="BG3303" s="172" t="n"/>
      <c r="BH3303" s="172" t="n"/>
      <c r="BI3303" s="173"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4" t="inlineStr">
        <is>
          <t>現住所</t>
        </is>
      </c>
      <c r="F3304" s="175" t="n"/>
      <c r="G3304" s="175" t="n"/>
      <c r="H3304" s="175" t="n"/>
      <c r="I3304" s="175" t="n"/>
      <c r="J3304" s="175" t="n"/>
      <c r="K3304" s="176" t="n"/>
      <c r="L3304" s="83" t="inlineStr">
        <is>
          <t>〒</t>
        </is>
      </c>
      <c r="M3304" s="175" t="n"/>
      <c r="N3304" s="175" t="n"/>
      <c r="O3304" s="175" t="n"/>
      <c r="P3304" s="177">
        <f>計算!$H$39</f>
        <v/>
      </c>
      <c r="Q3304" s="175" t="n"/>
      <c r="R3304" s="175" t="n"/>
      <c r="S3304" s="175" t="n"/>
      <c r="T3304" s="175" t="n"/>
      <c r="U3304" s="175" t="n"/>
      <c r="V3304" s="175" t="n"/>
      <c r="W3304" s="175" t="n"/>
      <c r="X3304" s="175" t="n"/>
      <c r="Y3304" s="175" t="n"/>
      <c r="Z3304" s="175" t="n"/>
      <c r="AA3304" s="175" t="n"/>
      <c r="AB3304" s="175" t="n"/>
      <c r="AC3304" s="175" t="n"/>
      <c r="AD3304" s="175" t="n"/>
      <c r="AE3304" s="175" t="n"/>
      <c r="AF3304" s="175" t="n"/>
      <c r="AG3304" s="175" t="n"/>
      <c r="AH3304" s="175" t="n"/>
      <c r="AI3304" s="175" t="n"/>
      <c r="AJ3304" s="175"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5" t="n"/>
      <c r="BQ3305" s="156" t="n"/>
      <c r="BR3305" s="156" t="n"/>
      <c r="BS3305" s="156" t="n"/>
      <c r="BT3305" s="156" t="n"/>
      <c r="BU3305" s="156" t="n"/>
      <c r="BV3305" s="157" t="n"/>
      <c r="BW3305" s="155" t="n"/>
      <c r="BX3305" s="156" t="n"/>
      <c r="BY3305" s="156" t="n"/>
      <c r="BZ3305" s="156" t="n"/>
      <c r="CA3305" s="156" t="n"/>
      <c r="CB3305" s="156" t="n"/>
      <c r="CC3305" s="156" t="n"/>
      <c r="CD3305" s="156" t="n"/>
      <c r="CE3305" s="156" t="n"/>
      <c r="CF3305" s="156" t="n"/>
      <c r="CG3305" s="157"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8" t="inlineStr">
        <is>
          <t>校内外の諸活動</t>
        </is>
      </c>
      <c r="BQ3306" s="149" t="n"/>
      <c r="BR3306" s="149" t="n"/>
      <c r="BS3306" s="149" t="n"/>
      <c r="BT3306" s="149" t="n"/>
      <c r="BU3306" s="149" t="n"/>
      <c r="BV3306" s="150" t="n"/>
      <c r="BW3306" s="179">
        <f>計算!$BO$39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0">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5" t="n"/>
      <c r="F3309" s="156" t="n"/>
      <c r="G3309" s="156" t="n"/>
      <c r="H3309" s="156" t="n"/>
      <c r="I3309" s="156" t="n"/>
      <c r="J3309" s="156" t="n"/>
      <c r="K3309" s="157" t="n"/>
      <c r="L3309" s="155" t="n"/>
      <c r="M3309" s="156" t="n"/>
      <c r="N3309" s="156" t="n"/>
      <c r="O3309" s="156" t="n"/>
      <c r="P3309" s="156" t="n"/>
      <c r="Q3309" s="156" t="n"/>
      <c r="R3309" s="156" t="n"/>
      <c r="S3309" s="156" t="n"/>
      <c r="T3309" s="156" t="n"/>
      <c r="U3309" s="156" t="n"/>
      <c r="V3309" s="156" t="n"/>
      <c r="W3309" s="156" t="n"/>
      <c r="X3309" s="156" t="n"/>
      <c r="Y3309" s="156" t="n"/>
      <c r="Z3309" s="156" t="n"/>
      <c r="AA3309" s="156" t="n"/>
      <c r="AB3309" s="156" t="n"/>
      <c r="AC3309" s="156" t="n"/>
      <c r="AD3309" s="156" t="n"/>
      <c r="AE3309" s="156" t="n"/>
      <c r="AF3309" s="156" t="n"/>
      <c r="AG3309" s="156" t="n"/>
      <c r="AH3309" s="156" t="n"/>
      <c r="AI3309" s="156" t="n"/>
      <c r="AJ3309" s="156" t="n"/>
      <c r="AK3309" s="156" t="n"/>
      <c r="AL3309" s="156" t="n"/>
      <c r="AM3309" s="156" t="n"/>
      <c r="AN3309" s="156" t="n"/>
      <c r="AO3309" s="156" t="n"/>
      <c r="AP3309" s="156" t="n"/>
      <c r="AQ3309" s="156" t="n"/>
      <c r="AR3309" s="156" t="n"/>
      <c r="AS3309" s="156" t="n"/>
      <c r="AT3309" s="156" t="n"/>
      <c r="AU3309" s="156" t="n"/>
      <c r="AV3309" s="156" t="n"/>
      <c r="AW3309" s="156" t="n"/>
      <c r="AX3309" s="156" t="n"/>
      <c r="AY3309" s="156" t="n"/>
      <c r="AZ3309" s="156" t="n"/>
      <c r="BA3309" s="156" t="n"/>
      <c r="BB3309" s="156" t="n"/>
      <c r="BC3309" s="156" t="n"/>
      <c r="BD3309" s="156" t="n"/>
      <c r="BE3309" s="156" t="n"/>
      <c r="BF3309" s="156" t="n"/>
      <c r="BG3309" s="156" t="n"/>
      <c r="BH3309" s="156" t="n"/>
      <c r="BI3309" s="157"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69" t="inlineStr">
        <is>
          <t>ふ り が な</t>
        </is>
      </c>
      <c r="F3310" s="149" t="n"/>
      <c r="G3310" s="149" t="n"/>
      <c r="H3310" s="149" t="n"/>
      <c r="I3310" s="149" t="n"/>
      <c r="J3310" s="149" t="n"/>
      <c r="K3310" s="150" t="n"/>
      <c r="L3310" s="170">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1" t="n"/>
      <c r="F3312" s="172" t="n"/>
      <c r="G3312" s="172" t="n"/>
      <c r="H3312" s="172" t="n"/>
      <c r="I3312" s="172" t="n"/>
      <c r="J3312" s="172" t="n"/>
      <c r="K3312" s="173" t="n"/>
      <c r="L3312" s="172" t="n"/>
      <c r="M3312" s="172" t="n"/>
      <c r="N3312" s="172" t="n"/>
      <c r="O3312" s="172" t="n"/>
      <c r="P3312" s="172" t="n"/>
      <c r="Q3312" s="172" t="n"/>
      <c r="R3312" s="172" t="n"/>
      <c r="S3312" s="172" t="n"/>
      <c r="T3312" s="172" t="n"/>
      <c r="U3312" s="172" t="n"/>
      <c r="V3312" s="172" t="n"/>
      <c r="W3312" s="172" t="n"/>
      <c r="X3312" s="172" t="n"/>
      <c r="Y3312" s="172" t="n"/>
      <c r="Z3312" s="172" t="n"/>
      <c r="AA3312" s="172" t="n"/>
      <c r="AB3312" s="172" t="n"/>
      <c r="AC3312" s="172" t="n"/>
      <c r="AD3312" s="172" t="n"/>
      <c r="AE3312" s="172" t="n"/>
      <c r="AF3312" s="172" t="n"/>
      <c r="AG3312" s="172" t="n"/>
      <c r="AH3312" s="172" t="n"/>
      <c r="AI3312" s="172" t="n"/>
      <c r="AJ3312" s="172" t="n"/>
      <c r="AK3312" s="172" t="n"/>
      <c r="AL3312" s="172" t="n"/>
      <c r="AM3312" s="172" t="n"/>
      <c r="AN3312" s="172" t="n"/>
      <c r="AO3312" s="172" t="n"/>
      <c r="AP3312" s="172" t="n"/>
      <c r="AQ3312" s="172" t="n"/>
      <c r="AR3312" s="172" t="n"/>
      <c r="AS3312" s="172" t="n"/>
      <c r="AT3312" s="172" t="n"/>
      <c r="AU3312" s="172" t="n"/>
      <c r="AV3312" s="172" t="n"/>
      <c r="AW3312" s="172" t="n"/>
      <c r="AX3312" s="172" t="n"/>
      <c r="AY3312" s="172" t="n"/>
      <c r="AZ3312" s="172" t="n"/>
      <c r="BA3312" s="172" t="n"/>
      <c r="BB3312" s="172" t="n"/>
      <c r="BC3312" s="172" t="n"/>
      <c r="BD3312" s="172" t="n"/>
      <c r="BE3312" s="172" t="n"/>
      <c r="BF3312" s="172" t="n"/>
      <c r="BG3312" s="172" t="n"/>
      <c r="BH3312" s="172" t="n"/>
      <c r="BI3312" s="173"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4" t="inlineStr">
        <is>
          <t>連絡先</t>
        </is>
      </c>
      <c r="F3313" s="175" t="n"/>
      <c r="G3313" s="175" t="n"/>
      <c r="H3313" s="175" t="n"/>
      <c r="I3313" s="175" t="n"/>
      <c r="J3313" s="175" t="n"/>
      <c r="K3313" s="176" t="n"/>
      <c r="L3313" s="83" t="inlineStr">
        <is>
          <t>〒</t>
        </is>
      </c>
      <c r="M3313" s="175" t="n"/>
      <c r="N3313" s="175" t="n"/>
      <c r="O3313" s="175" t="n"/>
      <c r="P3313" s="181">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2">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5" t="n"/>
      <c r="F3317" s="156" t="n"/>
      <c r="G3317" s="156" t="n"/>
      <c r="H3317" s="156" t="n"/>
      <c r="I3317" s="156" t="n"/>
      <c r="J3317" s="156" t="n"/>
      <c r="K3317" s="157" t="n"/>
      <c r="L3317" s="156" t="n"/>
      <c r="M3317" s="156" t="n"/>
      <c r="N3317" s="156" t="n"/>
      <c r="O3317" s="156" t="n"/>
      <c r="P3317" s="156" t="n"/>
      <c r="Q3317" s="156" t="n"/>
      <c r="R3317" s="156" t="n"/>
      <c r="S3317" s="156" t="n"/>
      <c r="T3317" s="156" t="n"/>
      <c r="U3317" s="156" t="n"/>
      <c r="V3317" s="156" t="n"/>
      <c r="W3317" s="156" t="n"/>
      <c r="X3317" s="156" t="n"/>
      <c r="Y3317" s="156" t="n"/>
      <c r="Z3317" s="156" t="n"/>
      <c r="AA3317" s="156" t="n"/>
      <c r="AB3317" s="156" t="n"/>
      <c r="AC3317" s="156" t="n"/>
      <c r="AD3317" s="156" t="n"/>
      <c r="AE3317" s="156" t="n"/>
      <c r="AF3317" s="156" t="n"/>
      <c r="AG3317" s="156" t="n"/>
      <c r="AH3317" s="156" t="n"/>
      <c r="AI3317" s="156" t="n"/>
      <c r="AJ3317" s="156" t="n"/>
      <c r="AK3317" s="156" t="n"/>
      <c r="AL3317" s="156" t="n"/>
      <c r="AM3317" s="156" t="n"/>
      <c r="AN3317" s="156" t="n"/>
      <c r="AO3317" s="156" t="n"/>
      <c r="AP3317" s="156" t="n"/>
      <c r="AQ3317" s="156" t="n"/>
      <c r="AR3317" s="156" t="n"/>
      <c r="AS3317" s="156" t="n"/>
      <c r="AT3317" s="156" t="n"/>
      <c r="AU3317" s="156" t="n"/>
      <c r="AV3317" s="156" t="n"/>
      <c r="AW3317" s="156" t="n"/>
      <c r="AX3317" s="156" t="n"/>
      <c r="AY3317" s="156" t="n"/>
      <c r="AZ3317" s="156" t="n"/>
      <c r="BA3317" s="156" t="n"/>
      <c r="BB3317" s="156" t="n"/>
      <c r="BC3317" s="156" t="n"/>
      <c r="BD3317" s="156" t="n"/>
      <c r="BE3317" s="156" t="n"/>
      <c r="BF3317" s="156" t="n"/>
      <c r="BG3317" s="156" t="n"/>
      <c r="BH3317" s="156" t="n"/>
      <c r="BI3317" s="157"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86"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3" t="n"/>
      <c r="BQ3323" s="149" t="n"/>
      <c r="BR3323" s="184" t="n"/>
      <c r="BS3323" s="149" t="n"/>
      <c r="BT3323" s="149" t="n"/>
      <c r="BU3323" s="28" t="n"/>
      <c r="BV3323" s="29" t="n"/>
      <c r="BW3323" s="185">
        <f>計算!$BP$39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115"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6"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107"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7">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188">
        <f>IF(入力!$D$41="","",設定!$B$6)&amp;""</f>
        <v/>
      </c>
      <c r="S3331" s="11" t="n"/>
      <c r="T3331" s="11" t="n"/>
      <c r="U3331" s="188">
        <f>IF(入力!$D$41="","",設定!$B$7)&amp;""</f>
        <v/>
      </c>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110" t="inlineStr">
        <is>
          <t>令和</t>
        </is>
      </c>
      <c r="S3332" s="61" t="inlineStr">
        <is>
          <t>年</t>
        </is>
      </c>
      <c r="W3332" s="62"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90"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5" t="n"/>
      <c r="F3336" s="156" t="n"/>
      <c r="G3336" s="156" t="n"/>
      <c r="H3336" s="156" t="n"/>
      <c r="I3336" s="156" t="n"/>
      <c r="J3336" s="156" t="n"/>
      <c r="K3336" s="157"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6" t="n"/>
      <c r="AX3336" s="156" t="n"/>
      <c r="AY3336" s="156" t="n"/>
      <c r="AZ3336" s="156" t="n"/>
      <c r="BA3336" s="156" t="n"/>
      <c r="BB3336" s="156" t="n"/>
      <c r="BC3336" s="156" t="n"/>
      <c r="BD3336" s="156" t="n"/>
      <c r="BE3336" s="156" t="n"/>
      <c r="BF3336" s="156" t="n"/>
      <c r="BG3336" s="156" t="n"/>
      <c r="BH3336" s="156" t="n"/>
      <c r="BI3336" s="157"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58" t="n"/>
      <c r="T3337" s="149" t="n"/>
      <c r="U3337" s="17" t="n"/>
      <c r="V3337" s="17" t="n"/>
      <c r="W3337" s="58"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89" t="inlineStr">
        <is>
          <t>職　歴</t>
        </is>
      </c>
      <c r="K3340" s="153" t="n"/>
      <c r="L3340" s="69" t="inlineStr">
        <is>
          <t>平成</t>
        </is>
      </c>
      <c r="M3340" s="149" t="n"/>
      <c r="N3340" s="149" t="n"/>
      <c r="O3340" s="149" t="n"/>
      <c r="P3340" s="19" t="n"/>
      <c r="Q3340" s="19" t="n"/>
      <c r="R3340" s="19" t="n"/>
      <c r="S3340" s="19" t="n"/>
      <c r="T3340" s="19" t="n"/>
      <c r="U3340" s="19" t="n"/>
      <c r="V3340" s="19" t="n"/>
      <c r="W3340" s="19" t="n"/>
      <c r="X3340" s="37" t="n"/>
      <c r="Y3340" s="180">
        <f>計算!$BT$39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8">
        <f>計算!$BR$39</f>
        <v/>
      </c>
      <c r="S3342" s="61" t="inlineStr">
        <is>
          <t>年</t>
        </is>
      </c>
      <c r="U3342" s="190">
        <f>計算!$BS$39</f>
        <v/>
      </c>
      <c r="W3342" s="62"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74"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5" t="n"/>
      <c r="M3345" s="156" t="n"/>
      <c r="N3345" s="156" t="n"/>
      <c r="O3345" s="156" t="n"/>
      <c r="P3345" s="20" t="n"/>
      <c r="Q3345" s="20" t="n"/>
      <c r="R3345" s="20" t="n"/>
      <c r="S3345" s="20" t="n"/>
      <c r="T3345" s="20" t="n"/>
      <c r="U3345" s="20" t="n"/>
      <c r="V3345" s="20" t="n"/>
      <c r="W3345" s="20" t="n"/>
      <c r="X3345" s="39" t="n"/>
      <c r="Y3345" s="155" t="n"/>
      <c r="Z3345" s="156" t="n"/>
      <c r="AA3345" s="156" t="n"/>
      <c r="AB3345" s="156" t="n"/>
      <c r="AC3345" s="156" t="n"/>
      <c r="AD3345" s="156" t="n"/>
      <c r="AE3345" s="156" t="n"/>
      <c r="AF3345" s="156" t="n"/>
      <c r="AG3345" s="156" t="n"/>
      <c r="AH3345" s="156" t="n"/>
      <c r="AI3345" s="156" t="n"/>
      <c r="AJ3345" s="156" t="n"/>
      <c r="AK3345" s="156" t="n"/>
      <c r="AL3345" s="156" t="n"/>
      <c r="AM3345" s="156" t="n"/>
      <c r="AN3345" s="156" t="n"/>
      <c r="AO3345" s="156" t="n"/>
      <c r="AP3345" s="156" t="n"/>
      <c r="AQ3345" s="156" t="n"/>
      <c r="AR3345" s="156" t="n"/>
      <c r="AS3345" s="156" t="n"/>
      <c r="AT3345" s="156" t="n"/>
      <c r="AU3345" s="156" t="n"/>
      <c r="AV3345" s="156" t="n"/>
      <c r="AW3345" s="156" t="n"/>
      <c r="AX3345" s="156" t="n"/>
      <c r="AY3345" s="156" t="n"/>
      <c r="AZ3345" s="156" t="n"/>
      <c r="BA3345" s="156" t="n"/>
      <c r="BB3345" s="156" t="n"/>
      <c r="BC3345" s="156" t="n"/>
      <c r="BD3345" s="156" t="n"/>
      <c r="BE3345" s="156" t="n"/>
      <c r="BF3345" s="156" t="n"/>
      <c r="BG3345" s="156" t="n"/>
      <c r="BH3345" s="156" t="n"/>
      <c r="BI3345" s="157"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69" t="inlineStr">
        <is>
          <t>平成</t>
        </is>
      </c>
      <c r="M3346" s="149" t="n"/>
      <c r="N3346" s="149" t="n"/>
      <c r="O3346" s="149" t="n"/>
      <c r="P3346" s="18" t="n"/>
      <c r="Q3346" s="18" t="n"/>
      <c r="R3346" s="18" t="n"/>
      <c r="S3346" s="18" t="n"/>
      <c r="T3346" s="18" t="n"/>
      <c r="U3346" s="18" t="n"/>
      <c r="V3346" s="18" t="n"/>
      <c r="W3346" s="18" t="n"/>
      <c r="X3346" s="35" t="n"/>
      <c r="Y3346" s="180">
        <f>計算!$BW$39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8">
        <f>計算!$BU$39</f>
        <v/>
      </c>
      <c r="S3348" s="61" t="inlineStr">
        <is>
          <t>年</t>
        </is>
      </c>
      <c r="U3348" s="190">
        <f>計算!$BV$39</f>
        <v/>
      </c>
      <c r="W3348" s="62"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74"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5" t="n"/>
      <c r="M3351" s="156" t="n"/>
      <c r="N3351" s="156" t="n"/>
      <c r="O3351" s="156" t="n"/>
      <c r="P3351" s="20" t="n"/>
      <c r="Q3351" s="20" t="n"/>
      <c r="R3351" s="20" t="n"/>
      <c r="S3351" s="20" t="n"/>
      <c r="T3351" s="20" t="n"/>
      <c r="U3351" s="20" t="n"/>
      <c r="V3351" s="20" t="n"/>
      <c r="W3351" s="20" t="n"/>
      <c r="X3351" s="39" t="n"/>
      <c r="Y3351" s="155" t="n"/>
      <c r="Z3351" s="156" t="n"/>
      <c r="AA3351" s="156" t="n"/>
      <c r="AB3351" s="156" t="n"/>
      <c r="AC3351" s="156" t="n"/>
      <c r="AD3351" s="156" t="n"/>
      <c r="AE3351" s="156" t="n"/>
      <c r="AF3351" s="156" t="n"/>
      <c r="AG3351" s="156" t="n"/>
      <c r="AH3351" s="156" t="n"/>
      <c r="AI3351" s="156" t="n"/>
      <c r="AJ3351" s="156" t="n"/>
      <c r="AK3351" s="156" t="n"/>
      <c r="AL3351" s="156" t="n"/>
      <c r="AM3351" s="156" t="n"/>
      <c r="AN3351" s="156" t="n"/>
      <c r="AO3351" s="156" t="n"/>
      <c r="AP3351" s="156" t="n"/>
      <c r="AQ3351" s="156" t="n"/>
      <c r="AR3351" s="156" t="n"/>
      <c r="AS3351" s="156" t="n"/>
      <c r="AT3351" s="156" t="n"/>
      <c r="AU3351" s="156" t="n"/>
      <c r="AV3351" s="156" t="n"/>
      <c r="AW3351" s="156" t="n"/>
      <c r="AX3351" s="156" t="n"/>
      <c r="AY3351" s="156" t="n"/>
      <c r="AZ3351" s="156" t="n"/>
      <c r="BA3351" s="156" t="n"/>
      <c r="BB3351" s="156" t="n"/>
      <c r="BC3351" s="156" t="n"/>
      <c r="BD3351" s="156" t="n"/>
      <c r="BE3351" s="156" t="n"/>
      <c r="BF3351" s="156" t="n"/>
      <c r="BG3351" s="156" t="n"/>
      <c r="BH3351" s="156" t="n"/>
      <c r="BI3351" s="157" t="n"/>
      <c r="BJ3351" s="2" t="n"/>
      <c r="BK3351" s="2" t="n"/>
      <c r="BL3351" s="2" t="n"/>
      <c r="BM3351" s="2" t="n"/>
      <c r="BN3351" s="2" t="n"/>
      <c r="BO3351" s="2" t="n"/>
      <c r="BP3351" s="155" t="n"/>
      <c r="BQ3351" s="156" t="n"/>
      <c r="BR3351" s="156" t="n"/>
      <c r="BS3351" s="156" t="n"/>
      <c r="BT3351" s="156" t="n"/>
      <c r="BU3351" s="42" t="n"/>
      <c r="BV3351" s="45" t="n"/>
      <c r="BW3351" s="156" t="n"/>
      <c r="BX3351" s="156" t="n"/>
      <c r="BY3351" s="156" t="n"/>
      <c r="BZ3351" s="156" t="n"/>
      <c r="CA3351" s="156" t="n"/>
      <c r="CB3351" s="156" t="n"/>
      <c r="CC3351" s="156" t="n"/>
      <c r="CD3351" s="156" t="n"/>
      <c r="CE3351" s="156" t="n"/>
      <c r="CF3351" s="156" t="n"/>
      <c r="CG3351" s="156" t="n"/>
      <c r="CH3351" s="156" t="n"/>
      <c r="CI3351" s="156" t="n"/>
      <c r="CJ3351" s="156" t="n"/>
      <c r="CK3351" s="156" t="n"/>
      <c r="CL3351" s="156" t="n"/>
      <c r="CM3351" s="156" t="n"/>
      <c r="CN3351" s="156" t="n"/>
      <c r="CO3351" s="156" t="n"/>
      <c r="CP3351" s="156" t="n"/>
      <c r="CQ3351" s="156" t="n"/>
      <c r="CR3351" s="156" t="n"/>
      <c r="CS3351" s="156" t="n"/>
      <c r="CT3351" s="156" t="n"/>
      <c r="CU3351" s="156" t="n"/>
      <c r="CV3351" s="156" t="n"/>
      <c r="CW3351" s="156" t="n"/>
      <c r="CX3351" s="156" t="n"/>
      <c r="CY3351" s="156" t="n"/>
      <c r="CZ3351" s="156" t="n"/>
      <c r="DA3351" s="156" t="n"/>
      <c r="DB3351" s="156" t="n"/>
      <c r="DC3351" s="156" t="n"/>
      <c r="DD3351" s="156" t="n"/>
      <c r="DE3351" s="156" t="n"/>
      <c r="DF3351" s="156" t="n"/>
      <c r="DG3351" s="156" t="n"/>
      <c r="DH3351" s="156" t="n"/>
      <c r="DI3351" s="156" t="n"/>
      <c r="DJ3351" s="156" t="n"/>
      <c r="DK3351" s="156" t="n"/>
      <c r="DL3351" s="156" t="n"/>
      <c r="DM3351" s="156" t="n"/>
      <c r="DN3351" s="156" t="n"/>
      <c r="DO3351" s="156" t="n"/>
      <c r="DP3351" s="156" t="n"/>
      <c r="DQ3351" s="156" t="n"/>
      <c r="DR3351" s="156" t="n"/>
      <c r="DS3351" s="156" t="n"/>
      <c r="DT3351" s="156" t="n"/>
      <c r="DU3351" s="157" t="n"/>
      <c r="DV3351" s="2" t="n"/>
      <c r="DW3351" s="2" t="n"/>
      <c r="DX3351" s="2" t="n"/>
      <c r="DY3351" s="2" t="n"/>
      <c r="DZ3351" s="2" t="n"/>
      <c r="EA3351" s="2" t="n"/>
      <c r="EB3351" s="2" t="n"/>
      <c r="EC3351" s="2" t="n"/>
    </row>
    <row r="3352" ht="6.75" customHeight="1" s="118">
      <c r="A3352" s="2" t="n"/>
      <c r="B3352" s="2" t="n"/>
      <c r="C3352" s="2" t="n"/>
      <c r="D3352" s="2" t="n"/>
      <c r="E3352" s="152" t="n"/>
      <c r="K3352" s="153" t="n"/>
      <c r="L3352" s="69"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5">
        <f>計算!$BQ$39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61" t="inlineStr">
        <is>
          <t>年</t>
        </is>
      </c>
      <c r="U3354" s="11" t="n"/>
      <c r="V3354" s="11" t="n"/>
      <c r="W3354" s="62"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74"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5" t="n"/>
      <c r="M3357" s="156" t="n"/>
      <c r="N3357" s="156" t="n"/>
      <c r="O3357" s="156"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69"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61" t="inlineStr">
        <is>
          <t>年</t>
        </is>
      </c>
      <c r="U3360" s="11" t="n"/>
      <c r="V3360" s="11" t="n"/>
      <c r="W3360" s="62"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74"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61" t="n"/>
      <c r="T3362" s="61" t="n"/>
      <c r="U3362" s="11" t="n"/>
      <c r="V3362" s="11" t="n"/>
      <c r="W3362" s="61" t="n"/>
      <c r="X3362" s="62"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5" t="n"/>
      <c r="F3363" s="156" t="n"/>
      <c r="G3363" s="156" t="n"/>
      <c r="H3363" s="156" t="n"/>
      <c r="I3363" s="156" t="n"/>
      <c r="J3363" s="156" t="n"/>
      <c r="K3363" s="157" t="n"/>
      <c r="L3363" s="155" t="n"/>
      <c r="M3363" s="156" t="n"/>
      <c r="N3363" s="156" t="n"/>
      <c r="O3363" s="156"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5" t="n"/>
      <c r="BQ3363" s="156" t="n"/>
      <c r="BR3363" s="156" t="n"/>
      <c r="BS3363" s="156" t="n"/>
      <c r="BT3363" s="156" t="n"/>
      <c r="BU3363" s="156" t="n"/>
      <c r="BV3363" s="157" t="n"/>
      <c r="BW3363" s="156" t="n"/>
      <c r="BX3363" s="156" t="n"/>
      <c r="BY3363" s="156" t="n"/>
      <c r="BZ3363" s="156" t="n"/>
      <c r="CA3363" s="156" t="n"/>
      <c r="CB3363" s="156" t="n"/>
      <c r="CC3363" s="156" t="n"/>
      <c r="CD3363" s="156" t="n"/>
      <c r="CE3363" s="156" t="n"/>
      <c r="CF3363" s="156" t="n"/>
      <c r="CG3363" s="156" t="n"/>
      <c r="CH3363" s="156" t="n"/>
      <c r="CI3363" s="156" t="n"/>
      <c r="CJ3363" s="156" t="n"/>
      <c r="CK3363" s="156" t="n"/>
      <c r="CL3363" s="156" t="n"/>
      <c r="CM3363" s="156" t="n"/>
      <c r="CN3363" s="156" t="n"/>
      <c r="CO3363" s="156" t="n"/>
      <c r="CP3363" s="156" t="n"/>
      <c r="CQ3363" s="156" t="n"/>
      <c r="CR3363" s="156" t="n"/>
      <c r="CS3363" s="156" t="n"/>
      <c r="CT3363" s="156" t="n"/>
      <c r="CU3363" s="156" t="n"/>
      <c r="CV3363" s="156" t="n"/>
      <c r="CW3363" s="156" t="n"/>
      <c r="CX3363" s="156" t="n"/>
      <c r="CY3363" s="156" t="n"/>
      <c r="CZ3363" s="156" t="n"/>
      <c r="DA3363" s="156" t="n"/>
      <c r="DB3363" s="156" t="n"/>
      <c r="DC3363" s="156" t="n"/>
      <c r="DD3363" s="156" t="n"/>
      <c r="DE3363" s="156" t="n"/>
      <c r="DF3363" s="156" t="n"/>
      <c r="DG3363" s="156" t="n"/>
      <c r="DH3363" s="156" t="n"/>
      <c r="DI3363" s="156" t="n"/>
      <c r="DJ3363" s="156" t="n"/>
      <c r="DK3363" s="156" t="n"/>
      <c r="DL3363" s="156" t="n"/>
      <c r="DM3363" s="156" t="n"/>
      <c r="DN3363" s="156" t="n"/>
      <c r="DO3363" s="156" t="n"/>
      <c r="DP3363" s="156" t="n"/>
      <c r="DQ3363" s="156" t="n"/>
      <c r="DR3363" s="156" t="n"/>
      <c r="DS3363" s="156" t="n"/>
      <c r="DT3363" s="156" t="n"/>
      <c r="DU3363" s="157"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87" t="inlineStr">
        <is>
          <t xml:space="preserve">    (近畿高等学校統一用紙　  その２ 　  令和７年度改定)　</t>
        </is>
      </c>
      <c r="DV3365" s="2" t="n"/>
      <c r="DW3365" s="2" t="n"/>
      <c r="DX3365" s="2" t="n"/>
      <c r="DY3365" s="2" t="n"/>
      <c r="DZ3365" s="2" t="n"/>
      <c r="EA3365" s="2" t="n"/>
      <c r="EB3365" s="2" t="n"/>
      <c r="EC3365" s="2" t="n"/>
    </row>
    <row r="3366" hidden="1"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idden="1"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47"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64" t="inlineStr">
        <is>
          <t>令和</t>
        </is>
      </c>
      <c r="AD3375" s="154">
        <f>IF(入力!$D$42="","",IF(N(設定!$B$3)=0,"",YEAR(設定!$B$3)-2018))&amp;""</f>
        <v/>
      </c>
      <c r="AG3375" s="64" t="inlineStr">
        <is>
          <t>年</t>
        </is>
      </c>
      <c r="AI3375" s="154">
        <f>IF(入力!$D$42="","",IF(N(設定!$B$3)=0,"",MONTH(設定!$B$3)))&amp;""</f>
        <v/>
      </c>
      <c r="AL3375" s="64" t="inlineStr">
        <is>
          <t>月</t>
        </is>
      </c>
      <c r="AN3375" s="154">
        <f>IF(入力!$D$42="","",IF(N(設定!$B$3)=0,"",DAY(設定!$B$3)))&amp;""</f>
        <v/>
      </c>
      <c r="AP3375" s="64"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5" t="n"/>
      <c r="BX3375" s="156" t="n"/>
      <c r="BY3375" s="156" t="n"/>
      <c r="BZ3375" s="156" t="n"/>
      <c r="CA3375" s="156" t="n"/>
      <c r="CB3375" s="156" t="n"/>
      <c r="CC3375" s="156" t="n"/>
      <c r="CD3375" s="156" t="n"/>
      <c r="CE3375" s="156" t="n"/>
      <c r="CF3375" s="156" t="n"/>
      <c r="CG3375" s="157" t="n"/>
      <c r="CH3375" s="155" t="n"/>
      <c r="CI3375" s="156" t="n"/>
      <c r="CJ3375" s="156" t="n"/>
      <c r="CK3375" s="156" t="n"/>
      <c r="CL3375" s="156" t="n"/>
      <c r="CM3375" s="156" t="n"/>
      <c r="CN3375" s="156" t="n"/>
      <c r="CO3375" s="156" t="n"/>
      <c r="CP3375" s="156" t="n"/>
      <c r="CQ3375" s="156" t="n"/>
      <c r="CR3375" s="156" t="n"/>
      <c r="CS3375" s="156" t="n"/>
      <c r="CT3375" s="156" t="n"/>
      <c r="CU3375" s="156" t="n"/>
      <c r="CV3375" s="156" t="n"/>
      <c r="CW3375" s="156" t="n"/>
      <c r="CX3375" s="156" t="n"/>
      <c r="CY3375" s="156" t="n"/>
      <c r="CZ3375" s="156" t="n"/>
      <c r="DA3375" s="156" t="n"/>
      <c r="DB3375" s="156" t="n"/>
      <c r="DC3375" s="156" t="n"/>
      <c r="DD3375" s="156" t="n"/>
      <c r="DE3375" s="156" t="n"/>
      <c r="DF3375" s="156" t="n"/>
      <c r="DG3375" s="156" t="n"/>
      <c r="DH3375" s="156" t="n"/>
      <c r="DI3375" s="156" t="n"/>
      <c r="DJ3375" s="156" t="n"/>
      <c r="DK3375" s="156" t="n"/>
      <c r="DL3375" s="156" t="n"/>
      <c r="DM3375" s="156" t="n"/>
      <c r="DN3375" s="156" t="n"/>
      <c r="DO3375" s="156" t="n"/>
      <c r="DP3375" s="156" t="n"/>
      <c r="DQ3375" s="156" t="n"/>
      <c r="DR3375" s="156" t="n"/>
      <c r="DS3375" s="156" t="n"/>
      <c r="DT3375" s="156" t="n"/>
      <c r="DU3375" s="157"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68" t="inlineStr">
        <is>
          <t>写真をはる位置</t>
        </is>
      </c>
      <c r="BI3376" s="8" t="n"/>
      <c r="BJ3376" s="7" t="n"/>
      <c r="BK3376" s="2" t="n"/>
      <c r="BL3376" s="2" t="n"/>
      <c r="BM3376" s="2" t="n"/>
      <c r="BN3376" s="2" t="n"/>
      <c r="BO3376" s="2" t="n"/>
      <c r="BP3376" s="152" t="n"/>
      <c r="BV3376" s="153" t="n"/>
      <c r="BW3376" s="158">
        <f>計算!$CB$40</f>
        <v/>
      </c>
      <c r="CG3376" s="153" t="n"/>
      <c r="CH3376" s="159">
        <f>計算!$CC$40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6" t="n"/>
      <c r="AA3377" s="156" t="n"/>
      <c r="AB3377" s="156" t="n"/>
      <c r="AC3377" s="156" t="n"/>
      <c r="AD3377" s="156" t="n"/>
      <c r="AE3377" s="156" t="n"/>
      <c r="AF3377" s="156" t="n"/>
      <c r="AG3377" s="156" t="n"/>
      <c r="AH3377" s="156" t="n"/>
      <c r="AI3377" s="156" t="n"/>
      <c r="AJ3377" s="156" t="n"/>
      <c r="AK3377" s="156" t="n"/>
      <c r="AL3377" s="156" t="n"/>
      <c r="AM3377" s="156" t="n"/>
      <c r="AN3377" s="156" t="n"/>
      <c r="AO3377" s="156" t="n"/>
      <c r="AP3377" s="156" t="n"/>
      <c r="AQ3377" s="156" t="n"/>
      <c r="AR3377" s="156" t="n"/>
      <c r="AS3377" s="156" t="n"/>
      <c r="AT3377" s="156"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0">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5" t="n"/>
      <c r="F3381" s="156" t="n"/>
      <c r="G3381" s="156" t="n"/>
      <c r="H3381" s="156" t="n"/>
      <c r="I3381" s="156" t="n"/>
      <c r="J3381" s="156" t="n"/>
      <c r="K3381" s="157" t="n"/>
      <c r="L3381" s="156" t="n"/>
      <c r="M3381" s="156" t="n"/>
      <c r="N3381" s="156" t="n"/>
      <c r="O3381" s="156" t="n"/>
      <c r="P3381" s="156" t="n"/>
      <c r="Q3381" s="156" t="n"/>
      <c r="R3381" s="156" t="n"/>
      <c r="S3381" s="156" t="n"/>
      <c r="T3381" s="156" t="n"/>
      <c r="U3381" s="156" t="n"/>
      <c r="V3381" s="156" t="n"/>
      <c r="W3381" s="156" t="n"/>
      <c r="X3381" s="156" t="n"/>
      <c r="Y3381" s="156" t="n"/>
      <c r="Z3381" s="156" t="n"/>
      <c r="AA3381" s="156" t="n"/>
      <c r="AB3381" s="156" t="n"/>
      <c r="AC3381" s="156" t="n"/>
      <c r="AD3381" s="156" t="n"/>
      <c r="AE3381" s="156" t="n"/>
      <c r="AF3381" s="156" t="n"/>
      <c r="AG3381" s="156" t="n"/>
      <c r="AH3381" s="156" t="n"/>
      <c r="AI3381" s="156" t="n"/>
      <c r="AJ3381" s="156" t="n"/>
      <c r="AK3381" s="156" t="n"/>
      <c r="AL3381" s="156" t="n"/>
      <c r="AM3381" s="156" t="n"/>
      <c r="AN3381" s="156" t="n"/>
      <c r="AO3381" s="156" t="n"/>
      <c r="AP3381" s="156" t="n"/>
      <c r="AQ3381" s="156" t="n"/>
      <c r="AR3381" s="156" t="n"/>
      <c r="AS3381" s="156" t="n"/>
      <c r="AT3381" s="157"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1" t="inlineStr">
        <is>
          <t>名　前</t>
        </is>
      </c>
      <c r="F3382" s="149" t="n"/>
      <c r="G3382" s="149" t="n"/>
      <c r="H3382" s="149" t="n"/>
      <c r="I3382" s="149" t="n"/>
      <c r="J3382" s="149" t="n"/>
      <c r="K3382" s="150" t="n"/>
      <c r="L3382" s="162">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61"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5" t="n"/>
      <c r="F3387" s="156" t="n"/>
      <c r="G3387" s="156" t="n"/>
      <c r="H3387" s="156" t="n"/>
      <c r="I3387" s="156" t="n"/>
      <c r="J3387" s="156" t="n"/>
      <c r="K3387" s="157" t="n"/>
      <c r="L3387" s="155" t="n"/>
      <c r="M3387" s="156" t="n"/>
      <c r="N3387" s="156" t="n"/>
      <c r="O3387" s="156" t="n"/>
      <c r="P3387" s="156" t="n"/>
      <c r="Q3387" s="156" t="n"/>
      <c r="R3387" s="156" t="n"/>
      <c r="S3387" s="156" t="n"/>
      <c r="T3387" s="156" t="n"/>
      <c r="U3387" s="156" t="n"/>
      <c r="V3387" s="156" t="n"/>
      <c r="W3387" s="156" t="n"/>
      <c r="X3387" s="156" t="n"/>
      <c r="Y3387" s="156" t="n"/>
      <c r="Z3387" s="156" t="n"/>
      <c r="AA3387" s="156" t="n"/>
      <c r="AB3387" s="156" t="n"/>
      <c r="AC3387" s="156" t="n"/>
      <c r="AD3387" s="156" t="n"/>
      <c r="AE3387" s="156" t="n"/>
      <c r="AF3387" s="156" t="n"/>
      <c r="AG3387" s="156" t="n"/>
      <c r="AH3387" s="156" t="n"/>
      <c r="AI3387" s="156" t="n"/>
      <c r="AJ3387" s="156" t="n"/>
      <c r="AK3387" s="156" t="n"/>
      <c r="AL3387" s="156" t="n"/>
      <c r="AM3387" s="156" t="n"/>
      <c r="AN3387" s="156" t="n"/>
      <c r="AO3387" s="156" t="n"/>
      <c r="AP3387" s="156" t="n"/>
      <c r="AQ3387" s="156" t="n"/>
      <c r="AR3387" s="156" t="n"/>
      <c r="AS3387" s="156" t="n"/>
      <c r="AT3387" s="157"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1" t="inlineStr">
        <is>
          <t>生年月日</t>
        </is>
      </c>
      <c r="F3388" s="149" t="n"/>
      <c r="G3388" s="149" t="n"/>
      <c r="H3388" s="149" t="n"/>
      <c r="I3388" s="149" t="n"/>
      <c r="J3388" s="149" t="n"/>
      <c r="K3388" s="150" t="n"/>
      <c r="L3388" s="163" t="inlineStr">
        <is>
          <t>昭和 ・ 平成</t>
        </is>
      </c>
      <c r="M3388" s="149" t="n"/>
      <c r="N3388" s="149" t="n"/>
      <c r="O3388" s="149" t="n"/>
      <c r="P3388" s="149" t="n"/>
      <c r="Q3388" s="149" t="n"/>
      <c r="R3388" s="149" t="n"/>
      <c r="S3388" s="149" t="n"/>
      <c r="T3388" s="149" t="n"/>
      <c r="U3388" s="149" t="n"/>
      <c r="V3388" s="164">
        <f>計算!$D$40</f>
        <v/>
      </c>
      <c r="W3388" s="149" t="n"/>
      <c r="X3388" s="165" t="inlineStr">
        <is>
          <t>年</t>
        </is>
      </c>
      <c r="Y3388" s="149" t="n"/>
      <c r="Z3388" s="166">
        <f>計算!$E$40</f>
        <v/>
      </c>
      <c r="AA3388" s="149" t="n"/>
      <c r="AB3388" s="149" t="n"/>
      <c r="AC3388" s="165" t="inlineStr">
        <is>
          <t>月</t>
        </is>
      </c>
      <c r="AD3388" s="149" t="n"/>
      <c r="AE3388" s="166">
        <f>計算!$F$40</f>
        <v/>
      </c>
      <c r="AF3388" s="149" t="n"/>
      <c r="AG3388" s="149" t="n"/>
      <c r="AH3388" s="165" t="inlineStr">
        <is>
          <t>日　生 （満</t>
        </is>
      </c>
      <c r="AI3388" s="149" t="n"/>
      <c r="AJ3388" s="149" t="n"/>
      <c r="AK3388" s="149" t="n"/>
      <c r="AL3388" s="149" t="n"/>
      <c r="AM3388" s="149" t="n"/>
      <c r="AN3388" s="149" t="n"/>
      <c r="AO3388" s="149" t="n"/>
      <c r="AP3388" s="167">
        <f>計算!$G$40</f>
        <v/>
      </c>
      <c r="AQ3388" s="149" t="n"/>
      <c r="AR3388" s="168"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5" t="n"/>
      <c r="F3391" s="156" t="n"/>
      <c r="G3391" s="156" t="n"/>
      <c r="H3391" s="156" t="n"/>
      <c r="I3391" s="156" t="n"/>
      <c r="J3391" s="156" t="n"/>
      <c r="K3391" s="157" t="n"/>
      <c r="L3391" s="155" t="n"/>
      <c r="M3391" s="156" t="n"/>
      <c r="N3391" s="156" t="n"/>
      <c r="O3391" s="156" t="n"/>
      <c r="P3391" s="156" t="n"/>
      <c r="Q3391" s="156" t="n"/>
      <c r="R3391" s="156" t="n"/>
      <c r="S3391" s="156" t="n"/>
      <c r="T3391" s="156" t="n"/>
      <c r="U3391" s="156" t="n"/>
      <c r="X3391" s="156" t="n"/>
      <c r="Y3391" s="156" t="n"/>
      <c r="AC3391" s="156" t="n"/>
      <c r="AD3391" s="156" t="n"/>
      <c r="AH3391" s="156" t="n"/>
      <c r="AI3391" s="156" t="n"/>
      <c r="AJ3391" s="156" t="n"/>
      <c r="AK3391" s="156" t="n"/>
      <c r="AL3391" s="156" t="n"/>
      <c r="AM3391" s="156" t="n"/>
      <c r="AN3391" s="156" t="n"/>
      <c r="AO3391" s="156" t="n"/>
      <c r="AP3391" s="156" t="n"/>
      <c r="AQ3391" s="156" t="n"/>
      <c r="AR3391" s="156" t="n"/>
      <c r="AS3391" s="156" t="n"/>
      <c r="AT3391" s="157"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69" t="inlineStr">
        <is>
          <t>ふ り が な</t>
        </is>
      </c>
      <c r="F3392" s="149" t="n"/>
      <c r="G3392" s="149" t="n"/>
      <c r="H3392" s="149" t="n"/>
      <c r="I3392" s="149" t="n"/>
      <c r="J3392" s="149" t="n"/>
      <c r="K3392" s="150" t="n"/>
      <c r="L3392" s="170">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1" t="n"/>
      <c r="F3394" s="172" t="n"/>
      <c r="G3394" s="172" t="n"/>
      <c r="H3394" s="172" t="n"/>
      <c r="I3394" s="172" t="n"/>
      <c r="J3394" s="172" t="n"/>
      <c r="K3394" s="173" t="n"/>
      <c r="L3394" s="172" t="n"/>
      <c r="M3394" s="172" t="n"/>
      <c r="N3394" s="172" t="n"/>
      <c r="O3394" s="172" t="n"/>
      <c r="P3394" s="172" t="n"/>
      <c r="Q3394" s="172" t="n"/>
      <c r="R3394" s="172" t="n"/>
      <c r="S3394" s="172" t="n"/>
      <c r="T3394" s="172" t="n"/>
      <c r="U3394" s="172" t="n"/>
      <c r="V3394" s="172" t="n"/>
      <c r="W3394" s="172" t="n"/>
      <c r="X3394" s="172" t="n"/>
      <c r="Y3394" s="172" t="n"/>
      <c r="Z3394" s="172" t="n"/>
      <c r="AA3394" s="172" t="n"/>
      <c r="AB3394" s="172" t="n"/>
      <c r="AC3394" s="172" t="n"/>
      <c r="AD3394" s="172" t="n"/>
      <c r="AE3394" s="172" t="n"/>
      <c r="AF3394" s="172" t="n"/>
      <c r="AG3394" s="172" t="n"/>
      <c r="AH3394" s="172" t="n"/>
      <c r="AI3394" s="172" t="n"/>
      <c r="AJ3394" s="172" t="n"/>
      <c r="AK3394" s="172" t="n"/>
      <c r="AL3394" s="172" t="n"/>
      <c r="AM3394" s="172" t="n"/>
      <c r="AN3394" s="172" t="n"/>
      <c r="AO3394" s="172" t="n"/>
      <c r="AP3394" s="172" t="n"/>
      <c r="AQ3394" s="172" t="n"/>
      <c r="AR3394" s="172" t="n"/>
      <c r="AS3394" s="172" t="n"/>
      <c r="AT3394" s="172" t="n"/>
      <c r="AU3394" s="172" t="n"/>
      <c r="AV3394" s="172" t="n"/>
      <c r="AW3394" s="172" t="n"/>
      <c r="AX3394" s="172" t="n"/>
      <c r="AY3394" s="172" t="n"/>
      <c r="AZ3394" s="172" t="n"/>
      <c r="BA3394" s="172" t="n"/>
      <c r="BB3394" s="172" t="n"/>
      <c r="BC3394" s="172" t="n"/>
      <c r="BD3394" s="172" t="n"/>
      <c r="BE3394" s="172" t="n"/>
      <c r="BF3394" s="172" t="n"/>
      <c r="BG3394" s="172" t="n"/>
      <c r="BH3394" s="172" t="n"/>
      <c r="BI3394" s="173"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4" t="inlineStr">
        <is>
          <t>現住所</t>
        </is>
      </c>
      <c r="F3395" s="175" t="n"/>
      <c r="G3395" s="175" t="n"/>
      <c r="H3395" s="175" t="n"/>
      <c r="I3395" s="175" t="n"/>
      <c r="J3395" s="175" t="n"/>
      <c r="K3395" s="176" t="n"/>
      <c r="L3395" s="83" t="inlineStr">
        <is>
          <t>〒</t>
        </is>
      </c>
      <c r="M3395" s="175" t="n"/>
      <c r="N3395" s="175" t="n"/>
      <c r="O3395" s="175" t="n"/>
      <c r="P3395" s="177">
        <f>計算!$H$40</f>
        <v/>
      </c>
      <c r="Q3395" s="175" t="n"/>
      <c r="R3395" s="175" t="n"/>
      <c r="S3395" s="175" t="n"/>
      <c r="T3395" s="175" t="n"/>
      <c r="U3395" s="175" t="n"/>
      <c r="V3395" s="175" t="n"/>
      <c r="W3395" s="175" t="n"/>
      <c r="X3395" s="175" t="n"/>
      <c r="Y3395" s="175" t="n"/>
      <c r="Z3395" s="175" t="n"/>
      <c r="AA3395" s="175" t="n"/>
      <c r="AB3395" s="175" t="n"/>
      <c r="AC3395" s="175" t="n"/>
      <c r="AD3395" s="175" t="n"/>
      <c r="AE3395" s="175" t="n"/>
      <c r="AF3395" s="175" t="n"/>
      <c r="AG3395" s="175" t="n"/>
      <c r="AH3395" s="175" t="n"/>
      <c r="AI3395" s="175" t="n"/>
      <c r="AJ3395" s="175"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5" t="n"/>
      <c r="BQ3396" s="156" t="n"/>
      <c r="BR3396" s="156" t="n"/>
      <c r="BS3396" s="156" t="n"/>
      <c r="BT3396" s="156" t="n"/>
      <c r="BU3396" s="156" t="n"/>
      <c r="BV3396" s="157" t="n"/>
      <c r="BW3396" s="155" t="n"/>
      <c r="BX3396" s="156" t="n"/>
      <c r="BY3396" s="156" t="n"/>
      <c r="BZ3396" s="156" t="n"/>
      <c r="CA3396" s="156" t="n"/>
      <c r="CB3396" s="156" t="n"/>
      <c r="CC3396" s="156" t="n"/>
      <c r="CD3396" s="156" t="n"/>
      <c r="CE3396" s="156" t="n"/>
      <c r="CF3396" s="156" t="n"/>
      <c r="CG3396" s="157"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8" t="inlineStr">
        <is>
          <t>校内外の諸活動</t>
        </is>
      </c>
      <c r="BQ3397" s="149" t="n"/>
      <c r="BR3397" s="149" t="n"/>
      <c r="BS3397" s="149" t="n"/>
      <c r="BT3397" s="149" t="n"/>
      <c r="BU3397" s="149" t="n"/>
      <c r="BV3397" s="150" t="n"/>
      <c r="BW3397" s="179">
        <f>計算!$BO$40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0">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5" t="n"/>
      <c r="F3400" s="156" t="n"/>
      <c r="G3400" s="156" t="n"/>
      <c r="H3400" s="156" t="n"/>
      <c r="I3400" s="156" t="n"/>
      <c r="J3400" s="156" t="n"/>
      <c r="K3400" s="157" t="n"/>
      <c r="L3400" s="155" t="n"/>
      <c r="M3400" s="156" t="n"/>
      <c r="N3400" s="156" t="n"/>
      <c r="O3400" s="156" t="n"/>
      <c r="P3400" s="156" t="n"/>
      <c r="Q3400" s="156" t="n"/>
      <c r="R3400" s="156" t="n"/>
      <c r="S3400" s="156" t="n"/>
      <c r="T3400" s="156" t="n"/>
      <c r="U3400" s="156" t="n"/>
      <c r="V3400" s="156" t="n"/>
      <c r="W3400" s="156" t="n"/>
      <c r="X3400" s="156" t="n"/>
      <c r="Y3400" s="156" t="n"/>
      <c r="Z3400" s="156" t="n"/>
      <c r="AA3400" s="156" t="n"/>
      <c r="AB3400" s="156" t="n"/>
      <c r="AC3400" s="156" t="n"/>
      <c r="AD3400" s="156" t="n"/>
      <c r="AE3400" s="156" t="n"/>
      <c r="AF3400" s="156" t="n"/>
      <c r="AG3400" s="156" t="n"/>
      <c r="AH3400" s="156" t="n"/>
      <c r="AI3400" s="156" t="n"/>
      <c r="AJ3400" s="156" t="n"/>
      <c r="AK3400" s="156" t="n"/>
      <c r="AL3400" s="156" t="n"/>
      <c r="AM3400" s="156" t="n"/>
      <c r="AN3400" s="156" t="n"/>
      <c r="AO3400" s="156" t="n"/>
      <c r="AP3400" s="156" t="n"/>
      <c r="AQ3400" s="156" t="n"/>
      <c r="AR3400" s="156" t="n"/>
      <c r="AS3400" s="156" t="n"/>
      <c r="AT3400" s="156" t="n"/>
      <c r="AU3400" s="156" t="n"/>
      <c r="AV3400" s="156" t="n"/>
      <c r="AW3400" s="156" t="n"/>
      <c r="AX3400" s="156" t="n"/>
      <c r="AY3400" s="156" t="n"/>
      <c r="AZ3400" s="156" t="n"/>
      <c r="BA3400" s="156" t="n"/>
      <c r="BB3400" s="156" t="n"/>
      <c r="BC3400" s="156" t="n"/>
      <c r="BD3400" s="156" t="n"/>
      <c r="BE3400" s="156" t="n"/>
      <c r="BF3400" s="156" t="n"/>
      <c r="BG3400" s="156" t="n"/>
      <c r="BH3400" s="156" t="n"/>
      <c r="BI3400" s="157"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69" t="inlineStr">
        <is>
          <t>ふ り が な</t>
        </is>
      </c>
      <c r="F3401" s="149" t="n"/>
      <c r="G3401" s="149" t="n"/>
      <c r="H3401" s="149" t="n"/>
      <c r="I3401" s="149" t="n"/>
      <c r="J3401" s="149" t="n"/>
      <c r="K3401" s="150" t="n"/>
      <c r="L3401" s="170">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1" t="n"/>
      <c r="F3403" s="172" t="n"/>
      <c r="G3403" s="172" t="n"/>
      <c r="H3403" s="172" t="n"/>
      <c r="I3403" s="172" t="n"/>
      <c r="J3403" s="172" t="n"/>
      <c r="K3403" s="173" t="n"/>
      <c r="L3403" s="172" t="n"/>
      <c r="M3403" s="172" t="n"/>
      <c r="N3403" s="172" t="n"/>
      <c r="O3403" s="172" t="n"/>
      <c r="P3403" s="172" t="n"/>
      <c r="Q3403" s="172" t="n"/>
      <c r="R3403" s="172" t="n"/>
      <c r="S3403" s="172" t="n"/>
      <c r="T3403" s="172" t="n"/>
      <c r="U3403" s="172" t="n"/>
      <c r="V3403" s="172" t="n"/>
      <c r="W3403" s="172" t="n"/>
      <c r="X3403" s="172" t="n"/>
      <c r="Y3403" s="172" t="n"/>
      <c r="Z3403" s="172" t="n"/>
      <c r="AA3403" s="172" t="n"/>
      <c r="AB3403" s="172" t="n"/>
      <c r="AC3403" s="172" t="n"/>
      <c r="AD3403" s="172" t="n"/>
      <c r="AE3403" s="172" t="n"/>
      <c r="AF3403" s="172" t="n"/>
      <c r="AG3403" s="172" t="n"/>
      <c r="AH3403" s="172" t="n"/>
      <c r="AI3403" s="172" t="n"/>
      <c r="AJ3403" s="172" t="n"/>
      <c r="AK3403" s="172" t="n"/>
      <c r="AL3403" s="172" t="n"/>
      <c r="AM3403" s="172" t="n"/>
      <c r="AN3403" s="172" t="n"/>
      <c r="AO3403" s="172" t="n"/>
      <c r="AP3403" s="172" t="n"/>
      <c r="AQ3403" s="172" t="n"/>
      <c r="AR3403" s="172" t="n"/>
      <c r="AS3403" s="172" t="n"/>
      <c r="AT3403" s="172" t="n"/>
      <c r="AU3403" s="172" t="n"/>
      <c r="AV3403" s="172" t="n"/>
      <c r="AW3403" s="172" t="n"/>
      <c r="AX3403" s="172" t="n"/>
      <c r="AY3403" s="172" t="n"/>
      <c r="AZ3403" s="172" t="n"/>
      <c r="BA3403" s="172" t="n"/>
      <c r="BB3403" s="172" t="n"/>
      <c r="BC3403" s="172" t="n"/>
      <c r="BD3403" s="172" t="n"/>
      <c r="BE3403" s="172" t="n"/>
      <c r="BF3403" s="172" t="n"/>
      <c r="BG3403" s="172" t="n"/>
      <c r="BH3403" s="172" t="n"/>
      <c r="BI3403" s="173"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4" t="inlineStr">
        <is>
          <t>連絡先</t>
        </is>
      </c>
      <c r="F3404" s="175" t="n"/>
      <c r="G3404" s="175" t="n"/>
      <c r="H3404" s="175" t="n"/>
      <c r="I3404" s="175" t="n"/>
      <c r="J3404" s="175" t="n"/>
      <c r="K3404" s="176" t="n"/>
      <c r="L3404" s="83" t="inlineStr">
        <is>
          <t>〒</t>
        </is>
      </c>
      <c r="M3404" s="175" t="n"/>
      <c r="N3404" s="175" t="n"/>
      <c r="O3404" s="175" t="n"/>
      <c r="P3404" s="181">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2">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5" t="n"/>
      <c r="F3408" s="156" t="n"/>
      <c r="G3408" s="156" t="n"/>
      <c r="H3408" s="156" t="n"/>
      <c r="I3408" s="156" t="n"/>
      <c r="J3408" s="156" t="n"/>
      <c r="K3408" s="157" t="n"/>
      <c r="L3408" s="156" t="n"/>
      <c r="M3408" s="156" t="n"/>
      <c r="N3408" s="156" t="n"/>
      <c r="O3408" s="156" t="n"/>
      <c r="P3408" s="156" t="n"/>
      <c r="Q3408" s="156" t="n"/>
      <c r="R3408" s="156" t="n"/>
      <c r="S3408" s="156" t="n"/>
      <c r="T3408" s="156" t="n"/>
      <c r="U3408" s="156" t="n"/>
      <c r="V3408" s="156" t="n"/>
      <c r="W3408" s="156" t="n"/>
      <c r="X3408" s="156" t="n"/>
      <c r="Y3408" s="156" t="n"/>
      <c r="Z3408" s="156" t="n"/>
      <c r="AA3408" s="156" t="n"/>
      <c r="AB3408" s="156" t="n"/>
      <c r="AC3408" s="156" t="n"/>
      <c r="AD3408" s="156" t="n"/>
      <c r="AE3408" s="156" t="n"/>
      <c r="AF3408" s="156" t="n"/>
      <c r="AG3408" s="156" t="n"/>
      <c r="AH3408" s="156" t="n"/>
      <c r="AI3408" s="156" t="n"/>
      <c r="AJ3408" s="156" t="n"/>
      <c r="AK3408" s="156" t="n"/>
      <c r="AL3408" s="156" t="n"/>
      <c r="AM3408" s="156" t="n"/>
      <c r="AN3408" s="156" t="n"/>
      <c r="AO3408" s="156" t="n"/>
      <c r="AP3408" s="156" t="n"/>
      <c r="AQ3408" s="156" t="n"/>
      <c r="AR3408" s="156" t="n"/>
      <c r="AS3408" s="156" t="n"/>
      <c r="AT3408" s="156" t="n"/>
      <c r="AU3408" s="156" t="n"/>
      <c r="AV3408" s="156" t="n"/>
      <c r="AW3408" s="156" t="n"/>
      <c r="AX3408" s="156" t="n"/>
      <c r="AY3408" s="156" t="n"/>
      <c r="AZ3408" s="156" t="n"/>
      <c r="BA3408" s="156" t="n"/>
      <c r="BB3408" s="156" t="n"/>
      <c r="BC3408" s="156" t="n"/>
      <c r="BD3408" s="156" t="n"/>
      <c r="BE3408" s="156" t="n"/>
      <c r="BF3408" s="156" t="n"/>
      <c r="BG3408" s="156" t="n"/>
      <c r="BH3408" s="156" t="n"/>
      <c r="BI3408" s="157"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86"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3" t="n"/>
      <c r="BQ3414" s="149" t="n"/>
      <c r="BR3414" s="184" t="n"/>
      <c r="BS3414" s="149" t="n"/>
      <c r="BT3414" s="149" t="n"/>
      <c r="BU3414" s="28" t="n"/>
      <c r="BV3414" s="29" t="n"/>
      <c r="BW3414" s="185">
        <f>計算!$BP$40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115"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6"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107"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7">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188">
        <f>IF(入力!$D$42="","",設定!$B$6)&amp;""</f>
        <v/>
      </c>
      <c r="S3422" s="11" t="n"/>
      <c r="T3422" s="11" t="n"/>
      <c r="U3422" s="188">
        <f>IF(入力!$D$42="","",設定!$B$7)&amp;""</f>
        <v/>
      </c>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110" t="inlineStr">
        <is>
          <t>令和</t>
        </is>
      </c>
      <c r="S3423" s="61" t="inlineStr">
        <is>
          <t>年</t>
        </is>
      </c>
      <c r="W3423" s="62"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90"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5" t="n"/>
      <c r="F3427" s="156" t="n"/>
      <c r="G3427" s="156" t="n"/>
      <c r="H3427" s="156" t="n"/>
      <c r="I3427" s="156" t="n"/>
      <c r="J3427" s="156" t="n"/>
      <c r="K3427" s="157"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6" t="n"/>
      <c r="AX3427" s="156" t="n"/>
      <c r="AY3427" s="156" t="n"/>
      <c r="AZ3427" s="156" t="n"/>
      <c r="BA3427" s="156" t="n"/>
      <c r="BB3427" s="156" t="n"/>
      <c r="BC3427" s="156" t="n"/>
      <c r="BD3427" s="156" t="n"/>
      <c r="BE3427" s="156" t="n"/>
      <c r="BF3427" s="156" t="n"/>
      <c r="BG3427" s="156" t="n"/>
      <c r="BH3427" s="156" t="n"/>
      <c r="BI3427" s="157"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58" t="n"/>
      <c r="T3428" s="149" t="n"/>
      <c r="U3428" s="17" t="n"/>
      <c r="V3428" s="17" t="n"/>
      <c r="W3428" s="58"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89" t="inlineStr">
        <is>
          <t>職　歴</t>
        </is>
      </c>
      <c r="K3431" s="153" t="n"/>
      <c r="L3431" s="69" t="inlineStr">
        <is>
          <t>平成</t>
        </is>
      </c>
      <c r="M3431" s="149" t="n"/>
      <c r="N3431" s="149" t="n"/>
      <c r="O3431" s="149" t="n"/>
      <c r="P3431" s="19" t="n"/>
      <c r="Q3431" s="19" t="n"/>
      <c r="R3431" s="19" t="n"/>
      <c r="S3431" s="19" t="n"/>
      <c r="T3431" s="19" t="n"/>
      <c r="U3431" s="19" t="n"/>
      <c r="V3431" s="19" t="n"/>
      <c r="W3431" s="19" t="n"/>
      <c r="X3431" s="37" t="n"/>
      <c r="Y3431" s="180">
        <f>計算!$BT$40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8">
        <f>計算!$BR$40</f>
        <v/>
      </c>
      <c r="S3433" s="61" t="inlineStr">
        <is>
          <t>年</t>
        </is>
      </c>
      <c r="U3433" s="190">
        <f>計算!$BS$40</f>
        <v/>
      </c>
      <c r="W3433" s="62"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74"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5" t="n"/>
      <c r="M3436" s="156" t="n"/>
      <c r="N3436" s="156" t="n"/>
      <c r="O3436" s="156" t="n"/>
      <c r="P3436" s="20" t="n"/>
      <c r="Q3436" s="20" t="n"/>
      <c r="R3436" s="20" t="n"/>
      <c r="S3436" s="20" t="n"/>
      <c r="T3436" s="20" t="n"/>
      <c r="U3436" s="20" t="n"/>
      <c r="V3436" s="20" t="n"/>
      <c r="W3436" s="20" t="n"/>
      <c r="X3436" s="39" t="n"/>
      <c r="Y3436" s="155" t="n"/>
      <c r="Z3436" s="156" t="n"/>
      <c r="AA3436" s="156" t="n"/>
      <c r="AB3436" s="156" t="n"/>
      <c r="AC3436" s="156" t="n"/>
      <c r="AD3436" s="156" t="n"/>
      <c r="AE3436" s="156" t="n"/>
      <c r="AF3436" s="156" t="n"/>
      <c r="AG3436" s="156" t="n"/>
      <c r="AH3436" s="156" t="n"/>
      <c r="AI3436" s="156" t="n"/>
      <c r="AJ3436" s="156" t="n"/>
      <c r="AK3436" s="156" t="n"/>
      <c r="AL3436" s="156" t="n"/>
      <c r="AM3436" s="156" t="n"/>
      <c r="AN3436" s="156" t="n"/>
      <c r="AO3436" s="156" t="n"/>
      <c r="AP3436" s="156" t="n"/>
      <c r="AQ3436" s="156" t="n"/>
      <c r="AR3436" s="156" t="n"/>
      <c r="AS3436" s="156" t="n"/>
      <c r="AT3436" s="156" t="n"/>
      <c r="AU3436" s="156" t="n"/>
      <c r="AV3436" s="156" t="n"/>
      <c r="AW3436" s="156" t="n"/>
      <c r="AX3436" s="156" t="n"/>
      <c r="AY3436" s="156" t="n"/>
      <c r="AZ3436" s="156" t="n"/>
      <c r="BA3436" s="156" t="n"/>
      <c r="BB3436" s="156" t="n"/>
      <c r="BC3436" s="156" t="n"/>
      <c r="BD3436" s="156" t="n"/>
      <c r="BE3436" s="156" t="n"/>
      <c r="BF3436" s="156" t="n"/>
      <c r="BG3436" s="156" t="n"/>
      <c r="BH3436" s="156" t="n"/>
      <c r="BI3436" s="157"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69" t="inlineStr">
        <is>
          <t>平成</t>
        </is>
      </c>
      <c r="M3437" s="149" t="n"/>
      <c r="N3437" s="149" t="n"/>
      <c r="O3437" s="149" t="n"/>
      <c r="P3437" s="18" t="n"/>
      <c r="Q3437" s="18" t="n"/>
      <c r="R3437" s="18" t="n"/>
      <c r="S3437" s="18" t="n"/>
      <c r="T3437" s="18" t="n"/>
      <c r="U3437" s="18" t="n"/>
      <c r="V3437" s="18" t="n"/>
      <c r="W3437" s="18" t="n"/>
      <c r="X3437" s="35" t="n"/>
      <c r="Y3437" s="180">
        <f>計算!$BW$40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8">
        <f>計算!$BU$40</f>
        <v/>
      </c>
      <c r="S3439" s="61" t="inlineStr">
        <is>
          <t>年</t>
        </is>
      </c>
      <c r="U3439" s="190">
        <f>計算!$BV$40</f>
        <v/>
      </c>
      <c r="W3439" s="62"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74"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5" t="n"/>
      <c r="M3442" s="156" t="n"/>
      <c r="N3442" s="156" t="n"/>
      <c r="O3442" s="156" t="n"/>
      <c r="P3442" s="20" t="n"/>
      <c r="Q3442" s="20" t="n"/>
      <c r="R3442" s="20" t="n"/>
      <c r="S3442" s="20" t="n"/>
      <c r="T3442" s="20" t="n"/>
      <c r="U3442" s="20" t="n"/>
      <c r="V3442" s="20" t="n"/>
      <c r="W3442" s="20" t="n"/>
      <c r="X3442" s="39" t="n"/>
      <c r="Y3442" s="155" t="n"/>
      <c r="Z3442" s="156" t="n"/>
      <c r="AA3442" s="156" t="n"/>
      <c r="AB3442" s="156" t="n"/>
      <c r="AC3442" s="156" t="n"/>
      <c r="AD3442" s="156" t="n"/>
      <c r="AE3442" s="156" t="n"/>
      <c r="AF3442" s="156" t="n"/>
      <c r="AG3442" s="156" t="n"/>
      <c r="AH3442" s="156" t="n"/>
      <c r="AI3442" s="156" t="n"/>
      <c r="AJ3442" s="156" t="n"/>
      <c r="AK3442" s="156" t="n"/>
      <c r="AL3442" s="156" t="n"/>
      <c r="AM3442" s="156" t="n"/>
      <c r="AN3442" s="156" t="n"/>
      <c r="AO3442" s="156" t="n"/>
      <c r="AP3442" s="156" t="n"/>
      <c r="AQ3442" s="156" t="n"/>
      <c r="AR3442" s="156" t="n"/>
      <c r="AS3442" s="156" t="n"/>
      <c r="AT3442" s="156" t="n"/>
      <c r="AU3442" s="156" t="n"/>
      <c r="AV3442" s="156" t="n"/>
      <c r="AW3442" s="156" t="n"/>
      <c r="AX3442" s="156" t="n"/>
      <c r="AY3442" s="156" t="n"/>
      <c r="AZ3442" s="156" t="n"/>
      <c r="BA3442" s="156" t="n"/>
      <c r="BB3442" s="156" t="n"/>
      <c r="BC3442" s="156" t="n"/>
      <c r="BD3442" s="156" t="n"/>
      <c r="BE3442" s="156" t="n"/>
      <c r="BF3442" s="156" t="n"/>
      <c r="BG3442" s="156" t="n"/>
      <c r="BH3442" s="156" t="n"/>
      <c r="BI3442" s="157" t="n"/>
      <c r="BJ3442" s="2" t="n"/>
      <c r="BK3442" s="2" t="n"/>
      <c r="BL3442" s="2" t="n"/>
      <c r="BM3442" s="2" t="n"/>
      <c r="BN3442" s="2" t="n"/>
      <c r="BO3442" s="2" t="n"/>
      <c r="BP3442" s="155" t="n"/>
      <c r="BQ3442" s="156" t="n"/>
      <c r="BR3442" s="156" t="n"/>
      <c r="BS3442" s="156" t="n"/>
      <c r="BT3442" s="156" t="n"/>
      <c r="BU3442" s="42" t="n"/>
      <c r="BV3442" s="45" t="n"/>
      <c r="BW3442" s="156" t="n"/>
      <c r="BX3442" s="156" t="n"/>
      <c r="BY3442" s="156" t="n"/>
      <c r="BZ3442" s="156" t="n"/>
      <c r="CA3442" s="156" t="n"/>
      <c r="CB3442" s="156" t="n"/>
      <c r="CC3442" s="156" t="n"/>
      <c r="CD3442" s="156" t="n"/>
      <c r="CE3442" s="156" t="n"/>
      <c r="CF3442" s="156" t="n"/>
      <c r="CG3442" s="156" t="n"/>
      <c r="CH3442" s="156" t="n"/>
      <c r="CI3442" s="156" t="n"/>
      <c r="CJ3442" s="156" t="n"/>
      <c r="CK3442" s="156" t="n"/>
      <c r="CL3442" s="156" t="n"/>
      <c r="CM3442" s="156" t="n"/>
      <c r="CN3442" s="156" t="n"/>
      <c r="CO3442" s="156" t="n"/>
      <c r="CP3442" s="156" t="n"/>
      <c r="CQ3442" s="156" t="n"/>
      <c r="CR3442" s="156" t="n"/>
      <c r="CS3442" s="156" t="n"/>
      <c r="CT3442" s="156" t="n"/>
      <c r="CU3442" s="156" t="n"/>
      <c r="CV3442" s="156" t="n"/>
      <c r="CW3442" s="156" t="n"/>
      <c r="CX3442" s="156" t="n"/>
      <c r="CY3442" s="156" t="n"/>
      <c r="CZ3442" s="156" t="n"/>
      <c r="DA3442" s="156" t="n"/>
      <c r="DB3442" s="156" t="n"/>
      <c r="DC3442" s="156" t="n"/>
      <c r="DD3442" s="156" t="n"/>
      <c r="DE3442" s="156" t="n"/>
      <c r="DF3442" s="156" t="n"/>
      <c r="DG3442" s="156" t="n"/>
      <c r="DH3442" s="156" t="n"/>
      <c r="DI3442" s="156" t="n"/>
      <c r="DJ3442" s="156" t="n"/>
      <c r="DK3442" s="156" t="n"/>
      <c r="DL3442" s="156" t="n"/>
      <c r="DM3442" s="156" t="n"/>
      <c r="DN3442" s="156" t="n"/>
      <c r="DO3442" s="156" t="n"/>
      <c r="DP3442" s="156" t="n"/>
      <c r="DQ3442" s="156" t="n"/>
      <c r="DR3442" s="156" t="n"/>
      <c r="DS3442" s="156" t="n"/>
      <c r="DT3442" s="156" t="n"/>
      <c r="DU3442" s="157" t="n"/>
      <c r="DV3442" s="2" t="n"/>
      <c r="DW3442" s="2" t="n"/>
      <c r="DX3442" s="2" t="n"/>
      <c r="DY3442" s="2" t="n"/>
      <c r="DZ3442" s="2" t="n"/>
      <c r="EA3442" s="2" t="n"/>
      <c r="EB3442" s="2" t="n"/>
      <c r="EC3442" s="2" t="n"/>
    </row>
    <row r="3443" ht="6.75" customHeight="1" s="118">
      <c r="A3443" s="2" t="n"/>
      <c r="B3443" s="2" t="n"/>
      <c r="C3443" s="2" t="n"/>
      <c r="D3443" s="2" t="n"/>
      <c r="E3443" s="152" t="n"/>
      <c r="K3443" s="153" t="n"/>
      <c r="L3443" s="69"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5">
        <f>計算!$BQ$40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61" t="inlineStr">
        <is>
          <t>年</t>
        </is>
      </c>
      <c r="U3445" s="11" t="n"/>
      <c r="V3445" s="11" t="n"/>
      <c r="W3445" s="62"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74"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5" t="n"/>
      <c r="M3448" s="156" t="n"/>
      <c r="N3448" s="156" t="n"/>
      <c r="O3448" s="156"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69"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61" t="inlineStr">
        <is>
          <t>年</t>
        </is>
      </c>
      <c r="U3451" s="11" t="n"/>
      <c r="V3451" s="11" t="n"/>
      <c r="W3451" s="62"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74"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61" t="n"/>
      <c r="T3453" s="61" t="n"/>
      <c r="U3453" s="11" t="n"/>
      <c r="V3453" s="11" t="n"/>
      <c r="W3453" s="61" t="n"/>
      <c r="X3453" s="62"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5" t="n"/>
      <c r="F3454" s="156" t="n"/>
      <c r="G3454" s="156" t="n"/>
      <c r="H3454" s="156" t="n"/>
      <c r="I3454" s="156" t="n"/>
      <c r="J3454" s="156" t="n"/>
      <c r="K3454" s="157" t="n"/>
      <c r="L3454" s="155" t="n"/>
      <c r="M3454" s="156" t="n"/>
      <c r="N3454" s="156" t="n"/>
      <c r="O3454" s="156"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5" t="n"/>
      <c r="BQ3454" s="156" t="n"/>
      <c r="BR3454" s="156" t="n"/>
      <c r="BS3454" s="156" t="n"/>
      <c r="BT3454" s="156" t="n"/>
      <c r="BU3454" s="156" t="n"/>
      <c r="BV3454" s="157" t="n"/>
      <c r="BW3454" s="156" t="n"/>
      <c r="BX3454" s="156" t="n"/>
      <c r="BY3454" s="156" t="n"/>
      <c r="BZ3454" s="156" t="n"/>
      <c r="CA3454" s="156" t="n"/>
      <c r="CB3454" s="156" t="n"/>
      <c r="CC3454" s="156" t="n"/>
      <c r="CD3454" s="156" t="n"/>
      <c r="CE3454" s="156" t="n"/>
      <c r="CF3454" s="156" t="n"/>
      <c r="CG3454" s="156" t="n"/>
      <c r="CH3454" s="156" t="n"/>
      <c r="CI3454" s="156" t="n"/>
      <c r="CJ3454" s="156" t="n"/>
      <c r="CK3454" s="156" t="n"/>
      <c r="CL3454" s="156" t="n"/>
      <c r="CM3454" s="156" t="n"/>
      <c r="CN3454" s="156" t="n"/>
      <c r="CO3454" s="156" t="n"/>
      <c r="CP3454" s="156" t="n"/>
      <c r="CQ3454" s="156" t="n"/>
      <c r="CR3454" s="156" t="n"/>
      <c r="CS3454" s="156" t="n"/>
      <c r="CT3454" s="156" t="n"/>
      <c r="CU3454" s="156" t="n"/>
      <c r="CV3454" s="156" t="n"/>
      <c r="CW3454" s="156" t="n"/>
      <c r="CX3454" s="156" t="n"/>
      <c r="CY3454" s="156" t="n"/>
      <c r="CZ3454" s="156" t="n"/>
      <c r="DA3454" s="156" t="n"/>
      <c r="DB3454" s="156" t="n"/>
      <c r="DC3454" s="156" t="n"/>
      <c r="DD3454" s="156" t="n"/>
      <c r="DE3454" s="156" t="n"/>
      <c r="DF3454" s="156" t="n"/>
      <c r="DG3454" s="156" t="n"/>
      <c r="DH3454" s="156" t="n"/>
      <c r="DI3454" s="156" t="n"/>
      <c r="DJ3454" s="156" t="n"/>
      <c r="DK3454" s="156" t="n"/>
      <c r="DL3454" s="156" t="n"/>
      <c r="DM3454" s="156" t="n"/>
      <c r="DN3454" s="156" t="n"/>
      <c r="DO3454" s="156" t="n"/>
      <c r="DP3454" s="156" t="n"/>
      <c r="DQ3454" s="156" t="n"/>
      <c r="DR3454" s="156" t="n"/>
      <c r="DS3454" s="156" t="n"/>
      <c r="DT3454" s="156" t="n"/>
      <c r="DU3454" s="157"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87" t="inlineStr">
        <is>
          <t xml:space="preserve">    (近畿高等学校統一用紙　  その２ 　  令和７年度改定)　</t>
        </is>
      </c>
      <c r="DV3456" s="2" t="n"/>
      <c r="DW3456" s="2" t="n"/>
      <c r="DX3456" s="2" t="n"/>
      <c r="DY3456" s="2" t="n"/>
      <c r="DZ3456" s="2" t="n"/>
      <c r="EA3456" s="2" t="n"/>
      <c r="EB3456" s="2" t="n"/>
      <c r="EC3456" s="2" t="n"/>
    </row>
    <row r="3457" hidden="1"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idden="1"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47"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64" t="inlineStr">
        <is>
          <t>令和</t>
        </is>
      </c>
      <c r="AD3466" s="154">
        <f>IF(入力!$D$43="","",IF(N(設定!$B$3)=0,"",YEAR(設定!$B$3)-2018))&amp;""</f>
        <v/>
      </c>
      <c r="AG3466" s="64" t="inlineStr">
        <is>
          <t>年</t>
        </is>
      </c>
      <c r="AI3466" s="154">
        <f>IF(入力!$D$43="","",IF(N(設定!$B$3)=0,"",MONTH(設定!$B$3)))&amp;""</f>
        <v/>
      </c>
      <c r="AL3466" s="64" t="inlineStr">
        <is>
          <t>月</t>
        </is>
      </c>
      <c r="AN3466" s="154">
        <f>IF(入力!$D$43="","",IF(N(設定!$B$3)=0,"",DAY(設定!$B$3)))&amp;""</f>
        <v/>
      </c>
      <c r="AP3466" s="64"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5" t="n"/>
      <c r="BX3466" s="156" t="n"/>
      <c r="BY3466" s="156" t="n"/>
      <c r="BZ3466" s="156" t="n"/>
      <c r="CA3466" s="156" t="n"/>
      <c r="CB3466" s="156" t="n"/>
      <c r="CC3466" s="156" t="n"/>
      <c r="CD3466" s="156" t="n"/>
      <c r="CE3466" s="156" t="n"/>
      <c r="CF3466" s="156" t="n"/>
      <c r="CG3466" s="157" t="n"/>
      <c r="CH3466" s="155" t="n"/>
      <c r="CI3466" s="156" t="n"/>
      <c r="CJ3466" s="156" t="n"/>
      <c r="CK3466" s="156" t="n"/>
      <c r="CL3466" s="156" t="n"/>
      <c r="CM3466" s="156" t="n"/>
      <c r="CN3466" s="156" t="n"/>
      <c r="CO3466" s="156" t="n"/>
      <c r="CP3466" s="156" t="n"/>
      <c r="CQ3466" s="156" t="n"/>
      <c r="CR3466" s="156" t="n"/>
      <c r="CS3466" s="156" t="n"/>
      <c r="CT3466" s="156" t="n"/>
      <c r="CU3466" s="156" t="n"/>
      <c r="CV3466" s="156" t="n"/>
      <c r="CW3466" s="156" t="n"/>
      <c r="CX3466" s="156" t="n"/>
      <c r="CY3466" s="156" t="n"/>
      <c r="CZ3466" s="156" t="n"/>
      <c r="DA3466" s="156" t="n"/>
      <c r="DB3466" s="156" t="n"/>
      <c r="DC3466" s="156" t="n"/>
      <c r="DD3466" s="156" t="n"/>
      <c r="DE3466" s="156" t="n"/>
      <c r="DF3466" s="156" t="n"/>
      <c r="DG3466" s="156" t="n"/>
      <c r="DH3466" s="156" t="n"/>
      <c r="DI3466" s="156" t="n"/>
      <c r="DJ3466" s="156" t="n"/>
      <c r="DK3466" s="156" t="n"/>
      <c r="DL3466" s="156" t="n"/>
      <c r="DM3466" s="156" t="n"/>
      <c r="DN3466" s="156" t="n"/>
      <c r="DO3466" s="156" t="n"/>
      <c r="DP3466" s="156" t="n"/>
      <c r="DQ3466" s="156" t="n"/>
      <c r="DR3466" s="156" t="n"/>
      <c r="DS3466" s="156" t="n"/>
      <c r="DT3466" s="156" t="n"/>
      <c r="DU3466" s="157"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68" t="inlineStr">
        <is>
          <t>写真をはる位置</t>
        </is>
      </c>
      <c r="BI3467" s="8" t="n"/>
      <c r="BJ3467" s="7" t="n"/>
      <c r="BK3467" s="2" t="n"/>
      <c r="BL3467" s="2" t="n"/>
      <c r="BM3467" s="2" t="n"/>
      <c r="BN3467" s="2" t="n"/>
      <c r="BO3467" s="2" t="n"/>
      <c r="BP3467" s="152" t="n"/>
      <c r="BV3467" s="153" t="n"/>
      <c r="BW3467" s="158">
        <f>計算!$CB$41</f>
        <v/>
      </c>
      <c r="CG3467" s="153" t="n"/>
      <c r="CH3467" s="159">
        <f>計算!$CC$41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6" t="n"/>
      <c r="AA3468" s="156" t="n"/>
      <c r="AB3468" s="156" t="n"/>
      <c r="AC3468" s="156" t="n"/>
      <c r="AD3468" s="156" t="n"/>
      <c r="AE3468" s="156" t="n"/>
      <c r="AF3468" s="156" t="n"/>
      <c r="AG3468" s="156" t="n"/>
      <c r="AH3468" s="156" t="n"/>
      <c r="AI3468" s="156" t="n"/>
      <c r="AJ3468" s="156" t="n"/>
      <c r="AK3468" s="156" t="n"/>
      <c r="AL3468" s="156" t="n"/>
      <c r="AM3468" s="156" t="n"/>
      <c r="AN3468" s="156" t="n"/>
      <c r="AO3468" s="156" t="n"/>
      <c r="AP3468" s="156" t="n"/>
      <c r="AQ3468" s="156" t="n"/>
      <c r="AR3468" s="156" t="n"/>
      <c r="AS3468" s="156" t="n"/>
      <c r="AT3468" s="156"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0">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5" t="n"/>
      <c r="F3472" s="156" t="n"/>
      <c r="G3472" s="156" t="n"/>
      <c r="H3472" s="156" t="n"/>
      <c r="I3472" s="156" t="n"/>
      <c r="J3472" s="156" t="n"/>
      <c r="K3472" s="157" t="n"/>
      <c r="L3472" s="156" t="n"/>
      <c r="M3472" s="156" t="n"/>
      <c r="N3472" s="156" t="n"/>
      <c r="O3472" s="156" t="n"/>
      <c r="P3472" s="156" t="n"/>
      <c r="Q3472" s="156" t="n"/>
      <c r="R3472" s="156" t="n"/>
      <c r="S3472" s="156" t="n"/>
      <c r="T3472" s="156" t="n"/>
      <c r="U3472" s="156" t="n"/>
      <c r="V3472" s="156" t="n"/>
      <c r="W3472" s="156" t="n"/>
      <c r="X3472" s="156" t="n"/>
      <c r="Y3472" s="156" t="n"/>
      <c r="Z3472" s="156" t="n"/>
      <c r="AA3472" s="156" t="n"/>
      <c r="AB3472" s="156" t="n"/>
      <c r="AC3472" s="156" t="n"/>
      <c r="AD3472" s="156" t="n"/>
      <c r="AE3472" s="156" t="n"/>
      <c r="AF3472" s="156" t="n"/>
      <c r="AG3472" s="156" t="n"/>
      <c r="AH3472" s="156" t="n"/>
      <c r="AI3472" s="156" t="n"/>
      <c r="AJ3472" s="156" t="n"/>
      <c r="AK3472" s="156" t="n"/>
      <c r="AL3472" s="156" t="n"/>
      <c r="AM3472" s="156" t="n"/>
      <c r="AN3472" s="156" t="n"/>
      <c r="AO3472" s="156" t="n"/>
      <c r="AP3472" s="156" t="n"/>
      <c r="AQ3472" s="156" t="n"/>
      <c r="AR3472" s="156" t="n"/>
      <c r="AS3472" s="156" t="n"/>
      <c r="AT3472" s="157"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1" t="inlineStr">
        <is>
          <t>名　前</t>
        </is>
      </c>
      <c r="F3473" s="149" t="n"/>
      <c r="G3473" s="149" t="n"/>
      <c r="H3473" s="149" t="n"/>
      <c r="I3473" s="149" t="n"/>
      <c r="J3473" s="149" t="n"/>
      <c r="K3473" s="150" t="n"/>
      <c r="L3473" s="162">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61"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5" t="n"/>
      <c r="F3478" s="156" t="n"/>
      <c r="G3478" s="156" t="n"/>
      <c r="H3478" s="156" t="n"/>
      <c r="I3478" s="156" t="n"/>
      <c r="J3478" s="156" t="n"/>
      <c r="K3478" s="157" t="n"/>
      <c r="L3478" s="155" t="n"/>
      <c r="M3478" s="156" t="n"/>
      <c r="N3478" s="156" t="n"/>
      <c r="O3478" s="156" t="n"/>
      <c r="P3478" s="156" t="n"/>
      <c r="Q3478" s="156" t="n"/>
      <c r="R3478" s="156" t="n"/>
      <c r="S3478" s="156" t="n"/>
      <c r="T3478" s="156" t="n"/>
      <c r="U3478" s="156" t="n"/>
      <c r="V3478" s="156" t="n"/>
      <c r="W3478" s="156" t="n"/>
      <c r="X3478" s="156" t="n"/>
      <c r="Y3478" s="156" t="n"/>
      <c r="Z3478" s="156" t="n"/>
      <c r="AA3478" s="156" t="n"/>
      <c r="AB3478" s="156" t="n"/>
      <c r="AC3478" s="156" t="n"/>
      <c r="AD3478" s="156" t="n"/>
      <c r="AE3478" s="156" t="n"/>
      <c r="AF3478" s="156" t="n"/>
      <c r="AG3478" s="156" t="n"/>
      <c r="AH3478" s="156" t="n"/>
      <c r="AI3478" s="156" t="n"/>
      <c r="AJ3478" s="156" t="n"/>
      <c r="AK3478" s="156" t="n"/>
      <c r="AL3478" s="156" t="n"/>
      <c r="AM3478" s="156" t="n"/>
      <c r="AN3478" s="156" t="n"/>
      <c r="AO3478" s="156" t="n"/>
      <c r="AP3478" s="156" t="n"/>
      <c r="AQ3478" s="156" t="n"/>
      <c r="AR3478" s="156" t="n"/>
      <c r="AS3478" s="156" t="n"/>
      <c r="AT3478" s="157"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1" t="inlineStr">
        <is>
          <t>生年月日</t>
        </is>
      </c>
      <c r="F3479" s="149" t="n"/>
      <c r="G3479" s="149" t="n"/>
      <c r="H3479" s="149" t="n"/>
      <c r="I3479" s="149" t="n"/>
      <c r="J3479" s="149" t="n"/>
      <c r="K3479" s="150" t="n"/>
      <c r="L3479" s="163" t="inlineStr">
        <is>
          <t>昭和 ・ 平成</t>
        </is>
      </c>
      <c r="M3479" s="149" t="n"/>
      <c r="N3479" s="149" t="n"/>
      <c r="O3479" s="149" t="n"/>
      <c r="P3479" s="149" t="n"/>
      <c r="Q3479" s="149" t="n"/>
      <c r="R3479" s="149" t="n"/>
      <c r="S3479" s="149" t="n"/>
      <c r="T3479" s="149" t="n"/>
      <c r="U3479" s="149" t="n"/>
      <c r="V3479" s="164">
        <f>計算!$D$41</f>
        <v/>
      </c>
      <c r="W3479" s="149" t="n"/>
      <c r="X3479" s="165" t="inlineStr">
        <is>
          <t>年</t>
        </is>
      </c>
      <c r="Y3479" s="149" t="n"/>
      <c r="Z3479" s="166">
        <f>計算!$E$41</f>
        <v/>
      </c>
      <c r="AA3479" s="149" t="n"/>
      <c r="AB3479" s="149" t="n"/>
      <c r="AC3479" s="165" t="inlineStr">
        <is>
          <t>月</t>
        </is>
      </c>
      <c r="AD3479" s="149" t="n"/>
      <c r="AE3479" s="166">
        <f>計算!$F$41</f>
        <v/>
      </c>
      <c r="AF3479" s="149" t="n"/>
      <c r="AG3479" s="149" t="n"/>
      <c r="AH3479" s="165" t="inlineStr">
        <is>
          <t>日　生 （満</t>
        </is>
      </c>
      <c r="AI3479" s="149" t="n"/>
      <c r="AJ3479" s="149" t="n"/>
      <c r="AK3479" s="149" t="n"/>
      <c r="AL3479" s="149" t="n"/>
      <c r="AM3479" s="149" t="n"/>
      <c r="AN3479" s="149" t="n"/>
      <c r="AO3479" s="149" t="n"/>
      <c r="AP3479" s="167">
        <f>計算!$G$41</f>
        <v/>
      </c>
      <c r="AQ3479" s="149" t="n"/>
      <c r="AR3479" s="168"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5" t="n"/>
      <c r="F3482" s="156" t="n"/>
      <c r="G3482" s="156" t="n"/>
      <c r="H3482" s="156" t="n"/>
      <c r="I3482" s="156" t="n"/>
      <c r="J3482" s="156" t="n"/>
      <c r="K3482" s="157" t="n"/>
      <c r="L3482" s="155" t="n"/>
      <c r="M3482" s="156" t="n"/>
      <c r="N3482" s="156" t="n"/>
      <c r="O3482" s="156" t="n"/>
      <c r="P3482" s="156" t="n"/>
      <c r="Q3482" s="156" t="n"/>
      <c r="R3482" s="156" t="n"/>
      <c r="S3482" s="156" t="n"/>
      <c r="T3482" s="156" t="n"/>
      <c r="U3482" s="156" t="n"/>
      <c r="X3482" s="156" t="n"/>
      <c r="Y3482" s="156" t="n"/>
      <c r="AC3482" s="156" t="n"/>
      <c r="AD3482" s="156" t="n"/>
      <c r="AH3482" s="156" t="n"/>
      <c r="AI3482" s="156" t="n"/>
      <c r="AJ3482" s="156" t="n"/>
      <c r="AK3482" s="156" t="n"/>
      <c r="AL3482" s="156" t="n"/>
      <c r="AM3482" s="156" t="n"/>
      <c r="AN3482" s="156" t="n"/>
      <c r="AO3482" s="156" t="n"/>
      <c r="AP3482" s="156" t="n"/>
      <c r="AQ3482" s="156" t="n"/>
      <c r="AR3482" s="156" t="n"/>
      <c r="AS3482" s="156" t="n"/>
      <c r="AT3482" s="157"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69" t="inlineStr">
        <is>
          <t>ふ り が な</t>
        </is>
      </c>
      <c r="F3483" s="149" t="n"/>
      <c r="G3483" s="149" t="n"/>
      <c r="H3483" s="149" t="n"/>
      <c r="I3483" s="149" t="n"/>
      <c r="J3483" s="149" t="n"/>
      <c r="K3483" s="150" t="n"/>
      <c r="L3483" s="170">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1" t="n"/>
      <c r="F3485" s="172" t="n"/>
      <c r="G3485" s="172" t="n"/>
      <c r="H3485" s="172" t="n"/>
      <c r="I3485" s="172" t="n"/>
      <c r="J3485" s="172" t="n"/>
      <c r="K3485" s="173" t="n"/>
      <c r="L3485" s="172" t="n"/>
      <c r="M3485" s="172" t="n"/>
      <c r="N3485" s="172" t="n"/>
      <c r="O3485" s="172" t="n"/>
      <c r="P3485" s="172" t="n"/>
      <c r="Q3485" s="172" t="n"/>
      <c r="R3485" s="172" t="n"/>
      <c r="S3485" s="172" t="n"/>
      <c r="T3485" s="172" t="n"/>
      <c r="U3485" s="172" t="n"/>
      <c r="V3485" s="172" t="n"/>
      <c r="W3485" s="172" t="n"/>
      <c r="X3485" s="172" t="n"/>
      <c r="Y3485" s="172" t="n"/>
      <c r="Z3485" s="172" t="n"/>
      <c r="AA3485" s="172" t="n"/>
      <c r="AB3485" s="172" t="n"/>
      <c r="AC3485" s="172" t="n"/>
      <c r="AD3485" s="172" t="n"/>
      <c r="AE3485" s="172" t="n"/>
      <c r="AF3485" s="172" t="n"/>
      <c r="AG3485" s="172" t="n"/>
      <c r="AH3485" s="172" t="n"/>
      <c r="AI3485" s="172" t="n"/>
      <c r="AJ3485" s="172" t="n"/>
      <c r="AK3485" s="172" t="n"/>
      <c r="AL3485" s="172" t="n"/>
      <c r="AM3485" s="172" t="n"/>
      <c r="AN3485" s="172" t="n"/>
      <c r="AO3485" s="172" t="n"/>
      <c r="AP3485" s="172" t="n"/>
      <c r="AQ3485" s="172" t="n"/>
      <c r="AR3485" s="172" t="n"/>
      <c r="AS3485" s="172" t="n"/>
      <c r="AT3485" s="172" t="n"/>
      <c r="AU3485" s="172" t="n"/>
      <c r="AV3485" s="172" t="n"/>
      <c r="AW3485" s="172" t="n"/>
      <c r="AX3485" s="172" t="n"/>
      <c r="AY3485" s="172" t="n"/>
      <c r="AZ3485" s="172" t="n"/>
      <c r="BA3485" s="172" t="n"/>
      <c r="BB3485" s="172" t="n"/>
      <c r="BC3485" s="172" t="n"/>
      <c r="BD3485" s="172" t="n"/>
      <c r="BE3485" s="172" t="n"/>
      <c r="BF3485" s="172" t="n"/>
      <c r="BG3485" s="172" t="n"/>
      <c r="BH3485" s="172" t="n"/>
      <c r="BI3485" s="173"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4" t="inlineStr">
        <is>
          <t>現住所</t>
        </is>
      </c>
      <c r="F3486" s="175" t="n"/>
      <c r="G3486" s="175" t="n"/>
      <c r="H3486" s="175" t="n"/>
      <c r="I3486" s="175" t="n"/>
      <c r="J3486" s="175" t="n"/>
      <c r="K3486" s="176" t="n"/>
      <c r="L3486" s="83" t="inlineStr">
        <is>
          <t>〒</t>
        </is>
      </c>
      <c r="M3486" s="175" t="n"/>
      <c r="N3486" s="175" t="n"/>
      <c r="O3486" s="175" t="n"/>
      <c r="P3486" s="177">
        <f>計算!$H$41</f>
        <v/>
      </c>
      <c r="Q3486" s="175" t="n"/>
      <c r="R3486" s="175" t="n"/>
      <c r="S3486" s="175" t="n"/>
      <c r="T3486" s="175" t="n"/>
      <c r="U3486" s="175" t="n"/>
      <c r="V3486" s="175" t="n"/>
      <c r="W3486" s="175" t="n"/>
      <c r="X3486" s="175" t="n"/>
      <c r="Y3486" s="175" t="n"/>
      <c r="Z3486" s="175" t="n"/>
      <c r="AA3486" s="175" t="n"/>
      <c r="AB3486" s="175" t="n"/>
      <c r="AC3486" s="175" t="n"/>
      <c r="AD3486" s="175" t="n"/>
      <c r="AE3486" s="175" t="n"/>
      <c r="AF3486" s="175" t="n"/>
      <c r="AG3486" s="175" t="n"/>
      <c r="AH3486" s="175" t="n"/>
      <c r="AI3486" s="175" t="n"/>
      <c r="AJ3486" s="175"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5" t="n"/>
      <c r="BQ3487" s="156" t="n"/>
      <c r="BR3487" s="156" t="n"/>
      <c r="BS3487" s="156" t="n"/>
      <c r="BT3487" s="156" t="n"/>
      <c r="BU3487" s="156" t="n"/>
      <c r="BV3487" s="157" t="n"/>
      <c r="BW3487" s="155" t="n"/>
      <c r="BX3487" s="156" t="n"/>
      <c r="BY3487" s="156" t="n"/>
      <c r="BZ3487" s="156" t="n"/>
      <c r="CA3487" s="156" t="n"/>
      <c r="CB3487" s="156" t="n"/>
      <c r="CC3487" s="156" t="n"/>
      <c r="CD3487" s="156" t="n"/>
      <c r="CE3487" s="156" t="n"/>
      <c r="CF3487" s="156" t="n"/>
      <c r="CG3487" s="157"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8" t="inlineStr">
        <is>
          <t>校内外の諸活動</t>
        </is>
      </c>
      <c r="BQ3488" s="149" t="n"/>
      <c r="BR3488" s="149" t="n"/>
      <c r="BS3488" s="149" t="n"/>
      <c r="BT3488" s="149" t="n"/>
      <c r="BU3488" s="149" t="n"/>
      <c r="BV3488" s="150" t="n"/>
      <c r="BW3488" s="179">
        <f>計算!$BO$41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0">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5" t="n"/>
      <c r="F3491" s="156" t="n"/>
      <c r="G3491" s="156" t="n"/>
      <c r="H3491" s="156" t="n"/>
      <c r="I3491" s="156" t="n"/>
      <c r="J3491" s="156" t="n"/>
      <c r="K3491" s="157" t="n"/>
      <c r="L3491" s="155" t="n"/>
      <c r="M3491" s="156" t="n"/>
      <c r="N3491" s="156" t="n"/>
      <c r="O3491" s="156" t="n"/>
      <c r="P3491" s="156" t="n"/>
      <c r="Q3491" s="156" t="n"/>
      <c r="R3491" s="156" t="n"/>
      <c r="S3491" s="156" t="n"/>
      <c r="T3491" s="156" t="n"/>
      <c r="U3491" s="156" t="n"/>
      <c r="V3491" s="156" t="n"/>
      <c r="W3491" s="156" t="n"/>
      <c r="X3491" s="156" t="n"/>
      <c r="Y3491" s="156" t="n"/>
      <c r="Z3491" s="156" t="n"/>
      <c r="AA3491" s="156" t="n"/>
      <c r="AB3491" s="156" t="n"/>
      <c r="AC3491" s="156" t="n"/>
      <c r="AD3491" s="156" t="n"/>
      <c r="AE3491" s="156" t="n"/>
      <c r="AF3491" s="156" t="n"/>
      <c r="AG3491" s="156" t="n"/>
      <c r="AH3491" s="156" t="n"/>
      <c r="AI3491" s="156" t="n"/>
      <c r="AJ3491" s="156" t="n"/>
      <c r="AK3491" s="156" t="n"/>
      <c r="AL3491" s="156" t="n"/>
      <c r="AM3491" s="156" t="n"/>
      <c r="AN3491" s="156" t="n"/>
      <c r="AO3491" s="156" t="n"/>
      <c r="AP3491" s="156" t="n"/>
      <c r="AQ3491" s="156" t="n"/>
      <c r="AR3491" s="156" t="n"/>
      <c r="AS3491" s="156" t="n"/>
      <c r="AT3491" s="156" t="n"/>
      <c r="AU3491" s="156" t="n"/>
      <c r="AV3491" s="156" t="n"/>
      <c r="AW3491" s="156" t="n"/>
      <c r="AX3491" s="156" t="n"/>
      <c r="AY3491" s="156" t="n"/>
      <c r="AZ3491" s="156" t="n"/>
      <c r="BA3491" s="156" t="n"/>
      <c r="BB3491" s="156" t="n"/>
      <c r="BC3491" s="156" t="n"/>
      <c r="BD3491" s="156" t="n"/>
      <c r="BE3491" s="156" t="n"/>
      <c r="BF3491" s="156" t="n"/>
      <c r="BG3491" s="156" t="n"/>
      <c r="BH3491" s="156" t="n"/>
      <c r="BI3491" s="157"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69" t="inlineStr">
        <is>
          <t>ふ り が な</t>
        </is>
      </c>
      <c r="F3492" s="149" t="n"/>
      <c r="G3492" s="149" t="n"/>
      <c r="H3492" s="149" t="n"/>
      <c r="I3492" s="149" t="n"/>
      <c r="J3492" s="149" t="n"/>
      <c r="K3492" s="150" t="n"/>
      <c r="L3492" s="170">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1" t="n"/>
      <c r="F3494" s="172" t="n"/>
      <c r="G3494" s="172" t="n"/>
      <c r="H3494" s="172" t="n"/>
      <c r="I3494" s="172" t="n"/>
      <c r="J3494" s="172" t="n"/>
      <c r="K3494" s="173" t="n"/>
      <c r="L3494" s="172" t="n"/>
      <c r="M3494" s="172" t="n"/>
      <c r="N3494" s="172" t="n"/>
      <c r="O3494" s="172" t="n"/>
      <c r="P3494" s="172" t="n"/>
      <c r="Q3494" s="172" t="n"/>
      <c r="R3494" s="172" t="n"/>
      <c r="S3494" s="172" t="n"/>
      <c r="T3494" s="172" t="n"/>
      <c r="U3494" s="172" t="n"/>
      <c r="V3494" s="172" t="n"/>
      <c r="W3494" s="172" t="n"/>
      <c r="X3494" s="172" t="n"/>
      <c r="Y3494" s="172" t="n"/>
      <c r="Z3494" s="172" t="n"/>
      <c r="AA3494" s="172" t="n"/>
      <c r="AB3494" s="172" t="n"/>
      <c r="AC3494" s="172" t="n"/>
      <c r="AD3494" s="172" t="n"/>
      <c r="AE3494" s="172" t="n"/>
      <c r="AF3494" s="172" t="n"/>
      <c r="AG3494" s="172" t="n"/>
      <c r="AH3494" s="172" t="n"/>
      <c r="AI3494" s="172" t="n"/>
      <c r="AJ3494" s="172" t="n"/>
      <c r="AK3494" s="172" t="n"/>
      <c r="AL3494" s="172" t="n"/>
      <c r="AM3494" s="172" t="n"/>
      <c r="AN3494" s="172" t="n"/>
      <c r="AO3494" s="172" t="n"/>
      <c r="AP3494" s="172" t="n"/>
      <c r="AQ3494" s="172" t="n"/>
      <c r="AR3494" s="172" t="n"/>
      <c r="AS3494" s="172" t="n"/>
      <c r="AT3494" s="172" t="n"/>
      <c r="AU3494" s="172" t="n"/>
      <c r="AV3494" s="172" t="n"/>
      <c r="AW3494" s="172" t="n"/>
      <c r="AX3494" s="172" t="n"/>
      <c r="AY3494" s="172" t="n"/>
      <c r="AZ3494" s="172" t="n"/>
      <c r="BA3494" s="172" t="n"/>
      <c r="BB3494" s="172" t="n"/>
      <c r="BC3494" s="172" t="n"/>
      <c r="BD3494" s="172" t="n"/>
      <c r="BE3494" s="172" t="n"/>
      <c r="BF3494" s="172" t="n"/>
      <c r="BG3494" s="172" t="n"/>
      <c r="BH3494" s="172" t="n"/>
      <c r="BI3494" s="173"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4" t="inlineStr">
        <is>
          <t>連絡先</t>
        </is>
      </c>
      <c r="F3495" s="175" t="n"/>
      <c r="G3495" s="175" t="n"/>
      <c r="H3495" s="175" t="n"/>
      <c r="I3495" s="175" t="n"/>
      <c r="J3495" s="175" t="n"/>
      <c r="K3495" s="176" t="n"/>
      <c r="L3495" s="83" t="inlineStr">
        <is>
          <t>〒</t>
        </is>
      </c>
      <c r="M3495" s="175" t="n"/>
      <c r="N3495" s="175" t="n"/>
      <c r="O3495" s="175" t="n"/>
      <c r="P3495" s="181">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2">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5" t="n"/>
      <c r="F3499" s="156" t="n"/>
      <c r="G3499" s="156" t="n"/>
      <c r="H3499" s="156" t="n"/>
      <c r="I3499" s="156" t="n"/>
      <c r="J3499" s="156" t="n"/>
      <c r="K3499" s="157" t="n"/>
      <c r="L3499" s="156" t="n"/>
      <c r="M3499" s="156" t="n"/>
      <c r="N3499" s="156" t="n"/>
      <c r="O3499" s="156" t="n"/>
      <c r="P3499" s="156" t="n"/>
      <c r="Q3499" s="156" t="n"/>
      <c r="R3499" s="156" t="n"/>
      <c r="S3499" s="156" t="n"/>
      <c r="T3499" s="156" t="n"/>
      <c r="U3499" s="156" t="n"/>
      <c r="V3499" s="156" t="n"/>
      <c r="W3499" s="156" t="n"/>
      <c r="X3499" s="156" t="n"/>
      <c r="Y3499" s="156" t="n"/>
      <c r="Z3499" s="156" t="n"/>
      <c r="AA3499" s="156" t="n"/>
      <c r="AB3499" s="156" t="n"/>
      <c r="AC3499" s="156" t="n"/>
      <c r="AD3499" s="156" t="n"/>
      <c r="AE3499" s="156" t="n"/>
      <c r="AF3499" s="156" t="n"/>
      <c r="AG3499" s="156" t="n"/>
      <c r="AH3499" s="156" t="n"/>
      <c r="AI3499" s="156" t="n"/>
      <c r="AJ3499" s="156" t="n"/>
      <c r="AK3499" s="156" t="n"/>
      <c r="AL3499" s="156" t="n"/>
      <c r="AM3499" s="156" t="n"/>
      <c r="AN3499" s="156" t="n"/>
      <c r="AO3499" s="156" t="n"/>
      <c r="AP3499" s="156" t="n"/>
      <c r="AQ3499" s="156" t="n"/>
      <c r="AR3499" s="156" t="n"/>
      <c r="AS3499" s="156" t="n"/>
      <c r="AT3499" s="156" t="n"/>
      <c r="AU3499" s="156" t="n"/>
      <c r="AV3499" s="156" t="n"/>
      <c r="AW3499" s="156" t="n"/>
      <c r="AX3499" s="156" t="n"/>
      <c r="AY3499" s="156" t="n"/>
      <c r="AZ3499" s="156" t="n"/>
      <c r="BA3499" s="156" t="n"/>
      <c r="BB3499" s="156" t="n"/>
      <c r="BC3499" s="156" t="n"/>
      <c r="BD3499" s="156" t="n"/>
      <c r="BE3499" s="156" t="n"/>
      <c r="BF3499" s="156" t="n"/>
      <c r="BG3499" s="156" t="n"/>
      <c r="BH3499" s="156" t="n"/>
      <c r="BI3499" s="157"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86"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3" t="n"/>
      <c r="BQ3505" s="149" t="n"/>
      <c r="BR3505" s="184" t="n"/>
      <c r="BS3505" s="149" t="n"/>
      <c r="BT3505" s="149" t="n"/>
      <c r="BU3505" s="28" t="n"/>
      <c r="BV3505" s="29" t="n"/>
      <c r="BW3505" s="185">
        <f>計算!$BP$41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115"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6"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107"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7">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188">
        <f>IF(入力!$D$43="","",設定!$B$6)&amp;""</f>
        <v/>
      </c>
      <c r="S3513" s="11" t="n"/>
      <c r="T3513" s="11" t="n"/>
      <c r="U3513" s="188">
        <f>IF(入力!$D$43="","",設定!$B$7)&amp;""</f>
        <v/>
      </c>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110" t="inlineStr">
        <is>
          <t>令和</t>
        </is>
      </c>
      <c r="S3514" s="61" t="inlineStr">
        <is>
          <t>年</t>
        </is>
      </c>
      <c r="W3514" s="62"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90"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5" t="n"/>
      <c r="F3518" s="156" t="n"/>
      <c r="G3518" s="156" t="n"/>
      <c r="H3518" s="156" t="n"/>
      <c r="I3518" s="156" t="n"/>
      <c r="J3518" s="156" t="n"/>
      <c r="K3518" s="157"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6" t="n"/>
      <c r="AX3518" s="156" t="n"/>
      <c r="AY3518" s="156" t="n"/>
      <c r="AZ3518" s="156" t="n"/>
      <c r="BA3518" s="156" t="n"/>
      <c r="BB3518" s="156" t="n"/>
      <c r="BC3518" s="156" t="n"/>
      <c r="BD3518" s="156" t="n"/>
      <c r="BE3518" s="156" t="n"/>
      <c r="BF3518" s="156" t="n"/>
      <c r="BG3518" s="156" t="n"/>
      <c r="BH3518" s="156" t="n"/>
      <c r="BI3518" s="157"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58" t="n"/>
      <c r="T3519" s="149" t="n"/>
      <c r="U3519" s="17" t="n"/>
      <c r="V3519" s="17" t="n"/>
      <c r="W3519" s="58"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89" t="inlineStr">
        <is>
          <t>職　歴</t>
        </is>
      </c>
      <c r="K3522" s="153" t="n"/>
      <c r="L3522" s="69" t="inlineStr">
        <is>
          <t>平成</t>
        </is>
      </c>
      <c r="M3522" s="149" t="n"/>
      <c r="N3522" s="149" t="n"/>
      <c r="O3522" s="149" t="n"/>
      <c r="P3522" s="19" t="n"/>
      <c r="Q3522" s="19" t="n"/>
      <c r="R3522" s="19" t="n"/>
      <c r="S3522" s="19" t="n"/>
      <c r="T3522" s="19" t="n"/>
      <c r="U3522" s="19" t="n"/>
      <c r="V3522" s="19" t="n"/>
      <c r="W3522" s="19" t="n"/>
      <c r="X3522" s="37" t="n"/>
      <c r="Y3522" s="180">
        <f>計算!$BT$41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8">
        <f>計算!$BR$41</f>
        <v/>
      </c>
      <c r="S3524" s="61" t="inlineStr">
        <is>
          <t>年</t>
        </is>
      </c>
      <c r="U3524" s="190">
        <f>計算!$BS$41</f>
        <v/>
      </c>
      <c r="W3524" s="62"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74"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5" t="n"/>
      <c r="M3527" s="156" t="n"/>
      <c r="N3527" s="156" t="n"/>
      <c r="O3527" s="156" t="n"/>
      <c r="P3527" s="20" t="n"/>
      <c r="Q3527" s="20" t="n"/>
      <c r="R3527" s="20" t="n"/>
      <c r="S3527" s="20" t="n"/>
      <c r="T3527" s="20" t="n"/>
      <c r="U3527" s="20" t="n"/>
      <c r="V3527" s="20" t="n"/>
      <c r="W3527" s="20" t="n"/>
      <c r="X3527" s="39" t="n"/>
      <c r="Y3527" s="155" t="n"/>
      <c r="Z3527" s="156" t="n"/>
      <c r="AA3527" s="156" t="n"/>
      <c r="AB3527" s="156" t="n"/>
      <c r="AC3527" s="156" t="n"/>
      <c r="AD3527" s="156" t="n"/>
      <c r="AE3527" s="156" t="n"/>
      <c r="AF3527" s="156" t="n"/>
      <c r="AG3527" s="156" t="n"/>
      <c r="AH3527" s="156" t="n"/>
      <c r="AI3527" s="156" t="n"/>
      <c r="AJ3527" s="156" t="n"/>
      <c r="AK3527" s="156" t="n"/>
      <c r="AL3527" s="156" t="n"/>
      <c r="AM3527" s="156" t="n"/>
      <c r="AN3527" s="156" t="n"/>
      <c r="AO3527" s="156" t="n"/>
      <c r="AP3527" s="156" t="n"/>
      <c r="AQ3527" s="156" t="n"/>
      <c r="AR3527" s="156" t="n"/>
      <c r="AS3527" s="156" t="n"/>
      <c r="AT3527" s="156" t="n"/>
      <c r="AU3527" s="156" t="n"/>
      <c r="AV3527" s="156" t="n"/>
      <c r="AW3527" s="156" t="n"/>
      <c r="AX3527" s="156" t="n"/>
      <c r="AY3527" s="156" t="n"/>
      <c r="AZ3527" s="156" t="n"/>
      <c r="BA3527" s="156" t="n"/>
      <c r="BB3527" s="156" t="n"/>
      <c r="BC3527" s="156" t="n"/>
      <c r="BD3527" s="156" t="n"/>
      <c r="BE3527" s="156" t="n"/>
      <c r="BF3527" s="156" t="n"/>
      <c r="BG3527" s="156" t="n"/>
      <c r="BH3527" s="156" t="n"/>
      <c r="BI3527" s="157"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69" t="inlineStr">
        <is>
          <t>平成</t>
        </is>
      </c>
      <c r="M3528" s="149" t="n"/>
      <c r="N3528" s="149" t="n"/>
      <c r="O3528" s="149" t="n"/>
      <c r="P3528" s="18" t="n"/>
      <c r="Q3528" s="18" t="n"/>
      <c r="R3528" s="18" t="n"/>
      <c r="S3528" s="18" t="n"/>
      <c r="T3528" s="18" t="n"/>
      <c r="U3528" s="18" t="n"/>
      <c r="V3528" s="18" t="n"/>
      <c r="W3528" s="18" t="n"/>
      <c r="X3528" s="35" t="n"/>
      <c r="Y3528" s="180">
        <f>計算!$BW$41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8">
        <f>計算!$BU$41</f>
        <v/>
      </c>
      <c r="S3530" s="61" t="inlineStr">
        <is>
          <t>年</t>
        </is>
      </c>
      <c r="U3530" s="190">
        <f>計算!$BV$41</f>
        <v/>
      </c>
      <c r="W3530" s="62"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74"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5" t="n"/>
      <c r="M3533" s="156" t="n"/>
      <c r="N3533" s="156" t="n"/>
      <c r="O3533" s="156" t="n"/>
      <c r="P3533" s="20" t="n"/>
      <c r="Q3533" s="20" t="n"/>
      <c r="R3533" s="20" t="n"/>
      <c r="S3533" s="20" t="n"/>
      <c r="T3533" s="20" t="n"/>
      <c r="U3533" s="20" t="n"/>
      <c r="V3533" s="20" t="n"/>
      <c r="W3533" s="20" t="n"/>
      <c r="X3533" s="39" t="n"/>
      <c r="Y3533" s="155" t="n"/>
      <c r="Z3533" s="156" t="n"/>
      <c r="AA3533" s="156" t="n"/>
      <c r="AB3533" s="156" t="n"/>
      <c r="AC3533" s="156" t="n"/>
      <c r="AD3533" s="156" t="n"/>
      <c r="AE3533" s="156" t="n"/>
      <c r="AF3533" s="156" t="n"/>
      <c r="AG3533" s="156" t="n"/>
      <c r="AH3533" s="156" t="n"/>
      <c r="AI3533" s="156" t="n"/>
      <c r="AJ3533" s="156" t="n"/>
      <c r="AK3533" s="156" t="n"/>
      <c r="AL3533" s="156" t="n"/>
      <c r="AM3533" s="156" t="n"/>
      <c r="AN3533" s="156" t="n"/>
      <c r="AO3533" s="156" t="n"/>
      <c r="AP3533" s="156" t="n"/>
      <c r="AQ3533" s="156" t="n"/>
      <c r="AR3533" s="156" t="n"/>
      <c r="AS3533" s="156" t="n"/>
      <c r="AT3533" s="156" t="n"/>
      <c r="AU3533" s="156" t="n"/>
      <c r="AV3533" s="156" t="n"/>
      <c r="AW3533" s="156" t="n"/>
      <c r="AX3533" s="156" t="n"/>
      <c r="AY3533" s="156" t="n"/>
      <c r="AZ3533" s="156" t="n"/>
      <c r="BA3533" s="156" t="n"/>
      <c r="BB3533" s="156" t="n"/>
      <c r="BC3533" s="156" t="n"/>
      <c r="BD3533" s="156" t="n"/>
      <c r="BE3533" s="156" t="n"/>
      <c r="BF3533" s="156" t="n"/>
      <c r="BG3533" s="156" t="n"/>
      <c r="BH3533" s="156" t="n"/>
      <c r="BI3533" s="157" t="n"/>
      <c r="BJ3533" s="2" t="n"/>
      <c r="BK3533" s="2" t="n"/>
      <c r="BL3533" s="2" t="n"/>
      <c r="BM3533" s="2" t="n"/>
      <c r="BN3533" s="2" t="n"/>
      <c r="BO3533" s="2" t="n"/>
      <c r="BP3533" s="155" t="n"/>
      <c r="BQ3533" s="156" t="n"/>
      <c r="BR3533" s="156" t="n"/>
      <c r="BS3533" s="156" t="n"/>
      <c r="BT3533" s="156" t="n"/>
      <c r="BU3533" s="42" t="n"/>
      <c r="BV3533" s="45" t="n"/>
      <c r="BW3533" s="156" t="n"/>
      <c r="BX3533" s="156" t="n"/>
      <c r="BY3533" s="156" t="n"/>
      <c r="BZ3533" s="156" t="n"/>
      <c r="CA3533" s="156" t="n"/>
      <c r="CB3533" s="156" t="n"/>
      <c r="CC3533" s="156" t="n"/>
      <c r="CD3533" s="156" t="n"/>
      <c r="CE3533" s="156" t="n"/>
      <c r="CF3533" s="156" t="n"/>
      <c r="CG3533" s="156" t="n"/>
      <c r="CH3533" s="156" t="n"/>
      <c r="CI3533" s="156" t="n"/>
      <c r="CJ3533" s="156" t="n"/>
      <c r="CK3533" s="156" t="n"/>
      <c r="CL3533" s="156" t="n"/>
      <c r="CM3533" s="156" t="n"/>
      <c r="CN3533" s="156" t="n"/>
      <c r="CO3533" s="156" t="n"/>
      <c r="CP3533" s="156" t="n"/>
      <c r="CQ3533" s="156" t="n"/>
      <c r="CR3533" s="156" t="n"/>
      <c r="CS3533" s="156" t="n"/>
      <c r="CT3533" s="156" t="n"/>
      <c r="CU3533" s="156" t="n"/>
      <c r="CV3533" s="156" t="n"/>
      <c r="CW3533" s="156" t="n"/>
      <c r="CX3533" s="156" t="n"/>
      <c r="CY3533" s="156" t="n"/>
      <c r="CZ3533" s="156" t="n"/>
      <c r="DA3533" s="156" t="n"/>
      <c r="DB3533" s="156" t="n"/>
      <c r="DC3533" s="156" t="n"/>
      <c r="DD3533" s="156" t="n"/>
      <c r="DE3533" s="156" t="n"/>
      <c r="DF3533" s="156" t="n"/>
      <c r="DG3533" s="156" t="n"/>
      <c r="DH3533" s="156" t="n"/>
      <c r="DI3533" s="156" t="n"/>
      <c r="DJ3533" s="156" t="n"/>
      <c r="DK3533" s="156" t="n"/>
      <c r="DL3533" s="156" t="n"/>
      <c r="DM3533" s="156" t="n"/>
      <c r="DN3533" s="156" t="n"/>
      <c r="DO3533" s="156" t="n"/>
      <c r="DP3533" s="156" t="n"/>
      <c r="DQ3533" s="156" t="n"/>
      <c r="DR3533" s="156" t="n"/>
      <c r="DS3533" s="156" t="n"/>
      <c r="DT3533" s="156" t="n"/>
      <c r="DU3533" s="157" t="n"/>
      <c r="DV3533" s="2" t="n"/>
      <c r="DW3533" s="2" t="n"/>
      <c r="DX3533" s="2" t="n"/>
      <c r="DY3533" s="2" t="n"/>
      <c r="DZ3533" s="2" t="n"/>
      <c r="EA3533" s="2" t="n"/>
      <c r="EB3533" s="2" t="n"/>
      <c r="EC3533" s="2" t="n"/>
    </row>
    <row r="3534" ht="6.75" customHeight="1" s="118">
      <c r="A3534" s="2" t="n"/>
      <c r="B3534" s="2" t="n"/>
      <c r="C3534" s="2" t="n"/>
      <c r="D3534" s="2" t="n"/>
      <c r="E3534" s="152" t="n"/>
      <c r="K3534" s="153" t="n"/>
      <c r="L3534" s="69"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5">
        <f>計算!$BQ$41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61" t="inlineStr">
        <is>
          <t>年</t>
        </is>
      </c>
      <c r="U3536" s="11" t="n"/>
      <c r="V3536" s="11" t="n"/>
      <c r="W3536" s="62"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74"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5" t="n"/>
      <c r="M3539" s="156" t="n"/>
      <c r="N3539" s="156" t="n"/>
      <c r="O3539" s="156"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69"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61" t="inlineStr">
        <is>
          <t>年</t>
        </is>
      </c>
      <c r="U3542" s="11" t="n"/>
      <c r="V3542" s="11" t="n"/>
      <c r="W3542" s="62"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74"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61" t="n"/>
      <c r="T3544" s="61" t="n"/>
      <c r="U3544" s="11" t="n"/>
      <c r="V3544" s="11" t="n"/>
      <c r="W3544" s="61" t="n"/>
      <c r="X3544" s="62"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5" t="n"/>
      <c r="F3545" s="156" t="n"/>
      <c r="G3545" s="156" t="n"/>
      <c r="H3545" s="156" t="n"/>
      <c r="I3545" s="156" t="n"/>
      <c r="J3545" s="156" t="n"/>
      <c r="K3545" s="157" t="n"/>
      <c r="L3545" s="155" t="n"/>
      <c r="M3545" s="156" t="n"/>
      <c r="N3545" s="156" t="n"/>
      <c r="O3545" s="156"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5" t="n"/>
      <c r="BQ3545" s="156" t="n"/>
      <c r="BR3545" s="156" t="n"/>
      <c r="BS3545" s="156" t="n"/>
      <c r="BT3545" s="156" t="n"/>
      <c r="BU3545" s="156" t="n"/>
      <c r="BV3545" s="157" t="n"/>
      <c r="BW3545" s="156" t="n"/>
      <c r="BX3545" s="156" t="n"/>
      <c r="BY3545" s="156" t="n"/>
      <c r="BZ3545" s="156" t="n"/>
      <c r="CA3545" s="156" t="n"/>
      <c r="CB3545" s="156" t="n"/>
      <c r="CC3545" s="156" t="n"/>
      <c r="CD3545" s="156" t="n"/>
      <c r="CE3545" s="156" t="n"/>
      <c r="CF3545" s="156" t="n"/>
      <c r="CG3545" s="156" t="n"/>
      <c r="CH3545" s="156" t="n"/>
      <c r="CI3545" s="156" t="n"/>
      <c r="CJ3545" s="156" t="n"/>
      <c r="CK3545" s="156" t="n"/>
      <c r="CL3545" s="156" t="n"/>
      <c r="CM3545" s="156" t="n"/>
      <c r="CN3545" s="156" t="n"/>
      <c r="CO3545" s="156" t="n"/>
      <c r="CP3545" s="156" t="n"/>
      <c r="CQ3545" s="156" t="n"/>
      <c r="CR3545" s="156" t="n"/>
      <c r="CS3545" s="156" t="n"/>
      <c r="CT3545" s="156" t="n"/>
      <c r="CU3545" s="156" t="n"/>
      <c r="CV3545" s="156" t="n"/>
      <c r="CW3545" s="156" t="n"/>
      <c r="CX3545" s="156" t="n"/>
      <c r="CY3545" s="156" t="n"/>
      <c r="CZ3545" s="156" t="n"/>
      <c r="DA3545" s="156" t="n"/>
      <c r="DB3545" s="156" t="n"/>
      <c r="DC3545" s="156" t="n"/>
      <c r="DD3545" s="156" t="n"/>
      <c r="DE3545" s="156" t="n"/>
      <c r="DF3545" s="156" t="n"/>
      <c r="DG3545" s="156" t="n"/>
      <c r="DH3545" s="156" t="n"/>
      <c r="DI3545" s="156" t="n"/>
      <c r="DJ3545" s="156" t="n"/>
      <c r="DK3545" s="156" t="n"/>
      <c r="DL3545" s="156" t="n"/>
      <c r="DM3545" s="156" t="n"/>
      <c r="DN3545" s="156" t="n"/>
      <c r="DO3545" s="156" t="n"/>
      <c r="DP3545" s="156" t="n"/>
      <c r="DQ3545" s="156" t="n"/>
      <c r="DR3545" s="156" t="n"/>
      <c r="DS3545" s="156" t="n"/>
      <c r="DT3545" s="156" t="n"/>
      <c r="DU3545" s="157"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87" t="inlineStr">
        <is>
          <t xml:space="preserve">    (近畿高等学校統一用紙　  その２ 　  令和７年度改定)　</t>
        </is>
      </c>
      <c r="DV3547" s="2" t="n"/>
      <c r="DW3547" s="2" t="n"/>
      <c r="DX3547" s="2" t="n"/>
      <c r="DY3547" s="2" t="n"/>
      <c r="DZ3547" s="2" t="n"/>
      <c r="EA3547" s="2" t="n"/>
      <c r="EB3547" s="2" t="n"/>
      <c r="EC3547" s="2" t="n"/>
    </row>
    <row r="3548" hidden="1"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idden="1"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47"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64" t="inlineStr">
        <is>
          <t>令和</t>
        </is>
      </c>
      <c r="AD3557" s="154">
        <f>IF(入力!$D$44="","",IF(N(設定!$B$3)=0,"",YEAR(設定!$B$3)-2018))&amp;""</f>
        <v/>
      </c>
      <c r="AG3557" s="64" t="inlineStr">
        <is>
          <t>年</t>
        </is>
      </c>
      <c r="AI3557" s="154">
        <f>IF(入力!$D$44="","",IF(N(設定!$B$3)=0,"",MONTH(設定!$B$3)))&amp;""</f>
        <v/>
      </c>
      <c r="AL3557" s="64" t="inlineStr">
        <is>
          <t>月</t>
        </is>
      </c>
      <c r="AN3557" s="154">
        <f>IF(入力!$D$44="","",IF(N(設定!$B$3)=0,"",DAY(設定!$B$3)))&amp;""</f>
        <v/>
      </c>
      <c r="AP3557" s="64"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5" t="n"/>
      <c r="BX3557" s="156" t="n"/>
      <c r="BY3557" s="156" t="n"/>
      <c r="BZ3557" s="156" t="n"/>
      <c r="CA3557" s="156" t="n"/>
      <c r="CB3557" s="156" t="n"/>
      <c r="CC3557" s="156" t="n"/>
      <c r="CD3557" s="156" t="n"/>
      <c r="CE3557" s="156" t="n"/>
      <c r="CF3557" s="156" t="n"/>
      <c r="CG3557" s="157" t="n"/>
      <c r="CH3557" s="155" t="n"/>
      <c r="CI3557" s="156" t="n"/>
      <c r="CJ3557" s="156" t="n"/>
      <c r="CK3557" s="156" t="n"/>
      <c r="CL3557" s="156" t="n"/>
      <c r="CM3557" s="156" t="n"/>
      <c r="CN3557" s="156" t="n"/>
      <c r="CO3557" s="156" t="n"/>
      <c r="CP3557" s="156" t="n"/>
      <c r="CQ3557" s="156" t="n"/>
      <c r="CR3557" s="156" t="n"/>
      <c r="CS3557" s="156" t="n"/>
      <c r="CT3557" s="156" t="n"/>
      <c r="CU3557" s="156" t="n"/>
      <c r="CV3557" s="156" t="n"/>
      <c r="CW3557" s="156" t="n"/>
      <c r="CX3557" s="156" t="n"/>
      <c r="CY3557" s="156" t="n"/>
      <c r="CZ3557" s="156" t="n"/>
      <c r="DA3557" s="156" t="n"/>
      <c r="DB3557" s="156" t="n"/>
      <c r="DC3557" s="156" t="n"/>
      <c r="DD3557" s="156" t="n"/>
      <c r="DE3557" s="156" t="n"/>
      <c r="DF3557" s="156" t="n"/>
      <c r="DG3557" s="156" t="n"/>
      <c r="DH3557" s="156" t="n"/>
      <c r="DI3557" s="156" t="n"/>
      <c r="DJ3557" s="156" t="n"/>
      <c r="DK3557" s="156" t="n"/>
      <c r="DL3557" s="156" t="n"/>
      <c r="DM3557" s="156" t="n"/>
      <c r="DN3557" s="156" t="n"/>
      <c r="DO3557" s="156" t="n"/>
      <c r="DP3557" s="156" t="n"/>
      <c r="DQ3557" s="156" t="n"/>
      <c r="DR3557" s="156" t="n"/>
      <c r="DS3557" s="156" t="n"/>
      <c r="DT3557" s="156" t="n"/>
      <c r="DU3557" s="157"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68" t="inlineStr">
        <is>
          <t>写真をはる位置</t>
        </is>
      </c>
      <c r="BI3558" s="8" t="n"/>
      <c r="BJ3558" s="7" t="n"/>
      <c r="BK3558" s="2" t="n"/>
      <c r="BL3558" s="2" t="n"/>
      <c r="BM3558" s="2" t="n"/>
      <c r="BN3558" s="2" t="n"/>
      <c r="BO3558" s="2" t="n"/>
      <c r="BP3558" s="152" t="n"/>
      <c r="BV3558" s="153" t="n"/>
      <c r="BW3558" s="158">
        <f>計算!$CB$42</f>
        <v/>
      </c>
      <c r="CG3558" s="153" t="n"/>
      <c r="CH3558" s="159">
        <f>計算!$CC$42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6" t="n"/>
      <c r="AA3559" s="156" t="n"/>
      <c r="AB3559" s="156" t="n"/>
      <c r="AC3559" s="156" t="n"/>
      <c r="AD3559" s="156" t="n"/>
      <c r="AE3559" s="156" t="n"/>
      <c r="AF3559" s="156" t="n"/>
      <c r="AG3559" s="156" t="n"/>
      <c r="AH3559" s="156" t="n"/>
      <c r="AI3559" s="156" t="n"/>
      <c r="AJ3559" s="156" t="n"/>
      <c r="AK3559" s="156" t="n"/>
      <c r="AL3559" s="156" t="n"/>
      <c r="AM3559" s="156" t="n"/>
      <c r="AN3559" s="156" t="n"/>
      <c r="AO3559" s="156" t="n"/>
      <c r="AP3559" s="156" t="n"/>
      <c r="AQ3559" s="156" t="n"/>
      <c r="AR3559" s="156" t="n"/>
      <c r="AS3559" s="156" t="n"/>
      <c r="AT3559" s="156"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0">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5" t="n"/>
      <c r="F3563" s="156" t="n"/>
      <c r="G3563" s="156" t="n"/>
      <c r="H3563" s="156" t="n"/>
      <c r="I3563" s="156" t="n"/>
      <c r="J3563" s="156" t="n"/>
      <c r="K3563" s="157" t="n"/>
      <c r="L3563" s="156" t="n"/>
      <c r="M3563" s="156" t="n"/>
      <c r="N3563" s="156" t="n"/>
      <c r="O3563" s="156" t="n"/>
      <c r="P3563" s="156" t="n"/>
      <c r="Q3563" s="156" t="n"/>
      <c r="R3563" s="156" t="n"/>
      <c r="S3563" s="156" t="n"/>
      <c r="T3563" s="156" t="n"/>
      <c r="U3563" s="156" t="n"/>
      <c r="V3563" s="156" t="n"/>
      <c r="W3563" s="156" t="n"/>
      <c r="X3563" s="156" t="n"/>
      <c r="Y3563" s="156" t="n"/>
      <c r="Z3563" s="156" t="n"/>
      <c r="AA3563" s="156" t="n"/>
      <c r="AB3563" s="156" t="n"/>
      <c r="AC3563" s="156" t="n"/>
      <c r="AD3563" s="156" t="n"/>
      <c r="AE3563" s="156" t="n"/>
      <c r="AF3563" s="156" t="n"/>
      <c r="AG3563" s="156" t="n"/>
      <c r="AH3563" s="156" t="n"/>
      <c r="AI3563" s="156" t="n"/>
      <c r="AJ3563" s="156" t="n"/>
      <c r="AK3563" s="156" t="n"/>
      <c r="AL3563" s="156" t="n"/>
      <c r="AM3563" s="156" t="n"/>
      <c r="AN3563" s="156" t="n"/>
      <c r="AO3563" s="156" t="n"/>
      <c r="AP3563" s="156" t="n"/>
      <c r="AQ3563" s="156" t="n"/>
      <c r="AR3563" s="156" t="n"/>
      <c r="AS3563" s="156" t="n"/>
      <c r="AT3563" s="157"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1" t="inlineStr">
        <is>
          <t>名　前</t>
        </is>
      </c>
      <c r="F3564" s="149" t="n"/>
      <c r="G3564" s="149" t="n"/>
      <c r="H3564" s="149" t="n"/>
      <c r="I3564" s="149" t="n"/>
      <c r="J3564" s="149" t="n"/>
      <c r="K3564" s="150" t="n"/>
      <c r="L3564" s="162">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61"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5" t="n"/>
      <c r="F3569" s="156" t="n"/>
      <c r="G3569" s="156" t="n"/>
      <c r="H3569" s="156" t="n"/>
      <c r="I3569" s="156" t="n"/>
      <c r="J3569" s="156" t="n"/>
      <c r="K3569" s="157" t="n"/>
      <c r="L3569" s="155" t="n"/>
      <c r="M3569" s="156" t="n"/>
      <c r="N3569" s="156" t="n"/>
      <c r="O3569" s="156" t="n"/>
      <c r="P3569" s="156" t="n"/>
      <c r="Q3569" s="156" t="n"/>
      <c r="R3569" s="156" t="n"/>
      <c r="S3569" s="156" t="n"/>
      <c r="T3569" s="156" t="n"/>
      <c r="U3569" s="156" t="n"/>
      <c r="V3569" s="156" t="n"/>
      <c r="W3569" s="156" t="n"/>
      <c r="X3569" s="156" t="n"/>
      <c r="Y3569" s="156" t="n"/>
      <c r="Z3569" s="156" t="n"/>
      <c r="AA3569" s="156" t="n"/>
      <c r="AB3569" s="156" t="n"/>
      <c r="AC3569" s="156" t="n"/>
      <c r="AD3569" s="156" t="n"/>
      <c r="AE3569" s="156" t="n"/>
      <c r="AF3569" s="156" t="n"/>
      <c r="AG3569" s="156" t="n"/>
      <c r="AH3569" s="156" t="n"/>
      <c r="AI3569" s="156" t="n"/>
      <c r="AJ3569" s="156" t="n"/>
      <c r="AK3569" s="156" t="n"/>
      <c r="AL3569" s="156" t="n"/>
      <c r="AM3569" s="156" t="n"/>
      <c r="AN3569" s="156" t="n"/>
      <c r="AO3569" s="156" t="n"/>
      <c r="AP3569" s="156" t="n"/>
      <c r="AQ3569" s="156" t="n"/>
      <c r="AR3569" s="156" t="n"/>
      <c r="AS3569" s="156" t="n"/>
      <c r="AT3569" s="157"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1" t="inlineStr">
        <is>
          <t>生年月日</t>
        </is>
      </c>
      <c r="F3570" s="149" t="n"/>
      <c r="G3570" s="149" t="n"/>
      <c r="H3570" s="149" t="n"/>
      <c r="I3570" s="149" t="n"/>
      <c r="J3570" s="149" t="n"/>
      <c r="K3570" s="150" t="n"/>
      <c r="L3570" s="163" t="inlineStr">
        <is>
          <t>昭和 ・ 平成</t>
        </is>
      </c>
      <c r="M3570" s="149" t="n"/>
      <c r="N3570" s="149" t="n"/>
      <c r="O3570" s="149" t="n"/>
      <c r="P3570" s="149" t="n"/>
      <c r="Q3570" s="149" t="n"/>
      <c r="R3570" s="149" t="n"/>
      <c r="S3570" s="149" t="n"/>
      <c r="T3570" s="149" t="n"/>
      <c r="U3570" s="149" t="n"/>
      <c r="V3570" s="164">
        <f>計算!$D$42</f>
        <v/>
      </c>
      <c r="W3570" s="149" t="n"/>
      <c r="X3570" s="165" t="inlineStr">
        <is>
          <t>年</t>
        </is>
      </c>
      <c r="Y3570" s="149" t="n"/>
      <c r="Z3570" s="166">
        <f>計算!$E$42</f>
        <v/>
      </c>
      <c r="AA3570" s="149" t="n"/>
      <c r="AB3570" s="149" t="n"/>
      <c r="AC3570" s="165" t="inlineStr">
        <is>
          <t>月</t>
        </is>
      </c>
      <c r="AD3570" s="149" t="n"/>
      <c r="AE3570" s="166">
        <f>計算!$F$42</f>
        <v/>
      </c>
      <c r="AF3570" s="149" t="n"/>
      <c r="AG3570" s="149" t="n"/>
      <c r="AH3570" s="165" t="inlineStr">
        <is>
          <t>日　生 （満</t>
        </is>
      </c>
      <c r="AI3570" s="149" t="n"/>
      <c r="AJ3570" s="149" t="n"/>
      <c r="AK3570" s="149" t="n"/>
      <c r="AL3570" s="149" t="n"/>
      <c r="AM3570" s="149" t="n"/>
      <c r="AN3570" s="149" t="n"/>
      <c r="AO3570" s="149" t="n"/>
      <c r="AP3570" s="167">
        <f>計算!$G$42</f>
        <v/>
      </c>
      <c r="AQ3570" s="149" t="n"/>
      <c r="AR3570" s="168"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5" t="n"/>
      <c r="F3573" s="156" t="n"/>
      <c r="G3573" s="156" t="n"/>
      <c r="H3573" s="156" t="n"/>
      <c r="I3573" s="156" t="n"/>
      <c r="J3573" s="156" t="n"/>
      <c r="K3573" s="157" t="n"/>
      <c r="L3573" s="155" t="n"/>
      <c r="M3573" s="156" t="n"/>
      <c r="N3573" s="156" t="n"/>
      <c r="O3573" s="156" t="n"/>
      <c r="P3573" s="156" t="n"/>
      <c r="Q3573" s="156" t="n"/>
      <c r="R3573" s="156" t="n"/>
      <c r="S3573" s="156" t="n"/>
      <c r="T3573" s="156" t="n"/>
      <c r="U3573" s="156" t="n"/>
      <c r="X3573" s="156" t="n"/>
      <c r="Y3573" s="156" t="n"/>
      <c r="AC3573" s="156" t="n"/>
      <c r="AD3573" s="156" t="n"/>
      <c r="AH3573" s="156" t="n"/>
      <c r="AI3573" s="156" t="n"/>
      <c r="AJ3573" s="156" t="n"/>
      <c r="AK3573" s="156" t="n"/>
      <c r="AL3573" s="156" t="n"/>
      <c r="AM3573" s="156" t="n"/>
      <c r="AN3573" s="156" t="n"/>
      <c r="AO3573" s="156" t="n"/>
      <c r="AP3573" s="156" t="n"/>
      <c r="AQ3573" s="156" t="n"/>
      <c r="AR3573" s="156" t="n"/>
      <c r="AS3573" s="156" t="n"/>
      <c r="AT3573" s="157"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69" t="inlineStr">
        <is>
          <t>ふ り が な</t>
        </is>
      </c>
      <c r="F3574" s="149" t="n"/>
      <c r="G3574" s="149" t="n"/>
      <c r="H3574" s="149" t="n"/>
      <c r="I3574" s="149" t="n"/>
      <c r="J3574" s="149" t="n"/>
      <c r="K3574" s="150" t="n"/>
      <c r="L3574" s="170">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1" t="n"/>
      <c r="F3576" s="172" t="n"/>
      <c r="G3576" s="172" t="n"/>
      <c r="H3576" s="172" t="n"/>
      <c r="I3576" s="172" t="n"/>
      <c r="J3576" s="172" t="n"/>
      <c r="K3576" s="173" t="n"/>
      <c r="L3576" s="172" t="n"/>
      <c r="M3576" s="172" t="n"/>
      <c r="N3576" s="172" t="n"/>
      <c r="O3576" s="172" t="n"/>
      <c r="P3576" s="172" t="n"/>
      <c r="Q3576" s="172" t="n"/>
      <c r="R3576" s="172" t="n"/>
      <c r="S3576" s="172" t="n"/>
      <c r="T3576" s="172" t="n"/>
      <c r="U3576" s="172" t="n"/>
      <c r="V3576" s="172" t="n"/>
      <c r="W3576" s="172" t="n"/>
      <c r="X3576" s="172" t="n"/>
      <c r="Y3576" s="172" t="n"/>
      <c r="Z3576" s="172" t="n"/>
      <c r="AA3576" s="172" t="n"/>
      <c r="AB3576" s="172" t="n"/>
      <c r="AC3576" s="172" t="n"/>
      <c r="AD3576" s="172" t="n"/>
      <c r="AE3576" s="172" t="n"/>
      <c r="AF3576" s="172" t="n"/>
      <c r="AG3576" s="172" t="n"/>
      <c r="AH3576" s="172" t="n"/>
      <c r="AI3576" s="172" t="n"/>
      <c r="AJ3576" s="172" t="n"/>
      <c r="AK3576" s="172" t="n"/>
      <c r="AL3576" s="172" t="n"/>
      <c r="AM3576" s="172" t="n"/>
      <c r="AN3576" s="172" t="n"/>
      <c r="AO3576" s="172" t="n"/>
      <c r="AP3576" s="172" t="n"/>
      <c r="AQ3576" s="172" t="n"/>
      <c r="AR3576" s="172" t="n"/>
      <c r="AS3576" s="172" t="n"/>
      <c r="AT3576" s="172" t="n"/>
      <c r="AU3576" s="172" t="n"/>
      <c r="AV3576" s="172" t="n"/>
      <c r="AW3576" s="172" t="n"/>
      <c r="AX3576" s="172" t="n"/>
      <c r="AY3576" s="172" t="n"/>
      <c r="AZ3576" s="172" t="n"/>
      <c r="BA3576" s="172" t="n"/>
      <c r="BB3576" s="172" t="n"/>
      <c r="BC3576" s="172" t="n"/>
      <c r="BD3576" s="172" t="n"/>
      <c r="BE3576" s="172" t="n"/>
      <c r="BF3576" s="172" t="n"/>
      <c r="BG3576" s="172" t="n"/>
      <c r="BH3576" s="172" t="n"/>
      <c r="BI3576" s="173"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4" t="inlineStr">
        <is>
          <t>現住所</t>
        </is>
      </c>
      <c r="F3577" s="175" t="n"/>
      <c r="G3577" s="175" t="n"/>
      <c r="H3577" s="175" t="n"/>
      <c r="I3577" s="175" t="n"/>
      <c r="J3577" s="175" t="n"/>
      <c r="K3577" s="176" t="n"/>
      <c r="L3577" s="83" t="inlineStr">
        <is>
          <t>〒</t>
        </is>
      </c>
      <c r="M3577" s="175" t="n"/>
      <c r="N3577" s="175" t="n"/>
      <c r="O3577" s="175" t="n"/>
      <c r="P3577" s="177">
        <f>計算!$H$42</f>
        <v/>
      </c>
      <c r="Q3577" s="175" t="n"/>
      <c r="R3577" s="175" t="n"/>
      <c r="S3577" s="175" t="n"/>
      <c r="T3577" s="175" t="n"/>
      <c r="U3577" s="175" t="n"/>
      <c r="V3577" s="175" t="n"/>
      <c r="W3577" s="175" t="n"/>
      <c r="X3577" s="175" t="n"/>
      <c r="Y3577" s="175" t="n"/>
      <c r="Z3577" s="175" t="n"/>
      <c r="AA3577" s="175" t="n"/>
      <c r="AB3577" s="175" t="n"/>
      <c r="AC3577" s="175" t="n"/>
      <c r="AD3577" s="175" t="n"/>
      <c r="AE3577" s="175" t="n"/>
      <c r="AF3577" s="175" t="n"/>
      <c r="AG3577" s="175" t="n"/>
      <c r="AH3577" s="175" t="n"/>
      <c r="AI3577" s="175" t="n"/>
      <c r="AJ3577" s="175"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5" t="n"/>
      <c r="BQ3578" s="156" t="n"/>
      <c r="BR3578" s="156" t="n"/>
      <c r="BS3578" s="156" t="n"/>
      <c r="BT3578" s="156" t="n"/>
      <c r="BU3578" s="156" t="n"/>
      <c r="BV3578" s="157" t="n"/>
      <c r="BW3578" s="155" t="n"/>
      <c r="BX3578" s="156" t="n"/>
      <c r="BY3578" s="156" t="n"/>
      <c r="BZ3578" s="156" t="n"/>
      <c r="CA3578" s="156" t="n"/>
      <c r="CB3578" s="156" t="n"/>
      <c r="CC3578" s="156" t="n"/>
      <c r="CD3578" s="156" t="n"/>
      <c r="CE3578" s="156" t="n"/>
      <c r="CF3578" s="156" t="n"/>
      <c r="CG3578" s="157"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8" t="inlineStr">
        <is>
          <t>校内外の諸活動</t>
        </is>
      </c>
      <c r="BQ3579" s="149" t="n"/>
      <c r="BR3579" s="149" t="n"/>
      <c r="BS3579" s="149" t="n"/>
      <c r="BT3579" s="149" t="n"/>
      <c r="BU3579" s="149" t="n"/>
      <c r="BV3579" s="150" t="n"/>
      <c r="BW3579" s="179">
        <f>計算!$BO$42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0">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5" t="n"/>
      <c r="F3582" s="156" t="n"/>
      <c r="G3582" s="156" t="n"/>
      <c r="H3582" s="156" t="n"/>
      <c r="I3582" s="156" t="n"/>
      <c r="J3582" s="156" t="n"/>
      <c r="K3582" s="157" t="n"/>
      <c r="L3582" s="155" t="n"/>
      <c r="M3582" s="156" t="n"/>
      <c r="N3582" s="156" t="n"/>
      <c r="O3582" s="156" t="n"/>
      <c r="P3582" s="156" t="n"/>
      <c r="Q3582" s="156" t="n"/>
      <c r="R3582" s="156" t="n"/>
      <c r="S3582" s="156" t="n"/>
      <c r="T3582" s="156" t="n"/>
      <c r="U3582" s="156" t="n"/>
      <c r="V3582" s="156" t="n"/>
      <c r="W3582" s="156" t="n"/>
      <c r="X3582" s="156" t="n"/>
      <c r="Y3582" s="156" t="n"/>
      <c r="Z3582" s="156" t="n"/>
      <c r="AA3582" s="156" t="n"/>
      <c r="AB3582" s="156" t="n"/>
      <c r="AC3582" s="156" t="n"/>
      <c r="AD3582" s="156" t="n"/>
      <c r="AE3582" s="156" t="n"/>
      <c r="AF3582" s="156" t="n"/>
      <c r="AG3582" s="156" t="n"/>
      <c r="AH3582" s="156" t="n"/>
      <c r="AI3582" s="156" t="n"/>
      <c r="AJ3582" s="156" t="n"/>
      <c r="AK3582" s="156" t="n"/>
      <c r="AL3582" s="156" t="n"/>
      <c r="AM3582" s="156" t="n"/>
      <c r="AN3582" s="156" t="n"/>
      <c r="AO3582" s="156" t="n"/>
      <c r="AP3582" s="156" t="n"/>
      <c r="AQ3582" s="156" t="n"/>
      <c r="AR3582" s="156" t="n"/>
      <c r="AS3582" s="156" t="n"/>
      <c r="AT3582" s="156" t="n"/>
      <c r="AU3582" s="156" t="n"/>
      <c r="AV3582" s="156" t="n"/>
      <c r="AW3582" s="156" t="n"/>
      <c r="AX3582" s="156" t="n"/>
      <c r="AY3582" s="156" t="n"/>
      <c r="AZ3582" s="156" t="n"/>
      <c r="BA3582" s="156" t="n"/>
      <c r="BB3582" s="156" t="n"/>
      <c r="BC3582" s="156" t="n"/>
      <c r="BD3582" s="156" t="n"/>
      <c r="BE3582" s="156" t="n"/>
      <c r="BF3582" s="156" t="n"/>
      <c r="BG3582" s="156" t="n"/>
      <c r="BH3582" s="156" t="n"/>
      <c r="BI3582" s="157"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69" t="inlineStr">
        <is>
          <t>ふ り が な</t>
        </is>
      </c>
      <c r="F3583" s="149" t="n"/>
      <c r="G3583" s="149" t="n"/>
      <c r="H3583" s="149" t="n"/>
      <c r="I3583" s="149" t="n"/>
      <c r="J3583" s="149" t="n"/>
      <c r="K3583" s="150" t="n"/>
      <c r="L3583" s="170">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1" t="n"/>
      <c r="F3585" s="172" t="n"/>
      <c r="G3585" s="172" t="n"/>
      <c r="H3585" s="172" t="n"/>
      <c r="I3585" s="172" t="n"/>
      <c r="J3585" s="172" t="n"/>
      <c r="K3585" s="173" t="n"/>
      <c r="L3585" s="172" t="n"/>
      <c r="M3585" s="172" t="n"/>
      <c r="N3585" s="172" t="n"/>
      <c r="O3585" s="172" t="n"/>
      <c r="P3585" s="172" t="n"/>
      <c r="Q3585" s="172" t="n"/>
      <c r="R3585" s="172" t="n"/>
      <c r="S3585" s="172" t="n"/>
      <c r="T3585" s="172" t="n"/>
      <c r="U3585" s="172" t="n"/>
      <c r="V3585" s="172" t="n"/>
      <c r="W3585" s="172" t="n"/>
      <c r="X3585" s="172" t="n"/>
      <c r="Y3585" s="172" t="n"/>
      <c r="Z3585" s="172" t="n"/>
      <c r="AA3585" s="172" t="n"/>
      <c r="AB3585" s="172" t="n"/>
      <c r="AC3585" s="172" t="n"/>
      <c r="AD3585" s="172" t="n"/>
      <c r="AE3585" s="172" t="n"/>
      <c r="AF3585" s="172" t="n"/>
      <c r="AG3585" s="172" t="n"/>
      <c r="AH3585" s="172" t="n"/>
      <c r="AI3585" s="172" t="n"/>
      <c r="AJ3585" s="172" t="n"/>
      <c r="AK3585" s="172" t="n"/>
      <c r="AL3585" s="172" t="n"/>
      <c r="AM3585" s="172" t="n"/>
      <c r="AN3585" s="172" t="n"/>
      <c r="AO3585" s="172" t="n"/>
      <c r="AP3585" s="172" t="n"/>
      <c r="AQ3585" s="172" t="n"/>
      <c r="AR3585" s="172" t="n"/>
      <c r="AS3585" s="172" t="n"/>
      <c r="AT3585" s="172" t="n"/>
      <c r="AU3585" s="172" t="n"/>
      <c r="AV3585" s="172" t="n"/>
      <c r="AW3585" s="172" t="n"/>
      <c r="AX3585" s="172" t="n"/>
      <c r="AY3585" s="172" t="n"/>
      <c r="AZ3585" s="172" t="n"/>
      <c r="BA3585" s="172" t="n"/>
      <c r="BB3585" s="172" t="n"/>
      <c r="BC3585" s="172" t="n"/>
      <c r="BD3585" s="172" t="n"/>
      <c r="BE3585" s="172" t="n"/>
      <c r="BF3585" s="172" t="n"/>
      <c r="BG3585" s="172" t="n"/>
      <c r="BH3585" s="172" t="n"/>
      <c r="BI3585" s="173"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4" t="inlineStr">
        <is>
          <t>連絡先</t>
        </is>
      </c>
      <c r="F3586" s="175" t="n"/>
      <c r="G3586" s="175" t="n"/>
      <c r="H3586" s="175" t="n"/>
      <c r="I3586" s="175" t="n"/>
      <c r="J3586" s="175" t="n"/>
      <c r="K3586" s="176" t="n"/>
      <c r="L3586" s="83" t="inlineStr">
        <is>
          <t>〒</t>
        </is>
      </c>
      <c r="M3586" s="175" t="n"/>
      <c r="N3586" s="175" t="n"/>
      <c r="O3586" s="175" t="n"/>
      <c r="P3586" s="181">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2">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5" t="n"/>
      <c r="F3590" s="156" t="n"/>
      <c r="G3590" s="156" t="n"/>
      <c r="H3590" s="156" t="n"/>
      <c r="I3590" s="156" t="n"/>
      <c r="J3590" s="156" t="n"/>
      <c r="K3590" s="157" t="n"/>
      <c r="L3590" s="156" t="n"/>
      <c r="M3590" s="156" t="n"/>
      <c r="N3590" s="156" t="n"/>
      <c r="O3590" s="156" t="n"/>
      <c r="P3590" s="156" t="n"/>
      <c r="Q3590" s="156" t="n"/>
      <c r="R3590" s="156" t="n"/>
      <c r="S3590" s="156" t="n"/>
      <c r="T3590" s="156" t="n"/>
      <c r="U3590" s="156" t="n"/>
      <c r="V3590" s="156" t="n"/>
      <c r="W3590" s="156" t="n"/>
      <c r="X3590" s="156" t="n"/>
      <c r="Y3590" s="156" t="n"/>
      <c r="Z3590" s="156" t="n"/>
      <c r="AA3590" s="156" t="n"/>
      <c r="AB3590" s="156" t="n"/>
      <c r="AC3590" s="156" t="n"/>
      <c r="AD3590" s="156" t="n"/>
      <c r="AE3590" s="156" t="n"/>
      <c r="AF3590" s="156" t="n"/>
      <c r="AG3590" s="156" t="n"/>
      <c r="AH3590" s="156" t="n"/>
      <c r="AI3590" s="156" t="n"/>
      <c r="AJ3590" s="156" t="n"/>
      <c r="AK3590" s="156" t="n"/>
      <c r="AL3590" s="156" t="n"/>
      <c r="AM3590" s="156" t="n"/>
      <c r="AN3590" s="156" t="n"/>
      <c r="AO3590" s="156" t="n"/>
      <c r="AP3590" s="156" t="n"/>
      <c r="AQ3590" s="156" t="n"/>
      <c r="AR3590" s="156" t="n"/>
      <c r="AS3590" s="156" t="n"/>
      <c r="AT3590" s="156" t="n"/>
      <c r="AU3590" s="156" t="n"/>
      <c r="AV3590" s="156" t="n"/>
      <c r="AW3590" s="156" t="n"/>
      <c r="AX3590" s="156" t="n"/>
      <c r="AY3590" s="156" t="n"/>
      <c r="AZ3590" s="156" t="n"/>
      <c r="BA3590" s="156" t="n"/>
      <c r="BB3590" s="156" t="n"/>
      <c r="BC3590" s="156" t="n"/>
      <c r="BD3590" s="156" t="n"/>
      <c r="BE3590" s="156" t="n"/>
      <c r="BF3590" s="156" t="n"/>
      <c r="BG3590" s="156" t="n"/>
      <c r="BH3590" s="156" t="n"/>
      <c r="BI3590" s="157"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86"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3" t="n"/>
      <c r="BQ3596" s="149" t="n"/>
      <c r="BR3596" s="184" t="n"/>
      <c r="BS3596" s="149" t="n"/>
      <c r="BT3596" s="149" t="n"/>
      <c r="BU3596" s="28" t="n"/>
      <c r="BV3596" s="29" t="n"/>
      <c r="BW3596" s="185">
        <f>計算!$BP$42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115"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6"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107"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7">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188">
        <f>IF(入力!$D$44="","",設定!$B$6)&amp;""</f>
        <v/>
      </c>
      <c r="S3604" s="11" t="n"/>
      <c r="T3604" s="11" t="n"/>
      <c r="U3604" s="188">
        <f>IF(入力!$D$44="","",設定!$B$7)&amp;""</f>
        <v/>
      </c>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110" t="inlineStr">
        <is>
          <t>令和</t>
        </is>
      </c>
      <c r="S3605" s="61" t="inlineStr">
        <is>
          <t>年</t>
        </is>
      </c>
      <c r="W3605" s="62"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90"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5" t="n"/>
      <c r="F3609" s="156" t="n"/>
      <c r="G3609" s="156" t="n"/>
      <c r="H3609" s="156" t="n"/>
      <c r="I3609" s="156" t="n"/>
      <c r="J3609" s="156" t="n"/>
      <c r="K3609" s="157"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6" t="n"/>
      <c r="AX3609" s="156" t="n"/>
      <c r="AY3609" s="156" t="n"/>
      <c r="AZ3609" s="156" t="n"/>
      <c r="BA3609" s="156" t="n"/>
      <c r="BB3609" s="156" t="n"/>
      <c r="BC3609" s="156" t="n"/>
      <c r="BD3609" s="156" t="n"/>
      <c r="BE3609" s="156" t="n"/>
      <c r="BF3609" s="156" t="n"/>
      <c r="BG3609" s="156" t="n"/>
      <c r="BH3609" s="156" t="n"/>
      <c r="BI3609" s="157"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58" t="n"/>
      <c r="T3610" s="149" t="n"/>
      <c r="U3610" s="17" t="n"/>
      <c r="V3610" s="17" t="n"/>
      <c r="W3610" s="58"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89" t="inlineStr">
        <is>
          <t>職　歴</t>
        </is>
      </c>
      <c r="K3613" s="153" t="n"/>
      <c r="L3613" s="69" t="inlineStr">
        <is>
          <t>平成</t>
        </is>
      </c>
      <c r="M3613" s="149" t="n"/>
      <c r="N3613" s="149" t="n"/>
      <c r="O3613" s="149" t="n"/>
      <c r="P3613" s="19" t="n"/>
      <c r="Q3613" s="19" t="n"/>
      <c r="R3613" s="19" t="n"/>
      <c r="S3613" s="19" t="n"/>
      <c r="T3613" s="19" t="n"/>
      <c r="U3613" s="19" t="n"/>
      <c r="V3613" s="19" t="n"/>
      <c r="W3613" s="19" t="n"/>
      <c r="X3613" s="37" t="n"/>
      <c r="Y3613" s="180">
        <f>計算!$BT$42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8">
        <f>計算!$BR$42</f>
        <v/>
      </c>
      <c r="S3615" s="61" t="inlineStr">
        <is>
          <t>年</t>
        </is>
      </c>
      <c r="U3615" s="190">
        <f>計算!$BS$42</f>
        <v/>
      </c>
      <c r="W3615" s="62"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74"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5" t="n"/>
      <c r="M3618" s="156" t="n"/>
      <c r="N3618" s="156" t="n"/>
      <c r="O3618" s="156" t="n"/>
      <c r="P3618" s="20" t="n"/>
      <c r="Q3618" s="20" t="n"/>
      <c r="R3618" s="20" t="n"/>
      <c r="S3618" s="20" t="n"/>
      <c r="T3618" s="20" t="n"/>
      <c r="U3618" s="20" t="n"/>
      <c r="V3618" s="20" t="n"/>
      <c r="W3618" s="20" t="n"/>
      <c r="X3618" s="39" t="n"/>
      <c r="Y3618" s="155" t="n"/>
      <c r="Z3618" s="156" t="n"/>
      <c r="AA3618" s="156" t="n"/>
      <c r="AB3618" s="156" t="n"/>
      <c r="AC3618" s="156" t="n"/>
      <c r="AD3618" s="156" t="n"/>
      <c r="AE3618" s="156" t="n"/>
      <c r="AF3618" s="156" t="n"/>
      <c r="AG3618" s="156" t="n"/>
      <c r="AH3618" s="156" t="n"/>
      <c r="AI3618" s="156" t="n"/>
      <c r="AJ3618" s="156" t="n"/>
      <c r="AK3618" s="156" t="n"/>
      <c r="AL3618" s="156" t="n"/>
      <c r="AM3618" s="156" t="n"/>
      <c r="AN3618" s="156" t="n"/>
      <c r="AO3618" s="156" t="n"/>
      <c r="AP3618" s="156" t="n"/>
      <c r="AQ3618" s="156" t="n"/>
      <c r="AR3618" s="156" t="n"/>
      <c r="AS3618" s="156" t="n"/>
      <c r="AT3618" s="156" t="n"/>
      <c r="AU3618" s="156" t="n"/>
      <c r="AV3618" s="156" t="n"/>
      <c r="AW3618" s="156" t="n"/>
      <c r="AX3618" s="156" t="n"/>
      <c r="AY3618" s="156" t="n"/>
      <c r="AZ3618" s="156" t="n"/>
      <c r="BA3618" s="156" t="n"/>
      <c r="BB3618" s="156" t="n"/>
      <c r="BC3618" s="156" t="n"/>
      <c r="BD3618" s="156" t="n"/>
      <c r="BE3618" s="156" t="n"/>
      <c r="BF3618" s="156" t="n"/>
      <c r="BG3618" s="156" t="n"/>
      <c r="BH3618" s="156" t="n"/>
      <c r="BI3618" s="157"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69" t="inlineStr">
        <is>
          <t>平成</t>
        </is>
      </c>
      <c r="M3619" s="149" t="n"/>
      <c r="N3619" s="149" t="n"/>
      <c r="O3619" s="149" t="n"/>
      <c r="P3619" s="18" t="n"/>
      <c r="Q3619" s="18" t="n"/>
      <c r="R3619" s="18" t="n"/>
      <c r="S3619" s="18" t="n"/>
      <c r="T3619" s="18" t="n"/>
      <c r="U3619" s="18" t="n"/>
      <c r="V3619" s="18" t="n"/>
      <c r="W3619" s="18" t="n"/>
      <c r="X3619" s="35" t="n"/>
      <c r="Y3619" s="180">
        <f>計算!$BW$42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8">
        <f>計算!$BU$42</f>
        <v/>
      </c>
      <c r="S3621" s="61" t="inlineStr">
        <is>
          <t>年</t>
        </is>
      </c>
      <c r="U3621" s="190">
        <f>計算!$BV$42</f>
        <v/>
      </c>
      <c r="W3621" s="62"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74"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5" t="n"/>
      <c r="M3624" s="156" t="n"/>
      <c r="N3624" s="156" t="n"/>
      <c r="O3624" s="156" t="n"/>
      <c r="P3624" s="20" t="n"/>
      <c r="Q3624" s="20" t="n"/>
      <c r="R3624" s="20" t="n"/>
      <c r="S3624" s="20" t="n"/>
      <c r="T3624" s="20" t="n"/>
      <c r="U3624" s="20" t="n"/>
      <c r="V3624" s="20" t="n"/>
      <c r="W3624" s="20" t="n"/>
      <c r="X3624" s="39" t="n"/>
      <c r="Y3624" s="155" t="n"/>
      <c r="Z3624" s="156" t="n"/>
      <c r="AA3624" s="156" t="n"/>
      <c r="AB3624" s="156" t="n"/>
      <c r="AC3624" s="156" t="n"/>
      <c r="AD3624" s="156" t="n"/>
      <c r="AE3624" s="156" t="n"/>
      <c r="AF3624" s="156" t="n"/>
      <c r="AG3624" s="156" t="n"/>
      <c r="AH3624" s="156" t="n"/>
      <c r="AI3624" s="156" t="n"/>
      <c r="AJ3624" s="156" t="n"/>
      <c r="AK3624" s="156" t="n"/>
      <c r="AL3624" s="156" t="n"/>
      <c r="AM3624" s="156" t="n"/>
      <c r="AN3624" s="156" t="n"/>
      <c r="AO3624" s="156" t="n"/>
      <c r="AP3624" s="156" t="n"/>
      <c r="AQ3624" s="156" t="n"/>
      <c r="AR3624" s="156" t="n"/>
      <c r="AS3624" s="156" t="n"/>
      <c r="AT3624" s="156" t="n"/>
      <c r="AU3624" s="156" t="n"/>
      <c r="AV3624" s="156" t="n"/>
      <c r="AW3624" s="156" t="n"/>
      <c r="AX3624" s="156" t="n"/>
      <c r="AY3624" s="156" t="n"/>
      <c r="AZ3624" s="156" t="n"/>
      <c r="BA3624" s="156" t="n"/>
      <c r="BB3624" s="156" t="n"/>
      <c r="BC3624" s="156" t="n"/>
      <c r="BD3624" s="156" t="n"/>
      <c r="BE3624" s="156" t="n"/>
      <c r="BF3624" s="156" t="n"/>
      <c r="BG3624" s="156" t="n"/>
      <c r="BH3624" s="156" t="n"/>
      <c r="BI3624" s="157" t="n"/>
      <c r="BJ3624" s="2" t="n"/>
      <c r="BK3624" s="2" t="n"/>
      <c r="BL3624" s="2" t="n"/>
      <c r="BM3624" s="2" t="n"/>
      <c r="BN3624" s="2" t="n"/>
      <c r="BO3624" s="2" t="n"/>
      <c r="BP3624" s="155" t="n"/>
      <c r="BQ3624" s="156" t="n"/>
      <c r="BR3624" s="156" t="n"/>
      <c r="BS3624" s="156" t="n"/>
      <c r="BT3624" s="156" t="n"/>
      <c r="BU3624" s="42" t="n"/>
      <c r="BV3624" s="45" t="n"/>
      <c r="BW3624" s="156" t="n"/>
      <c r="BX3624" s="156" t="n"/>
      <c r="BY3624" s="156" t="n"/>
      <c r="BZ3624" s="156" t="n"/>
      <c r="CA3624" s="156" t="n"/>
      <c r="CB3624" s="156" t="n"/>
      <c r="CC3624" s="156" t="n"/>
      <c r="CD3624" s="156" t="n"/>
      <c r="CE3624" s="156" t="n"/>
      <c r="CF3624" s="156" t="n"/>
      <c r="CG3624" s="156" t="n"/>
      <c r="CH3624" s="156" t="n"/>
      <c r="CI3624" s="156" t="n"/>
      <c r="CJ3624" s="156" t="n"/>
      <c r="CK3624" s="156" t="n"/>
      <c r="CL3624" s="156" t="n"/>
      <c r="CM3624" s="156" t="n"/>
      <c r="CN3624" s="156" t="n"/>
      <c r="CO3624" s="156" t="n"/>
      <c r="CP3624" s="156" t="n"/>
      <c r="CQ3624" s="156" t="n"/>
      <c r="CR3624" s="156" t="n"/>
      <c r="CS3624" s="156" t="n"/>
      <c r="CT3624" s="156" t="n"/>
      <c r="CU3624" s="156" t="n"/>
      <c r="CV3624" s="156" t="n"/>
      <c r="CW3624" s="156" t="n"/>
      <c r="CX3624" s="156" t="n"/>
      <c r="CY3624" s="156" t="n"/>
      <c r="CZ3624" s="156" t="n"/>
      <c r="DA3624" s="156" t="n"/>
      <c r="DB3624" s="156" t="n"/>
      <c r="DC3624" s="156" t="n"/>
      <c r="DD3624" s="156" t="n"/>
      <c r="DE3624" s="156" t="n"/>
      <c r="DF3624" s="156" t="n"/>
      <c r="DG3624" s="156" t="n"/>
      <c r="DH3624" s="156" t="n"/>
      <c r="DI3624" s="156" t="n"/>
      <c r="DJ3624" s="156" t="n"/>
      <c r="DK3624" s="156" t="n"/>
      <c r="DL3624" s="156" t="n"/>
      <c r="DM3624" s="156" t="n"/>
      <c r="DN3624" s="156" t="n"/>
      <c r="DO3624" s="156" t="n"/>
      <c r="DP3624" s="156" t="n"/>
      <c r="DQ3624" s="156" t="n"/>
      <c r="DR3624" s="156" t="n"/>
      <c r="DS3624" s="156" t="n"/>
      <c r="DT3624" s="156" t="n"/>
      <c r="DU3624" s="157" t="n"/>
      <c r="DV3624" s="2" t="n"/>
      <c r="DW3624" s="2" t="n"/>
      <c r="DX3624" s="2" t="n"/>
      <c r="DY3624" s="2" t="n"/>
      <c r="DZ3624" s="2" t="n"/>
      <c r="EA3624" s="2" t="n"/>
      <c r="EB3624" s="2" t="n"/>
      <c r="EC3624" s="2" t="n"/>
    </row>
    <row r="3625" ht="6.75" customHeight="1" s="118">
      <c r="A3625" s="2" t="n"/>
      <c r="B3625" s="2" t="n"/>
      <c r="C3625" s="2" t="n"/>
      <c r="D3625" s="2" t="n"/>
      <c r="E3625" s="152" t="n"/>
      <c r="K3625" s="153" t="n"/>
      <c r="L3625" s="69"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5">
        <f>計算!$BQ$42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61" t="inlineStr">
        <is>
          <t>年</t>
        </is>
      </c>
      <c r="U3627" s="11" t="n"/>
      <c r="V3627" s="11" t="n"/>
      <c r="W3627" s="62"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74"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5" t="n"/>
      <c r="M3630" s="156" t="n"/>
      <c r="N3630" s="156" t="n"/>
      <c r="O3630" s="156"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69"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61" t="inlineStr">
        <is>
          <t>年</t>
        </is>
      </c>
      <c r="U3633" s="11" t="n"/>
      <c r="V3633" s="11" t="n"/>
      <c r="W3633" s="62"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74"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61" t="n"/>
      <c r="T3635" s="61" t="n"/>
      <c r="U3635" s="11" t="n"/>
      <c r="V3635" s="11" t="n"/>
      <c r="W3635" s="61" t="n"/>
      <c r="X3635" s="62"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5" t="n"/>
      <c r="F3636" s="156" t="n"/>
      <c r="G3636" s="156" t="n"/>
      <c r="H3636" s="156" t="n"/>
      <c r="I3636" s="156" t="n"/>
      <c r="J3636" s="156" t="n"/>
      <c r="K3636" s="157" t="n"/>
      <c r="L3636" s="155" t="n"/>
      <c r="M3636" s="156" t="n"/>
      <c r="N3636" s="156" t="n"/>
      <c r="O3636" s="156"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5" t="n"/>
      <c r="BQ3636" s="156" t="n"/>
      <c r="BR3636" s="156" t="n"/>
      <c r="BS3636" s="156" t="n"/>
      <c r="BT3636" s="156" t="n"/>
      <c r="BU3636" s="156" t="n"/>
      <c r="BV3636" s="157" t="n"/>
      <c r="BW3636" s="156" t="n"/>
      <c r="BX3636" s="156" t="n"/>
      <c r="BY3636" s="156" t="n"/>
      <c r="BZ3636" s="156" t="n"/>
      <c r="CA3636" s="156" t="n"/>
      <c r="CB3636" s="156" t="n"/>
      <c r="CC3636" s="156" t="n"/>
      <c r="CD3636" s="156" t="n"/>
      <c r="CE3636" s="156" t="n"/>
      <c r="CF3636" s="156" t="n"/>
      <c r="CG3636" s="156" t="n"/>
      <c r="CH3636" s="156" t="n"/>
      <c r="CI3636" s="156" t="n"/>
      <c r="CJ3636" s="156" t="n"/>
      <c r="CK3636" s="156" t="n"/>
      <c r="CL3636" s="156" t="n"/>
      <c r="CM3636" s="156" t="n"/>
      <c r="CN3636" s="156" t="n"/>
      <c r="CO3636" s="156" t="n"/>
      <c r="CP3636" s="156" t="n"/>
      <c r="CQ3636" s="156" t="n"/>
      <c r="CR3636" s="156" t="n"/>
      <c r="CS3636" s="156" t="n"/>
      <c r="CT3636" s="156" t="n"/>
      <c r="CU3636" s="156" t="n"/>
      <c r="CV3636" s="156" t="n"/>
      <c r="CW3636" s="156" t="n"/>
      <c r="CX3636" s="156" t="n"/>
      <c r="CY3636" s="156" t="n"/>
      <c r="CZ3636" s="156" t="n"/>
      <c r="DA3636" s="156" t="n"/>
      <c r="DB3636" s="156" t="n"/>
      <c r="DC3636" s="156" t="n"/>
      <c r="DD3636" s="156" t="n"/>
      <c r="DE3636" s="156" t="n"/>
      <c r="DF3636" s="156" t="n"/>
      <c r="DG3636" s="156" t="n"/>
      <c r="DH3636" s="156" t="n"/>
      <c r="DI3636" s="156" t="n"/>
      <c r="DJ3636" s="156" t="n"/>
      <c r="DK3636" s="156" t="n"/>
      <c r="DL3636" s="156" t="n"/>
      <c r="DM3636" s="156" t="n"/>
      <c r="DN3636" s="156" t="n"/>
      <c r="DO3636" s="156" t="n"/>
      <c r="DP3636" s="156" t="n"/>
      <c r="DQ3636" s="156" t="n"/>
      <c r="DR3636" s="156" t="n"/>
      <c r="DS3636" s="156" t="n"/>
      <c r="DT3636" s="156" t="n"/>
      <c r="DU3636" s="157"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87" t="inlineStr">
        <is>
          <t xml:space="preserve">    (近畿高等学校統一用紙　  その２ 　  令和７年度改定)　</t>
        </is>
      </c>
      <c r="DV3638" s="2" t="n"/>
      <c r="DW3638" s="2" t="n"/>
      <c r="DX3638" s="2" t="n"/>
      <c r="DY3638" s="2" t="n"/>
      <c r="DZ3638" s="2" t="n"/>
      <c r="EA3638" s="2" t="n"/>
      <c r="EB3638" s="2" t="n"/>
      <c r="EC3638" s="2" t="n"/>
    </row>
    <row r="3639" hidden="1"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idden="1"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P601:R603"/>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U2694:V2696"/>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U874:V876"/>
    <mergeCell ref="L1523:O1525"/>
    <mergeCell ref="AW1509:BI1512"/>
    <mergeCell ref="L2576:O2578"/>
    <mergeCell ref="J3188:AM3191"/>
    <mergeCell ref="P1704:R1705"/>
    <mergeCell ref="W1352:X1353"/>
    <mergeCell ref="AP3206:AQ3209"/>
    <mergeCell ref="U1892:V1893"/>
    <mergeCell ref="L2786:O2787"/>
    <mergeCell ref="L3514:O3515"/>
    <mergeCell ref="U2967:V2969"/>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BR3323:BT3351"/>
    <mergeCell ref="L1942:BI1944"/>
    <mergeCell ref="BW3467:CG3487"/>
    <mergeCell ref="AG554:AH556"/>
    <mergeCell ref="BW2715:DU2726"/>
    <mergeCell ref="E762:K764"/>
    <mergeCell ref="U3342:V3343"/>
    <mergeCell ref="BW1321:DU1349"/>
    <mergeCell ref="AG2465:AH2467"/>
    <mergeCell ref="BW3012:CG3032"/>
    <mergeCell ref="AI918:AK920"/>
    <mergeCell ref="E1945:K1947"/>
    <mergeCell ref="P2148:R2150"/>
    <mergeCell ref="S875:T876"/>
    <mergeCell ref="BP2049:BQ2077"/>
    <mergeCell ref="L762:BI764"/>
    <mergeCell ref="L710:O712"/>
    <mergeCell ref="V385:W388"/>
    <mergeCell ref="BW320:DU348"/>
    <mergeCell ref="S448:T449"/>
    <mergeCell ref="P982:R983"/>
    <mergeCell ref="BR2140:BT2168"/>
    <mergeCell ref="BW2011:CG2031"/>
    <mergeCell ref="AI8:AK10"/>
    <mergeCell ref="S420:T421"/>
    <mergeCell ref="BW2413:DU2441"/>
    <mergeCell ref="L1887:O1889"/>
    <mergeCell ref="CH1734:DU1737"/>
    <mergeCell ref="L2221:O2223"/>
    <mergeCell ref="L1162:O1164"/>
    <mergeCell ref="X2569:Y2572"/>
    <mergeCell ref="BR1685:BT1713"/>
    <mergeCell ref="L304:BI306"/>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U1420:V1422"/>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L1484:O1486"/>
    <mergeCell ref="W2808:X2809"/>
    <mergeCell ref="L756:O758"/>
    <mergeCell ref="W2080:X2081"/>
    <mergeCell ref="Z2829:AC2831"/>
    <mergeCell ref="AW235:BI238"/>
    <mergeCell ref="E1418:K1425"/>
    <mergeCell ref="U2614:V2615"/>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P2876:R2878"/>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U3240:V3242"/>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W2518:X2519"/>
    <mergeCell ref="S2996:T2997"/>
    <mergeCell ref="E307:K309"/>
    <mergeCell ref="BW646:CG666"/>
    <mergeCell ref="BR775:BT803"/>
    <mergeCell ref="BW3099:CG3102"/>
    <mergeCell ref="AH385:AO388"/>
    <mergeCell ref="Y1708:BI1713"/>
    <mergeCell ref="L2712:O2714"/>
    <mergeCell ref="L2582:BI2584"/>
    <mergeCell ref="L935:BI937"/>
    <mergeCell ref="AH3570:AO3573"/>
    <mergeCell ref="AG1737:AH1739"/>
    <mergeCell ref="P1602:R1604"/>
    <mergeCell ref="P3131:AJ3133"/>
    <mergeCell ref="AX198:BG199"/>
    <mergeCell ref="Z3115:AB3118"/>
    <mergeCell ref="L2127:BI2129"/>
    <mergeCell ref="P2494:AJ2496"/>
    <mergeCell ref="AX2018:BG2019"/>
    <mergeCell ref="BU2506:BV2530"/>
    <mergeCell ref="AW2375:BH2376"/>
    <mergeCell ref="AW1873:BI1876"/>
    <mergeCell ref="S2086:T2087"/>
    <mergeCell ref="U510:V512"/>
    <mergeCell ref="E3109:K3114"/>
    <mergeCell ref="AC1477:AD1480"/>
    <mergeCell ref="L25:BI27"/>
    <mergeCell ref="S3172:T3173"/>
    <mergeCell ref="BP2371:BV2395"/>
    <mergeCell ref="U783:V78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U965:V967"/>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L1723:O1725"/>
    <mergeCell ref="L1996:O1998"/>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P510:R512"/>
    <mergeCell ref="X385:Y388"/>
    <mergeCell ref="AG3375:AH3377"/>
    <mergeCell ref="S1426:T1427"/>
    <mergeCell ref="S3536:T353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U2603:V260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W2250:X2251"/>
    <mergeCell ref="E3469:K3472"/>
    <mergeCell ref="BW3261:DU3272"/>
    <mergeCell ref="BW1668:DU1684"/>
    <mergeCell ref="E921:K924"/>
    <mergeCell ref="CH1465:DU1485"/>
    <mergeCell ref="AR1113:AT1116"/>
    <mergeCell ref="W2882:X2883"/>
    <mergeCell ref="L1835:AT1840"/>
    <mergeCell ref="AX2928:BG2929"/>
    <mergeCell ref="E1702:K1725"/>
    <mergeCell ref="AG2283:AH2285"/>
    <mergeCell ref="E2491:K2493"/>
    <mergeCell ref="P1966:R1968"/>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AI1737:AK1739"/>
    <mergeCell ref="AW9:BH10"/>
    <mergeCell ref="BW1192:CG1212"/>
    <mergeCell ref="P1238:R1240"/>
    <mergeCell ref="L3404:O3406"/>
    <mergeCell ref="L3616:O3618"/>
    <mergeCell ref="E2066:K2089"/>
    <mergeCell ref="BW1594:DU1622"/>
    <mergeCell ref="W1244:X1245"/>
    <mergeCell ref="L2891:O2893"/>
    <mergeCell ref="L2163:O2165"/>
    <mergeCell ref="CH1279:DU1282"/>
    <mergeCell ref="L349:O351"/>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U3149:V3151"/>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L2485:O2487"/>
    <mergeCell ref="U1329:V1331"/>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BW3352:DU3363"/>
    <mergeCell ref="P3422:R3424"/>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W994:X995"/>
    <mergeCell ref="BW1461:CG1464"/>
    <mergeCell ref="BU2961:BV2985"/>
    <mergeCell ref="L3619:O3621"/>
    <mergeCell ref="L2858:O2860"/>
    <mergeCell ref="Y3528:BI3533"/>
    <mergeCell ref="W3150:X3151"/>
    <mergeCell ref="L1071:O1073"/>
    <mergeCell ref="E2300:K2302"/>
    <mergeCell ref="L2755:BI275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U55:V57"/>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V2569:W2572"/>
    <mergeCell ref="E375:K378"/>
    <mergeCell ref="BP2140:BQ2168"/>
    <mergeCell ref="BP258:BV269"/>
    <mergeCell ref="AG190:AH192"/>
    <mergeCell ref="S1239:T1240"/>
    <mergeCell ref="BW3232:DU3260"/>
    <mergeCell ref="S3360:T3361"/>
    <mergeCell ref="E1156:K1179"/>
    <mergeCell ref="BW684:DU712"/>
    <mergeCell ref="W334:X335"/>
    <mergeCell ref="S812:T813"/>
    <mergeCell ref="CH369:DU372"/>
    <mergeCell ref="BR2504:BT2532"/>
    <mergeCell ref="BW2375:CG2395"/>
    <mergeCell ref="S238:T239"/>
    <mergeCell ref="E2339:K2362"/>
    <mergeCell ref="BU959:BV983"/>
    <mergeCell ref="Y3437:BI3442"/>
    <mergeCell ref="L2664:BI2666"/>
    <mergeCell ref="AP1919:AT1921"/>
    <mergeCell ref="P3331:R3333"/>
    <mergeCell ref="L1763:BI1765"/>
    <mergeCell ref="L668:BI670"/>
    <mergeCell ref="AI99:AK101"/>
    <mergeCell ref="L1626:O1628"/>
    <mergeCell ref="X1659:Y1662"/>
    <mergeCell ref="L531:O533"/>
    <mergeCell ref="E652:K657"/>
    <mergeCell ref="L525:O527"/>
    <mergeCell ref="AW3602:BI3605"/>
    <mergeCell ref="U2239:V2241"/>
    <mergeCell ref="W789:X790"/>
    <mergeCell ref="S1267:T1268"/>
    <mergeCell ref="L1611:O1613"/>
    <mergeCell ref="L856:O858"/>
    <mergeCell ref="J2005:AM2008"/>
    <mergeCell ref="AC3206:AD3209"/>
    <mergeCell ref="P1346:R1347"/>
    <mergeCell ref="U2512:V2514"/>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BP1577:BV1593"/>
    <mergeCell ref="L886:O888"/>
    <mergeCell ref="L1939:O1941"/>
    <mergeCell ref="W721:X722"/>
    <mergeCell ref="L3452:O3454"/>
    <mergeCell ref="E1873:K1880"/>
    <mergeCell ref="W715:X716"/>
    <mergeCell ref="U1255:V1256"/>
    <mergeCell ref="E1204:K1207"/>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P2239:R2241"/>
    <mergeCell ref="X1386:Y1389"/>
    <mergeCell ref="BW1101:CG1121"/>
    <mergeCell ref="E2394:K2399"/>
    <mergeCell ref="E34:K36"/>
    <mergeCell ref="S607:T608"/>
    <mergeCell ref="P237:R239"/>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BW2921:CG2941"/>
    <mergeCell ref="L161:O163"/>
    <mergeCell ref="E1390:K1392"/>
    <mergeCell ref="AX1199:BG1200"/>
    <mergeCell ref="P2967:R2969"/>
    <mergeCell ref="L31:BI33"/>
    <mergeCell ref="BW3323:DU3351"/>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BP303:BV319"/>
    <mergeCell ref="E2023:K2026"/>
    <mergeCell ref="E2794:K2817"/>
    <mergeCell ref="V2751:W2754"/>
    <mergeCell ref="E246:K269"/>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P1420:R1422"/>
    <mergeCell ref="BR866:BT894"/>
    <mergeCell ref="CH3467:DU3487"/>
    <mergeCell ref="BR138:BT166"/>
    <mergeCell ref="L986:O988"/>
    <mergeCell ref="E701:K724"/>
    <mergeCell ref="X2842:Y2845"/>
    <mergeCell ref="S357:T358"/>
    <mergeCell ref="L261:O263"/>
    <mergeCell ref="X294:Y297"/>
    <mergeCell ref="BW1647:CG1667"/>
    <mergeCell ref="L1945:BI1947"/>
    <mergeCell ref="AX2382:BG2383"/>
    <mergeCell ref="P965:R967"/>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U146:V148"/>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U3058:V3060"/>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P1693:R1695"/>
    <mergeCell ref="L2800:O2802"/>
    <mergeCell ref="W1699:X1700"/>
    <mergeCell ref="E1857:K1861"/>
    <mergeCell ref="L2670:BI2672"/>
    <mergeCell ref="P2438:R2439"/>
    <mergeCell ref="E1198:K1203"/>
    <mergeCell ref="E2027:K2029"/>
    <mergeCell ref="Y1617:BI1622"/>
    <mergeCell ref="E1299:K1301"/>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L2940:O2942"/>
    <mergeCell ref="U1784:V1786"/>
    <mergeCell ref="AP385:AQ388"/>
    <mergeCell ref="AW2419:BI2422"/>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E1065:K108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P783:R785"/>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U1693:V1695"/>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Y2709:BI2714"/>
    <mergeCell ref="L1760:BI1762"/>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AL2556:AM2558"/>
    <mergeCell ref="P66:R67"/>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U419:V421"/>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BP2032:BV2048"/>
    <mergeCell ref="E1194:K1197"/>
    <mergeCell ref="AE1841:AG1844"/>
    <mergeCell ref="AR1386:AT1389"/>
    <mergeCell ref="W1170:X1171"/>
    <mergeCell ref="E1975:K1998"/>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P3149:R3151"/>
    <mergeCell ref="BW1465:CG1485"/>
    <mergeCell ref="BR1867:BT1895"/>
    <mergeCell ref="BW1006:CG1009"/>
    <mergeCell ref="BW1867:DU1895"/>
    <mergeCell ref="E25:K27"/>
    <mergeCell ref="E2430:K2453"/>
    <mergeCell ref="BU322:BV346"/>
    <mergeCell ref="L1990:O1992"/>
    <mergeCell ref="X2023:Y2026"/>
    <mergeCell ref="E1845:K1847"/>
    <mergeCell ref="Y3249:BI3254"/>
    <mergeCell ref="P2694:R2696"/>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U1875:V1877"/>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AW1691:BI1694"/>
    <mergeCell ref="L486:BI488"/>
    <mergeCell ref="W3428:X3429"/>
    <mergeCell ref="P874:R876"/>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U3513:V3515"/>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U2057:V2059"/>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P2057:R2059"/>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U601:V603"/>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P2512:R2514"/>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P1056:R1058"/>
    <mergeCell ref="AX1745:BG1746"/>
    <mergeCell ref="BW1412:DU1440"/>
    <mergeCell ref="L2715:O2717"/>
    <mergeCell ref="S3354:T3355"/>
    <mergeCell ref="S1540:T1541"/>
    <mergeCell ref="L2709:O2711"/>
    <mergeCell ref="S1534:T1535"/>
    <mergeCell ref="L2832:AT2835"/>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U3422:V34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BR957:BT985"/>
    <mergeCell ref="BW2868:DU2896"/>
    <mergeCell ref="L3489:BI3491"/>
    <mergeCell ref="X931:Y934"/>
    <mergeCell ref="L892:O894"/>
    <mergeCell ref="AX3019:BG3020"/>
    <mergeCell ref="E792:K815"/>
    <mergeCell ref="Y1890:BI1895"/>
    <mergeCell ref="P1784:R1786"/>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U2148:V2150"/>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U1147:V1149"/>
    <mergeCell ref="AW1782:BI1785"/>
    <mergeCell ref="E2965:K2972"/>
    <mergeCell ref="L519:O521"/>
    <mergeCell ref="P938:AJ940"/>
    <mergeCell ref="BP3008:BV3032"/>
    <mergeCell ref="S3075:T3076"/>
    <mergeCell ref="U692:V694"/>
    <mergeCell ref="BW2032:DU2048"/>
    <mergeCell ref="L64:O66"/>
    <mergeCell ref="P2121:AJ2123"/>
    <mergeCell ref="L557:AT560"/>
    <mergeCell ref="AR1022:AT1025"/>
    <mergeCell ref="BP30:BV46"/>
    <mergeCell ref="L2178:O2180"/>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P3240:R3242"/>
    <mergeCell ref="BR3596:BT3624"/>
    <mergeCell ref="BW2735:CG2738"/>
    <mergeCell ref="L1672:BI1674"/>
    <mergeCell ref="E1754:K1756"/>
    <mergeCell ref="BW3596:DU3624"/>
    <mergeCell ref="AG827:AH829"/>
    <mergeCell ref="P692:R694"/>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U3604:V3606"/>
    <mergeCell ref="S3445:T3446"/>
    <mergeCell ref="BP3372:BV3396"/>
    <mergeCell ref="E116:K118"/>
    <mergeCell ref="Y1520:BI1525"/>
    <mergeCell ref="U1056:V1058"/>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BW2851:DU2867"/>
    <mergeCell ref="P3604:R3606"/>
    <mergeCell ref="U72:V7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S3178:T3179"/>
    <mergeCell ref="P146:R148"/>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AH1477:AO1480"/>
    <mergeCell ref="E1285:K1288"/>
    <mergeCell ref="S3542:T3543"/>
    <mergeCell ref="BW1776:DU1804"/>
    <mergeCell ref="Y2147:AV2152"/>
    <mergeCell ref="W1426:X1427"/>
    <mergeCell ref="L343:O345"/>
    <mergeCell ref="P2165:R2166"/>
    <mergeCell ref="AW3420:BI3423"/>
    <mergeCell ref="L2215:BI2217"/>
    <mergeCell ref="P2603:R2605"/>
    <mergeCell ref="E1026:K1028"/>
    <mergeCell ref="S2802:T2803"/>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U3331:V3333"/>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Y70:BI75"/>
    <mergeCell ref="BR502:BT530"/>
    <mergeCell ref="BW502:DU530"/>
    <mergeCell ref="L2445:O2447"/>
    <mergeCell ref="W2877:X2878"/>
    <mergeCell ref="X2478:Y2481"/>
    <mergeCell ref="BW2826:CG2829"/>
    <mergeCell ref="BU2142:BV2166"/>
    <mergeCell ref="E1126:K1128"/>
    <mergeCell ref="P2858:AJ2860"/>
    <mergeCell ref="P1329:R1331"/>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P328:R330"/>
    <mergeCell ref="AX1017:BG1018"/>
    <mergeCell ref="L1314:BI1315"/>
    <mergeCell ref="U237:V239"/>
    <mergeCell ref="AW872:BI875"/>
    <mergeCell ref="P1249:R1250"/>
    <mergeCell ref="L1402:O1404"/>
    <mergeCell ref="E2055:K2062"/>
    <mergeCell ref="AC2751:AD2754"/>
    <mergeCell ref="J2551:AM2554"/>
    <mergeCell ref="AW3194:BH3195"/>
    <mergeCell ref="AC3024:AD3027"/>
    <mergeCell ref="P28:AJ30"/>
    <mergeCell ref="U2330:V2332"/>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S527:T528"/>
    <mergeCell ref="BP3050:BQ3078"/>
    <mergeCell ref="BP2322:BQ2350"/>
    <mergeCell ref="BR1503:BT1531"/>
    <mergeCell ref="L2351:O2353"/>
    <mergeCell ref="S2068:T2069"/>
    <mergeCell ref="CH9:DU29"/>
    <mergeCell ref="L1450:O1452"/>
    <mergeCell ref="S3241:T3242"/>
    <mergeCell ref="L355:O357"/>
    <mergeCell ref="BW2284:CG2304"/>
    <mergeCell ref="P2330:R2332"/>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P2785:R2787"/>
    <mergeCell ref="AX3474:BG347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AX2655:BG2656"/>
    <mergeCell ref="BR2686:BT2714"/>
    <mergeCell ref="X2660:Y2663"/>
    <mergeCell ref="L2621:O2623"/>
    <mergeCell ref="E2521:K2544"/>
    <mergeCell ref="L79:O81"/>
    <mergeCell ref="X112:Y115"/>
    <mergeCell ref="L255:O257"/>
    <mergeCell ref="P3513:R3515"/>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55:R57"/>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U2876:V2878"/>
    <mergeCell ref="AP1477:AQ1480"/>
    <mergeCell ref="U163:V164"/>
    <mergeCell ref="L1057:O1058"/>
    <mergeCell ref="AW3511:BI3514"/>
    <mergeCell ref="U1238:V1240"/>
    <mergeCell ref="U328:V330"/>
    <mergeCell ref="L1493:O1495"/>
    <mergeCell ref="L2248:O2250"/>
    <mergeCell ref="CJ2910:DU2911"/>
    <mergeCell ref="P2667:AJ2669"/>
    <mergeCell ref="BP824:BV848"/>
    <mergeCell ref="E53:K60"/>
    <mergeCell ref="U1249:V1250"/>
    <mergeCell ref="W982:X983"/>
    <mergeCell ref="U2421:V2423"/>
    <mergeCell ref="W1358:X1359"/>
    <mergeCell ref="P665:AJ667"/>
    <mergeCell ref="L1793:O1795"/>
    <mergeCell ref="W2802:X2803"/>
    <mergeCell ref="W1330:X1331"/>
    <mergeCell ref="V840:W843"/>
    <mergeCell ref="BP1759:BV1775"/>
    <mergeCell ref="AR2751:AT2754"/>
    <mergeCell ref="L3634:O363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P2421:R2423"/>
    <mergeCell ref="BW1916:CG1919"/>
    <mergeCell ref="AG736:AH738"/>
    <mergeCell ref="X1568:Y1571"/>
    <mergeCell ref="E2764:K2766"/>
    <mergeCell ref="AG8:AH10"/>
    <mergeCell ref="BW1283:CG1303"/>
    <mergeCell ref="E216:K218"/>
    <mergeCell ref="CH2462:DU2465"/>
    <mergeCell ref="P419:R421"/>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U2785:V2787"/>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U1602:V1604"/>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BR2868:BT2896"/>
    <mergeCell ref="L1487:BI1489"/>
    <mergeCell ref="BW1122:DU1138"/>
    <mergeCell ref="P1875:R1877"/>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P1147:R1149"/>
    <mergeCell ref="BW2231:DU2259"/>
    <mergeCell ref="BW642:CG645"/>
    <mergeCell ref="AW2150:BI2153"/>
    <mergeCell ref="Y3619:BI3624"/>
    <mergeCell ref="E2855:K2857"/>
    <mergeCell ref="P3058:R3060"/>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U1966:V1968"/>
    <mergeCell ref="P2978:R2979"/>
    <mergeCell ref="AW1738:BH1739"/>
    <mergeCell ref="L2072:O2074"/>
    <mergeCell ref="L3131:O3133"/>
    <mergeCell ref="L1344:O1346"/>
    <mergeCell ref="S169:T170"/>
    <mergeCell ref="L1338:O1340"/>
    <mergeCell ref="L583:O585"/>
    <mergeCell ref="Y2157:BI2162"/>
    <mergeCell ref="W875:X876"/>
    <mergeCell ref="P1757:AJ1759"/>
    <mergeCell ref="L3378:AT3381"/>
    <mergeCell ref="U1511:V1513"/>
    <mergeCell ref="L2569:U2572"/>
    <mergeCell ref="L3431:O3433"/>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P1511:R1513"/>
    <mergeCell ref="AG3466:AH3468"/>
    <mergeCell ref="CH1552:DU1555"/>
    <mergeCell ref="AD736:AF738"/>
    <mergeCell ref="L2036:BI2038"/>
    <mergeCell ref="R2045:BI2047"/>
    <mergeCell ref="AH3297:AO3300"/>
  </mergeCells>
  <pageMargins left="0.3149606299212598" right="0.3149606299212598" top="0.08" bottom="0.16" header="0.05" footer="0.1"/>
  <pageSetup orientation="landscape" paperSize="9" scale="97"/>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216"/>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1" t="inlineStr">
        <is>
          <t>' 【予備】★の方法で使う列。貼り付けたあとVBEのCtrl+Hで ” を半角の二重引用符に置換してください</t>
        </is>
      </c>
      <c r="E1" s="191" t="inlineStr">
        <is>
          <t>' ◆で ThisWorkbook に貼り付ける列（列ごとコピーしても壊れません）</t>
        </is>
      </c>
    </row>
    <row r="2">
      <c r="C2" s="191" t="inlineStr">
        <is>
          <t>Option Explicit</t>
        </is>
      </c>
      <c r="E2" s="191" t="inlineStr">
        <is>
          <t>Private Sub Workbook_BeforePrint(Cancel As Boolean)</t>
        </is>
      </c>
    </row>
    <row r="3">
      <c r="A3" s="192" t="inlineStr">
        <is>
          <t>■ これを入れると、資格の件数や文章の長さに合わせて文字の大きさが自動で決まります</t>
        </is>
      </c>
      <c r="C3" s="191" t="inlineStr">
        <is>
          <t> </t>
        </is>
      </c>
      <c r="E3" s="191" t="inlineStr">
        <is>
          <t xml:space="preserve">    ' 印刷・PDF出力の直前に、文字の大きさを自動でそろえる</t>
        </is>
      </c>
    </row>
    <row r="4">
      <c r="A4" t="inlineStr">
        <is>
          <t xml:space="preserve">　・基本（最大）は11ポイント。欄に入りきらないときだけ小さくします（最小6ポイント）。</t>
        </is>
      </c>
      <c r="C4" s="191" t="inlineStr">
        <is>
          <t>' ============================================================</t>
        </is>
      </c>
      <c r="E4" s="191" t="inlineStr">
        <is>
          <t xml:space="preserve">    Application.EnableEvents = False</t>
        </is>
      </c>
    </row>
    <row r="5">
      <c r="A5" t="inlineStr">
        <is>
          <t xml:space="preserve">　・変えるのは文字の大きさだけです。行の高さ・列の幅・枠は触らないので様式は崩れません。</t>
        </is>
      </c>
      <c r="C5" s="191" t="inlineStr">
        <is>
          <t>'  履歴書の文字を整える</t>
        </is>
      </c>
      <c r="E5" s="191" t="inlineStr">
        <is>
          <t xml:space="preserve">    On Error Resume Next</t>
        </is>
      </c>
    </row>
    <row r="6">
      <c r="A6" t="inlineStr">
        <is>
          <t xml:space="preserve">　・資格が多い生徒も、諸活動や志望の動機が長い生徒も、欄の中に全部おさまります。</t>
        </is>
      </c>
      <c r="C6" s="191" t="inlineStr">
        <is>
          <t>'</t>
        </is>
      </c>
      <c r="E6" s="191" t="inlineStr">
        <is>
          <t xml:space="preserve">    文字を整える実行</t>
        </is>
      </c>
    </row>
    <row r="7">
      <c r="A7" t="inlineStr"/>
      <c r="C7" s="191" t="inlineStr">
        <is>
          <t>'  資格の件数や文章の長さに合わせて、文字の大きさだけを自動で調整します。</t>
        </is>
      </c>
      <c r="E7" s="191" t="inlineStr">
        <is>
          <t xml:space="preserve">    On Error GoTo 0</t>
        </is>
      </c>
    </row>
    <row r="8">
      <c r="A8" s="192" t="inlineStr">
        <is>
          <t>■ 入れかた（1回だけ・3分ほど）</t>
        </is>
      </c>
      <c r="C8" s="191" t="inlineStr">
        <is>
          <t>'  行の高さ・列の幅・枠（画像）は一切変えないので、様式は崩れません。</t>
        </is>
      </c>
      <c r="E8" s="191" t="inlineStr">
        <is>
          <t xml:space="preserve">    Application.EnableEvents = True</t>
        </is>
      </c>
    </row>
    <row r="9">
      <c r="A9" t="inlineStr"/>
      <c r="C9" s="191" t="inlineStr">
        <is>
          <t>'  基本（最大）は11ポイント。欄に入りきらないときだけ小さくします。</t>
        </is>
      </c>
      <c r="E9" s="191" t="inlineStr">
        <is>
          <t>End Sub</t>
        </is>
      </c>
    </row>
    <row r="10">
      <c r="A10" s="192" t="inlineStr">
        <is>
          <t>① このファイル（履歴書作成.xlsm）を開いたまま、Alt + F11 を押す</t>
        </is>
      </c>
      <c r="C10" s="191" t="inlineStr">
        <is>
          <t>'</t>
        </is>
      </c>
    </row>
    <row r="11">
      <c r="A11" t="inlineStr">
        <is>
          <t xml:space="preserve">　　黒っぽい別画面（VBAの画面）が開きます。</t>
        </is>
      </c>
      <c r="C11" s="191" t="inlineStr">
        <is>
          <t>'  行数は見積もりではなく、作業用シートで Excel 自身に折り返させて</t>
        </is>
      </c>
    </row>
    <row r="12">
      <c r="A12" t="inlineStr"/>
      <c r="C12" s="191" t="inlineStr">
        <is>
          <t>'  高さを実測します（禁則処理や字幅の違いもそのまま反映されます）。</t>
        </is>
      </c>
    </row>
    <row r="13">
      <c r="A13" s="192" t="inlineStr">
        <is>
          <t>② その画面のメニューで「ファイル」→「ファイルのインポート」をクリック</t>
        </is>
      </c>
      <c r="C13" s="191" t="inlineStr">
        <is>
          <t>'</t>
        </is>
      </c>
    </row>
    <row r="14">
      <c r="A14" t="inlineStr">
        <is>
          <t xml:space="preserve">　　履歴書マクロ.bas を選んで「開く」（このファイルと同じ場所に入っています）</t>
        </is>
      </c>
      <c r="C14" s="191" t="inlineStr">
        <is>
          <t>'  使い方: Alt + F8 →「履歴書の文字を整える」→ 実行</t>
        </is>
      </c>
    </row>
    <row r="15">
      <c r="A15" t="inlineStr">
        <is>
          <t xml:space="preserve">　　左側の一覧に「標準モジュール」→「履歴書マクロ」が増えれば成功です。</t>
        </is>
      </c>
      <c r="C15" s="191" t="inlineStr">
        <is>
          <t>' ============================================================</t>
        </is>
      </c>
    </row>
    <row r="16">
      <c r="A16" t="inlineStr"/>
      <c r="C16" s="191" t="inlineStr">
        <is>
          <t> </t>
        </is>
      </c>
    </row>
    <row r="17">
      <c r="A17" s="192" t="inlineStr">
        <is>
          <t>③ Alt + Q で元のExcelに戻り、Ctrl + S で上書き保存</t>
        </is>
      </c>
      <c r="C17" s="191" t="inlineStr">
        <is>
          <t>Private Const SHEET_FORM As String = ”履歴書”</t>
        </is>
      </c>
    </row>
    <row r="18">
      <c r="A18" t="inlineStr"/>
      <c r="C18" s="191" t="inlineStr">
        <is>
          <t>Private Const SHEET_WORK As String = ”文字の大きさ作業用”</t>
        </is>
      </c>
    </row>
    <row r="19">
      <c r="A19" s="192" t="inlineStr">
        <is>
          <t>④ Alt + F8 →「履歴書の文字を整える」を選んで「実行」</t>
        </is>
      </c>
      <c r="C19" s="191" t="inlineStr">
        <is>
          <t>Private Const BLOCK_ROWS As Long = 91      ' 1人分の行数（1ページ）</t>
        </is>
      </c>
    </row>
    <row r="20">
      <c r="A20" t="inlineStr">
        <is>
          <t xml:space="preserve">　　数秒で全員分の文字の大きさがそろいます。</t>
        </is>
      </c>
      <c r="C20" s="191" t="inlineStr">
        <is>
          <t>Private Const STUDENT_COUNT As Long = 40     ' 名簿の人数</t>
        </is>
      </c>
    </row>
    <row r="21">
      <c r="A21" t="inlineStr"/>
      <c r="C21" s="191" t="inlineStr">
        <is>
          <t>Private Const MAX_PT As Double = 11.0    ' 基本（最大）の文字の大きさ</t>
        </is>
      </c>
    </row>
    <row r="22">
      <c r="A22" t="inlineStr">
        <is>
          <t>※ ①〜③は最初の1回だけです。次からは ④ だけでOKです。</t>
        </is>
      </c>
      <c r="C22" s="191" t="inlineStr">
        <is>
          <t>Private Const MIN_PT As Double = 6         ' これより小さくはしない</t>
        </is>
      </c>
    </row>
    <row r="23">
      <c r="A23" t="inlineStr">
        <is>
          <t>※ 入力を変えたら、印刷の前に ④ をもう一度実行してください。</t>
        </is>
      </c>
      <c r="C23" s="191" t="inlineStr">
        <is>
          <t>Private Const STEP_PT As Double = 0.5      ' 大きさの刻み</t>
        </is>
      </c>
    </row>
    <row r="24">
      <c r="A24" t="inlineStr"/>
      <c r="C24" s="191" t="inlineStr">
        <is>
          <t>Private Const YOHAKU As Double = 2         ' 欄の高さに対する余裕(pt)</t>
        </is>
      </c>
    </row>
    <row r="25">
      <c r="A25" s="192" t="inlineStr">
        <is>
          <t>◆ 印刷の前に自動で実行させる（おすすめ・これをすると ④ が要らなくなります）</t>
        </is>
      </c>
      <c r="C25" s="191" t="inlineStr">
        <is>
          <t> </t>
        </is>
      </c>
    </row>
    <row r="26">
      <c r="A26" t="inlineStr">
        <is>
          <t xml:space="preserve">　　※ 必ず ②のインポートを先に済ませてから行ってください（順番が逆だとエラーになります）</t>
        </is>
      </c>
      <c r="C26" s="191" t="inlineStr">
        <is>
          <t>Private ws測定 As Worksheet</t>
        </is>
      </c>
    </row>
    <row r="27">
      <c r="A27" t="inlineStr">
        <is>
          <t xml:space="preserve">　　Alt + F11 → 左の一覧の「ThisWorkbook」をダブルクリック →</t>
        </is>
      </c>
      <c r="C27" s="191" t="inlineStr">
        <is>
          <t>Private 測定幅 As Double</t>
        </is>
      </c>
    </row>
    <row r="28">
      <c r="A28" t="inlineStr">
        <is>
          <t xml:space="preserve">　　このシートの E列 を（見出しの「E」をクリックして）まるごとコピーし、</t>
        </is>
      </c>
      <c r="C28" s="191" t="inlineStr">
        <is>
          <t> </t>
        </is>
      </c>
    </row>
    <row r="29">
      <c r="A29" t="inlineStr">
        <is>
          <t xml:space="preserve">　　開いた白い画面に貼り付け →</t>
        </is>
      </c>
      <c r="C29" s="191" t="inlineStr">
        <is>
          <t>Public Sub 履歴書の文字を整える()</t>
        </is>
      </c>
    </row>
    <row r="30">
      <c r="A30" t="inlineStr">
        <is>
          <t xml:space="preserve">　　Alt + Q → Ctrl + S で上書き保存。</t>
        </is>
      </c>
      <c r="C30" s="191" t="inlineStr">
        <is>
          <t xml:space="preserve">    If 文字を整える実行() Then</t>
        </is>
      </c>
    </row>
    <row r="31">
      <c r="A31" t="inlineStr">
        <is>
          <t xml:space="preserve">　　以後、印刷・PDF出力の直前に自動で文字がそろいます。</t>
        </is>
      </c>
      <c r="C31" s="191" t="inlineStr">
        <is>
          <t xml:space="preserve">        MsgBox ”履歴書の文字を整えました。” &amp; vbLf &amp; _</t>
        </is>
      </c>
    </row>
    <row r="32">
      <c r="A32" t="inlineStr">
        <is>
          <t xml:space="preserve">　　（E列は二重引用符を含まないので、コピー＆貼り付けでも壊れません）</t>
        </is>
      </c>
      <c r="C32" s="191" t="inlineStr">
        <is>
          <t xml:space="preserve">               ”入力を変えたら、もう一度実行してください。”, vbInformation</t>
        </is>
      </c>
    </row>
    <row r="33">
      <c r="A33" t="inlineStr"/>
      <c r="C33" s="191" t="inlineStr">
        <is>
          <t xml:space="preserve">    End If</t>
        </is>
      </c>
    </row>
    <row r="34">
      <c r="A34" s="192" t="inlineStr">
        <is>
          <t>■ うまくいかないとき</t>
        </is>
      </c>
      <c r="C34" s="191" t="inlineStr">
        <is>
          <t>End Sub</t>
        </is>
      </c>
    </row>
    <row r="35">
      <c r="A35" t="inlineStr">
        <is>
          <t>・「マクロが無効」と出る → 上部の黄色い帯の「コンテンツの有効化」を押してください。</t>
        </is>
      </c>
      <c r="C35" s="191" t="inlineStr">
        <is>
          <t> </t>
        </is>
      </c>
    </row>
    <row r="36">
      <c r="A36" t="inlineStr">
        <is>
          <t>・「ファイルのインポート」に 履歴書マクロ.bas が見えない →</t>
        </is>
      </c>
      <c r="C36" s="191" t="inlineStr">
        <is>
          <t>Public Function 文字を整える実行() As Boolean</t>
        </is>
      </c>
    </row>
    <row r="37">
      <c r="A37" t="inlineStr">
        <is>
          <t xml:space="preserve">　　ファイルの種類を「すべてのファイル」にするか、履歴書作成.xlsm と同じ場所に置いてください。</t>
        </is>
      </c>
      <c r="C37" s="191" t="inlineStr">
        <is>
          <t xml:space="preserve">    Dim frm As Worksheet, 元シート As Object</t>
        </is>
      </c>
    </row>
    <row r="38">
      <c r="A38" t="inlineStr"/>
      <c r="C38" s="191" t="inlineStr">
        <is>
          <t xml:space="preserve">    Dim i As Long, pt As Double</t>
        </is>
      </c>
    </row>
    <row r="39">
      <c r="A39" s="192" t="inlineStr">
        <is>
          <t>★ 履歴書マクロ.bas をなくしてしまったとき（予備・C列を使う方法）</t>
        </is>
      </c>
      <c r="C39" s="191" t="inlineStr">
        <is>
          <t xml:space="preserve">    Dim pt年月(1 To STUDENT_COUNT) As Double</t>
        </is>
      </c>
    </row>
    <row r="40">
      <c r="A40" t="inlineStr">
        <is>
          <t xml:space="preserve">　　C列を（見出しの「C」をクリックして）まるごとコピーし、②の代わりに</t>
        </is>
      </c>
      <c r="C40" s="191" t="inlineStr">
        <is>
          <t xml:space="preserve">    Dim pt名称(1 To STUDENT_COUNT) As Double</t>
        </is>
      </c>
    </row>
    <row r="41">
      <c r="A41" t="inlineStr">
        <is>
          <t xml:space="preserve">　　「挿入」→「標準モジュール」で開いた白い画面に貼り付け、</t>
        </is>
      </c>
      <c r="C41" s="191" t="inlineStr">
        <is>
          <t xml:space="preserve">    Dim 元計算 As Long, 元更新 As Boolean, 理由 As String</t>
        </is>
      </c>
    </row>
    <row r="42">
      <c r="A42" t="inlineStr">
        <is>
          <t xml:space="preserve">　　そのあと VBAの画面で Ctrl + H を押し、” を " に「すべて置換」してください。</t>
        </is>
      </c>
      <c r="C42" s="191" t="inlineStr">
        <is>
          <t> </t>
        </is>
      </c>
    </row>
    <row r="43">
      <c r="A43" t="inlineStr">
        <is>
          <t xml:space="preserve">　　※ Excelはコピーのときに " を二重にしてしまうため、C列では ” に置き換えてあります。</t>
        </is>
      </c>
      <c r="C43" s="191" t="inlineStr">
        <is>
          <t xml:space="preserve">    ' 途中で失敗しても元に戻せるよう、先に安全な値を入れておく</t>
        </is>
      </c>
    </row>
    <row r="44">
      <c r="A44" t="inlineStr">
        <is>
          <t xml:space="preserve">　　　この置換をしないと必ずエラーになります。ふだんは ② のインポートを使ってください。</t>
        </is>
      </c>
      <c r="C44" s="191" t="inlineStr">
        <is>
          <t xml:space="preserve">    元計算 = xlCalculationAutomatic</t>
        </is>
      </c>
    </row>
    <row r="45">
      <c r="A45" t="inlineStr"/>
      <c r="C45" s="191" t="inlineStr">
        <is>
          <t xml:space="preserve">    元更新 = True</t>
        </is>
      </c>
    </row>
    <row r="46">
      <c r="A46" t="inlineStr">
        <is>
          <t>※ これを入れなくても、これまでどおり11ポイントで印刷できます</t>
        </is>
      </c>
      <c r="C46" s="191" t="inlineStr">
        <is>
          <t> </t>
        </is>
      </c>
    </row>
    <row r="47">
      <c r="A47" t="inlineStr">
        <is>
          <t xml:space="preserve">　（そのときは、欄に入りきらない分は表示されません）。</t>
        </is>
      </c>
      <c r="C47" s="191" t="inlineStr">
        <is>
          <t xml:space="preserve">    On Error GoTo エラー</t>
        </is>
      </c>
    </row>
    <row r="48">
      <c r="C48" s="191" t="inlineStr">
        <is>
          <t xml:space="preserve">    Set frm = ThisWorkbook.Worksheets(SHEET_FORM)</t>
        </is>
      </c>
    </row>
    <row r="49">
      <c r="C49" s="191" t="inlineStr">
        <is>
          <t xml:space="preserve">    Set 元シート = ActiveSheet</t>
        </is>
      </c>
    </row>
    <row r="50">
      <c r="C50" s="191" t="inlineStr">
        <is>
          <t xml:space="preserve">    元更新 = Application.ScreenUpdating</t>
        </is>
      </c>
    </row>
    <row r="51">
      <c r="C51" s="191" t="inlineStr">
        <is>
          <t xml:space="preserve">    元計算 = Application.Calculation</t>
        </is>
      </c>
    </row>
    <row r="52">
      <c r="C52" s="191" t="inlineStr">
        <is>
          <t xml:space="preserve">    Application.ScreenUpdating = False</t>
        </is>
      </c>
    </row>
    <row r="53">
      <c r="C53" s="191" t="inlineStr">
        <is>
          <t xml:space="preserve">    Application.Calculation = xlCalculationManual</t>
        </is>
      </c>
    </row>
    <row r="54">
      <c r="C54" s="191" t="inlineStr">
        <is>
          <t xml:space="preserve">    測定開始</t>
        </is>
      </c>
    </row>
    <row r="55">
      <c r="C55" s="191" t="inlineStr">
        <is>
          <t> </t>
        </is>
      </c>
    </row>
    <row r="56">
      <c r="C56" s="191" t="inlineStr">
        <is>
          <t xml:space="preserve">    ' --- 資格等。幅ごとにまとめて測ると速い（測定用の列幅を作り直さずに済む）</t>
        </is>
      </c>
    </row>
    <row r="57">
      <c r="C57" s="191" t="inlineStr">
        <is>
          <t xml:space="preserve">    For i = 1 To STUDENT_COUNT</t>
        </is>
      </c>
    </row>
    <row r="58">
      <c r="C58" s="191" t="inlineStr">
        <is>
          <t xml:space="preserve">        pt年月(i) = 収まる大きさ(欄(frm, i, 9, 29, 75, 85))</t>
        </is>
      </c>
    </row>
    <row r="59">
      <c r="C59" s="191" t="inlineStr">
        <is>
          <t xml:space="preserve">    Next i</t>
        </is>
      </c>
    </row>
    <row r="60">
      <c r="C60" s="191" t="inlineStr">
        <is>
          <t xml:space="preserve">    For i = 1 To STUDENT_COUNT</t>
        </is>
      </c>
    </row>
    <row r="61">
      <c r="C61" s="191" t="inlineStr">
        <is>
          <t xml:space="preserve">        pt名称(i) = 収まる大きさ(欄(frm, i, 9, 29, 86, 125))</t>
        </is>
      </c>
    </row>
    <row r="62">
      <c r="C62" s="191" t="inlineStr">
        <is>
          <t xml:space="preserve">    Next i</t>
        </is>
      </c>
    </row>
    <row r="63">
      <c r="C63" s="191" t="inlineStr">
        <is>
          <t xml:space="preserve">    ' 取得年月と名称は、行がずれないよう小さいほうにそろえる</t>
        </is>
      </c>
    </row>
    <row r="64">
      <c r="C64" s="191" t="inlineStr">
        <is>
          <t xml:space="preserve">    For i = 1 To STUDENT_COUNT</t>
        </is>
      </c>
    </row>
    <row r="65">
      <c r="C65" s="191" t="inlineStr">
        <is>
          <t xml:space="preserve">        pt = pt年月(i)</t>
        </is>
      </c>
    </row>
    <row r="66">
      <c r="C66" s="191" t="inlineStr">
        <is>
          <t xml:space="preserve">        If pt名称(i) &lt; pt Then pt = pt名称(i)</t>
        </is>
      </c>
    </row>
    <row r="67">
      <c r="C67" s="191" t="inlineStr">
        <is>
          <t xml:space="preserve">        欄(frm, i, 9, 29, 75, 85).Font.Size = pt</t>
        </is>
      </c>
    </row>
    <row r="68">
      <c r="C68" s="191" t="inlineStr">
        <is>
          <t xml:space="preserve">        欄(frm, i, 9, 29, 86, 125).Font.Size = pt</t>
        </is>
      </c>
    </row>
    <row r="69">
      <c r="C69" s="191" t="inlineStr">
        <is>
          <t xml:space="preserve">    Next i</t>
        </is>
      </c>
    </row>
    <row r="70">
      <c r="C70" s="191" t="inlineStr">
        <is>
          <t> </t>
        </is>
      </c>
    </row>
    <row r="71">
      <c r="C71" s="191" t="inlineStr">
        <is>
          <t xml:space="preserve">    ' --- 校内外の諸活動・志望の動機・備考（3つとも同じ幅）</t>
        </is>
      </c>
    </row>
    <row r="72">
      <c r="C72" s="191" t="inlineStr">
        <is>
          <t xml:space="preserve">    For i = 1 To STUDENT_COUNT</t>
        </is>
      </c>
    </row>
    <row r="73">
      <c r="C73" s="191" t="inlineStr">
        <is>
          <t xml:space="preserve">        文字を合わせる 欄(frm, i, 30, 46, 75, 125)</t>
        </is>
      </c>
    </row>
    <row r="74">
      <c r="C74" s="191" t="inlineStr">
        <is>
          <t xml:space="preserve">    Next i</t>
        </is>
      </c>
    </row>
    <row r="75">
      <c r="C75" s="191" t="inlineStr">
        <is>
          <t xml:space="preserve">    For i = 1 To STUDENT_COUNT</t>
        </is>
      </c>
    </row>
    <row r="76">
      <c r="C76" s="191" t="inlineStr">
        <is>
          <t xml:space="preserve">        文字を合わせる 欄(frm, i, 47, 75, 75, 125)</t>
        </is>
      </c>
    </row>
    <row r="77">
      <c r="C77" s="191" t="inlineStr">
        <is>
          <t xml:space="preserve">    Next i</t>
        </is>
      </c>
    </row>
    <row r="78">
      <c r="C78" s="191" t="inlineStr">
        <is>
          <t xml:space="preserve">    For i = 1 To STUDENT_COUNT</t>
        </is>
      </c>
    </row>
    <row r="79">
      <c r="C79" s="191" t="inlineStr">
        <is>
          <t xml:space="preserve">        文字を合わせる 欄(frm, i, 76, 87, 75, 125)</t>
        </is>
      </c>
    </row>
    <row r="80">
      <c r="C80" s="191" t="inlineStr">
        <is>
          <t xml:space="preserve">    Next i</t>
        </is>
      </c>
    </row>
    <row r="81">
      <c r="C81" s="191" t="inlineStr">
        <is>
          <t> </t>
        </is>
      </c>
    </row>
    <row r="82">
      <c r="C82" s="191" t="inlineStr">
        <is>
          <t xml:space="preserve">    測定終了</t>
        </is>
      </c>
    </row>
    <row r="83">
      <c r="C83" s="191" t="inlineStr">
        <is>
          <t xml:space="preserve">    元シート.Activate</t>
        </is>
      </c>
    </row>
    <row r="84">
      <c r="C84" s="191" t="inlineStr">
        <is>
          <t xml:space="preserve">    Application.Calculation = 元計算</t>
        </is>
      </c>
    </row>
    <row r="85">
      <c r="C85" s="191" t="inlineStr">
        <is>
          <t xml:space="preserve">    Application.ScreenUpdating = 元更新</t>
        </is>
      </c>
    </row>
    <row r="86">
      <c r="C86" s="191" t="inlineStr">
        <is>
          <t xml:space="preserve">    文字を整える実行 = True</t>
        </is>
      </c>
    </row>
    <row r="87">
      <c r="C87" s="191" t="inlineStr">
        <is>
          <t xml:space="preserve">    Exit Function</t>
        </is>
      </c>
    </row>
    <row r="88">
      <c r="C88" s="191" t="inlineStr">
        <is>
          <t> </t>
        </is>
      </c>
    </row>
    <row r="89">
      <c r="C89" s="191" t="inlineStr">
        <is>
          <t>エラー:</t>
        </is>
      </c>
    </row>
    <row r="90">
      <c r="C90" s="191" t="inlineStr">
        <is>
          <t xml:space="preserve">    理由 = Err.Description          ' 後始末の前に控えておく（Err は消えてしまう）</t>
        </is>
      </c>
    </row>
    <row r="91">
      <c r="C91" s="191" t="inlineStr">
        <is>
          <t xml:space="preserve">    On Error Resume Next</t>
        </is>
      </c>
    </row>
    <row r="92">
      <c r="C92" s="191" t="inlineStr">
        <is>
          <t xml:space="preserve">    測定終了</t>
        </is>
      </c>
    </row>
    <row r="93">
      <c r="C93" s="191" t="inlineStr">
        <is>
          <t xml:space="preserve">    If Not 元シート Is Nothing Then 元シート.Activate</t>
        </is>
      </c>
    </row>
    <row r="94">
      <c r="C94" s="191" t="inlineStr">
        <is>
          <t xml:space="preserve">    Application.Calculation = 元計算</t>
        </is>
      </c>
    </row>
    <row r="95">
      <c r="C95" s="191" t="inlineStr">
        <is>
          <t xml:space="preserve">    Application.ScreenUpdating = True</t>
        </is>
      </c>
    </row>
    <row r="96">
      <c r="C96" s="191" t="inlineStr">
        <is>
          <t xml:space="preserve">    On Error GoTo 0</t>
        </is>
      </c>
    </row>
    <row r="97">
      <c r="C97" s="191" t="inlineStr">
        <is>
          <t xml:space="preserve">    MsgBox ”うまくいきませんでした: ” &amp; 理由, vbExclamation</t>
        </is>
      </c>
    </row>
    <row r="98">
      <c r="C98" s="191" t="inlineStr">
        <is>
          <t>End Function</t>
        </is>
      </c>
    </row>
    <row r="99">
      <c r="C99" s="191" t="inlineStr">
        <is>
          <t> </t>
        </is>
      </c>
    </row>
    <row r="100">
      <c r="C100" s="191" t="inlineStr">
        <is>
          <t>' 1人分の欄（用紙の 上行,下行,左列,右列 で指定する）</t>
        </is>
      </c>
    </row>
    <row r="101">
      <c r="C101" s="191" t="inlineStr">
        <is>
          <t>Private Function 欄(frm As Worksheet, i As Long, _</t>
        </is>
      </c>
    </row>
    <row r="102">
      <c r="C102" s="191" t="inlineStr">
        <is>
          <t xml:space="preserve">                    上 As Long, 下 As Long, 左 As Long, 右 As Long) As Range</t>
        </is>
      </c>
    </row>
    <row r="103">
      <c r="C103" s="191" t="inlineStr">
        <is>
          <t xml:space="preserve">    Dim off As Long</t>
        </is>
      </c>
    </row>
    <row r="104">
      <c r="C104" s="191" t="inlineStr">
        <is>
          <t xml:space="preserve">    off = (i - 1) * BLOCK_ROWS</t>
        </is>
      </c>
    </row>
    <row r="105">
      <c r="C105" s="191" t="inlineStr">
        <is>
          <t xml:space="preserve">    Set 欄 = frm.Range(frm.Cells(上 + off, 左), frm.Cells(下 + off, 右))</t>
        </is>
      </c>
    </row>
    <row r="106">
      <c r="C106" s="191" t="inlineStr">
        <is>
          <t>End Function</t>
        </is>
      </c>
    </row>
    <row r="107">
      <c r="C107" s="191" t="inlineStr">
        <is>
          <t> </t>
        </is>
      </c>
    </row>
    <row r="108">
      <c r="C108" s="191" t="inlineStr">
        <is>
          <t>Private Sub 文字を合わせる(ByVal 対象 As Range)</t>
        </is>
      </c>
    </row>
    <row r="109">
      <c r="C109" s="191" t="inlineStr">
        <is>
          <t xml:space="preserve">    対象.Font.Size = 収まる大きさ(対象)</t>
        </is>
      </c>
    </row>
    <row r="110">
      <c r="C110" s="191" t="inlineStr">
        <is>
          <t>End Sub</t>
        </is>
      </c>
    </row>
    <row r="111">
      <c r="C111" s="191" t="inlineStr">
        <is>
          <t> </t>
        </is>
      </c>
    </row>
    <row r="112">
      <c r="C112" s="191" t="inlineStr">
        <is>
          <t>' 欄に文章がちょうど収まる文字の大きさを返す</t>
        </is>
      </c>
    </row>
    <row r="113">
      <c r="C113" s="191" t="inlineStr">
        <is>
          <t>Private Function 収まる大きさ(ByVal 対象 As Range) As Double</t>
        </is>
      </c>
    </row>
    <row r="114">
      <c r="C114" s="191" t="inlineStr">
        <is>
          <t xml:space="preserve">    Dim v As Variant, s As String</t>
        </is>
      </c>
    </row>
    <row r="115">
      <c r="C115" s="191" t="inlineStr">
        <is>
          <t xml:space="preserve">    Dim pt As Double, 高さ As Double, 幅 As Double</t>
        </is>
      </c>
    </row>
    <row r="116">
      <c r="C116" s="191" t="inlineStr">
        <is>
          <t xml:space="preserve">    Dim フォント As String, 字下げ As Long</t>
        </is>
      </c>
    </row>
    <row r="117">
      <c r="C117" s="191" t="inlineStr">
        <is>
          <t> </t>
        </is>
      </c>
    </row>
    <row r="118">
      <c r="C118" s="191" t="inlineStr">
        <is>
          <t xml:space="preserve">    収まる大きさ = MAX_PT</t>
        </is>
      </c>
    </row>
    <row r="119">
      <c r="C119" s="191" t="inlineStr">
        <is>
          <t xml:space="preserve">    v = 対象.Cells(1, 1).Value</t>
        </is>
      </c>
    </row>
    <row r="120">
      <c r="C120" s="191" t="inlineStr">
        <is>
          <t xml:space="preserve">    If IsError(v) Then Exit Function</t>
        </is>
      </c>
    </row>
    <row r="121">
      <c r="C121" s="191" t="inlineStr">
        <is>
          <t xml:space="preserve">    s = 末尾を落とす(CStr(v))</t>
        </is>
      </c>
    </row>
    <row r="122">
      <c r="C122" s="191" t="inlineStr">
        <is>
          <t xml:space="preserve">    If Len(s) = 0 Then Exit Function</t>
        </is>
      </c>
    </row>
    <row r="123">
      <c r="C123" s="191" t="inlineStr">
        <is>
          <t> </t>
        </is>
      </c>
    </row>
    <row r="124">
      <c r="C124" s="191" t="inlineStr">
        <is>
          <t xml:space="preserve">    高さ = 対象.Height - YOHAKU</t>
        </is>
      </c>
    </row>
    <row r="125">
      <c r="C125" s="191" t="inlineStr">
        <is>
          <t xml:space="preserve">    幅 = 対象.Width</t>
        </is>
      </c>
    </row>
    <row r="126">
      <c r="C126" s="191" t="inlineStr">
        <is>
          <t xml:space="preserve">    フォント = 対象.Cells(1, 1).Font.Name</t>
        </is>
      </c>
    </row>
    <row r="127">
      <c r="C127" s="191" t="inlineStr">
        <is>
          <t xml:space="preserve">    字下げ = 対象.Cells(1, 1).IndentLevel</t>
        </is>
      </c>
    </row>
    <row r="128">
      <c r="C128" s="191" t="inlineStr">
        <is>
          <t> </t>
        </is>
      </c>
    </row>
    <row r="129">
      <c r="C129" s="191" t="inlineStr">
        <is>
          <t xml:space="preserve">    pt = MAX_PT</t>
        </is>
      </c>
    </row>
    <row r="130">
      <c r="C130" s="191" t="inlineStr">
        <is>
          <t xml:space="preserve">    Do While pt &gt; MIN_PT</t>
        </is>
      </c>
    </row>
    <row r="131">
      <c r="C131" s="191" t="inlineStr">
        <is>
          <t xml:space="preserve">        If 測る(s, 幅, フォント, pt, 字下げ) &lt;= 高さ Then Exit Do</t>
        </is>
      </c>
    </row>
    <row r="132">
      <c r="C132" s="191" t="inlineStr">
        <is>
          <t xml:space="preserve">        pt = pt - STEP_PT</t>
        </is>
      </c>
    </row>
    <row r="133">
      <c r="C133" s="191" t="inlineStr">
        <is>
          <t xml:space="preserve">    Loop</t>
        </is>
      </c>
    </row>
    <row r="134">
      <c r="C134" s="191" t="inlineStr">
        <is>
          <t xml:space="preserve">    収まる大きさ = pt</t>
        </is>
      </c>
    </row>
    <row r="135">
      <c r="C135" s="191" t="inlineStr">
        <is>
          <t>End Function</t>
        </is>
      </c>
    </row>
    <row r="136">
      <c r="C136" s="191" t="inlineStr">
        <is>
          <t> </t>
        </is>
      </c>
    </row>
    <row r="137">
      <c r="C137" s="191" t="inlineStr">
        <is>
          <t>' 末尾の空行・空白を落とす（あると、その分だけ文字が小さくなってしまう）</t>
        </is>
      </c>
    </row>
    <row r="138">
      <c r="C138" s="191" t="inlineStr">
        <is>
          <t>Private Function 末尾を落とす(s As String) As String</t>
        </is>
      </c>
    </row>
    <row r="139">
      <c r="C139" s="191" t="inlineStr">
        <is>
          <t xml:space="preserve">    Dim t As String</t>
        </is>
      </c>
    </row>
    <row r="140">
      <c r="C140" s="191" t="inlineStr">
        <is>
          <t xml:space="preserve">    t = s</t>
        </is>
      </c>
    </row>
    <row r="141">
      <c r="C141" s="191" t="inlineStr">
        <is>
          <t xml:space="preserve">    Do While Len(t) &gt; 0</t>
        </is>
      </c>
    </row>
    <row r="142">
      <c r="C142" s="191" t="inlineStr">
        <is>
          <t xml:space="preserve">        Select Case Right$(t, 1)</t>
        </is>
      </c>
    </row>
    <row r="143">
      <c r="C143" s="191" t="inlineStr">
        <is>
          <t xml:space="preserve">            Case vbLf, vbCr, ” ”, ChrW(12288)</t>
        </is>
      </c>
    </row>
    <row r="144">
      <c r="C144" s="191" t="inlineStr">
        <is>
          <t xml:space="preserve">                t = Left$(t, Len(t) - 1)</t>
        </is>
      </c>
    </row>
    <row r="145">
      <c r="C145" s="191" t="inlineStr">
        <is>
          <t xml:space="preserve">            Case Else</t>
        </is>
      </c>
    </row>
    <row r="146">
      <c r="C146" s="191" t="inlineStr">
        <is>
          <t xml:space="preserve">                Exit Do</t>
        </is>
      </c>
    </row>
    <row r="147">
      <c r="C147" s="191" t="inlineStr">
        <is>
          <t xml:space="preserve">        End Select</t>
        </is>
      </c>
    </row>
    <row r="148">
      <c r="C148" s="191" t="inlineStr">
        <is>
          <t xml:space="preserve">    Loop</t>
        </is>
      </c>
    </row>
    <row r="149">
      <c r="C149" s="191" t="inlineStr">
        <is>
          <t xml:space="preserve">    末尾を落とす = t</t>
        </is>
      </c>
    </row>
    <row r="150">
      <c r="C150" s="191" t="inlineStr">
        <is>
          <t>End Function</t>
        </is>
      </c>
    </row>
    <row r="151">
      <c r="C151" s="191" t="inlineStr">
        <is>
          <t> </t>
        </is>
      </c>
    </row>
    <row r="152">
      <c r="C152" s="191" t="inlineStr">
        <is>
          <t>' 同じ幅・同じフォントで Excel に折り返させ、必要な高さ(pt)を実測する</t>
        </is>
      </c>
    </row>
    <row r="153">
      <c r="C153" s="191" t="inlineStr">
        <is>
          <t>Private Function 測る(s As String, 幅 As Double, フォント As String, _</t>
        </is>
      </c>
    </row>
    <row r="154">
      <c r="C154" s="191" t="inlineStr">
        <is>
          <t xml:space="preserve">                      pt As Double, 字下げ As Long) As Double</t>
        </is>
      </c>
    </row>
    <row r="155">
      <c r="C155" s="191" t="inlineStr">
        <is>
          <t xml:space="preserve">    幅を合わせる 幅</t>
        </is>
      </c>
    </row>
    <row r="156">
      <c r="C156" s="191" t="inlineStr">
        <is>
          <t xml:space="preserve">    With ws測定.Cells(1, 1)</t>
        </is>
      </c>
    </row>
    <row r="157">
      <c r="C157" s="191" t="inlineStr">
        <is>
          <t xml:space="preserve">        .ClearContents</t>
        </is>
      </c>
    </row>
    <row r="158">
      <c r="C158" s="191" t="inlineStr">
        <is>
          <t xml:space="preserve">        .NumberFormat = ”@”          ' 日付などに変換されないよう文字として扱う</t>
        </is>
      </c>
    </row>
    <row r="159">
      <c r="C159" s="191" t="inlineStr">
        <is>
          <t xml:space="preserve">        .WrapText = True</t>
        </is>
      </c>
    </row>
    <row r="160">
      <c r="C160" s="191" t="inlineStr">
        <is>
          <t xml:space="preserve">        .IndentLevel = 字下げ</t>
        </is>
      </c>
    </row>
    <row r="161">
      <c r="C161" s="191" t="inlineStr">
        <is>
          <t xml:space="preserve">        .Font.Name = フォント</t>
        </is>
      </c>
    </row>
    <row r="162">
      <c r="C162" s="191" t="inlineStr">
        <is>
          <t xml:space="preserve">        .Font.Size = pt</t>
        </is>
      </c>
    </row>
    <row r="163">
      <c r="C163" s="191" t="inlineStr">
        <is>
          <t xml:space="preserve">        .Value = s</t>
        </is>
      </c>
    </row>
    <row r="164">
      <c r="C164" s="191" t="inlineStr">
        <is>
          <t xml:space="preserve">    End With</t>
        </is>
      </c>
    </row>
    <row r="165">
      <c r="C165" s="191" t="inlineStr">
        <is>
          <t xml:space="preserve">    ws測定.Rows(1).AutoFit</t>
        </is>
      </c>
    </row>
    <row r="166">
      <c r="C166" s="191" t="inlineStr">
        <is>
          <t xml:space="preserve">    測る = ws測定.Rows(1).RowHeight</t>
        </is>
      </c>
    </row>
    <row r="167">
      <c r="C167" s="191" t="inlineStr">
        <is>
          <t>End Function</t>
        </is>
      </c>
    </row>
    <row r="168">
      <c r="C168" s="191" t="inlineStr">
        <is>
          <t> </t>
        </is>
      </c>
    </row>
    <row r="169">
      <c r="C169" s="191" t="inlineStr">
        <is>
          <t>' 測定用の列を、目標の幅（ポイント）以下でいちばん近い幅にする</t>
        </is>
      </c>
    </row>
    <row r="170">
      <c r="C170" s="191" t="inlineStr">
        <is>
          <t>Private Sub 幅を合わせる(幅 As Double)</t>
        </is>
      </c>
    </row>
    <row r="171">
      <c r="C171" s="191" t="inlineStr">
        <is>
          <t xml:space="preserve">    Dim i As Long, w As Double, cw As Double</t>
        </is>
      </c>
    </row>
    <row r="172">
      <c r="C172" s="191" t="inlineStr">
        <is>
          <t> </t>
        </is>
      </c>
    </row>
    <row r="173">
      <c r="C173" s="191" t="inlineStr">
        <is>
          <t xml:space="preserve">    If Abs(測定幅 - 幅) &lt; 0.4 Then Exit Sub</t>
        </is>
      </c>
    </row>
    <row r="174">
      <c r="C174" s="191" t="inlineStr">
        <is>
          <t xml:space="preserve">    ws測定.Columns(1).ColumnWidth = 10</t>
        </is>
      </c>
    </row>
    <row r="175">
      <c r="C175" s="191" t="inlineStr">
        <is>
          <t xml:space="preserve">    For i = 1 To 20</t>
        </is>
      </c>
    </row>
    <row r="176">
      <c r="C176" s="191" t="inlineStr">
        <is>
          <t xml:space="preserve">        w = ws測定.Columns(1).Width</t>
        </is>
      </c>
    </row>
    <row r="177">
      <c r="C177" s="191" t="inlineStr">
        <is>
          <t xml:space="preserve">        If w &gt; 0 And w &lt;= 幅 And 幅 - w &lt; 1 Then Exit For</t>
        </is>
      </c>
    </row>
    <row r="178">
      <c r="C178" s="191" t="inlineStr">
        <is>
          <t xml:space="preserve">        If w &lt;= 0 Then Exit For</t>
        </is>
      </c>
    </row>
    <row r="179">
      <c r="C179" s="191" t="inlineStr">
        <is>
          <t xml:space="preserve">        cw = ws測定.Columns(1).ColumnWidth * 幅 / w</t>
        </is>
      </c>
    </row>
    <row r="180">
      <c r="C180" s="191" t="inlineStr">
        <is>
          <t xml:space="preserve">        If cw &lt; 0.05 Then cw = 0.05</t>
        </is>
      </c>
    </row>
    <row r="181">
      <c r="C181" s="191" t="inlineStr">
        <is>
          <t xml:space="preserve">        If cw &gt; 250 Then cw = 250</t>
        </is>
      </c>
    </row>
    <row r="182">
      <c r="C182" s="191" t="inlineStr">
        <is>
          <t xml:space="preserve">        ws測定.Columns(1).ColumnWidth = cw</t>
        </is>
      </c>
    </row>
    <row r="183">
      <c r="C183" s="191" t="inlineStr">
        <is>
          <t xml:space="preserve">    Next i</t>
        </is>
      </c>
    </row>
    <row r="184">
      <c r="C184" s="191" t="inlineStr">
        <is>
          <t xml:space="preserve">    For i = 1 To 40                    ' 目標より広いときは少しずつ狭める</t>
        </is>
      </c>
    </row>
    <row r="185">
      <c r="C185" s="191" t="inlineStr">
        <is>
          <t xml:space="preserve">        If ws測定.Columns(1).Width &lt;= 幅 Then Exit For</t>
        </is>
      </c>
    </row>
    <row r="186">
      <c r="C186" s="191" t="inlineStr">
        <is>
          <t xml:space="preserve">        cw = ws測定.Columns(1).ColumnWidth - 0.05</t>
        </is>
      </c>
    </row>
    <row r="187">
      <c r="C187" s="191" t="inlineStr">
        <is>
          <t xml:space="preserve">        If cw &lt; 0.05 Then Exit For</t>
        </is>
      </c>
    </row>
    <row r="188">
      <c r="C188" s="191" t="inlineStr">
        <is>
          <t xml:space="preserve">        ws測定.Columns(1).ColumnWidth = cw</t>
        </is>
      </c>
    </row>
    <row r="189">
      <c r="C189" s="191" t="inlineStr">
        <is>
          <t xml:space="preserve">    Next i</t>
        </is>
      </c>
    </row>
    <row r="190">
      <c r="C190" s="191" t="inlineStr">
        <is>
          <t xml:space="preserve">    測定幅 = 幅</t>
        </is>
      </c>
    </row>
    <row r="191">
      <c r="C191" s="191" t="inlineStr">
        <is>
          <t>End Sub</t>
        </is>
      </c>
    </row>
    <row r="192">
      <c r="C192" s="191" t="inlineStr">
        <is>
          <t> </t>
        </is>
      </c>
    </row>
    <row r="193">
      <c r="C193" s="191" t="inlineStr">
        <is>
          <t>Private Sub 測定開始()</t>
        </is>
      </c>
    </row>
    <row r="194">
      <c r="C194" s="191" t="inlineStr">
        <is>
          <t xml:space="preserve">    Dim 元警告 As Boolean</t>
        </is>
      </c>
    </row>
    <row r="195">
      <c r="C195" s="191" t="inlineStr">
        <is>
          <t xml:space="preserve">    元警告 = Application.DisplayAlerts</t>
        </is>
      </c>
    </row>
    <row r="196">
      <c r="C196" s="191" t="inlineStr">
        <is>
          <t xml:space="preserve">    Application.DisplayAlerts = False</t>
        </is>
      </c>
    </row>
    <row r="197">
      <c r="C197" s="191" t="inlineStr">
        <is>
          <t xml:space="preserve">    On Error Resume Next</t>
        </is>
      </c>
    </row>
    <row r="198">
      <c r="C198" s="191" t="inlineStr">
        <is>
          <t xml:space="preserve">    ThisWorkbook.Worksheets(SHEET_WORK).Delete</t>
        </is>
      </c>
    </row>
    <row r="199">
      <c r="C199" s="191" t="inlineStr">
        <is>
          <t xml:space="preserve">    On Error GoTo 0</t>
        </is>
      </c>
    </row>
    <row r="200">
      <c r="C200" s="191" t="inlineStr">
        <is>
          <t xml:space="preserve">    Set ws測定 = ThisWorkbook.Worksheets.Add</t>
        </is>
      </c>
    </row>
    <row r="201">
      <c r="C201" s="191" t="inlineStr">
        <is>
          <t xml:space="preserve">    ws測定.Name = SHEET_WORK</t>
        </is>
      </c>
    </row>
    <row r="202">
      <c r="C202" s="191" t="inlineStr">
        <is>
          <t xml:space="preserve">    Application.DisplayAlerts = 元警告</t>
        </is>
      </c>
    </row>
    <row r="203">
      <c r="C203" s="191" t="inlineStr">
        <is>
          <t xml:space="preserve">    測定幅 = -1</t>
        </is>
      </c>
    </row>
    <row r="204">
      <c r="C204" s="191" t="inlineStr">
        <is>
          <t>End Sub</t>
        </is>
      </c>
    </row>
    <row r="205">
      <c r="C205" s="191" t="inlineStr">
        <is>
          <t> </t>
        </is>
      </c>
    </row>
    <row r="206">
      <c r="C206" s="191" t="inlineStr">
        <is>
          <t>Private Sub 測定終了()</t>
        </is>
      </c>
    </row>
    <row r="207">
      <c r="C207" s="191" t="inlineStr">
        <is>
          <t xml:space="preserve">    Dim 元警告 As Boolean</t>
        </is>
      </c>
    </row>
    <row r="208">
      <c r="C208" s="191" t="inlineStr">
        <is>
          <t xml:space="preserve">    If ws測定 Is Nothing Then Exit Sub</t>
        </is>
      </c>
    </row>
    <row r="209">
      <c r="C209" s="191" t="inlineStr">
        <is>
          <t xml:space="preserve">    元警告 = Application.DisplayAlerts</t>
        </is>
      </c>
    </row>
    <row r="210">
      <c r="C210" s="191" t="inlineStr">
        <is>
          <t xml:space="preserve">    Application.DisplayAlerts = False</t>
        </is>
      </c>
    </row>
    <row r="211">
      <c r="C211" s="191" t="inlineStr">
        <is>
          <t xml:space="preserve">    On Error Resume Next</t>
        </is>
      </c>
    </row>
    <row r="212">
      <c r="C212" s="191" t="inlineStr">
        <is>
          <t xml:space="preserve">    ws測定.Delete</t>
        </is>
      </c>
    </row>
    <row r="213">
      <c r="C213" s="191" t="inlineStr">
        <is>
          <t xml:space="preserve">    On Error GoTo 0</t>
        </is>
      </c>
    </row>
    <row r="214">
      <c r="C214" s="191" t="inlineStr">
        <is>
          <t xml:space="preserve">    Application.DisplayAlerts = 元警告</t>
        </is>
      </c>
    </row>
    <row r="215">
      <c r="C215" s="191" t="inlineStr">
        <is>
          <t xml:space="preserve">    Set ws測定 = Nothing</t>
        </is>
      </c>
    </row>
    <row r="216">
      <c r="C216" s="191" t="inlineStr">
        <is>
          <t>End Sub</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104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3" t="inlineStr">
        <is>
          <t>生徒No</t>
        </is>
      </c>
      <c r="B2" s="193" t="inlineStr">
        <is>
          <t>枠</t>
        </is>
      </c>
      <c r="C2" s="193" t="inlineStr">
        <is>
          <t>取得年月</t>
        </is>
      </c>
      <c r="D2" s="193" t="inlineStr">
        <is>
          <t>入力した名称</t>
        </is>
      </c>
      <c r="E2" s="193" t="inlineStr">
        <is>
          <t>正式名称</t>
        </is>
      </c>
      <c r="F2" s="193" t="inlineStr">
        <is>
          <t>並び順キー</t>
        </is>
      </c>
      <c r="G2" s="193" t="inlineStr">
        <is>
          <t>順位</t>
        </is>
      </c>
      <c r="H2" s="193"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IF(E3="","",COUNTIFS($F$3:$F$28,"&lt;"&amp;F3,$F$3:$F$28,"&lt;&gt;")+COUNTIFS($F$3:$F$28,F3,$B$3:$B$28,"&lt;"&amp;B3)+1)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IF(E4="","",COUNTIFS($F$3:$F$28,"&lt;"&amp;F4,$F$3:$F$28,"&lt;&gt;")+COUNTIFS($F$3:$F$28,F4,$B$3:$B$28,"&lt;"&amp;B4)+1)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IF(E5="","",COUNTIFS($F$3:$F$28,"&lt;"&amp;F5,$F$3:$F$28,"&lt;&gt;")+COUNTIFS($F$3:$F$28,F5,$B$3:$B$28,"&lt;"&amp;B5)+1)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IF(E6="","",COUNTIFS($F$3:$F$28,"&lt;"&amp;F6,$F$3:$F$28,"&lt;&gt;")+COUNTIFS($F$3:$F$28,F6,$B$3:$B$28,"&lt;"&amp;B6)+1)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IF(E7="","",COUNTIFS($F$3:$F$28,"&lt;"&amp;F7,$F$3:$F$28,"&lt;&gt;")+COUNTIFS($F$3:$F$28,F7,$B$3:$B$28,"&lt;"&amp;B7)+1)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IF(E8="","",COUNTIFS($F$3:$F$28,"&lt;"&amp;F8,$F$3:$F$28,"&lt;&gt;")+COUNTIFS($F$3:$F$28,F8,$B$3:$B$28,"&lt;"&amp;B8)+1)</f>
        <v/>
      </c>
      <c r="H8">
        <f>IF(OR(E8="",C8=""),"",IF(C8&gt;=DATE(2019,5,1),"令和"&amp;(YEAR(C8)-2018),IF(C8&gt;=DATE(1989,1,8),"平成"&amp;(YEAR(C8)-1988),"昭和"&amp;(YEAR(C8)-1925)))&amp;"年"&amp;MONTH(C8)&amp;"月")</f>
        <v/>
      </c>
    </row>
    <row r="9">
      <c r="A9" t="n">
        <v>1</v>
      </c>
      <c r="B9" t="n">
        <v>7</v>
      </c>
      <c r="C9">
        <f>IFERROR(INDEX(資格取込!$S$6:$S$405,MATCH(1&amp;"_"&amp;1,資格取込!$Z$6:$Z$405,0)),"")</f>
        <v/>
      </c>
      <c r="D9">
        <f>IFERROR(INDEX(資格取込!$R$6:$R$405,MATCH(1&amp;"_"&amp;1,資格取込!$Z$6:$Z$405,0)),"")</f>
        <v/>
      </c>
      <c r="E9">
        <f>IF(D9="","",IFERROR(INDEX(資格マスタ!$B:$B,MATCH(ASC(SUBSTITUTE(SUBSTITUTE(D9," ",""),"　","")),資格マスタ!$D:$D,0)),D9))</f>
        <v/>
      </c>
      <c r="F9">
        <f>IF(E9="","",IF(C9="",DATE(9999,1,1),C9))</f>
        <v/>
      </c>
      <c r="G9">
        <f>IF(E9="","",COUNTIFS($F$3:$F$28,"&lt;"&amp;F9,$F$3:$F$28,"&lt;&gt;")+COUNTIFS($F$3:$F$28,F9,$B$3:$B$28,"&lt;"&amp;B9)+1)</f>
        <v/>
      </c>
      <c r="H9">
        <f>IF(OR(E9="",C9=""),"",IF(C9&gt;=DATE(2019,5,1),"令和"&amp;(YEAR(C9)-2018),IF(C9&gt;=DATE(1989,1,8),"平成"&amp;(YEAR(C9)-1988),"昭和"&amp;(YEAR(C9)-1925)))&amp;"年"&amp;MONTH(C9)&amp;"月")</f>
        <v/>
      </c>
    </row>
    <row r="10">
      <c r="A10" t="n">
        <v>1</v>
      </c>
      <c r="B10" t="n">
        <v>8</v>
      </c>
      <c r="C10">
        <f>IFERROR(INDEX(資格取込!$S$6:$S$405,MATCH(1&amp;"_"&amp;2,資格取込!$Z$6:$Z$405,0)),"")</f>
        <v/>
      </c>
      <c r="D10">
        <f>IFERROR(INDEX(資格取込!$R$6:$R$405,MATCH(1&amp;"_"&amp;2,資格取込!$Z$6:$Z$405,0)),"")</f>
        <v/>
      </c>
      <c r="E10">
        <f>IF(D10="","",IFERROR(INDEX(資格マスタ!$B:$B,MATCH(ASC(SUBSTITUTE(SUBSTITUTE(D10," ",""),"　","")),資格マスタ!$D:$D,0)),D10))</f>
        <v/>
      </c>
      <c r="F10">
        <f>IF(E10="","",IF(C10="",DATE(9999,1,1),C10))</f>
        <v/>
      </c>
      <c r="G10">
        <f>IF(E10="","",COUNTIFS($F$3:$F$28,"&lt;"&amp;F10,$F$3:$F$28,"&lt;&gt;")+COUNTIFS($F$3:$F$28,F10,$B$3:$B$28,"&lt;"&amp;B10)+1)</f>
        <v/>
      </c>
      <c r="H10">
        <f>IF(OR(E10="",C10=""),"",IF(C10&gt;=DATE(2019,5,1),"令和"&amp;(YEAR(C10)-2018),IF(C10&gt;=DATE(1989,1,8),"平成"&amp;(YEAR(C10)-1988),"昭和"&amp;(YEAR(C10)-1925)))&amp;"年"&amp;MONTH(C10)&amp;"月")</f>
        <v/>
      </c>
    </row>
    <row r="11">
      <c r="A11" t="n">
        <v>1</v>
      </c>
      <c r="B11" t="n">
        <v>9</v>
      </c>
      <c r="C11">
        <f>IFERROR(INDEX(資格取込!$S$6:$S$405,MATCH(1&amp;"_"&amp;3,資格取込!$Z$6:$Z$405,0)),"")</f>
        <v/>
      </c>
      <c r="D11">
        <f>IFERROR(INDEX(資格取込!$R$6:$R$405,MATCH(1&amp;"_"&amp;3,資格取込!$Z$6:$Z$405,0)),"")</f>
        <v/>
      </c>
      <c r="E11">
        <f>IF(D11="","",IFERROR(INDEX(資格マスタ!$B:$B,MATCH(ASC(SUBSTITUTE(SUBSTITUTE(D11," ",""),"　","")),資格マスタ!$D:$D,0)),D11))</f>
        <v/>
      </c>
      <c r="F11">
        <f>IF(E11="","",IF(C11="",DATE(9999,1,1),C11))</f>
        <v/>
      </c>
      <c r="G11">
        <f>IF(E11="","",COUNTIFS($F$3:$F$28,"&lt;"&amp;F11,$F$3:$F$28,"&lt;&gt;")+COUNTIFS($F$3:$F$28,F11,$B$3:$B$28,"&lt;"&amp;B11)+1)</f>
        <v/>
      </c>
      <c r="H11">
        <f>IF(OR(E11="",C11=""),"",IF(C11&gt;=DATE(2019,5,1),"令和"&amp;(YEAR(C11)-2018),IF(C11&gt;=DATE(1989,1,8),"平成"&amp;(YEAR(C11)-1988),"昭和"&amp;(YEAR(C11)-1925)))&amp;"年"&amp;MONTH(C11)&amp;"月")</f>
        <v/>
      </c>
    </row>
    <row r="12">
      <c r="A12" t="n">
        <v>1</v>
      </c>
      <c r="B12" t="n">
        <v>10</v>
      </c>
      <c r="C12">
        <f>IFERROR(INDEX(資格取込!$S$6:$S$405,MATCH(1&amp;"_"&amp;4,資格取込!$Z$6:$Z$405,0)),"")</f>
        <v/>
      </c>
      <c r="D12">
        <f>IFERROR(INDEX(資格取込!$R$6:$R$405,MATCH(1&amp;"_"&amp;4,資格取込!$Z$6:$Z$405,0)),"")</f>
        <v/>
      </c>
      <c r="E12">
        <f>IF(D12="","",IFERROR(INDEX(資格マスタ!$B:$B,MATCH(ASC(SUBSTITUTE(SUBSTITUTE(D12," ",""),"　","")),資格マスタ!$D:$D,0)),D12))</f>
        <v/>
      </c>
      <c r="F12">
        <f>IF(E12="","",IF(C12="",DATE(9999,1,1),C12))</f>
        <v/>
      </c>
      <c r="G12">
        <f>IF(E12="","",COUNTIFS($F$3:$F$28,"&lt;"&amp;F12,$F$3:$F$28,"&lt;&gt;")+COUNTIFS($F$3:$F$28,F12,$B$3:$B$28,"&lt;"&amp;B12)+1)</f>
        <v/>
      </c>
      <c r="H12">
        <f>IF(OR(E12="",C12=""),"",IF(C12&gt;=DATE(2019,5,1),"令和"&amp;(YEAR(C12)-2018),IF(C12&gt;=DATE(1989,1,8),"平成"&amp;(YEAR(C12)-1988),"昭和"&amp;(YEAR(C12)-1925)))&amp;"年"&amp;MONTH(C12)&amp;"月")</f>
        <v/>
      </c>
    </row>
    <row r="13">
      <c r="A13" t="n">
        <v>1</v>
      </c>
      <c r="B13" t="n">
        <v>11</v>
      </c>
      <c r="C13">
        <f>IFERROR(INDEX(資格取込!$S$6:$S$405,MATCH(1&amp;"_"&amp;5,資格取込!$Z$6:$Z$405,0)),"")</f>
        <v/>
      </c>
      <c r="D13">
        <f>IFERROR(INDEX(資格取込!$R$6:$R$405,MATCH(1&amp;"_"&amp;5,資格取込!$Z$6:$Z$405,0)),"")</f>
        <v/>
      </c>
      <c r="E13">
        <f>IF(D13="","",IFERROR(INDEX(資格マスタ!$B:$B,MATCH(ASC(SUBSTITUTE(SUBSTITUTE(D13," ",""),"　","")),資格マスタ!$D:$D,0)),D13))</f>
        <v/>
      </c>
      <c r="F13">
        <f>IF(E13="","",IF(C13="",DATE(9999,1,1),C13))</f>
        <v/>
      </c>
      <c r="G13">
        <f>IF(E13="","",COUNTIFS($F$3:$F$28,"&lt;"&amp;F13,$F$3:$F$28,"&lt;&gt;")+COUNTIFS($F$3:$F$28,F13,$B$3:$B$28,"&lt;"&amp;B13)+1)</f>
        <v/>
      </c>
      <c r="H13">
        <f>IF(OR(E13="",C13=""),"",IF(C13&gt;=DATE(2019,5,1),"令和"&amp;(YEAR(C13)-2018),IF(C13&gt;=DATE(1989,1,8),"平成"&amp;(YEAR(C13)-1988),"昭和"&amp;(YEAR(C13)-1925)))&amp;"年"&amp;MONTH(C13)&amp;"月")</f>
        <v/>
      </c>
    </row>
    <row r="14">
      <c r="A14" t="n">
        <v>1</v>
      </c>
      <c r="B14" t="n">
        <v>12</v>
      </c>
      <c r="C14">
        <f>IFERROR(INDEX(資格取込!$S$6:$S$405,MATCH(1&amp;"_"&amp;6,資格取込!$Z$6:$Z$405,0)),"")</f>
        <v/>
      </c>
      <c r="D14">
        <f>IFERROR(INDEX(資格取込!$R$6:$R$405,MATCH(1&amp;"_"&amp;6,資格取込!$Z$6:$Z$405,0)),"")</f>
        <v/>
      </c>
      <c r="E14">
        <f>IF(D14="","",IFERROR(INDEX(資格マスタ!$B:$B,MATCH(ASC(SUBSTITUTE(SUBSTITUTE(D14," ",""),"　","")),資格マスタ!$D:$D,0)),D14))</f>
        <v/>
      </c>
      <c r="F14">
        <f>IF(E14="","",IF(C14="",DATE(9999,1,1),C14))</f>
        <v/>
      </c>
      <c r="G14">
        <f>IF(E14="","",COUNTIFS($F$3:$F$28,"&lt;"&amp;F14,$F$3:$F$28,"&lt;&gt;")+COUNTIFS($F$3:$F$28,F14,$B$3:$B$28,"&lt;"&amp;B14)+1)</f>
        <v/>
      </c>
      <c r="H14">
        <f>IF(OR(E14="",C14=""),"",IF(C14&gt;=DATE(2019,5,1),"令和"&amp;(YEAR(C14)-2018),IF(C14&gt;=DATE(1989,1,8),"平成"&amp;(YEAR(C14)-1988),"昭和"&amp;(YEAR(C14)-1925)))&amp;"年"&amp;MONTH(C14)&amp;"月")</f>
        <v/>
      </c>
    </row>
    <row r="15">
      <c r="A15" t="n">
        <v>1</v>
      </c>
      <c r="B15" t="n">
        <v>13</v>
      </c>
      <c r="C15">
        <f>IFERROR(INDEX(資格取込!$S$6:$S$405,MATCH(1&amp;"_"&amp;7,資格取込!$Z$6:$Z$405,0)),"")</f>
        <v/>
      </c>
      <c r="D15">
        <f>IFERROR(INDEX(資格取込!$R$6:$R$405,MATCH(1&amp;"_"&amp;7,資格取込!$Z$6:$Z$405,0)),"")</f>
        <v/>
      </c>
      <c r="E15">
        <f>IF(D15="","",IFERROR(INDEX(資格マスタ!$B:$B,MATCH(ASC(SUBSTITUTE(SUBSTITUTE(D15," ",""),"　","")),資格マスタ!$D:$D,0)),D15))</f>
        <v/>
      </c>
      <c r="F15">
        <f>IF(E15="","",IF(C15="",DATE(9999,1,1),C15))</f>
        <v/>
      </c>
      <c r="G15">
        <f>IF(E15="","",COUNTIFS($F$3:$F$28,"&lt;"&amp;F15,$F$3:$F$28,"&lt;&gt;")+COUNTIFS($F$3:$F$28,F15,$B$3:$B$28,"&lt;"&amp;B15)+1)</f>
        <v/>
      </c>
      <c r="H15">
        <f>IF(OR(E15="",C15=""),"",IF(C15&gt;=DATE(2019,5,1),"令和"&amp;(YEAR(C15)-2018),IF(C15&gt;=DATE(1989,1,8),"平成"&amp;(YEAR(C15)-1988),"昭和"&amp;(YEAR(C15)-1925)))&amp;"年"&amp;MONTH(C15)&amp;"月")</f>
        <v/>
      </c>
    </row>
    <row r="16">
      <c r="A16" t="n">
        <v>1</v>
      </c>
      <c r="B16" t="n">
        <v>14</v>
      </c>
      <c r="C16">
        <f>IFERROR(INDEX(資格取込!$S$6:$S$405,MATCH(1&amp;"_"&amp;8,資格取込!$Z$6:$Z$405,0)),"")</f>
        <v/>
      </c>
      <c r="D16">
        <f>IFERROR(INDEX(資格取込!$R$6:$R$405,MATCH(1&amp;"_"&amp;8,資格取込!$Z$6:$Z$405,0)),"")</f>
        <v/>
      </c>
      <c r="E16">
        <f>IF(D16="","",IFERROR(INDEX(資格マスタ!$B:$B,MATCH(ASC(SUBSTITUTE(SUBSTITUTE(D16," ",""),"　","")),資格マスタ!$D:$D,0)),D16))</f>
        <v/>
      </c>
      <c r="F16">
        <f>IF(E16="","",IF(C16="",DATE(9999,1,1),C16))</f>
        <v/>
      </c>
      <c r="G16">
        <f>IF(E16="","",COUNTIFS($F$3:$F$28,"&lt;"&amp;F16,$F$3:$F$28,"&lt;&gt;")+COUNTIFS($F$3:$F$28,F16,$B$3:$B$28,"&lt;"&amp;B16)+1)</f>
        <v/>
      </c>
      <c r="H16">
        <f>IF(OR(E16="",C16=""),"",IF(C16&gt;=DATE(2019,5,1),"令和"&amp;(YEAR(C16)-2018),IF(C16&gt;=DATE(1989,1,8),"平成"&amp;(YEAR(C16)-1988),"昭和"&amp;(YEAR(C16)-1925)))&amp;"年"&amp;MONTH(C16)&amp;"月")</f>
        <v/>
      </c>
    </row>
    <row r="17">
      <c r="A17" t="n">
        <v>1</v>
      </c>
      <c r="B17" t="n">
        <v>15</v>
      </c>
      <c r="C17">
        <f>IFERROR(INDEX(資格取込!$S$6:$S$405,MATCH(1&amp;"_"&amp;9,資格取込!$Z$6:$Z$405,0)),"")</f>
        <v/>
      </c>
      <c r="D17">
        <f>IFERROR(INDEX(資格取込!$R$6:$R$405,MATCH(1&amp;"_"&amp;9,資格取込!$Z$6:$Z$405,0)),"")</f>
        <v/>
      </c>
      <c r="E17">
        <f>IF(D17="","",IFERROR(INDEX(資格マスタ!$B:$B,MATCH(ASC(SUBSTITUTE(SUBSTITUTE(D17," ",""),"　","")),資格マスタ!$D:$D,0)),D17))</f>
        <v/>
      </c>
      <c r="F17">
        <f>IF(E17="","",IF(C17="",DATE(9999,1,1),C17))</f>
        <v/>
      </c>
      <c r="G17">
        <f>IF(E17="","",COUNTIFS($F$3:$F$28,"&lt;"&amp;F17,$F$3:$F$28,"&lt;&gt;")+COUNTIFS($F$3:$F$28,F17,$B$3:$B$28,"&lt;"&amp;B17)+1)</f>
        <v/>
      </c>
      <c r="H17">
        <f>IF(OR(E17="",C17=""),"",IF(C17&gt;=DATE(2019,5,1),"令和"&amp;(YEAR(C17)-2018),IF(C17&gt;=DATE(1989,1,8),"平成"&amp;(YEAR(C17)-1988),"昭和"&amp;(YEAR(C17)-1925)))&amp;"年"&amp;MONTH(C17)&amp;"月")</f>
        <v/>
      </c>
    </row>
    <row r="18">
      <c r="A18" t="n">
        <v>1</v>
      </c>
      <c r="B18" t="n">
        <v>16</v>
      </c>
      <c r="C18">
        <f>IFERROR(INDEX(資格取込!$S$6:$S$405,MATCH(1&amp;"_"&amp;10,資格取込!$Z$6:$Z$405,0)),"")</f>
        <v/>
      </c>
      <c r="D18">
        <f>IFERROR(INDEX(資格取込!$R$6:$R$405,MATCH(1&amp;"_"&amp;10,資格取込!$Z$6:$Z$405,0)),"")</f>
        <v/>
      </c>
      <c r="E18">
        <f>IF(D18="","",IFERROR(INDEX(資格マスタ!$B:$B,MATCH(ASC(SUBSTITUTE(SUBSTITUTE(D18," ",""),"　","")),資格マスタ!$D:$D,0)),D18))</f>
        <v/>
      </c>
      <c r="F18">
        <f>IF(E18="","",IF(C18="",DATE(9999,1,1),C18))</f>
        <v/>
      </c>
      <c r="G18">
        <f>IF(E18="","",COUNTIFS($F$3:$F$28,"&lt;"&amp;F18,$F$3:$F$28,"&lt;&gt;")+COUNTIFS($F$3:$F$28,F18,$B$3:$B$28,"&lt;"&amp;B18)+1)</f>
        <v/>
      </c>
      <c r="H18">
        <f>IF(OR(E18="",C18=""),"",IF(C18&gt;=DATE(2019,5,1),"令和"&amp;(YEAR(C18)-2018),IF(C18&gt;=DATE(1989,1,8),"平成"&amp;(YEAR(C18)-1988),"昭和"&amp;(YEAR(C18)-1925)))&amp;"年"&amp;MONTH(C18)&amp;"月")</f>
        <v/>
      </c>
    </row>
    <row r="19">
      <c r="A19" t="n">
        <v>1</v>
      </c>
      <c r="B19" t="n">
        <v>17</v>
      </c>
      <c r="C19">
        <f>IFERROR(INDEX(資格取込!$S$6:$S$405,MATCH(1&amp;"_"&amp;11,資格取込!$Z$6:$Z$405,0)),"")</f>
        <v/>
      </c>
      <c r="D19">
        <f>IFERROR(INDEX(資格取込!$R$6:$R$405,MATCH(1&amp;"_"&amp;11,資格取込!$Z$6:$Z$405,0)),"")</f>
        <v/>
      </c>
      <c r="E19">
        <f>IF(D19="","",IFERROR(INDEX(資格マスタ!$B:$B,MATCH(ASC(SUBSTITUTE(SUBSTITUTE(D19," ",""),"　","")),資格マスタ!$D:$D,0)),D19))</f>
        <v/>
      </c>
      <c r="F19">
        <f>IF(E19="","",IF(C19="",DATE(9999,1,1),C19))</f>
        <v/>
      </c>
      <c r="G19">
        <f>IF(E19="","",COUNTIFS($F$3:$F$28,"&lt;"&amp;F19,$F$3:$F$28,"&lt;&gt;")+COUNTIFS($F$3:$F$28,F19,$B$3:$B$28,"&lt;"&amp;B19)+1)</f>
        <v/>
      </c>
      <c r="H19">
        <f>IF(OR(E19="",C19=""),"",IF(C19&gt;=DATE(2019,5,1),"令和"&amp;(YEAR(C19)-2018),IF(C19&gt;=DATE(1989,1,8),"平成"&amp;(YEAR(C19)-1988),"昭和"&amp;(YEAR(C19)-1925)))&amp;"年"&amp;MONTH(C19)&amp;"月")</f>
        <v/>
      </c>
    </row>
    <row r="20">
      <c r="A20" t="n">
        <v>1</v>
      </c>
      <c r="B20" t="n">
        <v>18</v>
      </c>
      <c r="C20">
        <f>IFERROR(INDEX(資格取込!$S$6:$S$405,MATCH(1&amp;"_"&amp;12,資格取込!$Z$6:$Z$405,0)),"")</f>
        <v/>
      </c>
      <c r="D20">
        <f>IFERROR(INDEX(資格取込!$R$6:$R$405,MATCH(1&amp;"_"&amp;12,資格取込!$Z$6:$Z$405,0)),"")</f>
        <v/>
      </c>
      <c r="E20">
        <f>IF(D20="","",IFERROR(INDEX(資格マスタ!$B:$B,MATCH(ASC(SUBSTITUTE(SUBSTITUTE(D20," ",""),"　","")),資格マスタ!$D:$D,0)),D20))</f>
        <v/>
      </c>
      <c r="F20">
        <f>IF(E20="","",IF(C20="",DATE(9999,1,1),C20))</f>
        <v/>
      </c>
      <c r="G20">
        <f>IF(E20="","",COUNTIFS($F$3:$F$28,"&lt;"&amp;F20,$F$3:$F$28,"&lt;&gt;")+COUNTIFS($F$3:$F$28,F20,$B$3:$B$28,"&lt;"&amp;B20)+1)</f>
        <v/>
      </c>
      <c r="H20">
        <f>IF(OR(E20="",C20=""),"",IF(C20&gt;=DATE(2019,5,1),"令和"&amp;(YEAR(C20)-2018),IF(C20&gt;=DATE(1989,1,8),"平成"&amp;(YEAR(C20)-1988),"昭和"&amp;(YEAR(C20)-1925)))&amp;"年"&amp;MONTH(C20)&amp;"月")</f>
        <v/>
      </c>
    </row>
    <row r="21">
      <c r="A21" t="n">
        <v>1</v>
      </c>
      <c r="B21" t="n">
        <v>19</v>
      </c>
      <c r="C21">
        <f>IFERROR(INDEX(資格取込!$S$6:$S$405,MATCH(1&amp;"_"&amp;13,資格取込!$Z$6:$Z$405,0)),"")</f>
        <v/>
      </c>
      <c r="D21">
        <f>IFERROR(INDEX(資格取込!$R$6:$R$405,MATCH(1&amp;"_"&amp;13,資格取込!$Z$6:$Z$405,0)),"")</f>
        <v/>
      </c>
      <c r="E21">
        <f>IF(D21="","",IFERROR(INDEX(資格マスタ!$B:$B,MATCH(ASC(SUBSTITUTE(SUBSTITUTE(D21," ",""),"　","")),資格マスタ!$D:$D,0)),D21))</f>
        <v/>
      </c>
      <c r="F21">
        <f>IF(E21="","",IF(C21="",DATE(9999,1,1),C21))</f>
        <v/>
      </c>
      <c r="G21">
        <f>IF(E21="","",COUNTIFS($F$3:$F$28,"&lt;"&amp;F21,$F$3:$F$28,"&lt;&gt;")+COUNTIFS($F$3:$F$28,F21,$B$3:$B$28,"&lt;"&amp;B21)+1)</f>
        <v/>
      </c>
      <c r="H21">
        <f>IF(OR(E21="",C21=""),"",IF(C21&gt;=DATE(2019,5,1),"令和"&amp;(YEAR(C21)-2018),IF(C21&gt;=DATE(1989,1,8),"平成"&amp;(YEAR(C21)-1988),"昭和"&amp;(YEAR(C21)-1925)))&amp;"年"&amp;MONTH(C21)&amp;"月")</f>
        <v/>
      </c>
    </row>
    <row r="22">
      <c r="A22" t="n">
        <v>1</v>
      </c>
      <c r="B22" t="n">
        <v>20</v>
      </c>
      <c r="C22">
        <f>IFERROR(INDEX(資格取込!$S$6:$S$405,MATCH(1&amp;"_"&amp;14,資格取込!$Z$6:$Z$405,0)),"")</f>
        <v/>
      </c>
      <c r="D22">
        <f>IFERROR(INDEX(資格取込!$R$6:$R$405,MATCH(1&amp;"_"&amp;14,資格取込!$Z$6:$Z$405,0)),"")</f>
        <v/>
      </c>
      <c r="E22">
        <f>IF(D22="","",IFERROR(INDEX(資格マスタ!$B:$B,MATCH(ASC(SUBSTITUTE(SUBSTITUTE(D22," ",""),"　","")),資格マスタ!$D:$D,0)),D22))</f>
        <v/>
      </c>
      <c r="F22">
        <f>IF(E22="","",IF(C22="",DATE(9999,1,1),C22))</f>
        <v/>
      </c>
      <c r="G22">
        <f>IF(E22="","",COUNTIFS($F$3:$F$28,"&lt;"&amp;F22,$F$3:$F$28,"&lt;&gt;")+COUNTIFS($F$3:$F$28,F22,$B$3:$B$28,"&lt;"&amp;B22)+1)</f>
        <v/>
      </c>
      <c r="H22">
        <f>IF(OR(E22="",C22=""),"",IF(C22&gt;=DATE(2019,5,1),"令和"&amp;(YEAR(C22)-2018),IF(C22&gt;=DATE(1989,1,8),"平成"&amp;(YEAR(C22)-1988),"昭和"&amp;(YEAR(C22)-1925)))&amp;"年"&amp;MONTH(C22)&amp;"月")</f>
        <v/>
      </c>
    </row>
    <row r="23">
      <c r="A23" t="n">
        <v>1</v>
      </c>
      <c r="B23" t="n">
        <v>21</v>
      </c>
      <c r="C23">
        <f>IFERROR(INDEX(資格取込!$S$6:$S$405,MATCH(1&amp;"_"&amp;15,資格取込!$Z$6:$Z$405,0)),"")</f>
        <v/>
      </c>
      <c r="D23">
        <f>IFERROR(INDEX(資格取込!$R$6:$R$405,MATCH(1&amp;"_"&amp;15,資格取込!$Z$6:$Z$405,0)),"")</f>
        <v/>
      </c>
      <c r="E23">
        <f>IF(D23="","",IFERROR(INDEX(資格マスタ!$B:$B,MATCH(ASC(SUBSTITUTE(SUBSTITUTE(D23," ",""),"　","")),資格マスタ!$D:$D,0)),D23))</f>
        <v/>
      </c>
      <c r="F23">
        <f>IF(E23="","",IF(C23="",DATE(9999,1,1),C23))</f>
        <v/>
      </c>
      <c r="G23">
        <f>IF(E23="","",COUNTIFS($F$3:$F$28,"&lt;"&amp;F23,$F$3:$F$28,"&lt;&gt;")+COUNTIFS($F$3:$F$28,F23,$B$3:$B$28,"&lt;"&amp;B23)+1)</f>
        <v/>
      </c>
      <c r="H23">
        <f>IF(OR(E23="",C23=""),"",IF(C23&gt;=DATE(2019,5,1),"令和"&amp;(YEAR(C23)-2018),IF(C23&gt;=DATE(1989,1,8),"平成"&amp;(YEAR(C23)-1988),"昭和"&amp;(YEAR(C23)-1925)))&amp;"年"&amp;MONTH(C23)&amp;"月")</f>
        <v/>
      </c>
    </row>
    <row r="24">
      <c r="A24" t="n">
        <v>1</v>
      </c>
      <c r="B24" t="n">
        <v>22</v>
      </c>
      <c r="C24">
        <f>IFERROR(INDEX(資格取込!$S$6:$S$405,MATCH(1&amp;"_"&amp;16,資格取込!$Z$6:$Z$405,0)),"")</f>
        <v/>
      </c>
      <c r="D24">
        <f>IFERROR(INDEX(資格取込!$R$6:$R$405,MATCH(1&amp;"_"&amp;16,資格取込!$Z$6:$Z$405,0)),"")</f>
        <v/>
      </c>
      <c r="E24">
        <f>IF(D24="","",IFERROR(INDEX(資格マスタ!$B:$B,MATCH(ASC(SUBSTITUTE(SUBSTITUTE(D24," ",""),"　","")),資格マスタ!$D:$D,0)),D24))</f>
        <v/>
      </c>
      <c r="F24">
        <f>IF(E24="","",IF(C24="",DATE(9999,1,1),C24))</f>
        <v/>
      </c>
      <c r="G24">
        <f>IF(E24="","",COUNTIFS($F$3:$F$28,"&lt;"&amp;F24,$F$3:$F$28,"&lt;&gt;")+COUNTIFS($F$3:$F$28,F24,$B$3:$B$28,"&lt;"&amp;B24)+1)</f>
        <v/>
      </c>
      <c r="H24">
        <f>IF(OR(E24="",C24=""),"",IF(C24&gt;=DATE(2019,5,1),"令和"&amp;(YEAR(C24)-2018),IF(C24&gt;=DATE(1989,1,8),"平成"&amp;(YEAR(C24)-1988),"昭和"&amp;(YEAR(C24)-1925)))&amp;"年"&amp;MONTH(C24)&amp;"月")</f>
        <v/>
      </c>
    </row>
    <row r="25">
      <c r="A25" t="n">
        <v>1</v>
      </c>
      <c r="B25" t="n">
        <v>23</v>
      </c>
      <c r="C25">
        <f>IFERROR(INDEX(資格取込!$S$6:$S$405,MATCH(1&amp;"_"&amp;17,資格取込!$Z$6:$Z$405,0)),"")</f>
        <v/>
      </c>
      <c r="D25">
        <f>IFERROR(INDEX(資格取込!$R$6:$R$405,MATCH(1&amp;"_"&amp;17,資格取込!$Z$6:$Z$405,0)),"")</f>
        <v/>
      </c>
      <c r="E25">
        <f>IF(D25="","",IFERROR(INDEX(資格マスタ!$B:$B,MATCH(ASC(SUBSTITUTE(SUBSTITUTE(D25," ",""),"　","")),資格マスタ!$D:$D,0)),D25))</f>
        <v/>
      </c>
      <c r="F25">
        <f>IF(E25="","",IF(C25="",DATE(9999,1,1),C25))</f>
        <v/>
      </c>
      <c r="G25">
        <f>IF(E25="","",COUNTIFS($F$3:$F$28,"&lt;"&amp;F25,$F$3:$F$28,"&lt;&gt;")+COUNTIFS($F$3:$F$28,F25,$B$3:$B$28,"&lt;"&amp;B25)+1)</f>
        <v/>
      </c>
      <c r="H25">
        <f>IF(OR(E25="",C25=""),"",IF(C25&gt;=DATE(2019,5,1),"令和"&amp;(YEAR(C25)-2018),IF(C25&gt;=DATE(1989,1,8),"平成"&amp;(YEAR(C25)-1988),"昭和"&amp;(YEAR(C25)-1925)))&amp;"年"&amp;MONTH(C25)&amp;"月")</f>
        <v/>
      </c>
    </row>
    <row r="26">
      <c r="A26" t="n">
        <v>1</v>
      </c>
      <c r="B26" t="n">
        <v>24</v>
      </c>
      <c r="C26">
        <f>IFERROR(INDEX(資格取込!$S$6:$S$405,MATCH(1&amp;"_"&amp;18,資格取込!$Z$6:$Z$405,0)),"")</f>
        <v/>
      </c>
      <c r="D26">
        <f>IFERROR(INDEX(資格取込!$R$6:$R$405,MATCH(1&amp;"_"&amp;18,資格取込!$Z$6:$Z$405,0)),"")</f>
        <v/>
      </c>
      <c r="E26">
        <f>IF(D26="","",IFERROR(INDEX(資格マスタ!$B:$B,MATCH(ASC(SUBSTITUTE(SUBSTITUTE(D26," ",""),"　","")),資格マスタ!$D:$D,0)),D26))</f>
        <v/>
      </c>
      <c r="F26">
        <f>IF(E26="","",IF(C26="",DATE(9999,1,1),C26))</f>
        <v/>
      </c>
      <c r="G26">
        <f>IF(E26="","",COUNTIFS($F$3:$F$28,"&lt;"&amp;F26,$F$3:$F$28,"&lt;&gt;")+COUNTIFS($F$3:$F$28,F26,$B$3:$B$28,"&lt;"&amp;B26)+1)</f>
        <v/>
      </c>
      <c r="H26">
        <f>IF(OR(E26="",C26=""),"",IF(C26&gt;=DATE(2019,5,1),"令和"&amp;(YEAR(C26)-2018),IF(C26&gt;=DATE(1989,1,8),"平成"&amp;(YEAR(C26)-1988),"昭和"&amp;(YEAR(C26)-1925)))&amp;"年"&amp;MONTH(C26)&amp;"月")</f>
        <v/>
      </c>
    </row>
    <row r="27">
      <c r="A27" t="n">
        <v>1</v>
      </c>
      <c r="B27" t="n">
        <v>25</v>
      </c>
      <c r="C27">
        <f>IFERROR(INDEX(資格取込!$S$6:$S$405,MATCH(1&amp;"_"&amp;19,資格取込!$Z$6:$Z$405,0)),"")</f>
        <v/>
      </c>
      <c r="D27">
        <f>IFERROR(INDEX(資格取込!$R$6:$R$405,MATCH(1&amp;"_"&amp;19,資格取込!$Z$6:$Z$405,0)),"")</f>
        <v/>
      </c>
      <c r="E27">
        <f>IF(D27="","",IFERROR(INDEX(資格マスタ!$B:$B,MATCH(ASC(SUBSTITUTE(SUBSTITUTE(D27," ",""),"　","")),資格マスタ!$D:$D,0)),D27))</f>
        <v/>
      </c>
      <c r="F27">
        <f>IF(E27="","",IF(C27="",DATE(9999,1,1),C27))</f>
        <v/>
      </c>
      <c r="G27">
        <f>IF(E27="","",COUNTIFS($F$3:$F$28,"&lt;"&amp;F27,$F$3:$F$28,"&lt;&gt;")+COUNTIFS($F$3:$F$28,F27,$B$3:$B$28,"&lt;"&amp;B27)+1)</f>
        <v/>
      </c>
      <c r="H27">
        <f>IF(OR(E27="",C27=""),"",IF(C27&gt;=DATE(2019,5,1),"令和"&amp;(YEAR(C27)-2018),IF(C27&gt;=DATE(1989,1,8),"平成"&amp;(YEAR(C27)-1988),"昭和"&amp;(YEAR(C27)-1925)))&amp;"年"&amp;MONTH(C27)&amp;"月")</f>
        <v/>
      </c>
    </row>
    <row r="28">
      <c r="A28" t="n">
        <v>1</v>
      </c>
      <c r="B28" t="n">
        <v>26</v>
      </c>
      <c r="C28">
        <f>IFERROR(INDEX(資格取込!$S$6:$S$405,MATCH(1&amp;"_"&amp;20,資格取込!$Z$6:$Z$405,0)),"")</f>
        <v/>
      </c>
      <c r="D28">
        <f>IFERROR(INDEX(資格取込!$R$6:$R$405,MATCH(1&amp;"_"&amp;20,資格取込!$Z$6:$Z$405,0)),"")</f>
        <v/>
      </c>
      <c r="E28">
        <f>IF(D28="","",IFERROR(INDEX(資格マスタ!$B:$B,MATCH(ASC(SUBSTITUTE(SUBSTITUTE(D28," ",""),"　","")),資格マスタ!$D:$D,0)),D28))</f>
        <v/>
      </c>
      <c r="F28">
        <f>IF(E28="","",IF(C28="",DATE(9999,1,1),C28))</f>
        <v/>
      </c>
      <c r="G28">
        <f>IF(E28="","",COUNTIFS($F$3:$F$28,"&lt;"&amp;F28,$F$3:$F$28,"&lt;&gt;")+COUNTIFS($F$3:$F$28,F28,$B$3:$B$28,"&lt;"&amp;B28)+1)</f>
        <v/>
      </c>
      <c r="H28">
        <f>IF(OR(E28="",C28=""),"",IF(C28&gt;=DATE(2019,5,1),"令和"&amp;(YEAR(C28)-2018),IF(C28&gt;=DATE(1989,1,8),"平成"&amp;(YEAR(C28)-1988),"昭和"&amp;(YEAR(C28)-1925)))&amp;"年"&amp;MONTH(C28)&amp;"月")</f>
        <v/>
      </c>
    </row>
    <row r="29">
      <c r="A29" t="n">
        <v>2</v>
      </c>
      <c r="B29" t="n">
        <v>1</v>
      </c>
      <c r="C29"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29">
        <f>IF(入力!N6="","",入力!N6)</f>
        <v/>
      </c>
      <c r="E29">
        <f>IF(D29="","",IFERROR(INDEX(資格マスタ!$B:$B,MATCH(ASC(SUBSTITUTE(SUBSTITUTE(D29," ",""),"　","")),資格マスタ!$D:$D,0)),D29))</f>
        <v/>
      </c>
      <c r="F29">
        <f>IF(E29="","",IF(C29="",DATE(9999,1,1),C29))</f>
        <v/>
      </c>
      <c r="G29">
        <f>IF(E29="","",COUNTIFS($F$29:$F$54,"&lt;"&amp;F29,$F$29:$F$54,"&lt;&gt;")+COUNTIFS($F$29:$F$54,F29,$B$29:$B$54,"&lt;"&amp;B29)+1)</f>
        <v/>
      </c>
      <c r="H29">
        <f>IF(OR(E29="",C29=""),"",IF(C29&gt;=DATE(2019,5,1),"令和"&amp;(YEAR(C29)-2018),IF(C29&gt;=DATE(1989,1,8),"平成"&amp;(YEAR(C29)-1988),"昭和"&amp;(YEAR(C29)-1925)))&amp;"年"&amp;MONTH(C29)&amp;"月")</f>
        <v/>
      </c>
    </row>
    <row r="30">
      <c r="A30" t="n">
        <v>2</v>
      </c>
      <c r="B30" t="n">
        <v>2</v>
      </c>
      <c r="C30">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30">
        <f>IF(入力!P6="","",入力!P6)</f>
        <v/>
      </c>
      <c r="E30">
        <f>IF(D30="","",IFERROR(INDEX(資格マスタ!$B:$B,MATCH(ASC(SUBSTITUTE(SUBSTITUTE(D30," ",""),"　","")),資格マスタ!$D:$D,0)),D30))</f>
        <v/>
      </c>
      <c r="F30">
        <f>IF(E30="","",IF(C30="",DATE(9999,1,1),C30))</f>
        <v/>
      </c>
      <c r="G30">
        <f>IF(E30="","",COUNTIFS($F$29:$F$54,"&lt;"&amp;F30,$F$29:$F$54,"&lt;&gt;")+COUNTIFS($F$29:$F$54,F30,$B$29:$B$54,"&lt;"&amp;B30)+1)</f>
        <v/>
      </c>
      <c r="H30">
        <f>IF(OR(E30="",C30=""),"",IF(C30&gt;=DATE(2019,5,1),"令和"&amp;(YEAR(C30)-2018),IF(C30&gt;=DATE(1989,1,8),"平成"&amp;(YEAR(C30)-1988),"昭和"&amp;(YEAR(C30)-1925)))&amp;"年"&amp;MONTH(C30)&amp;"月")</f>
        <v/>
      </c>
    </row>
    <row r="31">
      <c r="A31" t="n">
        <v>2</v>
      </c>
      <c r="B31" t="n">
        <v>3</v>
      </c>
      <c r="C31">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31">
        <f>IF(入力!R6="","",入力!R6)</f>
        <v/>
      </c>
      <c r="E31">
        <f>IF(D31="","",IFERROR(INDEX(資格マスタ!$B:$B,MATCH(ASC(SUBSTITUTE(SUBSTITUTE(D31," ",""),"　","")),資格マスタ!$D:$D,0)),D31))</f>
        <v/>
      </c>
      <c r="F31">
        <f>IF(E31="","",IF(C31="",DATE(9999,1,1),C31))</f>
        <v/>
      </c>
      <c r="G31">
        <f>IF(E31="","",COUNTIFS($F$29:$F$54,"&lt;"&amp;F31,$F$29:$F$54,"&lt;&gt;")+COUNTIFS($F$29:$F$54,F31,$B$29:$B$54,"&lt;"&amp;B31)+1)</f>
        <v/>
      </c>
      <c r="H31">
        <f>IF(OR(E31="",C31=""),"",IF(C31&gt;=DATE(2019,5,1),"令和"&amp;(YEAR(C31)-2018),IF(C31&gt;=DATE(1989,1,8),"平成"&amp;(YEAR(C31)-1988),"昭和"&amp;(YEAR(C31)-1925)))&amp;"年"&amp;MONTH(C31)&amp;"月")</f>
        <v/>
      </c>
    </row>
    <row r="32">
      <c r="A32" t="n">
        <v>2</v>
      </c>
      <c r="B32" t="n">
        <v>4</v>
      </c>
      <c r="C32">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32">
        <f>IF(入力!T6="","",入力!T6)</f>
        <v/>
      </c>
      <c r="E32">
        <f>IF(D32="","",IFERROR(INDEX(資格マスタ!$B:$B,MATCH(ASC(SUBSTITUTE(SUBSTITUTE(D32," ",""),"　","")),資格マスタ!$D:$D,0)),D32))</f>
        <v/>
      </c>
      <c r="F32">
        <f>IF(E32="","",IF(C32="",DATE(9999,1,1),C32))</f>
        <v/>
      </c>
      <c r="G32">
        <f>IF(E32="","",COUNTIFS($F$29:$F$54,"&lt;"&amp;F32,$F$29:$F$54,"&lt;&gt;")+COUNTIFS($F$29:$F$54,F32,$B$29:$B$54,"&lt;"&amp;B32)+1)</f>
        <v/>
      </c>
      <c r="H32">
        <f>IF(OR(E32="",C32=""),"",IF(C32&gt;=DATE(2019,5,1),"令和"&amp;(YEAR(C32)-2018),IF(C32&gt;=DATE(1989,1,8),"平成"&amp;(YEAR(C32)-1988),"昭和"&amp;(YEAR(C32)-1925)))&amp;"年"&amp;MONTH(C32)&amp;"月")</f>
        <v/>
      </c>
    </row>
    <row r="33">
      <c r="A33" t="n">
        <v>2</v>
      </c>
      <c r="B33" t="n">
        <v>5</v>
      </c>
      <c r="C33">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33">
        <f>IF(入力!V6="","",入力!V6)</f>
        <v/>
      </c>
      <c r="E33">
        <f>IF(D33="","",IFERROR(INDEX(資格マスタ!$B:$B,MATCH(ASC(SUBSTITUTE(SUBSTITUTE(D33," ",""),"　","")),資格マスタ!$D:$D,0)),D33))</f>
        <v/>
      </c>
      <c r="F33">
        <f>IF(E33="","",IF(C33="",DATE(9999,1,1),C33))</f>
        <v/>
      </c>
      <c r="G33">
        <f>IF(E33="","",COUNTIFS($F$29:$F$54,"&lt;"&amp;F33,$F$29:$F$54,"&lt;&gt;")+COUNTIFS($F$29:$F$54,F33,$B$29:$B$54,"&lt;"&amp;B33)+1)</f>
        <v/>
      </c>
      <c r="H33">
        <f>IF(OR(E33="",C33=""),"",IF(C33&gt;=DATE(2019,5,1),"令和"&amp;(YEAR(C33)-2018),IF(C33&gt;=DATE(1989,1,8),"平成"&amp;(YEAR(C33)-1988),"昭和"&amp;(YEAR(C33)-1925)))&amp;"年"&amp;MONTH(C33)&amp;"月")</f>
        <v/>
      </c>
    </row>
    <row r="34">
      <c r="A34" t="n">
        <v>2</v>
      </c>
      <c r="B34" t="n">
        <v>6</v>
      </c>
      <c r="C34">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34">
        <f>IF(入力!X6="","",入力!X6)</f>
        <v/>
      </c>
      <c r="E34">
        <f>IF(D34="","",IFERROR(INDEX(資格マスタ!$B:$B,MATCH(ASC(SUBSTITUTE(SUBSTITUTE(D34," ",""),"　","")),資格マスタ!$D:$D,0)),D34))</f>
        <v/>
      </c>
      <c r="F34">
        <f>IF(E34="","",IF(C34="",DATE(9999,1,1),C34))</f>
        <v/>
      </c>
      <c r="G34">
        <f>IF(E34="","",COUNTIFS($F$29:$F$54,"&lt;"&amp;F34,$F$29:$F$54,"&lt;&gt;")+COUNTIFS($F$29:$F$54,F34,$B$29:$B$54,"&lt;"&amp;B34)+1)</f>
        <v/>
      </c>
      <c r="H34">
        <f>IF(OR(E34="",C34=""),"",IF(C34&gt;=DATE(2019,5,1),"令和"&amp;(YEAR(C34)-2018),IF(C34&gt;=DATE(1989,1,8),"平成"&amp;(YEAR(C34)-1988),"昭和"&amp;(YEAR(C34)-1925)))&amp;"年"&amp;MONTH(C34)&amp;"月")</f>
        <v/>
      </c>
    </row>
    <row r="35">
      <c r="A35" t="n">
        <v>2</v>
      </c>
      <c r="B35" t="n">
        <v>7</v>
      </c>
      <c r="C35">
        <f>IFERROR(INDEX(資格取込!$S$6:$S$405,MATCH(2&amp;"_"&amp;1,資格取込!$Z$6:$Z$405,0)),"")</f>
        <v/>
      </c>
      <c r="D35">
        <f>IFERROR(INDEX(資格取込!$R$6:$R$405,MATCH(2&amp;"_"&amp;1,資格取込!$Z$6:$Z$405,0)),"")</f>
        <v/>
      </c>
      <c r="E35">
        <f>IF(D35="","",IFERROR(INDEX(資格マスタ!$B:$B,MATCH(ASC(SUBSTITUTE(SUBSTITUTE(D35," ",""),"　","")),資格マスタ!$D:$D,0)),D35))</f>
        <v/>
      </c>
      <c r="F35">
        <f>IF(E35="","",IF(C35="",DATE(9999,1,1),C35))</f>
        <v/>
      </c>
      <c r="G35">
        <f>IF(E35="","",COUNTIFS($F$29:$F$54,"&lt;"&amp;F35,$F$29:$F$54,"&lt;&gt;")+COUNTIFS($F$29:$F$54,F35,$B$29:$B$54,"&lt;"&amp;B35)+1)</f>
        <v/>
      </c>
      <c r="H35">
        <f>IF(OR(E35="",C35=""),"",IF(C35&gt;=DATE(2019,5,1),"令和"&amp;(YEAR(C35)-2018),IF(C35&gt;=DATE(1989,1,8),"平成"&amp;(YEAR(C35)-1988),"昭和"&amp;(YEAR(C35)-1925)))&amp;"年"&amp;MONTH(C35)&amp;"月")</f>
        <v/>
      </c>
    </row>
    <row r="36">
      <c r="A36" t="n">
        <v>2</v>
      </c>
      <c r="B36" t="n">
        <v>8</v>
      </c>
      <c r="C36">
        <f>IFERROR(INDEX(資格取込!$S$6:$S$405,MATCH(2&amp;"_"&amp;2,資格取込!$Z$6:$Z$405,0)),"")</f>
        <v/>
      </c>
      <c r="D36">
        <f>IFERROR(INDEX(資格取込!$R$6:$R$405,MATCH(2&amp;"_"&amp;2,資格取込!$Z$6:$Z$405,0)),"")</f>
        <v/>
      </c>
      <c r="E36">
        <f>IF(D36="","",IFERROR(INDEX(資格マスタ!$B:$B,MATCH(ASC(SUBSTITUTE(SUBSTITUTE(D36," ",""),"　","")),資格マスタ!$D:$D,0)),D36))</f>
        <v/>
      </c>
      <c r="F36">
        <f>IF(E36="","",IF(C36="",DATE(9999,1,1),C36))</f>
        <v/>
      </c>
      <c r="G36">
        <f>IF(E36="","",COUNTIFS($F$29:$F$54,"&lt;"&amp;F36,$F$29:$F$54,"&lt;&gt;")+COUNTIFS($F$29:$F$54,F36,$B$29:$B$54,"&lt;"&amp;B36)+1)</f>
        <v/>
      </c>
      <c r="H36">
        <f>IF(OR(E36="",C36=""),"",IF(C36&gt;=DATE(2019,5,1),"令和"&amp;(YEAR(C36)-2018),IF(C36&gt;=DATE(1989,1,8),"平成"&amp;(YEAR(C36)-1988),"昭和"&amp;(YEAR(C36)-1925)))&amp;"年"&amp;MONTH(C36)&amp;"月")</f>
        <v/>
      </c>
    </row>
    <row r="37">
      <c r="A37" t="n">
        <v>2</v>
      </c>
      <c r="B37" t="n">
        <v>9</v>
      </c>
      <c r="C37">
        <f>IFERROR(INDEX(資格取込!$S$6:$S$405,MATCH(2&amp;"_"&amp;3,資格取込!$Z$6:$Z$405,0)),"")</f>
        <v/>
      </c>
      <c r="D37">
        <f>IFERROR(INDEX(資格取込!$R$6:$R$405,MATCH(2&amp;"_"&amp;3,資格取込!$Z$6:$Z$405,0)),"")</f>
        <v/>
      </c>
      <c r="E37">
        <f>IF(D37="","",IFERROR(INDEX(資格マスタ!$B:$B,MATCH(ASC(SUBSTITUTE(SUBSTITUTE(D37," ",""),"　","")),資格マスタ!$D:$D,0)),D37))</f>
        <v/>
      </c>
      <c r="F37">
        <f>IF(E37="","",IF(C37="",DATE(9999,1,1),C37))</f>
        <v/>
      </c>
      <c r="G37">
        <f>IF(E37="","",COUNTIFS($F$29:$F$54,"&lt;"&amp;F37,$F$29:$F$54,"&lt;&gt;")+COUNTIFS($F$29:$F$54,F37,$B$29:$B$54,"&lt;"&amp;B37)+1)</f>
        <v/>
      </c>
      <c r="H37">
        <f>IF(OR(E37="",C37=""),"",IF(C37&gt;=DATE(2019,5,1),"令和"&amp;(YEAR(C37)-2018),IF(C37&gt;=DATE(1989,1,8),"平成"&amp;(YEAR(C37)-1988),"昭和"&amp;(YEAR(C37)-1925)))&amp;"年"&amp;MONTH(C37)&amp;"月")</f>
        <v/>
      </c>
    </row>
    <row r="38">
      <c r="A38" t="n">
        <v>2</v>
      </c>
      <c r="B38" t="n">
        <v>10</v>
      </c>
      <c r="C38">
        <f>IFERROR(INDEX(資格取込!$S$6:$S$405,MATCH(2&amp;"_"&amp;4,資格取込!$Z$6:$Z$405,0)),"")</f>
        <v/>
      </c>
      <c r="D38">
        <f>IFERROR(INDEX(資格取込!$R$6:$R$405,MATCH(2&amp;"_"&amp;4,資格取込!$Z$6:$Z$405,0)),"")</f>
        <v/>
      </c>
      <c r="E38">
        <f>IF(D38="","",IFERROR(INDEX(資格マスタ!$B:$B,MATCH(ASC(SUBSTITUTE(SUBSTITUTE(D38," ",""),"　","")),資格マスタ!$D:$D,0)),D38))</f>
        <v/>
      </c>
      <c r="F38">
        <f>IF(E38="","",IF(C38="",DATE(9999,1,1),C38))</f>
        <v/>
      </c>
      <c r="G38">
        <f>IF(E38="","",COUNTIFS($F$29:$F$54,"&lt;"&amp;F38,$F$29:$F$54,"&lt;&gt;")+COUNTIFS($F$29:$F$54,F38,$B$29:$B$54,"&lt;"&amp;B38)+1)</f>
        <v/>
      </c>
      <c r="H38">
        <f>IF(OR(E38="",C38=""),"",IF(C38&gt;=DATE(2019,5,1),"令和"&amp;(YEAR(C38)-2018),IF(C38&gt;=DATE(1989,1,8),"平成"&amp;(YEAR(C38)-1988),"昭和"&amp;(YEAR(C38)-1925)))&amp;"年"&amp;MONTH(C38)&amp;"月")</f>
        <v/>
      </c>
    </row>
    <row r="39">
      <c r="A39" t="n">
        <v>2</v>
      </c>
      <c r="B39" t="n">
        <v>11</v>
      </c>
      <c r="C39">
        <f>IFERROR(INDEX(資格取込!$S$6:$S$405,MATCH(2&amp;"_"&amp;5,資格取込!$Z$6:$Z$405,0)),"")</f>
        <v/>
      </c>
      <c r="D39">
        <f>IFERROR(INDEX(資格取込!$R$6:$R$405,MATCH(2&amp;"_"&amp;5,資格取込!$Z$6:$Z$405,0)),"")</f>
        <v/>
      </c>
      <c r="E39">
        <f>IF(D39="","",IFERROR(INDEX(資格マスタ!$B:$B,MATCH(ASC(SUBSTITUTE(SUBSTITUTE(D39," ",""),"　","")),資格マスタ!$D:$D,0)),D39))</f>
        <v/>
      </c>
      <c r="F39">
        <f>IF(E39="","",IF(C39="",DATE(9999,1,1),C39))</f>
        <v/>
      </c>
      <c r="G39">
        <f>IF(E39="","",COUNTIFS($F$29:$F$54,"&lt;"&amp;F39,$F$29:$F$54,"&lt;&gt;")+COUNTIFS($F$29:$F$54,F39,$B$29:$B$54,"&lt;"&amp;B39)+1)</f>
        <v/>
      </c>
      <c r="H39">
        <f>IF(OR(E39="",C39=""),"",IF(C39&gt;=DATE(2019,5,1),"令和"&amp;(YEAR(C39)-2018),IF(C39&gt;=DATE(1989,1,8),"平成"&amp;(YEAR(C39)-1988),"昭和"&amp;(YEAR(C39)-1925)))&amp;"年"&amp;MONTH(C39)&amp;"月")</f>
        <v/>
      </c>
    </row>
    <row r="40">
      <c r="A40" t="n">
        <v>2</v>
      </c>
      <c r="B40" t="n">
        <v>12</v>
      </c>
      <c r="C40">
        <f>IFERROR(INDEX(資格取込!$S$6:$S$405,MATCH(2&amp;"_"&amp;6,資格取込!$Z$6:$Z$405,0)),"")</f>
        <v/>
      </c>
      <c r="D40">
        <f>IFERROR(INDEX(資格取込!$R$6:$R$405,MATCH(2&amp;"_"&amp;6,資格取込!$Z$6:$Z$405,0)),"")</f>
        <v/>
      </c>
      <c r="E40">
        <f>IF(D40="","",IFERROR(INDEX(資格マスタ!$B:$B,MATCH(ASC(SUBSTITUTE(SUBSTITUTE(D40," ",""),"　","")),資格マスタ!$D:$D,0)),D40))</f>
        <v/>
      </c>
      <c r="F40">
        <f>IF(E40="","",IF(C40="",DATE(9999,1,1),C40))</f>
        <v/>
      </c>
      <c r="G40">
        <f>IF(E40="","",COUNTIFS($F$29:$F$54,"&lt;"&amp;F40,$F$29:$F$54,"&lt;&gt;")+COUNTIFS($F$29:$F$54,F40,$B$29:$B$54,"&lt;"&amp;B40)+1)</f>
        <v/>
      </c>
      <c r="H40">
        <f>IF(OR(E40="",C40=""),"",IF(C40&gt;=DATE(2019,5,1),"令和"&amp;(YEAR(C40)-2018),IF(C40&gt;=DATE(1989,1,8),"平成"&amp;(YEAR(C40)-1988),"昭和"&amp;(YEAR(C40)-1925)))&amp;"年"&amp;MONTH(C40)&amp;"月")</f>
        <v/>
      </c>
    </row>
    <row r="41">
      <c r="A41" t="n">
        <v>2</v>
      </c>
      <c r="B41" t="n">
        <v>13</v>
      </c>
      <c r="C41">
        <f>IFERROR(INDEX(資格取込!$S$6:$S$405,MATCH(2&amp;"_"&amp;7,資格取込!$Z$6:$Z$405,0)),"")</f>
        <v/>
      </c>
      <c r="D41">
        <f>IFERROR(INDEX(資格取込!$R$6:$R$405,MATCH(2&amp;"_"&amp;7,資格取込!$Z$6:$Z$405,0)),"")</f>
        <v/>
      </c>
      <c r="E41">
        <f>IF(D41="","",IFERROR(INDEX(資格マスタ!$B:$B,MATCH(ASC(SUBSTITUTE(SUBSTITUTE(D41," ",""),"　","")),資格マスタ!$D:$D,0)),D41))</f>
        <v/>
      </c>
      <c r="F41">
        <f>IF(E41="","",IF(C41="",DATE(9999,1,1),C41))</f>
        <v/>
      </c>
      <c r="G41">
        <f>IF(E41="","",COUNTIFS($F$29:$F$54,"&lt;"&amp;F41,$F$29:$F$54,"&lt;&gt;")+COUNTIFS($F$29:$F$54,F41,$B$29:$B$54,"&lt;"&amp;B41)+1)</f>
        <v/>
      </c>
      <c r="H41">
        <f>IF(OR(E41="",C41=""),"",IF(C41&gt;=DATE(2019,5,1),"令和"&amp;(YEAR(C41)-2018),IF(C41&gt;=DATE(1989,1,8),"平成"&amp;(YEAR(C41)-1988),"昭和"&amp;(YEAR(C41)-1925)))&amp;"年"&amp;MONTH(C41)&amp;"月")</f>
        <v/>
      </c>
    </row>
    <row r="42">
      <c r="A42" t="n">
        <v>2</v>
      </c>
      <c r="B42" t="n">
        <v>14</v>
      </c>
      <c r="C42">
        <f>IFERROR(INDEX(資格取込!$S$6:$S$405,MATCH(2&amp;"_"&amp;8,資格取込!$Z$6:$Z$405,0)),"")</f>
        <v/>
      </c>
      <c r="D42">
        <f>IFERROR(INDEX(資格取込!$R$6:$R$405,MATCH(2&amp;"_"&amp;8,資格取込!$Z$6:$Z$405,0)),"")</f>
        <v/>
      </c>
      <c r="E42">
        <f>IF(D42="","",IFERROR(INDEX(資格マスタ!$B:$B,MATCH(ASC(SUBSTITUTE(SUBSTITUTE(D42," ",""),"　","")),資格マスタ!$D:$D,0)),D42))</f>
        <v/>
      </c>
      <c r="F42">
        <f>IF(E42="","",IF(C42="",DATE(9999,1,1),C42))</f>
        <v/>
      </c>
      <c r="G42">
        <f>IF(E42="","",COUNTIFS($F$29:$F$54,"&lt;"&amp;F42,$F$29:$F$54,"&lt;&gt;")+COUNTIFS($F$29:$F$54,F42,$B$29:$B$54,"&lt;"&amp;B42)+1)</f>
        <v/>
      </c>
      <c r="H42">
        <f>IF(OR(E42="",C42=""),"",IF(C42&gt;=DATE(2019,5,1),"令和"&amp;(YEAR(C42)-2018),IF(C42&gt;=DATE(1989,1,8),"平成"&amp;(YEAR(C42)-1988),"昭和"&amp;(YEAR(C42)-1925)))&amp;"年"&amp;MONTH(C42)&amp;"月")</f>
        <v/>
      </c>
    </row>
    <row r="43">
      <c r="A43" t="n">
        <v>2</v>
      </c>
      <c r="B43" t="n">
        <v>15</v>
      </c>
      <c r="C43">
        <f>IFERROR(INDEX(資格取込!$S$6:$S$405,MATCH(2&amp;"_"&amp;9,資格取込!$Z$6:$Z$405,0)),"")</f>
        <v/>
      </c>
      <c r="D43">
        <f>IFERROR(INDEX(資格取込!$R$6:$R$405,MATCH(2&amp;"_"&amp;9,資格取込!$Z$6:$Z$405,0)),"")</f>
        <v/>
      </c>
      <c r="E43">
        <f>IF(D43="","",IFERROR(INDEX(資格マスタ!$B:$B,MATCH(ASC(SUBSTITUTE(SUBSTITUTE(D43," ",""),"　","")),資格マスタ!$D:$D,0)),D43))</f>
        <v/>
      </c>
      <c r="F43">
        <f>IF(E43="","",IF(C43="",DATE(9999,1,1),C43))</f>
        <v/>
      </c>
      <c r="G43">
        <f>IF(E43="","",COUNTIFS($F$29:$F$54,"&lt;"&amp;F43,$F$29:$F$54,"&lt;&gt;")+COUNTIFS($F$29:$F$54,F43,$B$29:$B$54,"&lt;"&amp;B43)+1)</f>
        <v/>
      </c>
      <c r="H43">
        <f>IF(OR(E43="",C43=""),"",IF(C43&gt;=DATE(2019,5,1),"令和"&amp;(YEAR(C43)-2018),IF(C43&gt;=DATE(1989,1,8),"平成"&amp;(YEAR(C43)-1988),"昭和"&amp;(YEAR(C43)-1925)))&amp;"年"&amp;MONTH(C43)&amp;"月")</f>
        <v/>
      </c>
    </row>
    <row r="44">
      <c r="A44" t="n">
        <v>2</v>
      </c>
      <c r="B44" t="n">
        <v>16</v>
      </c>
      <c r="C44">
        <f>IFERROR(INDEX(資格取込!$S$6:$S$405,MATCH(2&amp;"_"&amp;10,資格取込!$Z$6:$Z$405,0)),"")</f>
        <v/>
      </c>
      <c r="D44">
        <f>IFERROR(INDEX(資格取込!$R$6:$R$405,MATCH(2&amp;"_"&amp;10,資格取込!$Z$6:$Z$405,0)),"")</f>
        <v/>
      </c>
      <c r="E44">
        <f>IF(D44="","",IFERROR(INDEX(資格マスタ!$B:$B,MATCH(ASC(SUBSTITUTE(SUBSTITUTE(D44," ",""),"　","")),資格マスタ!$D:$D,0)),D44))</f>
        <v/>
      </c>
      <c r="F44">
        <f>IF(E44="","",IF(C44="",DATE(9999,1,1),C44))</f>
        <v/>
      </c>
      <c r="G44">
        <f>IF(E44="","",COUNTIFS($F$29:$F$54,"&lt;"&amp;F44,$F$29:$F$54,"&lt;&gt;")+COUNTIFS($F$29:$F$54,F44,$B$29:$B$54,"&lt;"&amp;B44)+1)</f>
        <v/>
      </c>
      <c r="H44">
        <f>IF(OR(E44="",C44=""),"",IF(C44&gt;=DATE(2019,5,1),"令和"&amp;(YEAR(C44)-2018),IF(C44&gt;=DATE(1989,1,8),"平成"&amp;(YEAR(C44)-1988),"昭和"&amp;(YEAR(C44)-1925)))&amp;"年"&amp;MONTH(C44)&amp;"月")</f>
        <v/>
      </c>
    </row>
    <row r="45">
      <c r="A45" t="n">
        <v>2</v>
      </c>
      <c r="B45" t="n">
        <v>17</v>
      </c>
      <c r="C45">
        <f>IFERROR(INDEX(資格取込!$S$6:$S$405,MATCH(2&amp;"_"&amp;11,資格取込!$Z$6:$Z$405,0)),"")</f>
        <v/>
      </c>
      <c r="D45">
        <f>IFERROR(INDEX(資格取込!$R$6:$R$405,MATCH(2&amp;"_"&amp;11,資格取込!$Z$6:$Z$405,0)),"")</f>
        <v/>
      </c>
      <c r="E45">
        <f>IF(D45="","",IFERROR(INDEX(資格マスタ!$B:$B,MATCH(ASC(SUBSTITUTE(SUBSTITUTE(D45," ",""),"　","")),資格マスタ!$D:$D,0)),D45))</f>
        <v/>
      </c>
      <c r="F45">
        <f>IF(E45="","",IF(C45="",DATE(9999,1,1),C45))</f>
        <v/>
      </c>
      <c r="G45">
        <f>IF(E45="","",COUNTIFS($F$29:$F$54,"&lt;"&amp;F45,$F$29:$F$54,"&lt;&gt;")+COUNTIFS($F$29:$F$54,F45,$B$29:$B$54,"&lt;"&amp;B45)+1)</f>
        <v/>
      </c>
      <c r="H45">
        <f>IF(OR(E45="",C45=""),"",IF(C45&gt;=DATE(2019,5,1),"令和"&amp;(YEAR(C45)-2018),IF(C45&gt;=DATE(1989,1,8),"平成"&amp;(YEAR(C45)-1988),"昭和"&amp;(YEAR(C45)-1925)))&amp;"年"&amp;MONTH(C45)&amp;"月")</f>
        <v/>
      </c>
    </row>
    <row r="46">
      <c r="A46" t="n">
        <v>2</v>
      </c>
      <c r="B46" t="n">
        <v>18</v>
      </c>
      <c r="C46">
        <f>IFERROR(INDEX(資格取込!$S$6:$S$405,MATCH(2&amp;"_"&amp;12,資格取込!$Z$6:$Z$405,0)),"")</f>
        <v/>
      </c>
      <c r="D46">
        <f>IFERROR(INDEX(資格取込!$R$6:$R$405,MATCH(2&amp;"_"&amp;12,資格取込!$Z$6:$Z$405,0)),"")</f>
        <v/>
      </c>
      <c r="E46">
        <f>IF(D46="","",IFERROR(INDEX(資格マスタ!$B:$B,MATCH(ASC(SUBSTITUTE(SUBSTITUTE(D46," ",""),"　","")),資格マスタ!$D:$D,0)),D46))</f>
        <v/>
      </c>
      <c r="F46">
        <f>IF(E46="","",IF(C46="",DATE(9999,1,1),C46))</f>
        <v/>
      </c>
      <c r="G46">
        <f>IF(E46="","",COUNTIFS($F$29:$F$54,"&lt;"&amp;F46,$F$29:$F$54,"&lt;&gt;")+COUNTIFS($F$29:$F$54,F46,$B$29:$B$54,"&lt;"&amp;B46)+1)</f>
        <v/>
      </c>
      <c r="H46">
        <f>IF(OR(E46="",C46=""),"",IF(C46&gt;=DATE(2019,5,1),"令和"&amp;(YEAR(C46)-2018),IF(C46&gt;=DATE(1989,1,8),"平成"&amp;(YEAR(C46)-1988),"昭和"&amp;(YEAR(C46)-1925)))&amp;"年"&amp;MONTH(C46)&amp;"月")</f>
        <v/>
      </c>
    </row>
    <row r="47">
      <c r="A47" t="n">
        <v>2</v>
      </c>
      <c r="B47" t="n">
        <v>19</v>
      </c>
      <c r="C47">
        <f>IFERROR(INDEX(資格取込!$S$6:$S$405,MATCH(2&amp;"_"&amp;13,資格取込!$Z$6:$Z$405,0)),"")</f>
        <v/>
      </c>
      <c r="D47">
        <f>IFERROR(INDEX(資格取込!$R$6:$R$405,MATCH(2&amp;"_"&amp;13,資格取込!$Z$6:$Z$405,0)),"")</f>
        <v/>
      </c>
      <c r="E47">
        <f>IF(D47="","",IFERROR(INDEX(資格マスタ!$B:$B,MATCH(ASC(SUBSTITUTE(SUBSTITUTE(D47," ",""),"　","")),資格マスタ!$D:$D,0)),D47))</f>
        <v/>
      </c>
      <c r="F47">
        <f>IF(E47="","",IF(C47="",DATE(9999,1,1),C47))</f>
        <v/>
      </c>
      <c r="G47">
        <f>IF(E47="","",COUNTIFS($F$29:$F$54,"&lt;"&amp;F47,$F$29:$F$54,"&lt;&gt;")+COUNTIFS($F$29:$F$54,F47,$B$29:$B$54,"&lt;"&amp;B47)+1)</f>
        <v/>
      </c>
      <c r="H47">
        <f>IF(OR(E47="",C47=""),"",IF(C47&gt;=DATE(2019,5,1),"令和"&amp;(YEAR(C47)-2018),IF(C47&gt;=DATE(1989,1,8),"平成"&amp;(YEAR(C47)-1988),"昭和"&amp;(YEAR(C47)-1925)))&amp;"年"&amp;MONTH(C47)&amp;"月")</f>
        <v/>
      </c>
    </row>
    <row r="48">
      <c r="A48" t="n">
        <v>2</v>
      </c>
      <c r="B48" t="n">
        <v>20</v>
      </c>
      <c r="C48">
        <f>IFERROR(INDEX(資格取込!$S$6:$S$405,MATCH(2&amp;"_"&amp;14,資格取込!$Z$6:$Z$405,0)),"")</f>
        <v/>
      </c>
      <c r="D48">
        <f>IFERROR(INDEX(資格取込!$R$6:$R$405,MATCH(2&amp;"_"&amp;14,資格取込!$Z$6:$Z$405,0)),"")</f>
        <v/>
      </c>
      <c r="E48">
        <f>IF(D48="","",IFERROR(INDEX(資格マスタ!$B:$B,MATCH(ASC(SUBSTITUTE(SUBSTITUTE(D48," ",""),"　","")),資格マスタ!$D:$D,0)),D48))</f>
        <v/>
      </c>
      <c r="F48">
        <f>IF(E48="","",IF(C48="",DATE(9999,1,1),C48))</f>
        <v/>
      </c>
      <c r="G48">
        <f>IF(E48="","",COUNTIFS($F$29:$F$54,"&lt;"&amp;F48,$F$29:$F$54,"&lt;&gt;")+COUNTIFS($F$29:$F$54,F48,$B$29:$B$54,"&lt;"&amp;B48)+1)</f>
        <v/>
      </c>
      <c r="H48">
        <f>IF(OR(E48="",C48=""),"",IF(C48&gt;=DATE(2019,5,1),"令和"&amp;(YEAR(C48)-2018),IF(C48&gt;=DATE(1989,1,8),"平成"&amp;(YEAR(C48)-1988),"昭和"&amp;(YEAR(C48)-1925)))&amp;"年"&amp;MONTH(C48)&amp;"月")</f>
        <v/>
      </c>
    </row>
    <row r="49">
      <c r="A49" t="n">
        <v>2</v>
      </c>
      <c r="B49" t="n">
        <v>21</v>
      </c>
      <c r="C49">
        <f>IFERROR(INDEX(資格取込!$S$6:$S$405,MATCH(2&amp;"_"&amp;15,資格取込!$Z$6:$Z$405,0)),"")</f>
        <v/>
      </c>
      <c r="D49">
        <f>IFERROR(INDEX(資格取込!$R$6:$R$405,MATCH(2&amp;"_"&amp;15,資格取込!$Z$6:$Z$405,0)),"")</f>
        <v/>
      </c>
      <c r="E49">
        <f>IF(D49="","",IFERROR(INDEX(資格マスタ!$B:$B,MATCH(ASC(SUBSTITUTE(SUBSTITUTE(D49," ",""),"　","")),資格マスタ!$D:$D,0)),D49))</f>
        <v/>
      </c>
      <c r="F49">
        <f>IF(E49="","",IF(C49="",DATE(9999,1,1),C49))</f>
        <v/>
      </c>
      <c r="G49">
        <f>IF(E49="","",COUNTIFS($F$29:$F$54,"&lt;"&amp;F49,$F$29:$F$54,"&lt;&gt;")+COUNTIFS($F$29:$F$54,F49,$B$29:$B$54,"&lt;"&amp;B49)+1)</f>
        <v/>
      </c>
      <c r="H49">
        <f>IF(OR(E49="",C49=""),"",IF(C49&gt;=DATE(2019,5,1),"令和"&amp;(YEAR(C49)-2018),IF(C49&gt;=DATE(1989,1,8),"平成"&amp;(YEAR(C49)-1988),"昭和"&amp;(YEAR(C49)-1925)))&amp;"年"&amp;MONTH(C49)&amp;"月")</f>
        <v/>
      </c>
    </row>
    <row r="50">
      <c r="A50" t="n">
        <v>2</v>
      </c>
      <c r="B50" t="n">
        <v>22</v>
      </c>
      <c r="C50">
        <f>IFERROR(INDEX(資格取込!$S$6:$S$405,MATCH(2&amp;"_"&amp;16,資格取込!$Z$6:$Z$405,0)),"")</f>
        <v/>
      </c>
      <c r="D50">
        <f>IFERROR(INDEX(資格取込!$R$6:$R$405,MATCH(2&amp;"_"&amp;16,資格取込!$Z$6:$Z$405,0)),"")</f>
        <v/>
      </c>
      <c r="E50">
        <f>IF(D50="","",IFERROR(INDEX(資格マスタ!$B:$B,MATCH(ASC(SUBSTITUTE(SUBSTITUTE(D50," ",""),"　","")),資格マスタ!$D:$D,0)),D50))</f>
        <v/>
      </c>
      <c r="F50">
        <f>IF(E50="","",IF(C50="",DATE(9999,1,1),C50))</f>
        <v/>
      </c>
      <c r="G50">
        <f>IF(E50="","",COUNTIFS($F$29:$F$54,"&lt;"&amp;F50,$F$29:$F$54,"&lt;&gt;")+COUNTIFS($F$29:$F$54,F50,$B$29:$B$54,"&lt;"&amp;B50)+1)</f>
        <v/>
      </c>
      <c r="H50">
        <f>IF(OR(E50="",C50=""),"",IF(C50&gt;=DATE(2019,5,1),"令和"&amp;(YEAR(C50)-2018),IF(C50&gt;=DATE(1989,1,8),"平成"&amp;(YEAR(C50)-1988),"昭和"&amp;(YEAR(C50)-1925)))&amp;"年"&amp;MONTH(C50)&amp;"月")</f>
        <v/>
      </c>
    </row>
    <row r="51">
      <c r="A51" t="n">
        <v>2</v>
      </c>
      <c r="B51" t="n">
        <v>23</v>
      </c>
      <c r="C51">
        <f>IFERROR(INDEX(資格取込!$S$6:$S$405,MATCH(2&amp;"_"&amp;17,資格取込!$Z$6:$Z$405,0)),"")</f>
        <v/>
      </c>
      <c r="D51">
        <f>IFERROR(INDEX(資格取込!$R$6:$R$405,MATCH(2&amp;"_"&amp;17,資格取込!$Z$6:$Z$405,0)),"")</f>
        <v/>
      </c>
      <c r="E51">
        <f>IF(D51="","",IFERROR(INDEX(資格マスタ!$B:$B,MATCH(ASC(SUBSTITUTE(SUBSTITUTE(D51," ",""),"　","")),資格マスタ!$D:$D,0)),D51))</f>
        <v/>
      </c>
      <c r="F51">
        <f>IF(E51="","",IF(C51="",DATE(9999,1,1),C51))</f>
        <v/>
      </c>
      <c r="G51">
        <f>IF(E51="","",COUNTIFS($F$29:$F$54,"&lt;"&amp;F51,$F$29:$F$54,"&lt;&gt;")+COUNTIFS($F$29:$F$54,F51,$B$29:$B$54,"&lt;"&amp;B51)+1)</f>
        <v/>
      </c>
      <c r="H51">
        <f>IF(OR(E51="",C51=""),"",IF(C51&gt;=DATE(2019,5,1),"令和"&amp;(YEAR(C51)-2018),IF(C51&gt;=DATE(1989,1,8),"平成"&amp;(YEAR(C51)-1988),"昭和"&amp;(YEAR(C51)-1925)))&amp;"年"&amp;MONTH(C51)&amp;"月")</f>
        <v/>
      </c>
    </row>
    <row r="52">
      <c r="A52" t="n">
        <v>2</v>
      </c>
      <c r="B52" t="n">
        <v>24</v>
      </c>
      <c r="C52">
        <f>IFERROR(INDEX(資格取込!$S$6:$S$405,MATCH(2&amp;"_"&amp;18,資格取込!$Z$6:$Z$405,0)),"")</f>
        <v/>
      </c>
      <c r="D52">
        <f>IFERROR(INDEX(資格取込!$R$6:$R$405,MATCH(2&amp;"_"&amp;18,資格取込!$Z$6:$Z$405,0)),"")</f>
        <v/>
      </c>
      <c r="E52">
        <f>IF(D52="","",IFERROR(INDEX(資格マスタ!$B:$B,MATCH(ASC(SUBSTITUTE(SUBSTITUTE(D52," ",""),"　","")),資格マスタ!$D:$D,0)),D52))</f>
        <v/>
      </c>
      <c r="F52">
        <f>IF(E52="","",IF(C52="",DATE(9999,1,1),C52))</f>
        <v/>
      </c>
      <c r="G52">
        <f>IF(E52="","",COUNTIFS($F$29:$F$54,"&lt;"&amp;F52,$F$29:$F$54,"&lt;&gt;")+COUNTIFS($F$29:$F$54,F52,$B$29:$B$54,"&lt;"&amp;B52)+1)</f>
        <v/>
      </c>
      <c r="H52">
        <f>IF(OR(E52="",C52=""),"",IF(C52&gt;=DATE(2019,5,1),"令和"&amp;(YEAR(C52)-2018),IF(C52&gt;=DATE(1989,1,8),"平成"&amp;(YEAR(C52)-1988),"昭和"&amp;(YEAR(C52)-1925)))&amp;"年"&amp;MONTH(C52)&amp;"月")</f>
        <v/>
      </c>
    </row>
    <row r="53">
      <c r="A53" t="n">
        <v>2</v>
      </c>
      <c r="B53" t="n">
        <v>25</v>
      </c>
      <c r="C53">
        <f>IFERROR(INDEX(資格取込!$S$6:$S$405,MATCH(2&amp;"_"&amp;19,資格取込!$Z$6:$Z$405,0)),"")</f>
        <v/>
      </c>
      <c r="D53">
        <f>IFERROR(INDEX(資格取込!$R$6:$R$405,MATCH(2&amp;"_"&amp;19,資格取込!$Z$6:$Z$405,0)),"")</f>
        <v/>
      </c>
      <c r="E53">
        <f>IF(D53="","",IFERROR(INDEX(資格マスタ!$B:$B,MATCH(ASC(SUBSTITUTE(SUBSTITUTE(D53," ",""),"　","")),資格マスタ!$D:$D,0)),D53))</f>
        <v/>
      </c>
      <c r="F53">
        <f>IF(E53="","",IF(C53="",DATE(9999,1,1),C53))</f>
        <v/>
      </c>
      <c r="G53">
        <f>IF(E53="","",COUNTIFS($F$29:$F$54,"&lt;"&amp;F53,$F$29:$F$54,"&lt;&gt;")+COUNTIFS($F$29:$F$54,F53,$B$29:$B$54,"&lt;"&amp;B53)+1)</f>
        <v/>
      </c>
      <c r="H53">
        <f>IF(OR(E53="",C53=""),"",IF(C53&gt;=DATE(2019,5,1),"令和"&amp;(YEAR(C53)-2018),IF(C53&gt;=DATE(1989,1,8),"平成"&amp;(YEAR(C53)-1988),"昭和"&amp;(YEAR(C53)-1925)))&amp;"年"&amp;MONTH(C53)&amp;"月")</f>
        <v/>
      </c>
    </row>
    <row r="54">
      <c r="A54" t="n">
        <v>2</v>
      </c>
      <c r="B54" t="n">
        <v>26</v>
      </c>
      <c r="C54">
        <f>IFERROR(INDEX(資格取込!$S$6:$S$405,MATCH(2&amp;"_"&amp;20,資格取込!$Z$6:$Z$405,0)),"")</f>
        <v/>
      </c>
      <c r="D54">
        <f>IFERROR(INDEX(資格取込!$R$6:$R$405,MATCH(2&amp;"_"&amp;20,資格取込!$Z$6:$Z$405,0)),"")</f>
        <v/>
      </c>
      <c r="E54">
        <f>IF(D54="","",IFERROR(INDEX(資格マスタ!$B:$B,MATCH(ASC(SUBSTITUTE(SUBSTITUTE(D54," ",""),"　","")),資格マスタ!$D:$D,0)),D54))</f>
        <v/>
      </c>
      <c r="F54">
        <f>IF(E54="","",IF(C54="",DATE(9999,1,1),C54))</f>
        <v/>
      </c>
      <c r="G54">
        <f>IF(E54="","",COUNTIFS($F$29:$F$54,"&lt;"&amp;F54,$F$29:$F$54,"&lt;&gt;")+COUNTIFS($F$29:$F$54,F54,$B$29:$B$54,"&lt;"&amp;B54)+1)</f>
        <v/>
      </c>
      <c r="H54">
        <f>IF(OR(E54="",C54=""),"",IF(C54&gt;=DATE(2019,5,1),"令和"&amp;(YEAR(C54)-2018),IF(C54&gt;=DATE(1989,1,8),"平成"&amp;(YEAR(C54)-1988),"昭和"&amp;(YEAR(C54)-1925)))&amp;"年"&amp;MONTH(C54)&amp;"月")</f>
        <v/>
      </c>
    </row>
    <row r="55">
      <c r="A55" t="n">
        <v>3</v>
      </c>
      <c r="B55" t="n">
        <v>1</v>
      </c>
      <c r="C55"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55">
        <f>IF(入力!N7="","",入力!N7)</f>
        <v/>
      </c>
      <c r="E55">
        <f>IF(D55="","",IFERROR(INDEX(資格マスタ!$B:$B,MATCH(ASC(SUBSTITUTE(SUBSTITUTE(D55," ",""),"　","")),資格マスタ!$D:$D,0)),D55))</f>
        <v/>
      </c>
      <c r="F55">
        <f>IF(E55="","",IF(C55="",DATE(9999,1,1),C55))</f>
        <v/>
      </c>
      <c r="G55">
        <f>IF(E55="","",COUNTIFS($F$55:$F$80,"&lt;"&amp;F55,$F$55:$F$80,"&lt;&gt;")+COUNTIFS($F$55:$F$80,F55,$B$55:$B$80,"&lt;"&amp;B55)+1)</f>
        <v/>
      </c>
      <c r="H55">
        <f>IF(OR(E55="",C55=""),"",IF(C55&gt;=DATE(2019,5,1),"令和"&amp;(YEAR(C55)-2018),IF(C55&gt;=DATE(1989,1,8),"平成"&amp;(YEAR(C55)-1988),"昭和"&amp;(YEAR(C55)-1925)))&amp;"年"&amp;MONTH(C55)&amp;"月")</f>
        <v/>
      </c>
    </row>
    <row r="56">
      <c r="A56" t="n">
        <v>3</v>
      </c>
      <c r="B56" t="n">
        <v>2</v>
      </c>
      <c r="C56">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56">
        <f>IF(入力!P7="","",入力!P7)</f>
        <v/>
      </c>
      <c r="E56">
        <f>IF(D56="","",IFERROR(INDEX(資格マスタ!$B:$B,MATCH(ASC(SUBSTITUTE(SUBSTITUTE(D56," ",""),"　","")),資格マスタ!$D:$D,0)),D56))</f>
        <v/>
      </c>
      <c r="F56">
        <f>IF(E56="","",IF(C56="",DATE(9999,1,1),C56))</f>
        <v/>
      </c>
      <c r="G56">
        <f>IF(E56="","",COUNTIFS($F$55:$F$80,"&lt;"&amp;F56,$F$55:$F$80,"&lt;&gt;")+COUNTIFS($F$55:$F$80,F56,$B$55:$B$80,"&lt;"&amp;B56)+1)</f>
        <v/>
      </c>
      <c r="H56">
        <f>IF(OR(E56="",C56=""),"",IF(C56&gt;=DATE(2019,5,1),"令和"&amp;(YEAR(C56)-2018),IF(C56&gt;=DATE(1989,1,8),"平成"&amp;(YEAR(C56)-1988),"昭和"&amp;(YEAR(C56)-1925)))&amp;"年"&amp;MONTH(C56)&amp;"月")</f>
        <v/>
      </c>
    </row>
    <row r="57">
      <c r="A57" t="n">
        <v>3</v>
      </c>
      <c r="B57" t="n">
        <v>3</v>
      </c>
      <c r="C57">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57">
        <f>IF(入力!R7="","",入力!R7)</f>
        <v/>
      </c>
      <c r="E57">
        <f>IF(D57="","",IFERROR(INDEX(資格マスタ!$B:$B,MATCH(ASC(SUBSTITUTE(SUBSTITUTE(D57," ",""),"　","")),資格マスタ!$D:$D,0)),D57))</f>
        <v/>
      </c>
      <c r="F57">
        <f>IF(E57="","",IF(C57="",DATE(9999,1,1),C57))</f>
        <v/>
      </c>
      <c r="G57">
        <f>IF(E57="","",COUNTIFS($F$55:$F$80,"&lt;"&amp;F57,$F$55:$F$80,"&lt;&gt;")+COUNTIFS($F$55:$F$80,F57,$B$55:$B$80,"&lt;"&amp;B57)+1)</f>
        <v/>
      </c>
      <c r="H57">
        <f>IF(OR(E57="",C57=""),"",IF(C57&gt;=DATE(2019,5,1),"令和"&amp;(YEAR(C57)-2018),IF(C57&gt;=DATE(1989,1,8),"平成"&amp;(YEAR(C57)-1988),"昭和"&amp;(YEAR(C57)-1925)))&amp;"年"&amp;MONTH(C57)&amp;"月")</f>
        <v/>
      </c>
    </row>
    <row r="58">
      <c r="A58" t="n">
        <v>3</v>
      </c>
      <c r="B58" t="n">
        <v>4</v>
      </c>
      <c r="C58">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58">
        <f>IF(入力!T7="","",入力!T7)</f>
        <v/>
      </c>
      <c r="E58">
        <f>IF(D58="","",IFERROR(INDEX(資格マスタ!$B:$B,MATCH(ASC(SUBSTITUTE(SUBSTITUTE(D58," ",""),"　","")),資格マスタ!$D:$D,0)),D58))</f>
        <v/>
      </c>
      <c r="F58">
        <f>IF(E58="","",IF(C58="",DATE(9999,1,1),C58))</f>
        <v/>
      </c>
      <c r="G58">
        <f>IF(E58="","",COUNTIFS($F$55:$F$80,"&lt;"&amp;F58,$F$55:$F$80,"&lt;&gt;")+COUNTIFS($F$55:$F$80,F58,$B$55:$B$80,"&lt;"&amp;B58)+1)</f>
        <v/>
      </c>
      <c r="H58">
        <f>IF(OR(E58="",C58=""),"",IF(C58&gt;=DATE(2019,5,1),"令和"&amp;(YEAR(C58)-2018),IF(C58&gt;=DATE(1989,1,8),"平成"&amp;(YEAR(C58)-1988),"昭和"&amp;(YEAR(C58)-1925)))&amp;"年"&amp;MONTH(C58)&amp;"月")</f>
        <v/>
      </c>
    </row>
    <row r="59">
      <c r="A59" t="n">
        <v>3</v>
      </c>
      <c r="B59" t="n">
        <v>5</v>
      </c>
      <c r="C59">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59">
        <f>IF(入力!V7="","",入力!V7)</f>
        <v/>
      </c>
      <c r="E59">
        <f>IF(D59="","",IFERROR(INDEX(資格マスタ!$B:$B,MATCH(ASC(SUBSTITUTE(SUBSTITUTE(D59," ",""),"　","")),資格マスタ!$D:$D,0)),D59))</f>
        <v/>
      </c>
      <c r="F59">
        <f>IF(E59="","",IF(C59="",DATE(9999,1,1),C59))</f>
        <v/>
      </c>
      <c r="G59">
        <f>IF(E59="","",COUNTIFS($F$55:$F$80,"&lt;"&amp;F59,$F$55:$F$80,"&lt;&gt;")+COUNTIFS($F$55:$F$80,F59,$B$55:$B$80,"&lt;"&amp;B59)+1)</f>
        <v/>
      </c>
      <c r="H59">
        <f>IF(OR(E59="",C59=""),"",IF(C59&gt;=DATE(2019,5,1),"令和"&amp;(YEAR(C59)-2018),IF(C59&gt;=DATE(1989,1,8),"平成"&amp;(YEAR(C59)-1988),"昭和"&amp;(YEAR(C59)-1925)))&amp;"年"&amp;MONTH(C59)&amp;"月")</f>
        <v/>
      </c>
    </row>
    <row r="60">
      <c r="A60" t="n">
        <v>3</v>
      </c>
      <c r="B60" t="n">
        <v>6</v>
      </c>
      <c r="C60">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60">
        <f>IF(入力!X7="","",入力!X7)</f>
        <v/>
      </c>
      <c r="E60">
        <f>IF(D60="","",IFERROR(INDEX(資格マスタ!$B:$B,MATCH(ASC(SUBSTITUTE(SUBSTITUTE(D60," ",""),"　","")),資格マスタ!$D:$D,0)),D60))</f>
        <v/>
      </c>
      <c r="F60">
        <f>IF(E60="","",IF(C60="",DATE(9999,1,1),C60))</f>
        <v/>
      </c>
      <c r="G60">
        <f>IF(E60="","",COUNTIFS($F$55:$F$80,"&lt;"&amp;F60,$F$55:$F$80,"&lt;&gt;")+COUNTIFS($F$55:$F$80,F60,$B$55:$B$80,"&lt;"&amp;B60)+1)</f>
        <v/>
      </c>
      <c r="H60">
        <f>IF(OR(E60="",C60=""),"",IF(C60&gt;=DATE(2019,5,1),"令和"&amp;(YEAR(C60)-2018),IF(C60&gt;=DATE(1989,1,8),"平成"&amp;(YEAR(C60)-1988),"昭和"&amp;(YEAR(C60)-1925)))&amp;"年"&amp;MONTH(C60)&amp;"月")</f>
        <v/>
      </c>
    </row>
    <row r="61">
      <c r="A61" t="n">
        <v>3</v>
      </c>
      <c r="B61" t="n">
        <v>7</v>
      </c>
      <c r="C61">
        <f>IFERROR(INDEX(資格取込!$S$6:$S$405,MATCH(3&amp;"_"&amp;1,資格取込!$Z$6:$Z$405,0)),"")</f>
        <v/>
      </c>
      <c r="D61">
        <f>IFERROR(INDEX(資格取込!$R$6:$R$405,MATCH(3&amp;"_"&amp;1,資格取込!$Z$6:$Z$405,0)),"")</f>
        <v/>
      </c>
      <c r="E61">
        <f>IF(D61="","",IFERROR(INDEX(資格マスタ!$B:$B,MATCH(ASC(SUBSTITUTE(SUBSTITUTE(D61," ",""),"　","")),資格マスタ!$D:$D,0)),D61))</f>
        <v/>
      </c>
      <c r="F61">
        <f>IF(E61="","",IF(C61="",DATE(9999,1,1),C61))</f>
        <v/>
      </c>
      <c r="G61">
        <f>IF(E61="","",COUNTIFS($F$55:$F$80,"&lt;"&amp;F61,$F$55:$F$80,"&lt;&gt;")+COUNTIFS($F$55:$F$80,F61,$B$55:$B$80,"&lt;"&amp;B61)+1)</f>
        <v/>
      </c>
      <c r="H61">
        <f>IF(OR(E61="",C61=""),"",IF(C61&gt;=DATE(2019,5,1),"令和"&amp;(YEAR(C61)-2018),IF(C61&gt;=DATE(1989,1,8),"平成"&amp;(YEAR(C61)-1988),"昭和"&amp;(YEAR(C61)-1925)))&amp;"年"&amp;MONTH(C61)&amp;"月")</f>
        <v/>
      </c>
    </row>
    <row r="62">
      <c r="A62" t="n">
        <v>3</v>
      </c>
      <c r="B62" t="n">
        <v>8</v>
      </c>
      <c r="C62">
        <f>IFERROR(INDEX(資格取込!$S$6:$S$405,MATCH(3&amp;"_"&amp;2,資格取込!$Z$6:$Z$405,0)),"")</f>
        <v/>
      </c>
      <c r="D62">
        <f>IFERROR(INDEX(資格取込!$R$6:$R$405,MATCH(3&amp;"_"&amp;2,資格取込!$Z$6:$Z$405,0)),"")</f>
        <v/>
      </c>
      <c r="E62">
        <f>IF(D62="","",IFERROR(INDEX(資格マスタ!$B:$B,MATCH(ASC(SUBSTITUTE(SUBSTITUTE(D62," ",""),"　","")),資格マスタ!$D:$D,0)),D62))</f>
        <v/>
      </c>
      <c r="F62">
        <f>IF(E62="","",IF(C62="",DATE(9999,1,1),C62))</f>
        <v/>
      </c>
      <c r="G62">
        <f>IF(E62="","",COUNTIFS($F$55:$F$80,"&lt;"&amp;F62,$F$55:$F$80,"&lt;&gt;")+COUNTIFS($F$55:$F$80,F62,$B$55:$B$80,"&lt;"&amp;B62)+1)</f>
        <v/>
      </c>
      <c r="H62">
        <f>IF(OR(E62="",C62=""),"",IF(C62&gt;=DATE(2019,5,1),"令和"&amp;(YEAR(C62)-2018),IF(C62&gt;=DATE(1989,1,8),"平成"&amp;(YEAR(C62)-1988),"昭和"&amp;(YEAR(C62)-1925)))&amp;"年"&amp;MONTH(C62)&amp;"月")</f>
        <v/>
      </c>
    </row>
    <row r="63">
      <c r="A63" t="n">
        <v>3</v>
      </c>
      <c r="B63" t="n">
        <v>9</v>
      </c>
      <c r="C63">
        <f>IFERROR(INDEX(資格取込!$S$6:$S$405,MATCH(3&amp;"_"&amp;3,資格取込!$Z$6:$Z$405,0)),"")</f>
        <v/>
      </c>
      <c r="D63">
        <f>IFERROR(INDEX(資格取込!$R$6:$R$405,MATCH(3&amp;"_"&amp;3,資格取込!$Z$6:$Z$405,0)),"")</f>
        <v/>
      </c>
      <c r="E63">
        <f>IF(D63="","",IFERROR(INDEX(資格マスタ!$B:$B,MATCH(ASC(SUBSTITUTE(SUBSTITUTE(D63," ",""),"　","")),資格マスタ!$D:$D,0)),D63))</f>
        <v/>
      </c>
      <c r="F63">
        <f>IF(E63="","",IF(C63="",DATE(9999,1,1),C63))</f>
        <v/>
      </c>
      <c r="G63">
        <f>IF(E63="","",COUNTIFS($F$55:$F$80,"&lt;"&amp;F63,$F$55:$F$80,"&lt;&gt;")+COUNTIFS($F$55:$F$80,F63,$B$55:$B$80,"&lt;"&amp;B63)+1)</f>
        <v/>
      </c>
      <c r="H63">
        <f>IF(OR(E63="",C63=""),"",IF(C63&gt;=DATE(2019,5,1),"令和"&amp;(YEAR(C63)-2018),IF(C63&gt;=DATE(1989,1,8),"平成"&amp;(YEAR(C63)-1988),"昭和"&amp;(YEAR(C63)-1925)))&amp;"年"&amp;MONTH(C63)&amp;"月")</f>
        <v/>
      </c>
    </row>
    <row r="64">
      <c r="A64" t="n">
        <v>3</v>
      </c>
      <c r="B64" t="n">
        <v>10</v>
      </c>
      <c r="C64">
        <f>IFERROR(INDEX(資格取込!$S$6:$S$405,MATCH(3&amp;"_"&amp;4,資格取込!$Z$6:$Z$405,0)),"")</f>
        <v/>
      </c>
      <c r="D64">
        <f>IFERROR(INDEX(資格取込!$R$6:$R$405,MATCH(3&amp;"_"&amp;4,資格取込!$Z$6:$Z$405,0)),"")</f>
        <v/>
      </c>
      <c r="E64">
        <f>IF(D64="","",IFERROR(INDEX(資格マスタ!$B:$B,MATCH(ASC(SUBSTITUTE(SUBSTITUTE(D64," ",""),"　","")),資格マスタ!$D:$D,0)),D64))</f>
        <v/>
      </c>
      <c r="F64">
        <f>IF(E64="","",IF(C64="",DATE(9999,1,1),C64))</f>
        <v/>
      </c>
      <c r="G64">
        <f>IF(E64="","",COUNTIFS($F$55:$F$80,"&lt;"&amp;F64,$F$55:$F$80,"&lt;&gt;")+COUNTIFS($F$55:$F$80,F64,$B$55:$B$80,"&lt;"&amp;B64)+1)</f>
        <v/>
      </c>
      <c r="H64">
        <f>IF(OR(E64="",C64=""),"",IF(C64&gt;=DATE(2019,5,1),"令和"&amp;(YEAR(C64)-2018),IF(C64&gt;=DATE(1989,1,8),"平成"&amp;(YEAR(C64)-1988),"昭和"&amp;(YEAR(C64)-1925)))&amp;"年"&amp;MONTH(C64)&amp;"月")</f>
        <v/>
      </c>
    </row>
    <row r="65">
      <c r="A65" t="n">
        <v>3</v>
      </c>
      <c r="B65" t="n">
        <v>11</v>
      </c>
      <c r="C65">
        <f>IFERROR(INDEX(資格取込!$S$6:$S$405,MATCH(3&amp;"_"&amp;5,資格取込!$Z$6:$Z$405,0)),"")</f>
        <v/>
      </c>
      <c r="D65">
        <f>IFERROR(INDEX(資格取込!$R$6:$R$405,MATCH(3&amp;"_"&amp;5,資格取込!$Z$6:$Z$405,0)),"")</f>
        <v/>
      </c>
      <c r="E65">
        <f>IF(D65="","",IFERROR(INDEX(資格マスタ!$B:$B,MATCH(ASC(SUBSTITUTE(SUBSTITUTE(D65," ",""),"　","")),資格マスタ!$D:$D,0)),D65))</f>
        <v/>
      </c>
      <c r="F65">
        <f>IF(E65="","",IF(C65="",DATE(9999,1,1),C65))</f>
        <v/>
      </c>
      <c r="G65">
        <f>IF(E65="","",COUNTIFS($F$55:$F$80,"&lt;"&amp;F65,$F$55:$F$80,"&lt;&gt;")+COUNTIFS($F$55:$F$80,F65,$B$55:$B$80,"&lt;"&amp;B65)+1)</f>
        <v/>
      </c>
      <c r="H65">
        <f>IF(OR(E65="",C65=""),"",IF(C65&gt;=DATE(2019,5,1),"令和"&amp;(YEAR(C65)-2018),IF(C65&gt;=DATE(1989,1,8),"平成"&amp;(YEAR(C65)-1988),"昭和"&amp;(YEAR(C65)-1925)))&amp;"年"&amp;MONTH(C65)&amp;"月")</f>
        <v/>
      </c>
    </row>
    <row r="66">
      <c r="A66" t="n">
        <v>3</v>
      </c>
      <c r="B66" t="n">
        <v>12</v>
      </c>
      <c r="C66">
        <f>IFERROR(INDEX(資格取込!$S$6:$S$405,MATCH(3&amp;"_"&amp;6,資格取込!$Z$6:$Z$405,0)),"")</f>
        <v/>
      </c>
      <c r="D66">
        <f>IFERROR(INDEX(資格取込!$R$6:$R$405,MATCH(3&amp;"_"&amp;6,資格取込!$Z$6:$Z$405,0)),"")</f>
        <v/>
      </c>
      <c r="E66">
        <f>IF(D66="","",IFERROR(INDEX(資格マスタ!$B:$B,MATCH(ASC(SUBSTITUTE(SUBSTITUTE(D66," ",""),"　","")),資格マスタ!$D:$D,0)),D66))</f>
        <v/>
      </c>
      <c r="F66">
        <f>IF(E66="","",IF(C66="",DATE(9999,1,1),C66))</f>
        <v/>
      </c>
      <c r="G66">
        <f>IF(E66="","",COUNTIFS($F$55:$F$80,"&lt;"&amp;F66,$F$55:$F$80,"&lt;&gt;")+COUNTIFS($F$55:$F$80,F66,$B$55:$B$80,"&lt;"&amp;B66)+1)</f>
        <v/>
      </c>
      <c r="H66">
        <f>IF(OR(E66="",C66=""),"",IF(C66&gt;=DATE(2019,5,1),"令和"&amp;(YEAR(C66)-2018),IF(C66&gt;=DATE(1989,1,8),"平成"&amp;(YEAR(C66)-1988),"昭和"&amp;(YEAR(C66)-1925)))&amp;"年"&amp;MONTH(C66)&amp;"月")</f>
        <v/>
      </c>
    </row>
    <row r="67">
      <c r="A67" t="n">
        <v>3</v>
      </c>
      <c r="B67" t="n">
        <v>13</v>
      </c>
      <c r="C67">
        <f>IFERROR(INDEX(資格取込!$S$6:$S$405,MATCH(3&amp;"_"&amp;7,資格取込!$Z$6:$Z$405,0)),"")</f>
        <v/>
      </c>
      <c r="D67">
        <f>IFERROR(INDEX(資格取込!$R$6:$R$405,MATCH(3&amp;"_"&amp;7,資格取込!$Z$6:$Z$405,0)),"")</f>
        <v/>
      </c>
      <c r="E67">
        <f>IF(D67="","",IFERROR(INDEX(資格マスタ!$B:$B,MATCH(ASC(SUBSTITUTE(SUBSTITUTE(D67," ",""),"　","")),資格マスタ!$D:$D,0)),D67))</f>
        <v/>
      </c>
      <c r="F67">
        <f>IF(E67="","",IF(C67="",DATE(9999,1,1),C67))</f>
        <v/>
      </c>
      <c r="G67">
        <f>IF(E67="","",COUNTIFS($F$55:$F$80,"&lt;"&amp;F67,$F$55:$F$80,"&lt;&gt;")+COUNTIFS($F$55:$F$80,F67,$B$55:$B$80,"&lt;"&amp;B67)+1)</f>
        <v/>
      </c>
      <c r="H67">
        <f>IF(OR(E67="",C67=""),"",IF(C67&gt;=DATE(2019,5,1),"令和"&amp;(YEAR(C67)-2018),IF(C67&gt;=DATE(1989,1,8),"平成"&amp;(YEAR(C67)-1988),"昭和"&amp;(YEAR(C67)-1925)))&amp;"年"&amp;MONTH(C67)&amp;"月")</f>
        <v/>
      </c>
    </row>
    <row r="68">
      <c r="A68" t="n">
        <v>3</v>
      </c>
      <c r="B68" t="n">
        <v>14</v>
      </c>
      <c r="C68">
        <f>IFERROR(INDEX(資格取込!$S$6:$S$405,MATCH(3&amp;"_"&amp;8,資格取込!$Z$6:$Z$405,0)),"")</f>
        <v/>
      </c>
      <c r="D68">
        <f>IFERROR(INDEX(資格取込!$R$6:$R$405,MATCH(3&amp;"_"&amp;8,資格取込!$Z$6:$Z$405,0)),"")</f>
        <v/>
      </c>
      <c r="E68">
        <f>IF(D68="","",IFERROR(INDEX(資格マスタ!$B:$B,MATCH(ASC(SUBSTITUTE(SUBSTITUTE(D68," ",""),"　","")),資格マスタ!$D:$D,0)),D68))</f>
        <v/>
      </c>
      <c r="F68">
        <f>IF(E68="","",IF(C68="",DATE(9999,1,1),C68))</f>
        <v/>
      </c>
      <c r="G68">
        <f>IF(E68="","",COUNTIFS($F$55:$F$80,"&lt;"&amp;F68,$F$55:$F$80,"&lt;&gt;")+COUNTIFS($F$55:$F$80,F68,$B$55:$B$80,"&lt;"&amp;B68)+1)</f>
        <v/>
      </c>
      <c r="H68">
        <f>IF(OR(E68="",C68=""),"",IF(C68&gt;=DATE(2019,5,1),"令和"&amp;(YEAR(C68)-2018),IF(C68&gt;=DATE(1989,1,8),"平成"&amp;(YEAR(C68)-1988),"昭和"&amp;(YEAR(C68)-1925)))&amp;"年"&amp;MONTH(C68)&amp;"月")</f>
        <v/>
      </c>
    </row>
    <row r="69">
      <c r="A69" t="n">
        <v>3</v>
      </c>
      <c r="B69" t="n">
        <v>15</v>
      </c>
      <c r="C69">
        <f>IFERROR(INDEX(資格取込!$S$6:$S$405,MATCH(3&amp;"_"&amp;9,資格取込!$Z$6:$Z$405,0)),"")</f>
        <v/>
      </c>
      <c r="D69">
        <f>IFERROR(INDEX(資格取込!$R$6:$R$405,MATCH(3&amp;"_"&amp;9,資格取込!$Z$6:$Z$405,0)),"")</f>
        <v/>
      </c>
      <c r="E69">
        <f>IF(D69="","",IFERROR(INDEX(資格マスタ!$B:$B,MATCH(ASC(SUBSTITUTE(SUBSTITUTE(D69," ",""),"　","")),資格マスタ!$D:$D,0)),D69))</f>
        <v/>
      </c>
      <c r="F69">
        <f>IF(E69="","",IF(C69="",DATE(9999,1,1),C69))</f>
        <v/>
      </c>
      <c r="G69">
        <f>IF(E69="","",COUNTIFS($F$55:$F$80,"&lt;"&amp;F69,$F$55:$F$80,"&lt;&gt;")+COUNTIFS($F$55:$F$80,F69,$B$55:$B$80,"&lt;"&amp;B69)+1)</f>
        <v/>
      </c>
      <c r="H69">
        <f>IF(OR(E69="",C69=""),"",IF(C69&gt;=DATE(2019,5,1),"令和"&amp;(YEAR(C69)-2018),IF(C69&gt;=DATE(1989,1,8),"平成"&amp;(YEAR(C69)-1988),"昭和"&amp;(YEAR(C69)-1925)))&amp;"年"&amp;MONTH(C69)&amp;"月")</f>
        <v/>
      </c>
    </row>
    <row r="70">
      <c r="A70" t="n">
        <v>3</v>
      </c>
      <c r="B70" t="n">
        <v>16</v>
      </c>
      <c r="C70">
        <f>IFERROR(INDEX(資格取込!$S$6:$S$405,MATCH(3&amp;"_"&amp;10,資格取込!$Z$6:$Z$405,0)),"")</f>
        <v/>
      </c>
      <c r="D70">
        <f>IFERROR(INDEX(資格取込!$R$6:$R$405,MATCH(3&amp;"_"&amp;10,資格取込!$Z$6:$Z$405,0)),"")</f>
        <v/>
      </c>
      <c r="E70">
        <f>IF(D70="","",IFERROR(INDEX(資格マスタ!$B:$B,MATCH(ASC(SUBSTITUTE(SUBSTITUTE(D70," ",""),"　","")),資格マスタ!$D:$D,0)),D70))</f>
        <v/>
      </c>
      <c r="F70">
        <f>IF(E70="","",IF(C70="",DATE(9999,1,1),C70))</f>
        <v/>
      </c>
      <c r="G70">
        <f>IF(E70="","",COUNTIFS($F$55:$F$80,"&lt;"&amp;F70,$F$55:$F$80,"&lt;&gt;")+COUNTIFS($F$55:$F$80,F70,$B$55:$B$80,"&lt;"&amp;B70)+1)</f>
        <v/>
      </c>
      <c r="H70">
        <f>IF(OR(E70="",C70=""),"",IF(C70&gt;=DATE(2019,5,1),"令和"&amp;(YEAR(C70)-2018),IF(C70&gt;=DATE(1989,1,8),"平成"&amp;(YEAR(C70)-1988),"昭和"&amp;(YEAR(C70)-1925)))&amp;"年"&amp;MONTH(C70)&amp;"月")</f>
        <v/>
      </c>
    </row>
    <row r="71">
      <c r="A71" t="n">
        <v>3</v>
      </c>
      <c r="B71" t="n">
        <v>17</v>
      </c>
      <c r="C71">
        <f>IFERROR(INDEX(資格取込!$S$6:$S$405,MATCH(3&amp;"_"&amp;11,資格取込!$Z$6:$Z$405,0)),"")</f>
        <v/>
      </c>
      <c r="D71">
        <f>IFERROR(INDEX(資格取込!$R$6:$R$405,MATCH(3&amp;"_"&amp;11,資格取込!$Z$6:$Z$405,0)),"")</f>
        <v/>
      </c>
      <c r="E71">
        <f>IF(D71="","",IFERROR(INDEX(資格マスタ!$B:$B,MATCH(ASC(SUBSTITUTE(SUBSTITUTE(D71," ",""),"　","")),資格マスタ!$D:$D,0)),D71))</f>
        <v/>
      </c>
      <c r="F71">
        <f>IF(E71="","",IF(C71="",DATE(9999,1,1),C71))</f>
        <v/>
      </c>
      <c r="G71">
        <f>IF(E71="","",COUNTIFS($F$55:$F$80,"&lt;"&amp;F71,$F$55:$F$80,"&lt;&gt;")+COUNTIFS($F$55:$F$80,F71,$B$55:$B$80,"&lt;"&amp;B71)+1)</f>
        <v/>
      </c>
      <c r="H71">
        <f>IF(OR(E71="",C71=""),"",IF(C71&gt;=DATE(2019,5,1),"令和"&amp;(YEAR(C71)-2018),IF(C71&gt;=DATE(1989,1,8),"平成"&amp;(YEAR(C71)-1988),"昭和"&amp;(YEAR(C71)-1925)))&amp;"年"&amp;MONTH(C71)&amp;"月")</f>
        <v/>
      </c>
    </row>
    <row r="72">
      <c r="A72" t="n">
        <v>3</v>
      </c>
      <c r="B72" t="n">
        <v>18</v>
      </c>
      <c r="C72">
        <f>IFERROR(INDEX(資格取込!$S$6:$S$405,MATCH(3&amp;"_"&amp;12,資格取込!$Z$6:$Z$405,0)),"")</f>
        <v/>
      </c>
      <c r="D72">
        <f>IFERROR(INDEX(資格取込!$R$6:$R$405,MATCH(3&amp;"_"&amp;12,資格取込!$Z$6:$Z$405,0)),"")</f>
        <v/>
      </c>
      <c r="E72">
        <f>IF(D72="","",IFERROR(INDEX(資格マスタ!$B:$B,MATCH(ASC(SUBSTITUTE(SUBSTITUTE(D72," ",""),"　","")),資格マスタ!$D:$D,0)),D72))</f>
        <v/>
      </c>
      <c r="F72">
        <f>IF(E72="","",IF(C72="",DATE(9999,1,1),C72))</f>
        <v/>
      </c>
      <c r="G72">
        <f>IF(E72="","",COUNTIFS($F$55:$F$80,"&lt;"&amp;F72,$F$55:$F$80,"&lt;&gt;")+COUNTIFS($F$55:$F$80,F72,$B$55:$B$80,"&lt;"&amp;B72)+1)</f>
        <v/>
      </c>
      <c r="H72">
        <f>IF(OR(E72="",C72=""),"",IF(C72&gt;=DATE(2019,5,1),"令和"&amp;(YEAR(C72)-2018),IF(C72&gt;=DATE(1989,1,8),"平成"&amp;(YEAR(C72)-1988),"昭和"&amp;(YEAR(C72)-1925)))&amp;"年"&amp;MONTH(C72)&amp;"月")</f>
        <v/>
      </c>
    </row>
    <row r="73">
      <c r="A73" t="n">
        <v>3</v>
      </c>
      <c r="B73" t="n">
        <v>19</v>
      </c>
      <c r="C73">
        <f>IFERROR(INDEX(資格取込!$S$6:$S$405,MATCH(3&amp;"_"&amp;13,資格取込!$Z$6:$Z$405,0)),"")</f>
        <v/>
      </c>
      <c r="D73">
        <f>IFERROR(INDEX(資格取込!$R$6:$R$405,MATCH(3&amp;"_"&amp;13,資格取込!$Z$6:$Z$405,0)),"")</f>
        <v/>
      </c>
      <c r="E73">
        <f>IF(D73="","",IFERROR(INDEX(資格マスタ!$B:$B,MATCH(ASC(SUBSTITUTE(SUBSTITUTE(D73," ",""),"　","")),資格マスタ!$D:$D,0)),D73))</f>
        <v/>
      </c>
      <c r="F73">
        <f>IF(E73="","",IF(C73="",DATE(9999,1,1),C73))</f>
        <v/>
      </c>
      <c r="G73">
        <f>IF(E73="","",COUNTIFS($F$55:$F$80,"&lt;"&amp;F73,$F$55:$F$80,"&lt;&gt;")+COUNTIFS($F$55:$F$80,F73,$B$55:$B$80,"&lt;"&amp;B73)+1)</f>
        <v/>
      </c>
      <c r="H73">
        <f>IF(OR(E73="",C73=""),"",IF(C73&gt;=DATE(2019,5,1),"令和"&amp;(YEAR(C73)-2018),IF(C73&gt;=DATE(1989,1,8),"平成"&amp;(YEAR(C73)-1988),"昭和"&amp;(YEAR(C73)-1925)))&amp;"年"&amp;MONTH(C73)&amp;"月")</f>
        <v/>
      </c>
    </row>
    <row r="74">
      <c r="A74" t="n">
        <v>3</v>
      </c>
      <c r="B74" t="n">
        <v>20</v>
      </c>
      <c r="C74">
        <f>IFERROR(INDEX(資格取込!$S$6:$S$405,MATCH(3&amp;"_"&amp;14,資格取込!$Z$6:$Z$405,0)),"")</f>
        <v/>
      </c>
      <c r="D74">
        <f>IFERROR(INDEX(資格取込!$R$6:$R$405,MATCH(3&amp;"_"&amp;14,資格取込!$Z$6:$Z$405,0)),"")</f>
        <v/>
      </c>
      <c r="E74">
        <f>IF(D74="","",IFERROR(INDEX(資格マスタ!$B:$B,MATCH(ASC(SUBSTITUTE(SUBSTITUTE(D74," ",""),"　","")),資格マスタ!$D:$D,0)),D74))</f>
        <v/>
      </c>
      <c r="F74">
        <f>IF(E74="","",IF(C74="",DATE(9999,1,1),C74))</f>
        <v/>
      </c>
      <c r="G74">
        <f>IF(E74="","",COUNTIFS($F$55:$F$80,"&lt;"&amp;F74,$F$55:$F$80,"&lt;&gt;")+COUNTIFS($F$55:$F$80,F74,$B$55:$B$80,"&lt;"&amp;B74)+1)</f>
        <v/>
      </c>
      <c r="H74">
        <f>IF(OR(E74="",C74=""),"",IF(C74&gt;=DATE(2019,5,1),"令和"&amp;(YEAR(C74)-2018),IF(C74&gt;=DATE(1989,1,8),"平成"&amp;(YEAR(C74)-1988),"昭和"&amp;(YEAR(C74)-1925)))&amp;"年"&amp;MONTH(C74)&amp;"月")</f>
        <v/>
      </c>
    </row>
    <row r="75">
      <c r="A75" t="n">
        <v>3</v>
      </c>
      <c r="B75" t="n">
        <v>21</v>
      </c>
      <c r="C75">
        <f>IFERROR(INDEX(資格取込!$S$6:$S$405,MATCH(3&amp;"_"&amp;15,資格取込!$Z$6:$Z$405,0)),"")</f>
        <v/>
      </c>
      <c r="D75">
        <f>IFERROR(INDEX(資格取込!$R$6:$R$405,MATCH(3&amp;"_"&amp;15,資格取込!$Z$6:$Z$405,0)),"")</f>
        <v/>
      </c>
      <c r="E75">
        <f>IF(D75="","",IFERROR(INDEX(資格マスタ!$B:$B,MATCH(ASC(SUBSTITUTE(SUBSTITUTE(D75," ",""),"　","")),資格マスタ!$D:$D,0)),D75))</f>
        <v/>
      </c>
      <c r="F75">
        <f>IF(E75="","",IF(C75="",DATE(9999,1,1),C75))</f>
        <v/>
      </c>
      <c r="G75">
        <f>IF(E75="","",COUNTIFS($F$55:$F$80,"&lt;"&amp;F75,$F$55:$F$80,"&lt;&gt;")+COUNTIFS($F$55:$F$80,F75,$B$55:$B$80,"&lt;"&amp;B75)+1)</f>
        <v/>
      </c>
      <c r="H75">
        <f>IF(OR(E75="",C75=""),"",IF(C75&gt;=DATE(2019,5,1),"令和"&amp;(YEAR(C75)-2018),IF(C75&gt;=DATE(1989,1,8),"平成"&amp;(YEAR(C75)-1988),"昭和"&amp;(YEAR(C75)-1925)))&amp;"年"&amp;MONTH(C75)&amp;"月")</f>
        <v/>
      </c>
    </row>
    <row r="76">
      <c r="A76" t="n">
        <v>3</v>
      </c>
      <c r="B76" t="n">
        <v>22</v>
      </c>
      <c r="C76">
        <f>IFERROR(INDEX(資格取込!$S$6:$S$405,MATCH(3&amp;"_"&amp;16,資格取込!$Z$6:$Z$405,0)),"")</f>
        <v/>
      </c>
      <c r="D76">
        <f>IFERROR(INDEX(資格取込!$R$6:$R$405,MATCH(3&amp;"_"&amp;16,資格取込!$Z$6:$Z$405,0)),"")</f>
        <v/>
      </c>
      <c r="E76">
        <f>IF(D76="","",IFERROR(INDEX(資格マスタ!$B:$B,MATCH(ASC(SUBSTITUTE(SUBSTITUTE(D76," ",""),"　","")),資格マスタ!$D:$D,0)),D76))</f>
        <v/>
      </c>
      <c r="F76">
        <f>IF(E76="","",IF(C76="",DATE(9999,1,1),C76))</f>
        <v/>
      </c>
      <c r="G76">
        <f>IF(E76="","",COUNTIFS($F$55:$F$80,"&lt;"&amp;F76,$F$55:$F$80,"&lt;&gt;")+COUNTIFS($F$55:$F$80,F76,$B$55:$B$80,"&lt;"&amp;B76)+1)</f>
        <v/>
      </c>
      <c r="H76">
        <f>IF(OR(E76="",C76=""),"",IF(C76&gt;=DATE(2019,5,1),"令和"&amp;(YEAR(C76)-2018),IF(C76&gt;=DATE(1989,1,8),"平成"&amp;(YEAR(C76)-1988),"昭和"&amp;(YEAR(C76)-1925)))&amp;"年"&amp;MONTH(C76)&amp;"月")</f>
        <v/>
      </c>
    </row>
    <row r="77">
      <c r="A77" t="n">
        <v>3</v>
      </c>
      <c r="B77" t="n">
        <v>23</v>
      </c>
      <c r="C77">
        <f>IFERROR(INDEX(資格取込!$S$6:$S$405,MATCH(3&amp;"_"&amp;17,資格取込!$Z$6:$Z$405,0)),"")</f>
        <v/>
      </c>
      <c r="D77">
        <f>IFERROR(INDEX(資格取込!$R$6:$R$405,MATCH(3&amp;"_"&amp;17,資格取込!$Z$6:$Z$405,0)),"")</f>
        <v/>
      </c>
      <c r="E77">
        <f>IF(D77="","",IFERROR(INDEX(資格マスタ!$B:$B,MATCH(ASC(SUBSTITUTE(SUBSTITUTE(D77," ",""),"　","")),資格マスタ!$D:$D,0)),D77))</f>
        <v/>
      </c>
      <c r="F77">
        <f>IF(E77="","",IF(C77="",DATE(9999,1,1),C77))</f>
        <v/>
      </c>
      <c r="G77">
        <f>IF(E77="","",COUNTIFS($F$55:$F$80,"&lt;"&amp;F77,$F$55:$F$80,"&lt;&gt;")+COUNTIFS($F$55:$F$80,F77,$B$55:$B$80,"&lt;"&amp;B77)+1)</f>
        <v/>
      </c>
      <c r="H77">
        <f>IF(OR(E77="",C77=""),"",IF(C77&gt;=DATE(2019,5,1),"令和"&amp;(YEAR(C77)-2018),IF(C77&gt;=DATE(1989,1,8),"平成"&amp;(YEAR(C77)-1988),"昭和"&amp;(YEAR(C77)-1925)))&amp;"年"&amp;MONTH(C77)&amp;"月")</f>
        <v/>
      </c>
    </row>
    <row r="78">
      <c r="A78" t="n">
        <v>3</v>
      </c>
      <c r="B78" t="n">
        <v>24</v>
      </c>
      <c r="C78">
        <f>IFERROR(INDEX(資格取込!$S$6:$S$405,MATCH(3&amp;"_"&amp;18,資格取込!$Z$6:$Z$405,0)),"")</f>
        <v/>
      </c>
      <c r="D78">
        <f>IFERROR(INDEX(資格取込!$R$6:$R$405,MATCH(3&amp;"_"&amp;18,資格取込!$Z$6:$Z$405,0)),"")</f>
        <v/>
      </c>
      <c r="E78">
        <f>IF(D78="","",IFERROR(INDEX(資格マスタ!$B:$B,MATCH(ASC(SUBSTITUTE(SUBSTITUTE(D78," ",""),"　","")),資格マスタ!$D:$D,0)),D78))</f>
        <v/>
      </c>
      <c r="F78">
        <f>IF(E78="","",IF(C78="",DATE(9999,1,1),C78))</f>
        <v/>
      </c>
      <c r="G78">
        <f>IF(E78="","",COUNTIFS($F$55:$F$80,"&lt;"&amp;F78,$F$55:$F$80,"&lt;&gt;")+COUNTIFS($F$55:$F$80,F78,$B$55:$B$80,"&lt;"&amp;B78)+1)</f>
        <v/>
      </c>
      <c r="H78">
        <f>IF(OR(E78="",C78=""),"",IF(C78&gt;=DATE(2019,5,1),"令和"&amp;(YEAR(C78)-2018),IF(C78&gt;=DATE(1989,1,8),"平成"&amp;(YEAR(C78)-1988),"昭和"&amp;(YEAR(C78)-1925)))&amp;"年"&amp;MONTH(C78)&amp;"月")</f>
        <v/>
      </c>
    </row>
    <row r="79">
      <c r="A79" t="n">
        <v>3</v>
      </c>
      <c r="B79" t="n">
        <v>25</v>
      </c>
      <c r="C79">
        <f>IFERROR(INDEX(資格取込!$S$6:$S$405,MATCH(3&amp;"_"&amp;19,資格取込!$Z$6:$Z$405,0)),"")</f>
        <v/>
      </c>
      <c r="D79">
        <f>IFERROR(INDEX(資格取込!$R$6:$R$405,MATCH(3&amp;"_"&amp;19,資格取込!$Z$6:$Z$405,0)),"")</f>
        <v/>
      </c>
      <c r="E79">
        <f>IF(D79="","",IFERROR(INDEX(資格マスタ!$B:$B,MATCH(ASC(SUBSTITUTE(SUBSTITUTE(D79," ",""),"　","")),資格マスタ!$D:$D,0)),D79))</f>
        <v/>
      </c>
      <c r="F79">
        <f>IF(E79="","",IF(C79="",DATE(9999,1,1),C79))</f>
        <v/>
      </c>
      <c r="G79">
        <f>IF(E79="","",COUNTIFS($F$55:$F$80,"&lt;"&amp;F79,$F$55:$F$80,"&lt;&gt;")+COUNTIFS($F$55:$F$80,F79,$B$55:$B$80,"&lt;"&amp;B79)+1)</f>
        <v/>
      </c>
      <c r="H79">
        <f>IF(OR(E79="",C79=""),"",IF(C79&gt;=DATE(2019,5,1),"令和"&amp;(YEAR(C79)-2018),IF(C79&gt;=DATE(1989,1,8),"平成"&amp;(YEAR(C79)-1988),"昭和"&amp;(YEAR(C79)-1925)))&amp;"年"&amp;MONTH(C79)&amp;"月")</f>
        <v/>
      </c>
    </row>
    <row r="80">
      <c r="A80" t="n">
        <v>3</v>
      </c>
      <c r="B80" t="n">
        <v>26</v>
      </c>
      <c r="C80">
        <f>IFERROR(INDEX(資格取込!$S$6:$S$405,MATCH(3&amp;"_"&amp;20,資格取込!$Z$6:$Z$405,0)),"")</f>
        <v/>
      </c>
      <c r="D80">
        <f>IFERROR(INDEX(資格取込!$R$6:$R$405,MATCH(3&amp;"_"&amp;20,資格取込!$Z$6:$Z$405,0)),"")</f>
        <v/>
      </c>
      <c r="E80">
        <f>IF(D80="","",IFERROR(INDEX(資格マスタ!$B:$B,MATCH(ASC(SUBSTITUTE(SUBSTITUTE(D80," ",""),"　","")),資格マスタ!$D:$D,0)),D80))</f>
        <v/>
      </c>
      <c r="F80">
        <f>IF(E80="","",IF(C80="",DATE(9999,1,1),C80))</f>
        <v/>
      </c>
      <c r="G80">
        <f>IF(E80="","",COUNTIFS($F$55:$F$80,"&lt;"&amp;F80,$F$55:$F$80,"&lt;&gt;")+COUNTIFS($F$55:$F$80,F80,$B$55:$B$80,"&lt;"&amp;B80)+1)</f>
        <v/>
      </c>
      <c r="H80">
        <f>IF(OR(E80="",C80=""),"",IF(C80&gt;=DATE(2019,5,1),"令和"&amp;(YEAR(C80)-2018),IF(C80&gt;=DATE(1989,1,8),"平成"&amp;(YEAR(C80)-1988),"昭和"&amp;(YEAR(C80)-1925)))&amp;"年"&amp;MONTH(C80)&amp;"月")</f>
        <v/>
      </c>
    </row>
    <row r="81">
      <c r="A81" t="n">
        <v>4</v>
      </c>
      <c r="B81" t="n">
        <v>1</v>
      </c>
      <c r="C81"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81">
        <f>IF(入力!N8="","",入力!N8)</f>
        <v/>
      </c>
      <c r="E81">
        <f>IF(D81="","",IFERROR(INDEX(資格マスタ!$B:$B,MATCH(ASC(SUBSTITUTE(SUBSTITUTE(D81," ",""),"　","")),資格マスタ!$D:$D,0)),D81))</f>
        <v/>
      </c>
      <c r="F81">
        <f>IF(E81="","",IF(C81="",DATE(9999,1,1),C81))</f>
        <v/>
      </c>
      <c r="G81">
        <f>IF(E81="","",COUNTIFS($F$81:$F$106,"&lt;"&amp;F81,$F$81:$F$106,"&lt;&gt;")+COUNTIFS($F$81:$F$106,F81,$B$81:$B$106,"&lt;"&amp;B81)+1)</f>
        <v/>
      </c>
      <c r="H81">
        <f>IF(OR(E81="",C81=""),"",IF(C81&gt;=DATE(2019,5,1),"令和"&amp;(YEAR(C81)-2018),IF(C81&gt;=DATE(1989,1,8),"平成"&amp;(YEAR(C81)-1988),"昭和"&amp;(YEAR(C81)-1925)))&amp;"年"&amp;MONTH(C81)&amp;"月")</f>
        <v/>
      </c>
    </row>
    <row r="82">
      <c r="A82" t="n">
        <v>4</v>
      </c>
      <c r="B82" t="n">
        <v>2</v>
      </c>
      <c r="C82">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82">
        <f>IF(入力!P8="","",入力!P8)</f>
        <v/>
      </c>
      <c r="E82">
        <f>IF(D82="","",IFERROR(INDEX(資格マスタ!$B:$B,MATCH(ASC(SUBSTITUTE(SUBSTITUTE(D82," ",""),"　","")),資格マスタ!$D:$D,0)),D82))</f>
        <v/>
      </c>
      <c r="F82">
        <f>IF(E82="","",IF(C82="",DATE(9999,1,1),C82))</f>
        <v/>
      </c>
      <c r="G82">
        <f>IF(E82="","",COUNTIFS($F$81:$F$106,"&lt;"&amp;F82,$F$81:$F$106,"&lt;&gt;")+COUNTIFS($F$81:$F$106,F82,$B$81:$B$106,"&lt;"&amp;B82)+1)</f>
        <v/>
      </c>
      <c r="H82">
        <f>IF(OR(E82="",C82=""),"",IF(C82&gt;=DATE(2019,5,1),"令和"&amp;(YEAR(C82)-2018),IF(C82&gt;=DATE(1989,1,8),"平成"&amp;(YEAR(C82)-1988),"昭和"&amp;(YEAR(C82)-1925)))&amp;"年"&amp;MONTH(C82)&amp;"月")</f>
        <v/>
      </c>
    </row>
    <row r="83">
      <c r="A83" t="n">
        <v>4</v>
      </c>
      <c r="B83" t="n">
        <v>3</v>
      </c>
      <c r="C83">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83">
        <f>IF(入力!R8="","",入力!R8)</f>
        <v/>
      </c>
      <c r="E83">
        <f>IF(D83="","",IFERROR(INDEX(資格マスタ!$B:$B,MATCH(ASC(SUBSTITUTE(SUBSTITUTE(D83," ",""),"　","")),資格マスタ!$D:$D,0)),D83))</f>
        <v/>
      </c>
      <c r="F83">
        <f>IF(E83="","",IF(C83="",DATE(9999,1,1),C83))</f>
        <v/>
      </c>
      <c r="G83">
        <f>IF(E83="","",COUNTIFS($F$81:$F$106,"&lt;"&amp;F83,$F$81:$F$106,"&lt;&gt;")+COUNTIFS($F$81:$F$106,F83,$B$81:$B$106,"&lt;"&amp;B83)+1)</f>
        <v/>
      </c>
      <c r="H83">
        <f>IF(OR(E83="",C83=""),"",IF(C83&gt;=DATE(2019,5,1),"令和"&amp;(YEAR(C83)-2018),IF(C83&gt;=DATE(1989,1,8),"平成"&amp;(YEAR(C83)-1988),"昭和"&amp;(YEAR(C83)-1925)))&amp;"年"&amp;MONTH(C83)&amp;"月")</f>
        <v/>
      </c>
    </row>
    <row r="84">
      <c r="A84" t="n">
        <v>4</v>
      </c>
      <c r="B84" t="n">
        <v>4</v>
      </c>
      <c r="C84">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84">
        <f>IF(入力!T8="","",入力!T8)</f>
        <v/>
      </c>
      <c r="E84">
        <f>IF(D84="","",IFERROR(INDEX(資格マスタ!$B:$B,MATCH(ASC(SUBSTITUTE(SUBSTITUTE(D84," ",""),"　","")),資格マスタ!$D:$D,0)),D84))</f>
        <v/>
      </c>
      <c r="F84">
        <f>IF(E84="","",IF(C84="",DATE(9999,1,1),C84))</f>
        <v/>
      </c>
      <c r="G84">
        <f>IF(E84="","",COUNTIFS($F$81:$F$106,"&lt;"&amp;F84,$F$81:$F$106,"&lt;&gt;")+COUNTIFS($F$81:$F$106,F84,$B$81:$B$106,"&lt;"&amp;B84)+1)</f>
        <v/>
      </c>
      <c r="H84">
        <f>IF(OR(E84="",C84=""),"",IF(C84&gt;=DATE(2019,5,1),"令和"&amp;(YEAR(C84)-2018),IF(C84&gt;=DATE(1989,1,8),"平成"&amp;(YEAR(C84)-1988),"昭和"&amp;(YEAR(C84)-1925)))&amp;"年"&amp;MONTH(C84)&amp;"月")</f>
        <v/>
      </c>
    </row>
    <row r="85">
      <c r="A85" t="n">
        <v>4</v>
      </c>
      <c r="B85" t="n">
        <v>5</v>
      </c>
      <c r="C85">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85">
        <f>IF(入力!V8="","",入力!V8)</f>
        <v/>
      </c>
      <c r="E85">
        <f>IF(D85="","",IFERROR(INDEX(資格マスタ!$B:$B,MATCH(ASC(SUBSTITUTE(SUBSTITUTE(D85," ",""),"　","")),資格マスタ!$D:$D,0)),D85))</f>
        <v/>
      </c>
      <c r="F85">
        <f>IF(E85="","",IF(C85="",DATE(9999,1,1),C85))</f>
        <v/>
      </c>
      <c r="G85">
        <f>IF(E85="","",COUNTIFS($F$81:$F$106,"&lt;"&amp;F85,$F$81:$F$106,"&lt;&gt;")+COUNTIFS($F$81:$F$106,F85,$B$81:$B$106,"&lt;"&amp;B85)+1)</f>
        <v/>
      </c>
      <c r="H85">
        <f>IF(OR(E85="",C85=""),"",IF(C85&gt;=DATE(2019,5,1),"令和"&amp;(YEAR(C85)-2018),IF(C85&gt;=DATE(1989,1,8),"平成"&amp;(YEAR(C85)-1988),"昭和"&amp;(YEAR(C85)-1925)))&amp;"年"&amp;MONTH(C85)&amp;"月")</f>
        <v/>
      </c>
    </row>
    <row r="86">
      <c r="A86" t="n">
        <v>4</v>
      </c>
      <c r="B86" t="n">
        <v>6</v>
      </c>
      <c r="C86">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86">
        <f>IF(入力!X8="","",入力!X8)</f>
        <v/>
      </c>
      <c r="E86">
        <f>IF(D86="","",IFERROR(INDEX(資格マスタ!$B:$B,MATCH(ASC(SUBSTITUTE(SUBSTITUTE(D86," ",""),"　","")),資格マスタ!$D:$D,0)),D86))</f>
        <v/>
      </c>
      <c r="F86">
        <f>IF(E86="","",IF(C86="",DATE(9999,1,1),C86))</f>
        <v/>
      </c>
      <c r="G86">
        <f>IF(E86="","",COUNTIFS($F$81:$F$106,"&lt;"&amp;F86,$F$81:$F$106,"&lt;&gt;")+COUNTIFS($F$81:$F$106,F86,$B$81:$B$106,"&lt;"&amp;B86)+1)</f>
        <v/>
      </c>
      <c r="H86">
        <f>IF(OR(E86="",C86=""),"",IF(C86&gt;=DATE(2019,5,1),"令和"&amp;(YEAR(C86)-2018),IF(C86&gt;=DATE(1989,1,8),"平成"&amp;(YEAR(C86)-1988),"昭和"&amp;(YEAR(C86)-1925)))&amp;"年"&amp;MONTH(C86)&amp;"月")</f>
        <v/>
      </c>
    </row>
    <row r="87">
      <c r="A87" t="n">
        <v>4</v>
      </c>
      <c r="B87" t="n">
        <v>7</v>
      </c>
      <c r="C87">
        <f>IFERROR(INDEX(資格取込!$S$6:$S$405,MATCH(4&amp;"_"&amp;1,資格取込!$Z$6:$Z$405,0)),"")</f>
        <v/>
      </c>
      <c r="D87">
        <f>IFERROR(INDEX(資格取込!$R$6:$R$405,MATCH(4&amp;"_"&amp;1,資格取込!$Z$6:$Z$405,0)),"")</f>
        <v/>
      </c>
      <c r="E87">
        <f>IF(D87="","",IFERROR(INDEX(資格マスタ!$B:$B,MATCH(ASC(SUBSTITUTE(SUBSTITUTE(D87," ",""),"　","")),資格マスタ!$D:$D,0)),D87))</f>
        <v/>
      </c>
      <c r="F87">
        <f>IF(E87="","",IF(C87="",DATE(9999,1,1),C87))</f>
        <v/>
      </c>
      <c r="G87">
        <f>IF(E87="","",COUNTIFS($F$81:$F$106,"&lt;"&amp;F87,$F$81:$F$106,"&lt;&gt;")+COUNTIFS($F$81:$F$106,F87,$B$81:$B$106,"&lt;"&amp;B87)+1)</f>
        <v/>
      </c>
      <c r="H87">
        <f>IF(OR(E87="",C87=""),"",IF(C87&gt;=DATE(2019,5,1),"令和"&amp;(YEAR(C87)-2018),IF(C87&gt;=DATE(1989,1,8),"平成"&amp;(YEAR(C87)-1988),"昭和"&amp;(YEAR(C87)-1925)))&amp;"年"&amp;MONTH(C87)&amp;"月")</f>
        <v/>
      </c>
    </row>
    <row r="88">
      <c r="A88" t="n">
        <v>4</v>
      </c>
      <c r="B88" t="n">
        <v>8</v>
      </c>
      <c r="C88">
        <f>IFERROR(INDEX(資格取込!$S$6:$S$405,MATCH(4&amp;"_"&amp;2,資格取込!$Z$6:$Z$405,0)),"")</f>
        <v/>
      </c>
      <c r="D88">
        <f>IFERROR(INDEX(資格取込!$R$6:$R$405,MATCH(4&amp;"_"&amp;2,資格取込!$Z$6:$Z$405,0)),"")</f>
        <v/>
      </c>
      <c r="E88">
        <f>IF(D88="","",IFERROR(INDEX(資格マスタ!$B:$B,MATCH(ASC(SUBSTITUTE(SUBSTITUTE(D88," ",""),"　","")),資格マスタ!$D:$D,0)),D88))</f>
        <v/>
      </c>
      <c r="F88">
        <f>IF(E88="","",IF(C88="",DATE(9999,1,1),C88))</f>
        <v/>
      </c>
      <c r="G88">
        <f>IF(E88="","",COUNTIFS($F$81:$F$106,"&lt;"&amp;F88,$F$81:$F$106,"&lt;&gt;")+COUNTIFS($F$81:$F$106,F88,$B$81:$B$106,"&lt;"&amp;B88)+1)</f>
        <v/>
      </c>
      <c r="H88">
        <f>IF(OR(E88="",C88=""),"",IF(C88&gt;=DATE(2019,5,1),"令和"&amp;(YEAR(C88)-2018),IF(C88&gt;=DATE(1989,1,8),"平成"&amp;(YEAR(C88)-1988),"昭和"&amp;(YEAR(C88)-1925)))&amp;"年"&amp;MONTH(C88)&amp;"月")</f>
        <v/>
      </c>
    </row>
    <row r="89">
      <c r="A89" t="n">
        <v>4</v>
      </c>
      <c r="B89" t="n">
        <v>9</v>
      </c>
      <c r="C89">
        <f>IFERROR(INDEX(資格取込!$S$6:$S$405,MATCH(4&amp;"_"&amp;3,資格取込!$Z$6:$Z$405,0)),"")</f>
        <v/>
      </c>
      <c r="D89">
        <f>IFERROR(INDEX(資格取込!$R$6:$R$405,MATCH(4&amp;"_"&amp;3,資格取込!$Z$6:$Z$405,0)),"")</f>
        <v/>
      </c>
      <c r="E89">
        <f>IF(D89="","",IFERROR(INDEX(資格マスタ!$B:$B,MATCH(ASC(SUBSTITUTE(SUBSTITUTE(D89," ",""),"　","")),資格マスタ!$D:$D,0)),D89))</f>
        <v/>
      </c>
      <c r="F89">
        <f>IF(E89="","",IF(C89="",DATE(9999,1,1),C89))</f>
        <v/>
      </c>
      <c r="G89">
        <f>IF(E89="","",COUNTIFS($F$81:$F$106,"&lt;"&amp;F89,$F$81:$F$106,"&lt;&gt;")+COUNTIFS($F$81:$F$106,F89,$B$81:$B$106,"&lt;"&amp;B89)+1)</f>
        <v/>
      </c>
      <c r="H89">
        <f>IF(OR(E89="",C89=""),"",IF(C89&gt;=DATE(2019,5,1),"令和"&amp;(YEAR(C89)-2018),IF(C89&gt;=DATE(1989,1,8),"平成"&amp;(YEAR(C89)-1988),"昭和"&amp;(YEAR(C89)-1925)))&amp;"年"&amp;MONTH(C89)&amp;"月")</f>
        <v/>
      </c>
    </row>
    <row r="90">
      <c r="A90" t="n">
        <v>4</v>
      </c>
      <c r="B90" t="n">
        <v>10</v>
      </c>
      <c r="C90">
        <f>IFERROR(INDEX(資格取込!$S$6:$S$405,MATCH(4&amp;"_"&amp;4,資格取込!$Z$6:$Z$405,0)),"")</f>
        <v/>
      </c>
      <c r="D90">
        <f>IFERROR(INDEX(資格取込!$R$6:$R$405,MATCH(4&amp;"_"&amp;4,資格取込!$Z$6:$Z$405,0)),"")</f>
        <v/>
      </c>
      <c r="E90">
        <f>IF(D90="","",IFERROR(INDEX(資格マスタ!$B:$B,MATCH(ASC(SUBSTITUTE(SUBSTITUTE(D90," ",""),"　","")),資格マスタ!$D:$D,0)),D90))</f>
        <v/>
      </c>
      <c r="F90">
        <f>IF(E90="","",IF(C90="",DATE(9999,1,1),C90))</f>
        <v/>
      </c>
      <c r="G90">
        <f>IF(E90="","",COUNTIFS($F$81:$F$106,"&lt;"&amp;F90,$F$81:$F$106,"&lt;&gt;")+COUNTIFS($F$81:$F$106,F90,$B$81:$B$106,"&lt;"&amp;B90)+1)</f>
        <v/>
      </c>
      <c r="H90">
        <f>IF(OR(E90="",C90=""),"",IF(C90&gt;=DATE(2019,5,1),"令和"&amp;(YEAR(C90)-2018),IF(C90&gt;=DATE(1989,1,8),"平成"&amp;(YEAR(C90)-1988),"昭和"&amp;(YEAR(C90)-1925)))&amp;"年"&amp;MONTH(C90)&amp;"月")</f>
        <v/>
      </c>
    </row>
    <row r="91">
      <c r="A91" t="n">
        <v>4</v>
      </c>
      <c r="B91" t="n">
        <v>11</v>
      </c>
      <c r="C91">
        <f>IFERROR(INDEX(資格取込!$S$6:$S$405,MATCH(4&amp;"_"&amp;5,資格取込!$Z$6:$Z$405,0)),"")</f>
        <v/>
      </c>
      <c r="D91">
        <f>IFERROR(INDEX(資格取込!$R$6:$R$405,MATCH(4&amp;"_"&amp;5,資格取込!$Z$6:$Z$405,0)),"")</f>
        <v/>
      </c>
      <c r="E91">
        <f>IF(D91="","",IFERROR(INDEX(資格マスタ!$B:$B,MATCH(ASC(SUBSTITUTE(SUBSTITUTE(D91," ",""),"　","")),資格マスタ!$D:$D,0)),D91))</f>
        <v/>
      </c>
      <c r="F91">
        <f>IF(E91="","",IF(C91="",DATE(9999,1,1),C91))</f>
        <v/>
      </c>
      <c r="G91">
        <f>IF(E91="","",COUNTIFS($F$81:$F$106,"&lt;"&amp;F91,$F$81:$F$106,"&lt;&gt;")+COUNTIFS($F$81:$F$106,F91,$B$81:$B$106,"&lt;"&amp;B91)+1)</f>
        <v/>
      </c>
      <c r="H91">
        <f>IF(OR(E91="",C91=""),"",IF(C91&gt;=DATE(2019,5,1),"令和"&amp;(YEAR(C91)-2018),IF(C91&gt;=DATE(1989,1,8),"平成"&amp;(YEAR(C91)-1988),"昭和"&amp;(YEAR(C91)-1925)))&amp;"年"&amp;MONTH(C91)&amp;"月")</f>
        <v/>
      </c>
    </row>
    <row r="92">
      <c r="A92" t="n">
        <v>4</v>
      </c>
      <c r="B92" t="n">
        <v>12</v>
      </c>
      <c r="C92">
        <f>IFERROR(INDEX(資格取込!$S$6:$S$405,MATCH(4&amp;"_"&amp;6,資格取込!$Z$6:$Z$405,0)),"")</f>
        <v/>
      </c>
      <c r="D92">
        <f>IFERROR(INDEX(資格取込!$R$6:$R$405,MATCH(4&amp;"_"&amp;6,資格取込!$Z$6:$Z$405,0)),"")</f>
        <v/>
      </c>
      <c r="E92">
        <f>IF(D92="","",IFERROR(INDEX(資格マスタ!$B:$B,MATCH(ASC(SUBSTITUTE(SUBSTITUTE(D92," ",""),"　","")),資格マスタ!$D:$D,0)),D92))</f>
        <v/>
      </c>
      <c r="F92">
        <f>IF(E92="","",IF(C92="",DATE(9999,1,1),C92))</f>
        <v/>
      </c>
      <c r="G92">
        <f>IF(E92="","",COUNTIFS($F$81:$F$106,"&lt;"&amp;F92,$F$81:$F$106,"&lt;&gt;")+COUNTIFS($F$81:$F$106,F92,$B$81:$B$106,"&lt;"&amp;B92)+1)</f>
        <v/>
      </c>
      <c r="H92">
        <f>IF(OR(E92="",C92=""),"",IF(C92&gt;=DATE(2019,5,1),"令和"&amp;(YEAR(C92)-2018),IF(C92&gt;=DATE(1989,1,8),"平成"&amp;(YEAR(C92)-1988),"昭和"&amp;(YEAR(C92)-1925)))&amp;"年"&amp;MONTH(C92)&amp;"月")</f>
        <v/>
      </c>
    </row>
    <row r="93">
      <c r="A93" t="n">
        <v>4</v>
      </c>
      <c r="B93" t="n">
        <v>13</v>
      </c>
      <c r="C93">
        <f>IFERROR(INDEX(資格取込!$S$6:$S$405,MATCH(4&amp;"_"&amp;7,資格取込!$Z$6:$Z$405,0)),"")</f>
        <v/>
      </c>
      <c r="D93">
        <f>IFERROR(INDEX(資格取込!$R$6:$R$405,MATCH(4&amp;"_"&amp;7,資格取込!$Z$6:$Z$405,0)),"")</f>
        <v/>
      </c>
      <c r="E93">
        <f>IF(D93="","",IFERROR(INDEX(資格マスタ!$B:$B,MATCH(ASC(SUBSTITUTE(SUBSTITUTE(D93," ",""),"　","")),資格マスタ!$D:$D,0)),D93))</f>
        <v/>
      </c>
      <c r="F93">
        <f>IF(E93="","",IF(C93="",DATE(9999,1,1),C93))</f>
        <v/>
      </c>
      <c r="G93">
        <f>IF(E93="","",COUNTIFS($F$81:$F$106,"&lt;"&amp;F93,$F$81:$F$106,"&lt;&gt;")+COUNTIFS($F$81:$F$106,F93,$B$81:$B$106,"&lt;"&amp;B93)+1)</f>
        <v/>
      </c>
      <c r="H93">
        <f>IF(OR(E93="",C93=""),"",IF(C93&gt;=DATE(2019,5,1),"令和"&amp;(YEAR(C93)-2018),IF(C93&gt;=DATE(1989,1,8),"平成"&amp;(YEAR(C93)-1988),"昭和"&amp;(YEAR(C93)-1925)))&amp;"年"&amp;MONTH(C93)&amp;"月")</f>
        <v/>
      </c>
    </row>
    <row r="94">
      <c r="A94" t="n">
        <v>4</v>
      </c>
      <c r="B94" t="n">
        <v>14</v>
      </c>
      <c r="C94">
        <f>IFERROR(INDEX(資格取込!$S$6:$S$405,MATCH(4&amp;"_"&amp;8,資格取込!$Z$6:$Z$405,0)),"")</f>
        <v/>
      </c>
      <c r="D94">
        <f>IFERROR(INDEX(資格取込!$R$6:$R$405,MATCH(4&amp;"_"&amp;8,資格取込!$Z$6:$Z$405,0)),"")</f>
        <v/>
      </c>
      <c r="E94">
        <f>IF(D94="","",IFERROR(INDEX(資格マスタ!$B:$B,MATCH(ASC(SUBSTITUTE(SUBSTITUTE(D94," ",""),"　","")),資格マスタ!$D:$D,0)),D94))</f>
        <v/>
      </c>
      <c r="F94">
        <f>IF(E94="","",IF(C94="",DATE(9999,1,1),C94))</f>
        <v/>
      </c>
      <c r="G94">
        <f>IF(E94="","",COUNTIFS($F$81:$F$106,"&lt;"&amp;F94,$F$81:$F$106,"&lt;&gt;")+COUNTIFS($F$81:$F$106,F94,$B$81:$B$106,"&lt;"&amp;B94)+1)</f>
        <v/>
      </c>
      <c r="H94">
        <f>IF(OR(E94="",C94=""),"",IF(C94&gt;=DATE(2019,5,1),"令和"&amp;(YEAR(C94)-2018),IF(C94&gt;=DATE(1989,1,8),"平成"&amp;(YEAR(C94)-1988),"昭和"&amp;(YEAR(C94)-1925)))&amp;"年"&amp;MONTH(C94)&amp;"月")</f>
        <v/>
      </c>
    </row>
    <row r="95">
      <c r="A95" t="n">
        <v>4</v>
      </c>
      <c r="B95" t="n">
        <v>15</v>
      </c>
      <c r="C95">
        <f>IFERROR(INDEX(資格取込!$S$6:$S$405,MATCH(4&amp;"_"&amp;9,資格取込!$Z$6:$Z$405,0)),"")</f>
        <v/>
      </c>
      <c r="D95">
        <f>IFERROR(INDEX(資格取込!$R$6:$R$405,MATCH(4&amp;"_"&amp;9,資格取込!$Z$6:$Z$405,0)),"")</f>
        <v/>
      </c>
      <c r="E95">
        <f>IF(D95="","",IFERROR(INDEX(資格マスタ!$B:$B,MATCH(ASC(SUBSTITUTE(SUBSTITUTE(D95," ",""),"　","")),資格マスタ!$D:$D,0)),D95))</f>
        <v/>
      </c>
      <c r="F95">
        <f>IF(E95="","",IF(C95="",DATE(9999,1,1),C95))</f>
        <v/>
      </c>
      <c r="G95">
        <f>IF(E95="","",COUNTIFS($F$81:$F$106,"&lt;"&amp;F95,$F$81:$F$106,"&lt;&gt;")+COUNTIFS($F$81:$F$106,F95,$B$81:$B$106,"&lt;"&amp;B95)+1)</f>
        <v/>
      </c>
      <c r="H95">
        <f>IF(OR(E95="",C95=""),"",IF(C95&gt;=DATE(2019,5,1),"令和"&amp;(YEAR(C95)-2018),IF(C95&gt;=DATE(1989,1,8),"平成"&amp;(YEAR(C95)-1988),"昭和"&amp;(YEAR(C95)-1925)))&amp;"年"&amp;MONTH(C95)&amp;"月")</f>
        <v/>
      </c>
    </row>
    <row r="96">
      <c r="A96" t="n">
        <v>4</v>
      </c>
      <c r="B96" t="n">
        <v>16</v>
      </c>
      <c r="C96">
        <f>IFERROR(INDEX(資格取込!$S$6:$S$405,MATCH(4&amp;"_"&amp;10,資格取込!$Z$6:$Z$405,0)),"")</f>
        <v/>
      </c>
      <c r="D96">
        <f>IFERROR(INDEX(資格取込!$R$6:$R$405,MATCH(4&amp;"_"&amp;10,資格取込!$Z$6:$Z$405,0)),"")</f>
        <v/>
      </c>
      <c r="E96">
        <f>IF(D96="","",IFERROR(INDEX(資格マスタ!$B:$B,MATCH(ASC(SUBSTITUTE(SUBSTITUTE(D96," ",""),"　","")),資格マスタ!$D:$D,0)),D96))</f>
        <v/>
      </c>
      <c r="F96">
        <f>IF(E96="","",IF(C96="",DATE(9999,1,1),C96))</f>
        <v/>
      </c>
      <c r="G96">
        <f>IF(E96="","",COUNTIFS($F$81:$F$106,"&lt;"&amp;F96,$F$81:$F$106,"&lt;&gt;")+COUNTIFS($F$81:$F$106,F96,$B$81:$B$106,"&lt;"&amp;B96)+1)</f>
        <v/>
      </c>
      <c r="H96">
        <f>IF(OR(E96="",C96=""),"",IF(C96&gt;=DATE(2019,5,1),"令和"&amp;(YEAR(C96)-2018),IF(C96&gt;=DATE(1989,1,8),"平成"&amp;(YEAR(C96)-1988),"昭和"&amp;(YEAR(C96)-1925)))&amp;"年"&amp;MONTH(C96)&amp;"月")</f>
        <v/>
      </c>
    </row>
    <row r="97">
      <c r="A97" t="n">
        <v>4</v>
      </c>
      <c r="B97" t="n">
        <v>17</v>
      </c>
      <c r="C97">
        <f>IFERROR(INDEX(資格取込!$S$6:$S$405,MATCH(4&amp;"_"&amp;11,資格取込!$Z$6:$Z$405,0)),"")</f>
        <v/>
      </c>
      <c r="D97">
        <f>IFERROR(INDEX(資格取込!$R$6:$R$405,MATCH(4&amp;"_"&amp;11,資格取込!$Z$6:$Z$405,0)),"")</f>
        <v/>
      </c>
      <c r="E97">
        <f>IF(D97="","",IFERROR(INDEX(資格マスタ!$B:$B,MATCH(ASC(SUBSTITUTE(SUBSTITUTE(D97," ",""),"　","")),資格マスタ!$D:$D,0)),D97))</f>
        <v/>
      </c>
      <c r="F97">
        <f>IF(E97="","",IF(C97="",DATE(9999,1,1),C97))</f>
        <v/>
      </c>
      <c r="G97">
        <f>IF(E97="","",COUNTIFS($F$81:$F$106,"&lt;"&amp;F97,$F$81:$F$106,"&lt;&gt;")+COUNTIFS($F$81:$F$106,F97,$B$81:$B$106,"&lt;"&amp;B97)+1)</f>
        <v/>
      </c>
      <c r="H97">
        <f>IF(OR(E97="",C97=""),"",IF(C97&gt;=DATE(2019,5,1),"令和"&amp;(YEAR(C97)-2018),IF(C97&gt;=DATE(1989,1,8),"平成"&amp;(YEAR(C97)-1988),"昭和"&amp;(YEAR(C97)-1925)))&amp;"年"&amp;MONTH(C97)&amp;"月")</f>
        <v/>
      </c>
    </row>
    <row r="98">
      <c r="A98" t="n">
        <v>4</v>
      </c>
      <c r="B98" t="n">
        <v>18</v>
      </c>
      <c r="C98">
        <f>IFERROR(INDEX(資格取込!$S$6:$S$405,MATCH(4&amp;"_"&amp;12,資格取込!$Z$6:$Z$405,0)),"")</f>
        <v/>
      </c>
      <c r="D98">
        <f>IFERROR(INDEX(資格取込!$R$6:$R$405,MATCH(4&amp;"_"&amp;12,資格取込!$Z$6:$Z$405,0)),"")</f>
        <v/>
      </c>
      <c r="E98">
        <f>IF(D98="","",IFERROR(INDEX(資格マスタ!$B:$B,MATCH(ASC(SUBSTITUTE(SUBSTITUTE(D98," ",""),"　","")),資格マスタ!$D:$D,0)),D98))</f>
        <v/>
      </c>
      <c r="F98">
        <f>IF(E98="","",IF(C98="",DATE(9999,1,1),C98))</f>
        <v/>
      </c>
      <c r="G98">
        <f>IF(E98="","",COUNTIFS($F$81:$F$106,"&lt;"&amp;F98,$F$81:$F$106,"&lt;&gt;")+COUNTIFS($F$81:$F$106,F98,$B$81:$B$106,"&lt;"&amp;B98)+1)</f>
        <v/>
      </c>
      <c r="H98">
        <f>IF(OR(E98="",C98=""),"",IF(C98&gt;=DATE(2019,5,1),"令和"&amp;(YEAR(C98)-2018),IF(C98&gt;=DATE(1989,1,8),"平成"&amp;(YEAR(C98)-1988),"昭和"&amp;(YEAR(C98)-1925)))&amp;"年"&amp;MONTH(C98)&amp;"月")</f>
        <v/>
      </c>
    </row>
    <row r="99">
      <c r="A99" t="n">
        <v>4</v>
      </c>
      <c r="B99" t="n">
        <v>19</v>
      </c>
      <c r="C99">
        <f>IFERROR(INDEX(資格取込!$S$6:$S$405,MATCH(4&amp;"_"&amp;13,資格取込!$Z$6:$Z$405,0)),"")</f>
        <v/>
      </c>
      <c r="D99">
        <f>IFERROR(INDEX(資格取込!$R$6:$R$405,MATCH(4&amp;"_"&amp;13,資格取込!$Z$6:$Z$405,0)),"")</f>
        <v/>
      </c>
      <c r="E99">
        <f>IF(D99="","",IFERROR(INDEX(資格マスタ!$B:$B,MATCH(ASC(SUBSTITUTE(SUBSTITUTE(D99," ",""),"　","")),資格マスタ!$D:$D,0)),D99))</f>
        <v/>
      </c>
      <c r="F99">
        <f>IF(E99="","",IF(C99="",DATE(9999,1,1),C99))</f>
        <v/>
      </c>
      <c r="G99">
        <f>IF(E99="","",COUNTIFS($F$81:$F$106,"&lt;"&amp;F99,$F$81:$F$106,"&lt;&gt;")+COUNTIFS($F$81:$F$106,F99,$B$81:$B$106,"&lt;"&amp;B99)+1)</f>
        <v/>
      </c>
      <c r="H99">
        <f>IF(OR(E99="",C99=""),"",IF(C99&gt;=DATE(2019,5,1),"令和"&amp;(YEAR(C99)-2018),IF(C99&gt;=DATE(1989,1,8),"平成"&amp;(YEAR(C99)-1988),"昭和"&amp;(YEAR(C99)-1925)))&amp;"年"&amp;MONTH(C99)&amp;"月")</f>
        <v/>
      </c>
    </row>
    <row r="100">
      <c r="A100" t="n">
        <v>4</v>
      </c>
      <c r="B100" t="n">
        <v>20</v>
      </c>
      <c r="C100">
        <f>IFERROR(INDEX(資格取込!$S$6:$S$405,MATCH(4&amp;"_"&amp;14,資格取込!$Z$6:$Z$405,0)),"")</f>
        <v/>
      </c>
      <c r="D100">
        <f>IFERROR(INDEX(資格取込!$R$6:$R$405,MATCH(4&amp;"_"&amp;14,資格取込!$Z$6:$Z$405,0)),"")</f>
        <v/>
      </c>
      <c r="E100">
        <f>IF(D100="","",IFERROR(INDEX(資格マスタ!$B:$B,MATCH(ASC(SUBSTITUTE(SUBSTITUTE(D100," ",""),"　","")),資格マスタ!$D:$D,0)),D100))</f>
        <v/>
      </c>
      <c r="F100">
        <f>IF(E100="","",IF(C100="",DATE(9999,1,1),C100))</f>
        <v/>
      </c>
      <c r="G100">
        <f>IF(E100="","",COUNTIFS($F$81:$F$106,"&lt;"&amp;F100,$F$81:$F$106,"&lt;&gt;")+COUNTIFS($F$81:$F$106,F100,$B$81:$B$106,"&lt;"&amp;B100)+1)</f>
        <v/>
      </c>
      <c r="H100">
        <f>IF(OR(E100="",C100=""),"",IF(C100&gt;=DATE(2019,5,1),"令和"&amp;(YEAR(C100)-2018),IF(C100&gt;=DATE(1989,1,8),"平成"&amp;(YEAR(C100)-1988),"昭和"&amp;(YEAR(C100)-1925)))&amp;"年"&amp;MONTH(C100)&amp;"月")</f>
        <v/>
      </c>
    </row>
    <row r="101">
      <c r="A101" t="n">
        <v>4</v>
      </c>
      <c r="B101" t="n">
        <v>21</v>
      </c>
      <c r="C101">
        <f>IFERROR(INDEX(資格取込!$S$6:$S$405,MATCH(4&amp;"_"&amp;15,資格取込!$Z$6:$Z$405,0)),"")</f>
        <v/>
      </c>
      <c r="D101">
        <f>IFERROR(INDEX(資格取込!$R$6:$R$405,MATCH(4&amp;"_"&amp;15,資格取込!$Z$6:$Z$405,0)),"")</f>
        <v/>
      </c>
      <c r="E101">
        <f>IF(D101="","",IFERROR(INDEX(資格マスタ!$B:$B,MATCH(ASC(SUBSTITUTE(SUBSTITUTE(D101," ",""),"　","")),資格マスタ!$D:$D,0)),D101))</f>
        <v/>
      </c>
      <c r="F101">
        <f>IF(E101="","",IF(C101="",DATE(9999,1,1),C101))</f>
        <v/>
      </c>
      <c r="G101">
        <f>IF(E101="","",COUNTIFS($F$81:$F$106,"&lt;"&amp;F101,$F$81:$F$106,"&lt;&gt;")+COUNTIFS($F$81:$F$106,F101,$B$81:$B$106,"&lt;"&amp;B101)+1)</f>
        <v/>
      </c>
      <c r="H101">
        <f>IF(OR(E101="",C101=""),"",IF(C101&gt;=DATE(2019,5,1),"令和"&amp;(YEAR(C101)-2018),IF(C101&gt;=DATE(1989,1,8),"平成"&amp;(YEAR(C101)-1988),"昭和"&amp;(YEAR(C101)-1925)))&amp;"年"&amp;MONTH(C101)&amp;"月")</f>
        <v/>
      </c>
    </row>
    <row r="102">
      <c r="A102" t="n">
        <v>4</v>
      </c>
      <c r="B102" t="n">
        <v>22</v>
      </c>
      <c r="C102">
        <f>IFERROR(INDEX(資格取込!$S$6:$S$405,MATCH(4&amp;"_"&amp;16,資格取込!$Z$6:$Z$405,0)),"")</f>
        <v/>
      </c>
      <c r="D102">
        <f>IFERROR(INDEX(資格取込!$R$6:$R$405,MATCH(4&amp;"_"&amp;16,資格取込!$Z$6:$Z$405,0)),"")</f>
        <v/>
      </c>
      <c r="E102">
        <f>IF(D102="","",IFERROR(INDEX(資格マスタ!$B:$B,MATCH(ASC(SUBSTITUTE(SUBSTITUTE(D102," ",""),"　","")),資格マスタ!$D:$D,0)),D102))</f>
        <v/>
      </c>
      <c r="F102">
        <f>IF(E102="","",IF(C102="",DATE(9999,1,1),C102))</f>
        <v/>
      </c>
      <c r="G102">
        <f>IF(E102="","",COUNTIFS($F$81:$F$106,"&lt;"&amp;F102,$F$81:$F$106,"&lt;&gt;")+COUNTIFS($F$81:$F$106,F102,$B$81:$B$106,"&lt;"&amp;B102)+1)</f>
        <v/>
      </c>
      <c r="H102">
        <f>IF(OR(E102="",C102=""),"",IF(C102&gt;=DATE(2019,5,1),"令和"&amp;(YEAR(C102)-2018),IF(C102&gt;=DATE(1989,1,8),"平成"&amp;(YEAR(C102)-1988),"昭和"&amp;(YEAR(C102)-1925)))&amp;"年"&amp;MONTH(C102)&amp;"月")</f>
        <v/>
      </c>
    </row>
    <row r="103">
      <c r="A103" t="n">
        <v>4</v>
      </c>
      <c r="B103" t="n">
        <v>23</v>
      </c>
      <c r="C103">
        <f>IFERROR(INDEX(資格取込!$S$6:$S$405,MATCH(4&amp;"_"&amp;17,資格取込!$Z$6:$Z$405,0)),"")</f>
        <v/>
      </c>
      <c r="D103">
        <f>IFERROR(INDEX(資格取込!$R$6:$R$405,MATCH(4&amp;"_"&amp;17,資格取込!$Z$6:$Z$405,0)),"")</f>
        <v/>
      </c>
      <c r="E103">
        <f>IF(D103="","",IFERROR(INDEX(資格マスタ!$B:$B,MATCH(ASC(SUBSTITUTE(SUBSTITUTE(D103," ",""),"　","")),資格マスタ!$D:$D,0)),D103))</f>
        <v/>
      </c>
      <c r="F103">
        <f>IF(E103="","",IF(C103="",DATE(9999,1,1),C103))</f>
        <v/>
      </c>
      <c r="G103">
        <f>IF(E103="","",COUNTIFS($F$81:$F$106,"&lt;"&amp;F103,$F$81:$F$106,"&lt;&gt;")+COUNTIFS($F$81:$F$106,F103,$B$81:$B$106,"&lt;"&amp;B103)+1)</f>
        <v/>
      </c>
      <c r="H103">
        <f>IF(OR(E103="",C103=""),"",IF(C103&gt;=DATE(2019,5,1),"令和"&amp;(YEAR(C103)-2018),IF(C103&gt;=DATE(1989,1,8),"平成"&amp;(YEAR(C103)-1988),"昭和"&amp;(YEAR(C103)-1925)))&amp;"年"&amp;MONTH(C103)&amp;"月")</f>
        <v/>
      </c>
    </row>
    <row r="104">
      <c r="A104" t="n">
        <v>4</v>
      </c>
      <c r="B104" t="n">
        <v>24</v>
      </c>
      <c r="C104">
        <f>IFERROR(INDEX(資格取込!$S$6:$S$405,MATCH(4&amp;"_"&amp;18,資格取込!$Z$6:$Z$405,0)),"")</f>
        <v/>
      </c>
      <c r="D104">
        <f>IFERROR(INDEX(資格取込!$R$6:$R$405,MATCH(4&amp;"_"&amp;18,資格取込!$Z$6:$Z$405,0)),"")</f>
        <v/>
      </c>
      <c r="E104">
        <f>IF(D104="","",IFERROR(INDEX(資格マスタ!$B:$B,MATCH(ASC(SUBSTITUTE(SUBSTITUTE(D104," ",""),"　","")),資格マスタ!$D:$D,0)),D104))</f>
        <v/>
      </c>
      <c r="F104">
        <f>IF(E104="","",IF(C104="",DATE(9999,1,1),C104))</f>
        <v/>
      </c>
      <c r="G104">
        <f>IF(E104="","",COUNTIFS($F$81:$F$106,"&lt;"&amp;F104,$F$81:$F$106,"&lt;&gt;")+COUNTIFS($F$81:$F$106,F104,$B$81:$B$106,"&lt;"&amp;B104)+1)</f>
        <v/>
      </c>
      <c r="H104">
        <f>IF(OR(E104="",C104=""),"",IF(C104&gt;=DATE(2019,5,1),"令和"&amp;(YEAR(C104)-2018),IF(C104&gt;=DATE(1989,1,8),"平成"&amp;(YEAR(C104)-1988),"昭和"&amp;(YEAR(C104)-1925)))&amp;"年"&amp;MONTH(C104)&amp;"月")</f>
        <v/>
      </c>
    </row>
    <row r="105">
      <c r="A105" t="n">
        <v>4</v>
      </c>
      <c r="B105" t="n">
        <v>25</v>
      </c>
      <c r="C105">
        <f>IFERROR(INDEX(資格取込!$S$6:$S$405,MATCH(4&amp;"_"&amp;19,資格取込!$Z$6:$Z$405,0)),"")</f>
        <v/>
      </c>
      <c r="D105">
        <f>IFERROR(INDEX(資格取込!$R$6:$R$405,MATCH(4&amp;"_"&amp;19,資格取込!$Z$6:$Z$405,0)),"")</f>
        <v/>
      </c>
      <c r="E105">
        <f>IF(D105="","",IFERROR(INDEX(資格マスタ!$B:$B,MATCH(ASC(SUBSTITUTE(SUBSTITUTE(D105," ",""),"　","")),資格マスタ!$D:$D,0)),D105))</f>
        <v/>
      </c>
      <c r="F105">
        <f>IF(E105="","",IF(C105="",DATE(9999,1,1),C105))</f>
        <v/>
      </c>
      <c r="G105">
        <f>IF(E105="","",COUNTIFS($F$81:$F$106,"&lt;"&amp;F105,$F$81:$F$106,"&lt;&gt;")+COUNTIFS($F$81:$F$106,F105,$B$81:$B$106,"&lt;"&amp;B105)+1)</f>
        <v/>
      </c>
      <c r="H105">
        <f>IF(OR(E105="",C105=""),"",IF(C105&gt;=DATE(2019,5,1),"令和"&amp;(YEAR(C105)-2018),IF(C105&gt;=DATE(1989,1,8),"平成"&amp;(YEAR(C105)-1988),"昭和"&amp;(YEAR(C105)-1925)))&amp;"年"&amp;MONTH(C105)&amp;"月")</f>
        <v/>
      </c>
    </row>
    <row r="106">
      <c r="A106" t="n">
        <v>4</v>
      </c>
      <c r="B106" t="n">
        <v>26</v>
      </c>
      <c r="C106">
        <f>IFERROR(INDEX(資格取込!$S$6:$S$405,MATCH(4&amp;"_"&amp;20,資格取込!$Z$6:$Z$405,0)),"")</f>
        <v/>
      </c>
      <c r="D106">
        <f>IFERROR(INDEX(資格取込!$R$6:$R$405,MATCH(4&amp;"_"&amp;20,資格取込!$Z$6:$Z$405,0)),"")</f>
        <v/>
      </c>
      <c r="E106">
        <f>IF(D106="","",IFERROR(INDEX(資格マスタ!$B:$B,MATCH(ASC(SUBSTITUTE(SUBSTITUTE(D106," ",""),"　","")),資格マスタ!$D:$D,0)),D106))</f>
        <v/>
      </c>
      <c r="F106">
        <f>IF(E106="","",IF(C106="",DATE(9999,1,1),C106))</f>
        <v/>
      </c>
      <c r="G106">
        <f>IF(E106="","",COUNTIFS($F$81:$F$106,"&lt;"&amp;F106,$F$81:$F$106,"&lt;&gt;")+COUNTIFS($F$81:$F$106,F106,$B$81:$B$106,"&lt;"&amp;B106)+1)</f>
        <v/>
      </c>
      <c r="H106">
        <f>IF(OR(E106="",C106=""),"",IF(C106&gt;=DATE(2019,5,1),"令和"&amp;(YEAR(C106)-2018),IF(C106&gt;=DATE(1989,1,8),"平成"&amp;(YEAR(C106)-1988),"昭和"&amp;(YEAR(C106)-1925)))&amp;"年"&amp;MONTH(C106)&amp;"月")</f>
        <v/>
      </c>
    </row>
    <row r="107">
      <c r="A107" t="n">
        <v>5</v>
      </c>
      <c r="B107" t="n">
        <v>1</v>
      </c>
      <c r="C107"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107">
        <f>IF(入力!N9="","",入力!N9)</f>
        <v/>
      </c>
      <c r="E107">
        <f>IF(D107="","",IFERROR(INDEX(資格マスタ!$B:$B,MATCH(ASC(SUBSTITUTE(SUBSTITUTE(D107," ",""),"　","")),資格マスタ!$D:$D,0)),D107))</f>
        <v/>
      </c>
      <c r="F107">
        <f>IF(E107="","",IF(C107="",DATE(9999,1,1),C107))</f>
        <v/>
      </c>
      <c r="G107">
        <f>IF(E107="","",COUNTIFS($F$107:$F$132,"&lt;"&amp;F107,$F$107:$F$132,"&lt;&gt;")+COUNTIFS($F$107:$F$132,F107,$B$107:$B$132,"&lt;"&amp;B107)+1)</f>
        <v/>
      </c>
      <c r="H107">
        <f>IF(OR(E107="",C107=""),"",IF(C107&gt;=DATE(2019,5,1),"令和"&amp;(YEAR(C107)-2018),IF(C107&gt;=DATE(1989,1,8),"平成"&amp;(YEAR(C107)-1988),"昭和"&amp;(YEAR(C107)-1925)))&amp;"年"&amp;MONTH(C107)&amp;"月")</f>
        <v/>
      </c>
    </row>
    <row r="108">
      <c r="A108" t="n">
        <v>5</v>
      </c>
      <c r="B108" t="n">
        <v>2</v>
      </c>
      <c r="C108">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108">
        <f>IF(入力!P9="","",入力!P9)</f>
        <v/>
      </c>
      <c r="E108">
        <f>IF(D108="","",IFERROR(INDEX(資格マスタ!$B:$B,MATCH(ASC(SUBSTITUTE(SUBSTITUTE(D108," ",""),"　","")),資格マスタ!$D:$D,0)),D108))</f>
        <v/>
      </c>
      <c r="F108">
        <f>IF(E108="","",IF(C108="",DATE(9999,1,1),C108))</f>
        <v/>
      </c>
      <c r="G108">
        <f>IF(E108="","",COUNTIFS($F$107:$F$132,"&lt;"&amp;F108,$F$107:$F$132,"&lt;&gt;")+COUNTIFS($F$107:$F$132,F108,$B$107:$B$132,"&lt;"&amp;B108)+1)</f>
        <v/>
      </c>
      <c r="H108">
        <f>IF(OR(E108="",C108=""),"",IF(C108&gt;=DATE(2019,5,1),"令和"&amp;(YEAR(C108)-2018),IF(C108&gt;=DATE(1989,1,8),"平成"&amp;(YEAR(C108)-1988),"昭和"&amp;(YEAR(C108)-1925)))&amp;"年"&amp;MONTH(C108)&amp;"月")</f>
        <v/>
      </c>
    </row>
    <row r="109">
      <c r="A109" t="n">
        <v>5</v>
      </c>
      <c r="B109" t="n">
        <v>3</v>
      </c>
      <c r="C109">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109">
        <f>IF(入力!R9="","",入力!R9)</f>
        <v/>
      </c>
      <c r="E109">
        <f>IF(D109="","",IFERROR(INDEX(資格マスタ!$B:$B,MATCH(ASC(SUBSTITUTE(SUBSTITUTE(D109," ",""),"　","")),資格マスタ!$D:$D,0)),D109))</f>
        <v/>
      </c>
      <c r="F109">
        <f>IF(E109="","",IF(C109="",DATE(9999,1,1),C109))</f>
        <v/>
      </c>
      <c r="G109">
        <f>IF(E109="","",COUNTIFS($F$107:$F$132,"&lt;"&amp;F109,$F$107:$F$132,"&lt;&gt;")+COUNTIFS($F$107:$F$132,F109,$B$107:$B$132,"&lt;"&amp;B109)+1)</f>
        <v/>
      </c>
      <c r="H109">
        <f>IF(OR(E109="",C109=""),"",IF(C109&gt;=DATE(2019,5,1),"令和"&amp;(YEAR(C109)-2018),IF(C109&gt;=DATE(1989,1,8),"平成"&amp;(YEAR(C109)-1988),"昭和"&amp;(YEAR(C109)-1925)))&amp;"年"&amp;MONTH(C109)&amp;"月")</f>
        <v/>
      </c>
    </row>
    <row r="110">
      <c r="A110" t="n">
        <v>5</v>
      </c>
      <c r="B110" t="n">
        <v>4</v>
      </c>
      <c r="C110">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110">
        <f>IF(入力!T9="","",入力!T9)</f>
        <v/>
      </c>
      <c r="E110">
        <f>IF(D110="","",IFERROR(INDEX(資格マスタ!$B:$B,MATCH(ASC(SUBSTITUTE(SUBSTITUTE(D110," ",""),"　","")),資格マスタ!$D:$D,0)),D110))</f>
        <v/>
      </c>
      <c r="F110">
        <f>IF(E110="","",IF(C110="",DATE(9999,1,1),C110))</f>
        <v/>
      </c>
      <c r="G110">
        <f>IF(E110="","",COUNTIFS($F$107:$F$132,"&lt;"&amp;F110,$F$107:$F$132,"&lt;&gt;")+COUNTIFS($F$107:$F$132,F110,$B$107:$B$132,"&lt;"&amp;B110)+1)</f>
        <v/>
      </c>
      <c r="H110">
        <f>IF(OR(E110="",C110=""),"",IF(C110&gt;=DATE(2019,5,1),"令和"&amp;(YEAR(C110)-2018),IF(C110&gt;=DATE(1989,1,8),"平成"&amp;(YEAR(C110)-1988),"昭和"&amp;(YEAR(C110)-1925)))&amp;"年"&amp;MONTH(C110)&amp;"月")</f>
        <v/>
      </c>
    </row>
    <row r="111">
      <c r="A111" t="n">
        <v>5</v>
      </c>
      <c r="B111" t="n">
        <v>5</v>
      </c>
      <c r="C111">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111">
        <f>IF(入力!V9="","",入力!V9)</f>
        <v/>
      </c>
      <c r="E111">
        <f>IF(D111="","",IFERROR(INDEX(資格マスタ!$B:$B,MATCH(ASC(SUBSTITUTE(SUBSTITUTE(D111," ",""),"　","")),資格マスタ!$D:$D,0)),D111))</f>
        <v/>
      </c>
      <c r="F111">
        <f>IF(E111="","",IF(C111="",DATE(9999,1,1),C111))</f>
        <v/>
      </c>
      <c r="G111">
        <f>IF(E111="","",COUNTIFS($F$107:$F$132,"&lt;"&amp;F111,$F$107:$F$132,"&lt;&gt;")+COUNTIFS($F$107:$F$132,F111,$B$107:$B$132,"&lt;"&amp;B111)+1)</f>
        <v/>
      </c>
      <c r="H111">
        <f>IF(OR(E111="",C111=""),"",IF(C111&gt;=DATE(2019,5,1),"令和"&amp;(YEAR(C111)-2018),IF(C111&gt;=DATE(1989,1,8),"平成"&amp;(YEAR(C111)-1988),"昭和"&amp;(YEAR(C111)-1925)))&amp;"年"&amp;MONTH(C111)&amp;"月")</f>
        <v/>
      </c>
    </row>
    <row r="112">
      <c r="A112" t="n">
        <v>5</v>
      </c>
      <c r="B112" t="n">
        <v>6</v>
      </c>
      <c r="C112">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112">
        <f>IF(入力!X9="","",入力!X9)</f>
        <v/>
      </c>
      <c r="E112">
        <f>IF(D112="","",IFERROR(INDEX(資格マスタ!$B:$B,MATCH(ASC(SUBSTITUTE(SUBSTITUTE(D112," ",""),"　","")),資格マスタ!$D:$D,0)),D112))</f>
        <v/>
      </c>
      <c r="F112">
        <f>IF(E112="","",IF(C112="",DATE(9999,1,1),C112))</f>
        <v/>
      </c>
      <c r="G112">
        <f>IF(E112="","",COUNTIFS($F$107:$F$132,"&lt;"&amp;F112,$F$107:$F$132,"&lt;&gt;")+COUNTIFS($F$107:$F$132,F112,$B$107:$B$132,"&lt;"&amp;B112)+1)</f>
        <v/>
      </c>
      <c r="H112">
        <f>IF(OR(E112="",C112=""),"",IF(C112&gt;=DATE(2019,5,1),"令和"&amp;(YEAR(C112)-2018),IF(C112&gt;=DATE(1989,1,8),"平成"&amp;(YEAR(C112)-1988),"昭和"&amp;(YEAR(C112)-1925)))&amp;"年"&amp;MONTH(C112)&amp;"月")</f>
        <v/>
      </c>
    </row>
    <row r="113">
      <c r="A113" t="n">
        <v>5</v>
      </c>
      <c r="B113" t="n">
        <v>7</v>
      </c>
      <c r="C113">
        <f>IFERROR(INDEX(資格取込!$S$6:$S$405,MATCH(5&amp;"_"&amp;1,資格取込!$Z$6:$Z$405,0)),"")</f>
        <v/>
      </c>
      <c r="D113">
        <f>IFERROR(INDEX(資格取込!$R$6:$R$405,MATCH(5&amp;"_"&amp;1,資格取込!$Z$6:$Z$405,0)),"")</f>
        <v/>
      </c>
      <c r="E113">
        <f>IF(D113="","",IFERROR(INDEX(資格マスタ!$B:$B,MATCH(ASC(SUBSTITUTE(SUBSTITUTE(D113," ",""),"　","")),資格マスタ!$D:$D,0)),D113))</f>
        <v/>
      </c>
      <c r="F113">
        <f>IF(E113="","",IF(C113="",DATE(9999,1,1),C113))</f>
        <v/>
      </c>
      <c r="G113">
        <f>IF(E113="","",COUNTIFS($F$107:$F$132,"&lt;"&amp;F113,$F$107:$F$132,"&lt;&gt;")+COUNTIFS($F$107:$F$132,F113,$B$107:$B$132,"&lt;"&amp;B113)+1)</f>
        <v/>
      </c>
      <c r="H113">
        <f>IF(OR(E113="",C113=""),"",IF(C113&gt;=DATE(2019,5,1),"令和"&amp;(YEAR(C113)-2018),IF(C113&gt;=DATE(1989,1,8),"平成"&amp;(YEAR(C113)-1988),"昭和"&amp;(YEAR(C113)-1925)))&amp;"年"&amp;MONTH(C113)&amp;"月")</f>
        <v/>
      </c>
    </row>
    <row r="114">
      <c r="A114" t="n">
        <v>5</v>
      </c>
      <c r="B114" t="n">
        <v>8</v>
      </c>
      <c r="C114">
        <f>IFERROR(INDEX(資格取込!$S$6:$S$405,MATCH(5&amp;"_"&amp;2,資格取込!$Z$6:$Z$405,0)),"")</f>
        <v/>
      </c>
      <c r="D114">
        <f>IFERROR(INDEX(資格取込!$R$6:$R$405,MATCH(5&amp;"_"&amp;2,資格取込!$Z$6:$Z$405,0)),"")</f>
        <v/>
      </c>
      <c r="E114">
        <f>IF(D114="","",IFERROR(INDEX(資格マスタ!$B:$B,MATCH(ASC(SUBSTITUTE(SUBSTITUTE(D114," ",""),"　","")),資格マスタ!$D:$D,0)),D114))</f>
        <v/>
      </c>
      <c r="F114">
        <f>IF(E114="","",IF(C114="",DATE(9999,1,1),C114))</f>
        <v/>
      </c>
      <c r="G114">
        <f>IF(E114="","",COUNTIFS($F$107:$F$132,"&lt;"&amp;F114,$F$107:$F$132,"&lt;&gt;")+COUNTIFS($F$107:$F$132,F114,$B$107:$B$132,"&lt;"&amp;B114)+1)</f>
        <v/>
      </c>
      <c r="H114">
        <f>IF(OR(E114="",C114=""),"",IF(C114&gt;=DATE(2019,5,1),"令和"&amp;(YEAR(C114)-2018),IF(C114&gt;=DATE(1989,1,8),"平成"&amp;(YEAR(C114)-1988),"昭和"&amp;(YEAR(C114)-1925)))&amp;"年"&amp;MONTH(C114)&amp;"月")</f>
        <v/>
      </c>
    </row>
    <row r="115">
      <c r="A115" t="n">
        <v>5</v>
      </c>
      <c r="B115" t="n">
        <v>9</v>
      </c>
      <c r="C115">
        <f>IFERROR(INDEX(資格取込!$S$6:$S$405,MATCH(5&amp;"_"&amp;3,資格取込!$Z$6:$Z$405,0)),"")</f>
        <v/>
      </c>
      <c r="D115">
        <f>IFERROR(INDEX(資格取込!$R$6:$R$405,MATCH(5&amp;"_"&amp;3,資格取込!$Z$6:$Z$405,0)),"")</f>
        <v/>
      </c>
      <c r="E115">
        <f>IF(D115="","",IFERROR(INDEX(資格マスタ!$B:$B,MATCH(ASC(SUBSTITUTE(SUBSTITUTE(D115," ",""),"　","")),資格マスタ!$D:$D,0)),D115))</f>
        <v/>
      </c>
      <c r="F115">
        <f>IF(E115="","",IF(C115="",DATE(9999,1,1),C115))</f>
        <v/>
      </c>
      <c r="G115">
        <f>IF(E115="","",COUNTIFS($F$107:$F$132,"&lt;"&amp;F115,$F$107:$F$132,"&lt;&gt;")+COUNTIFS($F$107:$F$132,F115,$B$107:$B$132,"&lt;"&amp;B115)+1)</f>
        <v/>
      </c>
      <c r="H115">
        <f>IF(OR(E115="",C115=""),"",IF(C115&gt;=DATE(2019,5,1),"令和"&amp;(YEAR(C115)-2018),IF(C115&gt;=DATE(1989,1,8),"平成"&amp;(YEAR(C115)-1988),"昭和"&amp;(YEAR(C115)-1925)))&amp;"年"&amp;MONTH(C115)&amp;"月")</f>
        <v/>
      </c>
    </row>
    <row r="116">
      <c r="A116" t="n">
        <v>5</v>
      </c>
      <c r="B116" t="n">
        <v>10</v>
      </c>
      <c r="C116">
        <f>IFERROR(INDEX(資格取込!$S$6:$S$405,MATCH(5&amp;"_"&amp;4,資格取込!$Z$6:$Z$405,0)),"")</f>
        <v/>
      </c>
      <c r="D116">
        <f>IFERROR(INDEX(資格取込!$R$6:$R$405,MATCH(5&amp;"_"&amp;4,資格取込!$Z$6:$Z$405,0)),"")</f>
        <v/>
      </c>
      <c r="E116">
        <f>IF(D116="","",IFERROR(INDEX(資格マスタ!$B:$B,MATCH(ASC(SUBSTITUTE(SUBSTITUTE(D116," ",""),"　","")),資格マスタ!$D:$D,0)),D116))</f>
        <v/>
      </c>
      <c r="F116">
        <f>IF(E116="","",IF(C116="",DATE(9999,1,1),C116))</f>
        <v/>
      </c>
      <c r="G116">
        <f>IF(E116="","",COUNTIFS($F$107:$F$132,"&lt;"&amp;F116,$F$107:$F$132,"&lt;&gt;")+COUNTIFS($F$107:$F$132,F116,$B$107:$B$132,"&lt;"&amp;B116)+1)</f>
        <v/>
      </c>
      <c r="H116">
        <f>IF(OR(E116="",C116=""),"",IF(C116&gt;=DATE(2019,5,1),"令和"&amp;(YEAR(C116)-2018),IF(C116&gt;=DATE(1989,1,8),"平成"&amp;(YEAR(C116)-1988),"昭和"&amp;(YEAR(C116)-1925)))&amp;"年"&amp;MONTH(C116)&amp;"月")</f>
        <v/>
      </c>
    </row>
    <row r="117">
      <c r="A117" t="n">
        <v>5</v>
      </c>
      <c r="B117" t="n">
        <v>11</v>
      </c>
      <c r="C117">
        <f>IFERROR(INDEX(資格取込!$S$6:$S$405,MATCH(5&amp;"_"&amp;5,資格取込!$Z$6:$Z$405,0)),"")</f>
        <v/>
      </c>
      <c r="D117">
        <f>IFERROR(INDEX(資格取込!$R$6:$R$405,MATCH(5&amp;"_"&amp;5,資格取込!$Z$6:$Z$405,0)),"")</f>
        <v/>
      </c>
      <c r="E117">
        <f>IF(D117="","",IFERROR(INDEX(資格マスタ!$B:$B,MATCH(ASC(SUBSTITUTE(SUBSTITUTE(D117," ",""),"　","")),資格マスタ!$D:$D,0)),D117))</f>
        <v/>
      </c>
      <c r="F117">
        <f>IF(E117="","",IF(C117="",DATE(9999,1,1),C117))</f>
        <v/>
      </c>
      <c r="G117">
        <f>IF(E117="","",COUNTIFS($F$107:$F$132,"&lt;"&amp;F117,$F$107:$F$132,"&lt;&gt;")+COUNTIFS($F$107:$F$132,F117,$B$107:$B$132,"&lt;"&amp;B117)+1)</f>
        <v/>
      </c>
      <c r="H117">
        <f>IF(OR(E117="",C117=""),"",IF(C117&gt;=DATE(2019,5,1),"令和"&amp;(YEAR(C117)-2018),IF(C117&gt;=DATE(1989,1,8),"平成"&amp;(YEAR(C117)-1988),"昭和"&amp;(YEAR(C117)-1925)))&amp;"年"&amp;MONTH(C117)&amp;"月")</f>
        <v/>
      </c>
    </row>
    <row r="118">
      <c r="A118" t="n">
        <v>5</v>
      </c>
      <c r="B118" t="n">
        <v>12</v>
      </c>
      <c r="C118">
        <f>IFERROR(INDEX(資格取込!$S$6:$S$405,MATCH(5&amp;"_"&amp;6,資格取込!$Z$6:$Z$405,0)),"")</f>
        <v/>
      </c>
      <c r="D118">
        <f>IFERROR(INDEX(資格取込!$R$6:$R$405,MATCH(5&amp;"_"&amp;6,資格取込!$Z$6:$Z$405,0)),"")</f>
        <v/>
      </c>
      <c r="E118">
        <f>IF(D118="","",IFERROR(INDEX(資格マスタ!$B:$B,MATCH(ASC(SUBSTITUTE(SUBSTITUTE(D118," ",""),"　","")),資格マスタ!$D:$D,0)),D118))</f>
        <v/>
      </c>
      <c r="F118">
        <f>IF(E118="","",IF(C118="",DATE(9999,1,1),C118))</f>
        <v/>
      </c>
      <c r="G118">
        <f>IF(E118="","",COUNTIFS($F$107:$F$132,"&lt;"&amp;F118,$F$107:$F$132,"&lt;&gt;")+COUNTIFS($F$107:$F$132,F118,$B$107:$B$132,"&lt;"&amp;B118)+1)</f>
        <v/>
      </c>
      <c r="H118">
        <f>IF(OR(E118="",C118=""),"",IF(C118&gt;=DATE(2019,5,1),"令和"&amp;(YEAR(C118)-2018),IF(C118&gt;=DATE(1989,1,8),"平成"&amp;(YEAR(C118)-1988),"昭和"&amp;(YEAR(C118)-1925)))&amp;"年"&amp;MONTH(C118)&amp;"月")</f>
        <v/>
      </c>
    </row>
    <row r="119">
      <c r="A119" t="n">
        <v>5</v>
      </c>
      <c r="B119" t="n">
        <v>13</v>
      </c>
      <c r="C119">
        <f>IFERROR(INDEX(資格取込!$S$6:$S$405,MATCH(5&amp;"_"&amp;7,資格取込!$Z$6:$Z$405,0)),"")</f>
        <v/>
      </c>
      <c r="D119">
        <f>IFERROR(INDEX(資格取込!$R$6:$R$405,MATCH(5&amp;"_"&amp;7,資格取込!$Z$6:$Z$405,0)),"")</f>
        <v/>
      </c>
      <c r="E119">
        <f>IF(D119="","",IFERROR(INDEX(資格マスタ!$B:$B,MATCH(ASC(SUBSTITUTE(SUBSTITUTE(D119," ",""),"　","")),資格マスタ!$D:$D,0)),D119))</f>
        <v/>
      </c>
      <c r="F119">
        <f>IF(E119="","",IF(C119="",DATE(9999,1,1),C119))</f>
        <v/>
      </c>
      <c r="G119">
        <f>IF(E119="","",COUNTIFS($F$107:$F$132,"&lt;"&amp;F119,$F$107:$F$132,"&lt;&gt;")+COUNTIFS($F$107:$F$132,F119,$B$107:$B$132,"&lt;"&amp;B119)+1)</f>
        <v/>
      </c>
      <c r="H119">
        <f>IF(OR(E119="",C119=""),"",IF(C119&gt;=DATE(2019,5,1),"令和"&amp;(YEAR(C119)-2018),IF(C119&gt;=DATE(1989,1,8),"平成"&amp;(YEAR(C119)-1988),"昭和"&amp;(YEAR(C119)-1925)))&amp;"年"&amp;MONTH(C119)&amp;"月")</f>
        <v/>
      </c>
    </row>
    <row r="120">
      <c r="A120" t="n">
        <v>5</v>
      </c>
      <c r="B120" t="n">
        <v>14</v>
      </c>
      <c r="C120">
        <f>IFERROR(INDEX(資格取込!$S$6:$S$405,MATCH(5&amp;"_"&amp;8,資格取込!$Z$6:$Z$405,0)),"")</f>
        <v/>
      </c>
      <c r="D120">
        <f>IFERROR(INDEX(資格取込!$R$6:$R$405,MATCH(5&amp;"_"&amp;8,資格取込!$Z$6:$Z$405,0)),"")</f>
        <v/>
      </c>
      <c r="E120">
        <f>IF(D120="","",IFERROR(INDEX(資格マスタ!$B:$B,MATCH(ASC(SUBSTITUTE(SUBSTITUTE(D120," ",""),"　","")),資格マスタ!$D:$D,0)),D120))</f>
        <v/>
      </c>
      <c r="F120">
        <f>IF(E120="","",IF(C120="",DATE(9999,1,1),C120))</f>
        <v/>
      </c>
      <c r="G120">
        <f>IF(E120="","",COUNTIFS($F$107:$F$132,"&lt;"&amp;F120,$F$107:$F$132,"&lt;&gt;")+COUNTIFS($F$107:$F$132,F120,$B$107:$B$132,"&lt;"&amp;B120)+1)</f>
        <v/>
      </c>
      <c r="H120">
        <f>IF(OR(E120="",C120=""),"",IF(C120&gt;=DATE(2019,5,1),"令和"&amp;(YEAR(C120)-2018),IF(C120&gt;=DATE(1989,1,8),"平成"&amp;(YEAR(C120)-1988),"昭和"&amp;(YEAR(C120)-1925)))&amp;"年"&amp;MONTH(C120)&amp;"月")</f>
        <v/>
      </c>
    </row>
    <row r="121">
      <c r="A121" t="n">
        <v>5</v>
      </c>
      <c r="B121" t="n">
        <v>15</v>
      </c>
      <c r="C121">
        <f>IFERROR(INDEX(資格取込!$S$6:$S$405,MATCH(5&amp;"_"&amp;9,資格取込!$Z$6:$Z$405,0)),"")</f>
        <v/>
      </c>
      <c r="D121">
        <f>IFERROR(INDEX(資格取込!$R$6:$R$405,MATCH(5&amp;"_"&amp;9,資格取込!$Z$6:$Z$405,0)),"")</f>
        <v/>
      </c>
      <c r="E121">
        <f>IF(D121="","",IFERROR(INDEX(資格マスタ!$B:$B,MATCH(ASC(SUBSTITUTE(SUBSTITUTE(D121," ",""),"　","")),資格マスタ!$D:$D,0)),D121))</f>
        <v/>
      </c>
      <c r="F121">
        <f>IF(E121="","",IF(C121="",DATE(9999,1,1),C121))</f>
        <v/>
      </c>
      <c r="G121">
        <f>IF(E121="","",COUNTIFS($F$107:$F$132,"&lt;"&amp;F121,$F$107:$F$132,"&lt;&gt;")+COUNTIFS($F$107:$F$132,F121,$B$107:$B$132,"&lt;"&amp;B121)+1)</f>
        <v/>
      </c>
      <c r="H121">
        <f>IF(OR(E121="",C121=""),"",IF(C121&gt;=DATE(2019,5,1),"令和"&amp;(YEAR(C121)-2018),IF(C121&gt;=DATE(1989,1,8),"平成"&amp;(YEAR(C121)-1988),"昭和"&amp;(YEAR(C121)-1925)))&amp;"年"&amp;MONTH(C121)&amp;"月")</f>
        <v/>
      </c>
    </row>
    <row r="122">
      <c r="A122" t="n">
        <v>5</v>
      </c>
      <c r="B122" t="n">
        <v>16</v>
      </c>
      <c r="C122">
        <f>IFERROR(INDEX(資格取込!$S$6:$S$405,MATCH(5&amp;"_"&amp;10,資格取込!$Z$6:$Z$405,0)),"")</f>
        <v/>
      </c>
      <c r="D122">
        <f>IFERROR(INDEX(資格取込!$R$6:$R$405,MATCH(5&amp;"_"&amp;10,資格取込!$Z$6:$Z$405,0)),"")</f>
        <v/>
      </c>
      <c r="E122">
        <f>IF(D122="","",IFERROR(INDEX(資格マスタ!$B:$B,MATCH(ASC(SUBSTITUTE(SUBSTITUTE(D122," ",""),"　","")),資格マスタ!$D:$D,0)),D122))</f>
        <v/>
      </c>
      <c r="F122">
        <f>IF(E122="","",IF(C122="",DATE(9999,1,1),C122))</f>
        <v/>
      </c>
      <c r="G122">
        <f>IF(E122="","",COUNTIFS($F$107:$F$132,"&lt;"&amp;F122,$F$107:$F$132,"&lt;&gt;")+COUNTIFS($F$107:$F$132,F122,$B$107:$B$132,"&lt;"&amp;B122)+1)</f>
        <v/>
      </c>
      <c r="H122">
        <f>IF(OR(E122="",C122=""),"",IF(C122&gt;=DATE(2019,5,1),"令和"&amp;(YEAR(C122)-2018),IF(C122&gt;=DATE(1989,1,8),"平成"&amp;(YEAR(C122)-1988),"昭和"&amp;(YEAR(C122)-1925)))&amp;"年"&amp;MONTH(C122)&amp;"月")</f>
        <v/>
      </c>
    </row>
    <row r="123">
      <c r="A123" t="n">
        <v>5</v>
      </c>
      <c r="B123" t="n">
        <v>17</v>
      </c>
      <c r="C123">
        <f>IFERROR(INDEX(資格取込!$S$6:$S$405,MATCH(5&amp;"_"&amp;11,資格取込!$Z$6:$Z$405,0)),"")</f>
        <v/>
      </c>
      <c r="D123">
        <f>IFERROR(INDEX(資格取込!$R$6:$R$405,MATCH(5&amp;"_"&amp;11,資格取込!$Z$6:$Z$405,0)),"")</f>
        <v/>
      </c>
      <c r="E123">
        <f>IF(D123="","",IFERROR(INDEX(資格マスタ!$B:$B,MATCH(ASC(SUBSTITUTE(SUBSTITUTE(D123," ",""),"　","")),資格マスタ!$D:$D,0)),D123))</f>
        <v/>
      </c>
      <c r="F123">
        <f>IF(E123="","",IF(C123="",DATE(9999,1,1),C123))</f>
        <v/>
      </c>
      <c r="G123">
        <f>IF(E123="","",COUNTIFS($F$107:$F$132,"&lt;"&amp;F123,$F$107:$F$132,"&lt;&gt;")+COUNTIFS($F$107:$F$132,F123,$B$107:$B$132,"&lt;"&amp;B123)+1)</f>
        <v/>
      </c>
      <c r="H123">
        <f>IF(OR(E123="",C123=""),"",IF(C123&gt;=DATE(2019,5,1),"令和"&amp;(YEAR(C123)-2018),IF(C123&gt;=DATE(1989,1,8),"平成"&amp;(YEAR(C123)-1988),"昭和"&amp;(YEAR(C123)-1925)))&amp;"年"&amp;MONTH(C123)&amp;"月")</f>
        <v/>
      </c>
    </row>
    <row r="124">
      <c r="A124" t="n">
        <v>5</v>
      </c>
      <c r="B124" t="n">
        <v>18</v>
      </c>
      <c r="C124">
        <f>IFERROR(INDEX(資格取込!$S$6:$S$405,MATCH(5&amp;"_"&amp;12,資格取込!$Z$6:$Z$405,0)),"")</f>
        <v/>
      </c>
      <c r="D124">
        <f>IFERROR(INDEX(資格取込!$R$6:$R$405,MATCH(5&amp;"_"&amp;12,資格取込!$Z$6:$Z$405,0)),"")</f>
        <v/>
      </c>
      <c r="E124">
        <f>IF(D124="","",IFERROR(INDEX(資格マスタ!$B:$B,MATCH(ASC(SUBSTITUTE(SUBSTITUTE(D124," ",""),"　","")),資格マスタ!$D:$D,0)),D124))</f>
        <v/>
      </c>
      <c r="F124">
        <f>IF(E124="","",IF(C124="",DATE(9999,1,1),C124))</f>
        <v/>
      </c>
      <c r="G124">
        <f>IF(E124="","",COUNTIFS($F$107:$F$132,"&lt;"&amp;F124,$F$107:$F$132,"&lt;&gt;")+COUNTIFS($F$107:$F$132,F124,$B$107:$B$132,"&lt;"&amp;B124)+1)</f>
        <v/>
      </c>
      <c r="H124">
        <f>IF(OR(E124="",C124=""),"",IF(C124&gt;=DATE(2019,5,1),"令和"&amp;(YEAR(C124)-2018),IF(C124&gt;=DATE(1989,1,8),"平成"&amp;(YEAR(C124)-1988),"昭和"&amp;(YEAR(C124)-1925)))&amp;"年"&amp;MONTH(C124)&amp;"月")</f>
        <v/>
      </c>
    </row>
    <row r="125">
      <c r="A125" t="n">
        <v>5</v>
      </c>
      <c r="B125" t="n">
        <v>19</v>
      </c>
      <c r="C125">
        <f>IFERROR(INDEX(資格取込!$S$6:$S$405,MATCH(5&amp;"_"&amp;13,資格取込!$Z$6:$Z$405,0)),"")</f>
        <v/>
      </c>
      <c r="D125">
        <f>IFERROR(INDEX(資格取込!$R$6:$R$405,MATCH(5&amp;"_"&amp;13,資格取込!$Z$6:$Z$405,0)),"")</f>
        <v/>
      </c>
      <c r="E125">
        <f>IF(D125="","",IFERROR(INDEX(資格マスタ!$B:$B,MATCH(ASC(SUBSTITUTE(SUBSTITUTE(D125," ",""),"　","")),資格マスタ!$D:$D,0)),D125))</f>
        <v/>
      </c>
      <c r="F125">
        <f>IF(E125="","",IF(C125="",DATE(9999,1,1),C125))</f>
        <v/>
      </c>
      <c r="G125">
        <f>IF(E125="","",COUNTIFS($F$107:$F$132,"&lt;"&amp;F125,$F$107:$F$132,"&lt;&gt;")+COUNTIFS($F$107:$F$132,F125,$B$107:$B$132,"&lt;"&amp;B125)+1)</f>
        <v/>
      </c>
      <c r="H125">
        <f>IF(OR(E125="",C125=""),"",IF(C125&gt;=DATE(2019,5,1),"令和"&amp;(YEAR(C125)-2018),IF(C125&gt;=DATE(1989,1,8),"平成"&amp;(YEAR(C125)-1988),"昭和"&amp;(YEAR(C125)-1925)))&amp;"年"&amp;MONTH(C125)&amp;"月")</f>
        <v/>
      </c>
    </row>
    <row r="126">
      <c r="A126" t="n">
        <v>5</v>
      </c>
      <c r="B126" t="n">
        <v>20</v>
      </c>
      <c r="C126">
        <f>IFERROR(INDEX(資格取込!$S$6:$S$405,MATCH(5&amp;"_"&amp;14,資格取込!$Z$6:$Z$405,0)),"")</f>
        <v/>
      </c>
      <c r="D126">
        <f>IFERROR(INDEX(資格取込!$R$6:$R$405,MATCH(5&amp;"_"&amp;14,資格取込!$Z$6:$Z$405,0)),"")</f>
        <v/>
      </c>
      <c r="E126">
        <f>IF(D126="","",IFERROR(INDEX(資格マスタ!$B:$B,MATCH(ASC(SUBSTITUTE(SUBSTITUTE(D126," ",""),"　","")),資格マスタ!$D:$D,0)),D126))</f>
        <v/>
      </c>
      <c r="F126">
        <f>IF(E126="","",IF(C126="",DATE(9999,1,1),C126))</f>
        <v/>
      </c>
      <c r="G126">
        <f>IF(E126="","",COUNTIFS($F$107:$F$132,"&lt;"&amp;F126,$F$107:$F$132,"&lt;&gt;")+COUNTIFS($F$107:$F$132,F126,$B$107:$B$132,"&lt;"&amp;B126)+1)</f>
        <v/>
      </c>
      <c r="H126">
        <f>IF(OR(E126="",C126=""),"",IF(C126&gt;=DATE(2019,5,1),"令和"&amp;(YEAR(C126)-2018),IF(C126&gt;=DATE(1989,1,8),"平成"&amp;(YEAR(C126)-1988),"昭和"&amp;(YEAR(C126)-1925)))&amp;"年"&amp;MONTH(C126)&amp;"月")</f>
        <v/>
      </c>
    </row>
    <row r="127">
      <c r="A127" t="n">
        <v>5</v>
      </c>
      <c r="B127" t="n">
        <v>21</v>
      </c>
      <c r="C127">
        <f>IFERROR(INDEX(資格取込!$S$6:$S$405,MATCH(5&amp;"_"&amp;15,資格取込!$Z$6:$Z$405,0)),"")</f>
        <v/>
      </c>
      <c r="D127">
        <f>IFERROR(INDEX(資格取込!$R$6:$R$405,MATCH(5&amp;"_"&amp;15,資格取込!$Z$6:$Z$405,0)),"")</f>
        <v/>
      </c>
      <c r="E127">
        <f>IF(D127="","",IFERROR(INDEX(資格マスタ!$B:$B,MATCH(ASC(SUBSTITUTE(SUBSTITUTE(D127," ",""),"　","")),資格マスタ!$D:$D,0)),D127))</f>
        <v/>
      </c>
      <c r="F127">
        <f>IF(E127="","",IF(C127="",DATE(9999,1,1),C127))</f>
        <v/>
      </c>
      <c r="G127">
        <f>IF(E127="","",COUNTIFS($F$107:$F$132,"&lt;"&amp;F127,$F$107:$F$132,"&lt;&gt;")+COUNTIFS($F$107:$F$132,F127,$B$107:$B$132,"&lt;"&amp;B127)+1)</f>
        <v/>
      </c>
      <c r="H127">
        <f>IF(OR(E127="",C127=""),"",IF(C127&gt;=DATE(2019,5,1),"令和"&amp;(YEAR(C127)-2018),IF(C127&gt;=DATE(1989,1,8),"平成"&amp;(YEAR(C127)-1988),"昭和"&amp;(YEAR(C127)-1925)))&amp;"年"&amp;MONTH(C127)&amp;"月")</f>
        <v/>
      </c>
    </row>
    <row r="128">
      <c r="A128" t="n">
        <v>5</v>
      </c>
      <c r="B128" t="n">
        <v>22</v>
      </c>
      <c r="C128">
        <f>IFERROR(INDEX(資格取込!$S$6:$S$405,MATCH(5&amp;"_"&amp;16,資格取込!$Z$6:$Z$405,0)),"")</f>
        <v/>
      </c>
      <c r="D128">
        <f>IFERROR(INDEX(資格取込!$R$6:$R$405,MATCH(5&amp;"_"&amp;16,資格取込!$Z$6:$Z$405,0)),"")</f>
        <v/>
      </c>
      <c r="E128">
        <f>IF(D128="","",IFERROR(INDEX(資格マスタ!$B:$B,MATCH(ASC(SUBSTITUTE(SUBSTITUTE(D128," ",""),"　","")),資格マスタ!$D:$D,0)),D128))</f>
        <v/>
      </c>
      <c r="F128">
        <f>IF(E128="","",IF(C128="",DATE(9999,1,1),C128))</f>
        <v/>
      </c>
      <c r="G128">
        <f>IF(E128="","",COUNTIFS($F$107:$F$132,"&lt;"&amp;F128,$F$107:$F$132,"&lt;&gt;")+COUNTIFS($F$107:$F$132,F128,$B$107:$B$132,"&lt;"&amp;B128)+1)</f>
        <v/>
      </c>
      <c r="H128">
        <f>IF(OR(E128="",C128=""),"",IF(C128&gt;=DATE(2019,5,1),"令和"&amp;(YEAR(C128)-2018),IF(C128&gt;=DATE(1989,1,8),"平成"&amp;(YEAR(C128)-1988),"昭和"&amp;(YEAR(C128)-1925)))&amp;"年"&amp;MONTH(C128)&amp;"月")</f>
        <v/>
      </c>
    </row>
    <row r="129">
      <c r="A129" t="n">
        <v>5</v>
      </c>
      <c r="B129" t="n">
        <v>23</v>
      </c>
      <c r="C129">
        <f>IFERROR(INDEX(資格取込!$S$6:$S$405,MATCH(5&amp;"_"&amp;17,資格取込!$Z$6:$Z$405,0)),"")</f>
        <v/>
      </c>
      <c r="D129">
        <f>IFERROR(INDEX(資格取込!$R$6:$R$405,MATCH(5&amp;"_"&amp;17,資格取込!$Z$6:$Z$405,0)),"")</f>
        <v/>
      </c>
      <c r="E129">
        <f>IF(D129="","",IFERROR(INDEX(資格マスタ!$B:$B,MATCH(ASC(SUBSTITUTE(SUBSTITUTE(D129," ",""),"　","")),資格マスタ!$D:$D,0)),D129))</f>
        <v/>
      </c>
      <c r="F129">
        <f>IF(E129="","",IF(C129="",DATE(9999,1,1),C129))</f>
        <v/>
      </c>
      <c r="G129">
        <f>IF(E129="","",COUNTIFS($F$107:$F$132,"&lt;"&amp;F129,$F$107:$F$132,"&lt;&gt;")+COUNTIFS($F$107:$F$132,F129,$B$107:$B$132,"&lt;"&amp;B129)+1)</f>
        <v/>
      </c>
      <c r="H129">
        <f>IF(OR(E129="",C129=""),"",IF(C129&gt;=DATE(2019,5,1),"令和"&amp;(YEAR(C129)-2018),IF(C129&gt;=DATE(1989,1,8),"平成"&amp;(YEAR(C129)-1988),"昭和"&amp;(YEAR(C129)-1925)))&amp;"年"&amp;MONTH(C129)&amp;"月")</f>
        <v/>
      </c>
    </row>
    <row r="130">
      <c r="A130" t="n">
        <v>5</v>
      </c>
      <c r="B130" t="n">
        <v>24</v>
      </c>
      <c r="C130">
        <f>IFERROR(INDEX(資格取込!$S$6:$S$405,MATCH(5&amp;"_"&amp;18,資格取込!$Z$6:$Z$405,0)),"")</f>
        <v/>
      </c>
      <c r="D130">
        <f>IFERROR(INDEX(資格取込!$R$6:$R$405,MATCH(5&amp;"_"&amp;18,資格取込!$Z$6:$Z$405,0)),"")</f>
        <v/>
      </c>
      <c r="E130">
        <f>IF(D130="","",IFERROR(INDEX(資格マスタ!$B:$B,MATCH(ASC(SUBSTITUTE(SUBSTITUTE(D130," ",""),"　","")),資格マスタ!$D:$D,0)),D130))</f>
        <v/>
      </c>
      <c r="F130">
        <f>IF(E130="","",IF(C130="",DATE(9999,1,1),C130))</f>
        <v/>
      </c>
      <c r="G130">
        <f>IF(E130="","",COUNTIFS($F$107:$F$132,"&lt;"&amp;F130,$F$107:$F$132,"&lt;&gt;")+COUNTIFS($F$107:$F$132,F130,$B$107:$B$132,"&lt;"&amp;B130)+1)</f>
        <v/>
      </c>
      <c r="H130">
        <f>IF(OR(E130="",C130=""),"",IF(C130&gt;=DATE(2019,5,1),"令和"&amp;(YEAR(C130)-2018),IF(C130&gt;=DATE(1989,1,8),"平成"&amp;(YEAR(C130)-1988),"昭和"&amp;(YEAR(C130)-1925)))&amp;"年"&amp;MONTH(C130)&amp;"月")</f>
        <v/>
      </c>
    </row>
    <row r="131">
      <c r="A131" t="n">
        <v>5</v>
      </c>
      <c r="B131" t="n">
        <v>25</v>
      </c>
      <c r="C131">
        <f>IFERROR(INDEX(資格取込!$S$6:$S$405,MATCH(5&amp;"_"&amp;19,資格取込!$Z$6:$Z$405,0)),"")</f>
        <v/>
      </c>
      <c r="D131">
        <f>IFERROR(INDEX(資格取込!$R$6:$R$405,MATCH(5&amp;"_"&amp;19,資格取込!$Z$6:$Z$405,0)),"")</f>
        <v/>
      </c>
      <c r="E131">
        <f>IF(D131="","",IFERROR(INDEX(資格マスタ!$B:$B,MATCH(ASC(SUBSTITUTE(SUBSTITUTE(D131," ",""),"　","")),資格マスタ!$D:$D,0)),D131))</f>
        <v/>
      </c>
      <c r="F131">
        <f>IF(E131="","",IF(C131="",DATE(9999,1,1),C131))</f>
        <v/>
      </c>
      <c r="G131">
        <f>IF(E131="","",COUNTIFS($F$107:$F$132,"&lt;"&amp;F131,$F$107:$F$132,"&lt;&gt;")+COUNTIFS($F$107:$F$132,F131,$B$107:$B$132,"&lt;"&amp;B131)+1)</f>
        <v/>
      </c>
      <c r="H131">
        <f>IF(OR(E131="",C131=""),"",IF(C131&gt;=DATE(2019,5,1),"令和"&amp;(YEAR(C131)-2018),IF(C131&gt;=DATE(1989,1,8),"平成"&amp;(YEAR(C131)-1988),"昭和"&amp;(YEAR(C131)-1925)))&amp;"年"&amp;MONTH(C131)&amp;"月")</f>
        <v/>
      </c>
    </row>
    <row r="132">
      <c r="A132" t="n">
        <v>5</v>
      </c>
      <c r="B132" t="n">
        <v>26</v>
      </c>
      <c r="C132">
        <f>IFERROR(INDEX(資格取込!$S$6:$S$405,MATCH(5&amp;"_"&amp;20,資格取込!$Z$6:$Z$405,0)),"")</f>
        <v/>
      </c>
      <c r="D132">
        <f>IFERROR(INDEX(資格取込!$R$6:$R$405,MATCH(5&amp;"_"&amp;20,資格取込!$Z$6:$Z$405,0)),"")</f>
        <v/>
      </c>
      <c r="E132">
        <f>IF(D132="","",IFERROR(INDEX(資格マスタ!$B:$B,MATCH(ASC(SUBSTITUTE(SUBSTITUTE(D132," ",""),"　","")),資格マスタ!$D:$D,0)),D132))</f>
        <v/>
      </c>
      <c r="F132">
        <f>IF(E132="","",IF(C132="",DATE(9999,1,1),C132))</f>
        <v/>
      </c>
      <c r="G132">
        <f>IF(E132="","",COUNTIFS($F$107:$F$132,"&lt;"&amp;F132,$F$107:$F$132,"&lt;&gt;")+COUNTIFS($F$107:$F$132,F132,$B$107:$B$132,"&lt;"&amp;B132)+1)</f>
        <v/>
      </c>
      <c r="H132">
        <f>IF(OR(E132="",C132=""),"",IF(C132&gt;=DATE(2019,5,1),"令和"&amp;(YEAR(C132)-2018),IF(C132&gt;=DATE(1989,1,8),"平成"&amp;(YEAR(C132)-1988),"昭和"&amp;(YEAR(C132)-1925)))&amp;"年"&amp;MONTH(C132)&amp;"月")</f>
        <v/>
      </c>
    </row>
    <row r="133">
      <c r="A133" t="n">
        <v>6</v>
      </c>
      <c r="B133" t="n">
        <v>1</v>
      </c>
      <c r="C13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133">
        <f>IF(入力!N10="","",入力!N10)</f>
        <v/>
      </c>
      <c r="E133">
        <f>IF(D133="","",IFERROR(INDEX(資格マスタ!$B:$B,MATCH(ASC(SUBSTITUTE(SUBSTITUTE(D133," ",""),"　","")),資格マスタ!$D:$D,0)),D133))</f>
        <v/>
      </c>
      <c r="F133">
        <f>IF(E133="","",IF(C133="",DATE(9999,1,1),C133))</f>
        <v/>
      </c>
      <c r="G133">
        <f>IF(E133="","",COUNTIFS($F$133:$F$158,"&lt;"&amp;F133,$F$133:$F$158,"&lt;&gt;")+COUNTIFS($F$133:$F$158,F133,$B$133:$B$158,"&lt;"&amp;B133)+1)</f>
        <v/>
      </c>
      <c r="H133">
        <f>IF(OR(E133="",C133=""),"",IF(C133&gt;=DATE(2019,5,1),"令和"&amp;(YEAR(C133)-2018),IF(C133&gt;=DATE(1989,1,8),"平成"&amp;(YEAR(C133)-1988),"昭和"&amp;(YEAR(C133)-1925)))&amp;"年"&amp;MONTH(C133)&amp;"月")</f>
        <v/>
      </c>
    </row>
    <row r="134">
      <c r="A134" t="n">
        <v>6</v>
      </c>
      <c r="B134" t="n">
        <v>2</v>
      </c>
      <c r="C13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134">
        <f>IF(入力!P10="","",入力!P10)</f>
        <v/>
      </c>
      <c r="E134">
        <f>IF(D134="","",IFERROR(INDEX(資格マスタ!$B:$B,MATCH(ASC(SUBSTITUTE(SUBSTITUTE(D134," ",""),"　","")),資格マスタ!$D:$D,0)),D134))</f>
        <v/>
      </c>
      <c r="F134">
        <f>IF(E134="","",IF(C134="",DATE(9999,1,1),C134))</f>
        <v/>
      </c>
      <c r="G134">
        <f>IF(E134="","",COUNTIFS($F$133:$F$158,"&lt;"&amp;F134,$F$133:$F$158,"&lt;&gt;")+COUNTIFS($F$133:$F$158,F134,$B$133:$B$158,"&lt;"&amp;B134)+1)</f>
        <v/>
      </c>
      <c r="H134">
        <f>IF(OR(E134="",C134=""),"",IF(C134&gt;=DATE(2019,5,1),"令和"&amp;(YEAR(C134)-2018),IF(C134&gt;=DATE(1989,1,8),"平成"&amp;(YEAR(C134)-1988),"昭和"&amp;(YEAR(C134)-1925)))&amp;"年"&amp;MONTH(C134)&amp;"月")</f>
        <v/>
      </c>
    </row>
    <row r="135">
      <c r="A135" t="n">
        <v>6</v>
      </c>
      <c r="B135" t="n">
        <v>3</v>
      </c>
      <c r="C13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135">
        <f>IF(入力!R10="","",入力!R10)</f>
        <v/>
      </c>
      <c r="E135">
        <f>IF(D135="","",IFERROR(INDEX(資格マスタ!$B:$B,MATCH(ASC(SUBSTITUTE(SUBSTITUTE(D135," ",""),"　","")),資格マスタ!$D:$D,0)),D135))</f>
        <v/>
      </c>
      <c r="F135">
        <f>IF(E135="","",IF(C135="",DATE(9999,1,1),C135))</f>
        <v/>
      </c>
      <c r="G135">
        <f>IF(E135="","",COUNTIFS($F$133:$F$158,"&lt;"&amp;F135,$F$133:$F$158,"&lt;&gt;")+COUNTIFS($F$133:$F$158,F135,$B$133:$B$158,"&lt;"&amp;B135)+1)</f>
        <v/>
      </c>
      <c r="H135">
        <f>IF(OR(E135="",C135=""),"",IF(C135&gt;=DATE(2019,5,1),"令和"&amp;(YEAR(C135)-2018),IF(C135&gt;=DATE(1989,1,8),"平成"&amp;(YEAR(C135)-1988),"昭和"&amp;(YEAR(C135)-1925)))&amp;"年"&amp;MONTH(C135)&amp;"月")</f>
        <v/>
      </c>
    </row>
    <row r="136">
      <c r="A136" t="n">
        <v>6</v>
      </c>
      <c r="B136" t="n">
        <v>4</v>
      </c>
      <c r="C13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136">
        <f>IF(入力!T10="","",入力!T10)</f>
        <v/>
      </c>
      <c r="E136">
        <f>IF(D136="","",IFERROR(INDEX(資格マスタ!$B:$B,MATCH(ASC(SUBSTITUTE(SUBSTITUTE(D136," ",""),"　","")),資格マスタ!$D:$D,0)),D136))</f>
        <v/>
      </c>
      <c r="F136">
        <f>IF(E136="","",IF(C136="",DATE(9999,1,1),C136))</f>
        <v/>
      </c>
      <c r="G136">
        <f>IF(E136="","",COUNTIFS($F$133:$F$158,"&lt;"&amp;F136,$F$133:$F$158,"&lt;&gt;")+COUNTIFS($F$133:$F$158,F136,$B$133:$B$158,"&lt;"&amp;B136)+1)</f>
        <v/>
      </c>
      <c r="H136">
        <f>IF(OR(E136="",C136=""),"",IF(C136&gt;=DATE(2019,5,1),"令和"&amp;(YEAR(C136)-2018),IF(C136&gt;=DATE(1989,1,8),"平成"&amp;(YEAR(C136)-1988),"昭和"&amp;(YEAR(C136)-1925)))&amp;"年"&amp;MONTH(C136)&amp;"月")</f>
        <v/>
      </c>
    </row>
    <row r="137">
      <c r="A137" t="n">
        <v>6</v>
      </c>
      <c r="B137" t="n">
        <v>5</v>
      </c>
      <c r="C13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137">
        <f>IF(入力!V10="","",入力!V10)</f>
        <v/>
      </c>
      <c r="E137">
        <f>IF(D137="","",IFERROR(INDEX(資格マスタ!$B:$B,MATCH(ASC(SUBSTITUTE(SUBSTITUTE(D137," ",""),"　","")),資格マスタ!$D:$D,0)),D137))</f>
        <v/>
      </c>
      <c r="F137">
        <f>IF(E137="","",IF(C137="",DATE(9999,1,1),C137))</f>
        <v/>
      </c>
      <c r="G137">
        <f>IF(E137="","",COUNTIFS($F$133:$F$158,"&lt;"&amp;F137,$F$133:$F$158,"&lt;&gt;")+COUNTIFS($F$133:$F$158,F137,$B$133:$B$158,"&lt;"&amp;B137)+1)</f>
        <v/>
      </c>
      <c r="H137">
        <f>IF(OR(E137="",C137=""),"",IF(C137&gt;=DATE(2019,5,1),"令和"&amp;(YEAR(C137)-2018),IF(C137&gt;=DATE(1989,1,8),"平成"&amp;(YEAR(C137)-1988),"昭和"&amp;(YEAR(C137)-1925)))&amp;"年"&amp;MONTH(C137)&amp;"月")</f>
        <v/>
      </c>
    </row>
    <row r="138">
      <c r="A138" t="n">
        <v>6</v>
      </c>
      <c r="B138" t="n">
        <v>6</v>
      </c>
      <c r="C13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138">
        <f>IF(入力!X10="","",入力!X10)</f>
        <v/>
      </c>
      <c r="E138">
        <f>IF(D138="","",IFERROR(INDEX(資格マスタ!$B:$B,MATCH(ASC(SUBSTITUTE(SUBSTITUTE(D138," ",""),"　","")),資格マスタ!$D:$D,0)),D138))</f>
        <v/>
      </c>
      <c r="F138">
        <f>IF(E138="","",IF(C138="",DATE(9999,1,1),C138))</f>
        <v/>
      </c>
      <c r="G138">
        <f>IF(E138="","",COUNTIFS($F$133:$F$158,"&lt;"&amp;F138,$F$133:$F$158,"&lt;&gt;")+COUNTIFS($F$133:$F$158,F138,$B$133:$B$158,"&lt;"&amp;B138)+1)</f>
        <v/>
      </c>
      <c r="H138">
        <f>IF(OR(E138="",C138=""),"",IF(C138&gt;=DATE(2019,5,1),"令和"&amp;(YEAR(C138)-2018),IF(C138&gt;=DATE(1989,1,8),"平成"&amp;(YEAR(C138)-1988),"昭和"&amp;(YEAR(C138)-1925)))&amp;"年"&amp;MONTH(C138)&amp;"月")</f>
        <v/>
      </c>
    </row>
    <row r="139">
      <c r="A139" t="n">
        <v>6</v>
      </c>
      <c r="B139" t="n">
        <v>7</v>
      </c>
      <c r="C139">
        <f>IFERROR(INDEX(資格取込!$S$6:$S$405,MATCH(6&amp;"_"&amp;1,資格取込!$Z$6:$Z$405,0)),"")</f>
        <v/>
      </c>
      <c r="D139">
        <f>IFERROR(INDEX(資格取込!$R$6:$R$405,MATCH(6&amp;"_"&amp;1,資格取込!$Z$6:$Z$405,0)),"")</f>
        <v/>
      </c>
      <c r="E139">
        <f>IF(D139="","",IFERROR(INDEX(資格マスタ!$B:$B,MATCH(ASC(SUBSTITUTE(SUBSTITUTE(D139," ",""),"　","")),資格マスタ!$D:$D,0)),D139))</f>
        <v/>
      </c>
      <c r="F139">
        <f>IF(E139="","",IF(C139="",DATE(9999,1,1),C139))</f>
        <v/>
      </c>
      <c r="G139">
        <f>IF(E139="","",COUNTIFS($F$133:$F$158,"&lt;"&amp;F139,$F$133:$F$158,"&lt;&gt;")+COUNTIFS($F$133:$F$158,F139,$B$133:$B$158,"&lt;"&amp;B139)+1)</f>
        <v/>
      </c>
      <c r="H139">
        <f>IF(OR(E139="",C139=""),"",IF(C139&gt;=DATE(2019,5,1),"令和"&amp;(YEAR(C139)-2018),IF(C139&gt;=DATE(1989,1,8),"平成"&amp;(YEAR(C139)-1988),"昭和"&amp;(YEAR(C139)-1925)))&amp;"年"&amp;MONTH(C139)&amp;"月")</f>
        <v/>
      </c>
    </row>
    <row r="140">
      <c r="A140" t="n">
        <v>6</v>
      </c>
      <c r="B140" t="n">
        <v>8</v>
      </c>
      <c r="C140">
        <f>IFERROR(INDEX(資格取込!$S$6:$S$405,MATCH(6&amp;"_"&amp;2,資格取込!$Z$6:$Z$405,0)),"")</f>
        <v/>
      </c>
      <c r="D140">
        <f>IFERROR(INDEX(資格取込!$R$6:$R$405,MATCH(6&amp;"_"&amp;2,資格取込!$Z$6:$Z$405,0)),"")</f>
        <v/>
      </c>
      <c r="E140">
        <f>IF(D140="","",IFERROR(INDEX(資格マスタ!$B:$B,MATCH(ASC(SUBSTITUTE(SUBSTITUTE(D140," ",""),"　","")),資格マスタ!$D:$D,0)),D140))</f>
        <v/>
      </c>
      <c r="F140">
        <f>IF(E140="","",IF(C140="",DATE(9999,1,1),C140))</f>
        <v/>
      </c>
      <c r="G140">
        <f>IF(E140="","",COUNTIFS($F$133:$F$158,"&lt;"&amp;F140,$F$133:$F$158,"&lt;&gt;")+COUNTIFS($F$133:$F$158,F140,$B$133:$B$158,"&lt;"&amp;B140)+1)</f>
        <v/>
      </c>
      <c r="H140">
        <f>IF(OR(E140="",C140=""),"",IF(C140&gt;=DATE(2019,5,1),"令和"&amp;(YEAR(C140)-2018),IF(C140&gt;=DATE(1989,1,8),"平成"&amp;(YEAR(C140)-1988),"昭和"&amp;(YEAR(C140)-1925)))&amp;"年"&amp;MONTH(C140)&amp;"月")</f>
        <v/>
      </c>
    </row>
    <row r="141">
      <c r="A141" t="n">
        <v>6</v>
      </c>
      <c r="B141" t="n">
        <v>9</v>
      </c>
      <c r="C141">
        <f>IFERROR(INDEX(資格取込!$S$6:$S$405,MATCH(6&amp;"_"&amp;3,資格取込!$Z$6:$Z$405,0)),"")</f>
        <v/>
      </c>
      <c r="D141">
        <f>IFERROR(INDEX(資格取込!$R$6:$R$405,MATCH(6&amp;"_"&amp;3,資格取込!$Z$6:$Z$405,0)),"")</f>
        <v/>
      </c>
      <c r="E141">
        <f>IF(D141="","",IFERROR(INDEX(資格マスタ!$B:$B,MATCH(ASC(SUBSTITUTE(SUBSTITUTE(D141," ",""),"　","")),資格マスタ!$D:$D,0)),D141))</f>
        <v/>
      </c>
      <c r="F141">
        <f>IF(E141="","",IF(C141="",DATE(9999,1,1),C141))</f>
        <v/>
      </c>
      <c r="G141">
        <f>IF(E141="","",COUNTIFS($F$133:$F$158,"&lt;"&amp;F141,$F$133:$F$158,"&lt;&gt;")+COUNTIFS($F$133:$F$158,F141,$B$133:$B$158,"&lt;"&amp;B141)+1)</f>
        <v/>
      </c>
      <c r="H141">
        <f>IF(OR(E141="",C141=""),"",IF(C141&gt;=DATE(2019,5,1),"令和"&amp;(YEAR(C141)-2018),IF(C141&gt;=DATE(1989,1,8),"平成"&amp;(YEAR(C141)-1988),"昭和"&amp;(YEAR(C141)-1925)))&amp;"年"&amp;MONTH(C141)&amp;"月")</f>
        <v/>
      </c>
    </row>
    <row r="142">
      <c r="A142" t="n">
        <v>6</v>
      </c>
      <c r="B142" t="n">
        <v>10</v>
      </c>
      <c r="C142">
        <f>IFERROR(INDEX(資格取込!$S$6:$S$405,MATCH(6&amp;"_"&amp;4,資格取込!$Z$6:$Z$405,0)),"")</f>
        <v/>
      </c>
      <c r="D142">
        <f>IFERROR(INDEX(資格取込!$R$6:$R$405,MATCH(6&amp;"_"&amp;4,資格取込!$Z$6:$Z$405,0)),"")</f>
        <v/>
      </c>
      <c r="E142">
        <f>IF(D142="","",IFERROR(INDEX(資格マスタ!$B:$B,MATCH(ASC(SUBSTITUTE(SUBSTITUTE(D142," ",""),"　","")),資格マスタ!$D:$D,0)),D142))</f>
        <v/>
      </c>
      <c r="F142">
        <f>IF(E142="","",IF(C142="",DATE(9999,1,1),C142))</f>
        <v/>
      </c>
      <c r="G142">
        <f>IF(E142="","",COUNTIFS($F$133:$F$158,"&lt;"&amp;F142,$F$133:$F$158,"&lt;&gt;")+COUNTIFS($F$133:$F$158,F142,$B$133:$B$158,"&lt;"&amp;B142)+1)</f>
        <v/>
      </c>
      <c r="H142">
        <f>IF(OR(E142="",C142=""),"",IF(C142&gt;=DATE(2019,5,1),"令和"&amp;(YEAR(C142)-2018),IF(C142&gt;=DATE(1989,1,8),"平成"&amp;(YEAR(C142)-1988),"昭和"&amp;(YEAR(C142)-1925)))&amp;"年"&amp;MONTH(C142)&amp;"月")</f>
        <v/>
      </c>
    </row>
    <row r="143">
      <c r="A143" t="n">
        <v>6</v>
      </c>
      <c r="B143" t="n">
        <v>11</v>
      </c>
      <c r="C143">
        <f>IFERROR(INDEX(資格取込!$S$6:$S$405,MATCH(6&amp;"_"&amp;5,資格取込!$Z$6:$Z$405,0)),"")</f>
        <v/>
      </c>
      <c r="D143">
        <f>IFERROR(INDEX(資格取込!$R$6:$R$405,MATCH(6&amp;"_"&amp;5,資格取込!$Z$6:$Z$405,0)),"")</f>
        <v/>
      </c>
      <c r="E143">
        <f>IF(D143="","",IFERROR(INDEX(資格マスタ!$B:$B,MATCH(ASC(SUBSTITUTE(SUBSTITUTE(D143," ",""),"　","")),資格マスタ!$D:$D,0)),D143))</f>
        <v/>
      </c>
      <c r="F143">
        <f>IF(E143="","",IF(C143="",DATE(9999,1,1),C143))</f>
        <v/>
      </c>
      <c r="G143">
        <f>IF(E143="","",COUNTIFS($F$133:$F$158,"&lt;"&amp;F143,$F$133:$F$158,"&lt;&gt;")+COUNTIFS($F$133:$F$158,F143,$B$133:$B$158,"&lt;"&amp;B143)+1)</f>
        <v/>
      </c>
      <c r="H143">
        <f>IF(OR(E143="",C143=""),"",IF(C143&gt;=DATE(2019,5,1),"令和"&amp;(YEAR(C143)-2018),IF(C143&gt;=DATE(1989,1,8),"平成"&amp;(YEAR(C143)-1988),"昭和"&amp;(YEAR(C143)-1925)))&amp;"年"&amp;MONTH(C143)&amp;"月")</f>
        <v/>
      </c>
    </row>
    <row r="144">
      <c r="A144" t="n">
        <v>6</v>
      </c>
      <c r="B144" t="n">
        <v>12</v>
      </c>
      <c r="C144">
        <f>IFERROR(INDEX(資格取込!$S$6:$S$405,MATCH(6&amp;"_"&amp;6,資格取込!$Z$6:$Z$405,0)),"")</f>
        <v/>
      </c>
      <c r="D144">
        <f>IFERROR(INDEX(資格取込!$R$6:$R$405,MATCH(6&amp;"_"&amp;6,資格取込!$Z$6:$Z$405,0)),"")</f>
        <v/>
      </c>
      <c r="E144">
        <f>IF(D144="","",IFERROR(INDEX(資格マスタ!$B:$B,MATCH(ASC(SUBSTITUTE(SUBSTITUTE(D144," ",""),"　","")),資格マスタ!$D:$D,0)),D144))</f>
        <v/>
      </c>
      <c r="F144">
        <f>IF(E144="","",IF(C144="",DATE(9999,1,1),C144))</f>
        <v/>
      </c>
      <c r="G144">
        <f>IF(E144="","",COUNTIFS($F$133:$F$158,"&lt;"&amp;F144,$F$133:$F$158,"&lt;&gt;")+COUNTIFS($F$133:$F$158,F144,$B$133:$B$158,"&lt;"&amp;B144)+1)</f>
        <v/>
      </c>
      <c r="H144">
        <f>IF(OR(E144="",C144=""),"",IF(C144&gt;=DATE(2019,5,1),"令和"&amp;(YEAR(C144)-2018),IF(C144&gt;=DATE(1989,1,8),"平成"&amp;(YEAR(C144)-1988),"昭和"&amp;(YEAR(C144)-1925)))&amp;"年"&amp;MONTH(C144)&amp;"月")</f>
        <v/>
      </c>
    </row>
    <row r="145">
      <c r="A145" t="n">
        <v>6</v>
      </c>
      <c r="B145" t="n">
        <v>13</v>
      </c>
      <c r="C145">
        <f>IFERROR(INDEX(資格取込!$S$6:$S$405,MATCH(6&amp;"_"&amp;7,資格取込!$Z$6:$Z$405,0)),"")</f>
        <v/>
      </c>
      <c r="D145">
        <f>IFERROR(INDEX(資格取込!$R$6:$R$405,MATCH(6&amp;"_"&amp;7,資格取込!$Z$6:$Z$405,0)),"")</f>
        <v/>
      </c>
      <c r="E145">
        <f>IF(D145="","",IFERROR(INDEX(資格マスタ!$B:$B,MATCH(ASC(SUBSTITUTE(SUBSTITUTE(D145," ",""),"　","")),資格マスタ!$D:$D,0)),D145))</f>
        <v/>
      </c>
      <c r="F145">
        <f>IF(E145="","",IF(C145="",DATE(9999,1,1),C145))</f>
        <v/>
      </c>
      <c r="G145">
        <f>IF(E145="","",COUNTIFS($F$133:$F$158,"&lt;"&amp;F145,$F$133:$F$158,"&lt;&gt;")+COUNTIFS($F$133:$F$158,F145,$B$133:$B$158,"&lt;"&amp;B145)+1)</f>
        <v/>
      </c>
      <c r="H145">
        <f>IF(OR(E145="",C145=""),"",IF(C145&gt;=DATE(2019,5,1),"令和"&amp;(YEAR(C145)-2018),IF(C145&gt;=DATE(1989,1,8),"平成"&amp;(YEAR(C145)-1988),"昭和"&amp;(YEAR(C145)-1925)))&amp;"年"&amp;MONTH(C145)&amp;"月")</f>
        <v/>
      </c>
    </row>
    <row r="146">
      <c r="A146" t="n">
        <v>6</v>
      </c>
      <c r="B146" t="n">
        <v>14</v>
      </c>
      <c r="C146">
        <f>IFERROR(INDEX(資格取込!$S$6:$S$405,MATCH(6&amp;"_"&amp;8,資格取込!$Z$6:$Z$405,0)),"")</f>
        <v/>
      </c>
      <c r="D146">
        <f>IFERROR(INDEX(資格取込!$R$6:$R$405,MATCH(6&amp;"_"&amp;8,資格取込!$Z$6:$Z$405,0)),"")</f>
        <v/>
      </c>
      <c r="E146">
        <f>IF(D146="","",IFERROR(INDEX(資格マスタ!$B:$B,MATCH(ASC(SUBSTITUTE(SUBSTITUTE(D146," ",""),"　","")),資格マスタ!$D:$D,0)),D146))</f>
        <v/>
      </c>
      <c r="F146">
        <f>IF(E146="","",IF(C146="",DATE(9999,1,1),C146))</f>
        <v/>
      </c>
      <c r="G146">
        <f>IF(E146="","",COUNTIFS($F$133:$F$158,"&lt;"&amp;F146,$F$133:$F$158,"&lt;&gt;")+COUNTIFS($F$133:$F$158,F146,$B$133:$B$158,"&lt;"&amp;B146)+1)</f>
        <v/>
      </c>
      <c r="H146">
        <f>IF(OR(E146="",C146=""),"",IF(C146&gt;=DATE(2019,5,1),"令和"&amp;(YEAR(C146)-2018),IF(C146&gt;=DATE(1989,1,8),"平成"&amp;(YEAR(C146)-1988),"昭和"&amp;(YEAR(C146)-1925)))&amp;"年"&amp;MONTH(C146)&amp;"月")</f>
        <v/>
      </c>
    </row>
    <row r="147">
      <c r="A147" t="n">
        <v>6</v>
      </c>
      <c r="B147" t="n">
        <v>15</v>
      </c>
      <c r="C147">
        <f>IFERROR(INDEX(資格取込!$S$6:$S$405,MATCH(6&amp;"_"&amp;9,資格取込!$Z$6:$Z$405,0)),"")</f>
        <v/>
      </c>
      <c r="D147">
        <f>IFERROR(INDEX(資格取込!$R$6:$R$405,MATCH(6&amp;"_"&amp;9,資格取込!$Z$6:$Z$405,0)),"")</f>
        <v/>
      </c>
      <c r="E147">
        <f>IF(D147="","",IFERROR(INDEX(資格マスタ!$B:$B,MATCH(ASC(SUBSTITUTE(SUBSTITUTE(D147," ",""),"　","")),資格マスタ!$D:$D,0)),D147))</f>
        <v/>
      </c>
      <c r="F147">
        <f>IF(E147="","",IF(C147="",DATE(9999,1,1),C147))</f>
        <v/>
      </c>
      <c r="G147">
        <f>IF(E147="","",COUNTIFS($F$133:$F$158,"&lt;"&amp;F147,$F$133:$F$158,"&lt;&gt;")+COUNTIFS($F$133:$F$158,F147,$B$133:$B$158,"&lt;"&amp;B147)+1)</f>
        <v/>
      </c>
      <c r="H147">
        <f>IF(OR(E147="",C147=""),"",IF(C147&gt;=DATE(2019,5,1),"令和"&amp;(YEAR(C147)-2018),IF(C147&gt;=DATE(1989,1,8),"平成"&amp;(YEAR(C147)-1988),"昭和"&amp;(YEAR(C147)-1925)))&amp;"年"&amp;MONTH(C147)&amp;"月")</f>
        <v/>
      </c>
    </row>
    <row r="148">
      <c r="A148" t="n">
        <v>6</v>
      </c>
      <c r="B148" t="n">
        <v>16</v>
      </c>
      <c r="C148">
        <f>IFERROR(INDEX(資格取込!$S$6:$S$405,MATCH(6&amp;"_"&amp;10,資格取込!$Z$6:$Z$405,0)),"")</f>
        <v/>
      </c>
      <c r="D148">
        <f>IFERROR(INDEX(資格取込!$R$6:$R$405,MATCH(6&amp;"_"&amp;10,資格取込!$Z$6:$Z$405,0)),"")</f>
        <v/>
      </c>
      <c r="E148">
        <f>IF(D148="","",IFERROR(INDEX(資格マスタ!$B:$B,MATCH(ASC(SUBSTITUTE(SUBSTITUTE(D148," ",""),"　","")),資格マスタ!$D:$D,0)),D148))</f>
        <v/>
      </c>
      <c r="F148">
        <f>IF(E148="","",IF(C148="",DATE(9999,1,1),C148))</f>
        <v/>
      </c>
      <c r="G148">
        <f>IF(E148="","",COUNTIFS($F$133:$F$158,"&lt;"&amp;F148,$F$133:$F$158,"&lt;&gt;")+COUNTIFS($F$133:$F$158,F148,$B$133:$B$158,"&lt;"&amp;B148)+1)</f>
        <v/>
      </c>
      <c r="H148">
        <f>IF(OR(E148="",C148=""),"",IF(C148&gt;=DATE(2019,5,1),"令和"&amp;(YEAR(C148)-2018),IF(C148&gt;=DATE(1989,1,8),"平成"&amp;(YEAR(C148)-1988),"昭和"&amp;(YEAR(C148)-1925)))&amp;"年"&amp;MONTH(C148)&amp;"月")</f>
        <v/>
      </c>
    </row>
    <row r="149">
      <c r="A149" t="n">
        <v>6</v>
      </c>
      <c r="B149" t="n">
        <v>17</v>
      </c>
      <c r="C149">
        <f>IFERROR(INDEX(資格取込!$S$6:$S$405,MATCH(6&amp;"_"&amp;11,資格取込!$Z$6:$Z$405,0)),"")</f>
        <v/>
      </c>
      <c r="D149">
        <f>IFERROR(INDEX(資格取込!$R$6:$R$405,MATCH(6&amp;"_"&amp;11,資格取込!$Z$6:$Z$405,0)),"")</f>
        <v/>
      </c>
      <c r="E149">
        <f>IF(D149="","",IFERROR(INDEX(資格マスタ!$B:$B,MATCH(ASC(SUBSTITUTE(SUBSTITUTE(D149," ",""),"　","")),資格マスタ!$D:$D,0)),D149))</f>
        <v/>
      </c>
      <c r="F149">
        <f>IF(E149="","",IF(C149="",DATE(9999,1,1),C149))</f>
        <v/>
      </c>
      <c r="G149">
        <f>IF(E149="","",COUNTIFS($F$133:$F$158,"&lt;"&amp;F149,$F$133:$F$158,"&lt;&gt;")+COUNTIFS($F$133:$F$158,F149,$B$133:$B$158,"&lt;"&amp;B149)+1)</f>
        <v/>
      </c>
      <c r="H149">
        <f>IF(OR(E149="",C149=""),"",IF(C149&gt;=DATE(2019,5,1),"令和"&amp;(YEAR(C149)-2018),IF(C149&gt;=DATE(1989,1,8),"平成"&amp;(YEAR(C149)-1988),"昭和"&amp;(YEAR(C149)-1925)))&amp;"年"&amp;MONTH(C149)&amp;"月")</f>
        <v/>
      </c>
    </row>
    <row r="150">
      <c r="A150" t="n">
        <v>6</v>
      </c>
      <c r="B150" t="n">
        <v>18</v>
      </c>
      <c r="C150">
        <f>IFERROR(INDEX(資格取込!$S$6:$S$405,MATCH(6&amp;"_"&amp;12,資格取込!$Z$6:$Z$405,0)),"")</f>
        <v/>
      </c>
      <c r="D150">
        <f>IFERROR(INDEX(資格取込!$R$6:$R$405,MATCH(6&amp;"_"&amp;12,資格取込!$Z$6:$Z$405,0)),"")</f>
        <v/>
      </c>
      <c r="E150">
        <f>IF(D150="","",IFERROR(INDEX(資格マスタ!$B:$B,MATCH(ASC(SUBSTITUTE(SUBSTITUTE(D150," ",""),"　","")),資格マスタ!$D:$D,0)),D150))</f>
        <v/>
      </c>
      <c r="F150">
        <f>IF(E150="","",IF(C150="",DATE(9999,1,1),C150))</f>
        <v/>
      </c>
      <c r="G150">
        <f>IF(E150="","",COUNTIFS($F$133:$F$158,"&lt;"&amp;F150,$F$133:$F$158,"&lt;&gt;")+COUNTIFS($F$133:$F$158,F150,$B$133:$B$158,"&lt;"&amp;B150)+1)</f>
        <v/>
      </c>
      <c r="H150">
        <f>IF(OR(E150="",C150=""),"",IF(C150&gt;=DATE(2019,5,1),"令和"&amp;(YEAR(C150)-2018),IF(C150&gt;=DATE(1989,1,8),"平成"&amp;(YEAR(C150)-1988),"昭和"&amp;(YEAR(C150)-1925)))&amp;"年"&amp;MONTH(C150)&amp;"月")</f>
        <v/>
      </c>
    </row>
    <row r="151">
      <c r="A151" t="n">
        <v>6</v>
      </c>
      <c r="B151" t="n">
        <v>19</v>
      </c>
      <c r="C151">
        <f>IFERROR(INDEX(資格取込!$S$6:$S$405,MATCH(6&amp;"_"&amp;13,資格取込!$Z$6:$Z$405,0)),"")</f>
        <v/>
      </c>
      <c r="D151">
        <f>IFERROR(INDEX(資格取込!$R$6:$R$405,MATCH(6&amp;"_"&amp;13,資格取込!$Z$6:$Z$405,0)),"")</f>
        <v/>
      </c>
      <c r="E151">
        <f>IF(D151="","",IFERROR(INDEX(資格マスタ!$B:$B,MATCH(ASC(SUBSTITUTE(SUBSTITUTE(D151," ",""),"　","")),資格マスタ!$D:$D,0)),D151))</f>
        <v/>
      </c>
      <c r="F151">
        <f>IF(E151="","",IF(C151="",DATE(9999,1,1),C151))</f>
        <v/>
      </c>
      <c r="G151">
        <f>IF(E151="","",COUNTIFS($F$133:$F$158,"&lt;"&amp;F151,$F$133:$F$158,"&lt;&gt;")+COUNTIFS($F$133:$F$158,F151,$B$133:$B$158,"&lt;"&amp;B151)+1)</f>
        <v/>
      </c>
      <c r="H151">
        <f>IF(OR(E151="",C151=""),"",IF(C151&gt;=DATE(2019,5,1),"令和"&amp;(YEAR(C151)-2018),IF(C151&gt;=DATE(1989,1,8),"平成"&amp;(YEAR(C151)-1988),"昭和"&amp;(YEAR(C151)-1925)))&amp;"年"&amp;MONTH(C151)&amp;"月")</f>
        <v/>
      </c>
    </row>
    <row r="152">
      <c r="A152" t="n">
        <v>6</v>
      </c>
      <c r="B152" t="n">
        <v>20</v>
      </c>
      <c r="C152">
        <f>IFERROR(INDEX(資格取込!$S$6:$S$405,MATCH(6&amp;"_"&amp;14,資格取込!$Z$6:$Z$405,0)),"")</f>
        <v/>
      </c>
      <c r="D152">
        <f>IFERROR(INDEX(資格取込!$R$6:$R$405,MATCH(6&amp;"_"&amp;14,資格取込!$Z$6:$Z$405,0)),"")</f>
        <v/>
      </c>
      <c r="E152">
        <f>IF(D152="","",IFERROR(INDEX(資格マスタ!$B:$B,MATCH(ASC(SUBSTITUTE(SUBSTITUTE(D152," ",""),"　","")),資格マスタ!$D:$D,0)),D152))</f>
        <v/>
      </c>
      <c r="F152">
        <f>IF(E152="","",IF(C152="",DATE(9999,1,1),C152))</f>
        <v/>
      </c>
      <c r="G152">
        <f>IF(E152="","",COUNTIFS($F$133:$F$158,"&lt;"&amp;F152,$F$133:$F$158,"&lt;&gt;")+COUNTIFS($F$133:$F$158,F152,$B$133:$B$158,"&lt;"&amp;B152)+1)</f>
        <v/>
      </c>
      <c r="H152">
        <f>IF(OR(E152="",C152=""),"",IF(C152&gt;=DATE(2019,5,1),"令和"&amp;(YEAR(C152)-2018),IF(C152&gt;=DATE(1989,1,8),"平成"&amp;(YEAR(C152)-1988),"昭和"&amp;(YEAR(C152)-1925)))&amp;"年"&amp;MONTH(C152)&amp;"月")</f>
        <v/>
      </c>
    </row>
    <row r="153">
      <c r="A153" t="n">
        <v>6</v>
      </c>
      <c r="B153" t="n">
        <v>21</v>
      </c>
      <c r="C153">
        <f>IFERROR(INDEX(資格取込!$S$6:$S$405,MATCH(6&amp;"_"&amp;15,資格取込!$Z$6:$Z$405,0)),"")</f>
        <v/>
      </c>
      <c r="D153">
        <f>IFERROR(INDEX(資格取込!$R$6:$R$405,MATCH(6&amp;"_"&amp;15,資格取込!$Z$6:$Z$405,0)),"")</f>
        <v/>
      </c>
      <c r="E153">
        <f>IF(D153="","",IFERROR(INDEX(資格マスタ!$B:$B,MATCH(ASC(SUBSTITUTE(SUBSTITUTE(D153," ",""),"　","")),資格マスタ!$D:$D,0)),D153))</f>
        <v/>
      </c>
      <c r="F153">
        <f>IF(E153="","",IF(C153="",DATE(9999,1,1),C153))</f>
        <v/>
      </c>
      <c r="G153">
        <f>IF(E153="","",COUNTIFS($F$133:$F$158,"&lt;"&amp;F153,$F$133:$F$158,"&lt;&gt;")+COUNTIFS($F$133:$F$158,F153,$B$133:$B$158,"&lt;"&amp;B153)+1)</f>
        <v/>
      </c>
      <c r="H153">
        <f>IF(OR(E153="",C153=""),"",IF(C153&gt;=DATE(2019,5,1),"令和"&amp;(YEAR(C153)-2018),IF(C153&gt;=DATE(1989,1,8),"平成"&amp;(YEAR(C153)-1988),"昭和"&amp;(YEAR(C153)-1925)))&amp;"年"&amp;MONTH(C153)&amp;"月")</f>
        <v/>
      </c>
    </row>
    <row r="154">
      <c r="A154" t="n">
        <v>6</v>
      </c>
      <c r="B154" t="n">
        <v>22</v>
      </c>
      <c r="C154">
        <f>IFERROR(INDEX(資格取込!$S$6:$S$405,MATCH(6&amp;"_"&amp;16,資格取込!$Z$6:$Z$405,0)),"")</f>
        <v/>
      </c>
      <c r="D154">
        <f>IFERROR(INDEX(資格取込!$R$6:$R$405,MATCH(6&amp;"_"&amp;16,資格取込!$Z$6:$Z$405,0)),"")</f>
        <v/>
      </c>
      <c r="E154">
        <f>IF(D154="","",IFERROR(INDEX(資格マスタ!$B:$B,MATCH(ASC(SUBSTITUTE(SUBSTITUTE(D154," ",""),"　","")),資格マスタ!$D:$D,0)),D154))</f>
        <v/>
      </c>
      <c r="F154">
        <f>IF(E154="","",IF(C154="",DATE(9999,1,1),C154))</f>
        <v/>
      </c>
      <c r="G154">
        <f>IF(E154="","",COUNTIFS($F$133:$F$158,"&lt;"&amp;F154,$F$133:$F$158,"&lt;&gt;")+COUNTIFS($F$133:$F$158,F154,$B$133:$B$158,"&lt;"&amp;B154)+1)</f>
        <v/>
      </c>
      <c r="H154">
        <f>IF(OR(E154="",C154=""),"",IF(C154&gt;=DATE(2019,5,1),"令和"&amp;(YEAR(C154)-2018),IF(C154&gt;=DATE(1989,1,8),"平成"&amp;(YEAR(C154)-1988),"昭和"&amp;(YEAR(C154)-1925)))&amp;"年"&amp;MONTH(C154)&amp;"月")</f>
        <v/>
      </c>
    </row>
    <row r="155">
      <c r="A155" t="n">
        <v>6</v>
      </c>
      <c r="B155" t="n">
        <v>23</v>
      </c>
      <c r="C155">
        <f>IFERROR(INDEX(資格取込!$S$6:$S$405,MATCH(6&amp;"_"&amp;17,資格取込!$Z$6:$Z$405,0)),"")</f>
        <v/>
      </c>
      <c r="D155">
        <f>IFERROR(INDEX(資格取込!$R$6:$R$405,MATCH(6&amp;"_"&amp;17,資格取込!$Z$6:$Z$405,0)),"")</f>
        <v/>
      </c>
      <c r="E155">
        <f>IF(D155="","",IFERROR(INDEX(資格マスタ!$B:$B,MATCH(ASC(SUBSTITUTE(SUBSTITUTE(D155," ",""),"　","")),資格マスタ!$D:$D,0)),D155))</f>
        <v/>
      </c>
      <c r="F155">
        <f>IF(E155="","",IF(C155="",DATE(9999,1,1),C155))</f>
        <v/>
      </c>
      <c r="G155">
        <f>IF(E155="","",COUNTIFS($F$133:$F$158,"&lt;"&amp;F155,$F$133:$F$158,"&lt;&gt;")+COUNTIFS($F$133:$F$158,F155,$B$133:$B$158,"&lt;"&amp;B155)+1)</f>
        <v/>
      </c>
      <c r="H155">
        <f>IF(OR(E155="",C155=""),"",IF(C155&gt;=DATE(2019,5,1),"令和"&amp;(YEAR(C155)-2018),IF(C155&gt;=DATE(1989,1,8),"平成"&amp;(YEAR(C155)-1988),"昭和"&amp;(YEAR(C155)-1925)))&amp;"年"&amp;MONTH(C155)&amp;"月")</f>
        <v/>
      </c>
    </row>
    <row r="156">
      <c r="A156" t="n">
        <v>6</v>
      </c>
      <c r="B156" t="n">
        <v>24</v>
      </c>
      <c r="C156">
        <f>IFERROR(INDEX(資格取込!$S$6:$S$405,MATCH(6&amp;"_"&amp;18,資格取込!$Z$6:$Z$405,0)),"")</f>
        <v/>
      </c>
      <c r="D156">
        <f>IFERROR(INDEX(資格取込!$R$6:$R$405,MATCH(6&amp;"_"&amp;18,資格取込!$Z$6:$Z$405,0)),"")</f>
        <v/>
      </c>
      <c r="E156">
        <f>IF(D156="","",IFERROR(INDEX(資格マスタ!$B:$B,MATCH(ASC(SUBSTITUTE(SUBSTITUTE(D156," ",""),"　","")),資格マスタ!$D:$D,0)),D156))</f>
        <v/>
      </c>
      <c r="F156">
        <f>IF(E156="","",IF(C156="",DATE(9999,1,1),C156))</f>
        <v/>
      </c>
      <c r="G156">
        <f>IF(E156="","",COUNTIFS($F$133:$F$158,"&lt;"&amp;F156,$F$133:$F$158,"&lt;&gt;")+COUNTIFS($F$133:$F$158,F156,$B$133:$B$158,"&lt;"&amp;B156)+1)</f>
        <v/>
      </c>
      <c r="H156">
        <f>IF(OR(E156="",C156=""),"",IF(C156&gt;=DATE(2019,5,1),"令和"&amp;(YEAR(C156)-2018),IF(C156&gt;=DATE(1989,1,8),"平成"&amp;(YEAR(C156)-1988),"昭和"&amp;(YEAR(C156)-1925)))&amp;"年"&amp;MONTH(C156)&amp;"月")</f>
        <v/>
      </c>
    </row>
    <row r="157">
      <c r="A157" t="n">
        <v>6</v>
      </c>
      <c r="B157" t="n">
        <v>25</v>
      </c>
      <c r="C157">
        <f>IFERROR(INDEX(資格取込!$S$6:$S$405,MATCH(6&amp;"_"&amp;19,資格取込!$Z$6:$Z$405,0)),"")</f>
        <v/>
      </c>
      <c r="D157">
        <f>IFERROR(INDEX(資格取込!$R$6:$R$405,MATCH(6&amp;"_"&amp;19,資格取込!$Z$6:$Z$405,0)),"")</f>
        <v/>
      </c>
      <c r="E157">
        <f>IF(D157="","",IFERROR(INDEX(資格マスタ!$B:$B,MATCH(ASC(SUBSTITUTE(SUBSTITUTE(D157," ",""),"　","")),資格マスタ!$D:$D,0)),D157))</f>
        <v/>
      </c>
      <c r="F157">
        <f>IF(E157="","",IF(C157="",DATE(9999,1,1),C157))</f>
        <v/>
      </c>
      <c r="G157">
        <f>IF(E157="","",COUNTIFS($F$133:$F$158,"&lt;"&amp;F157,$F$133:$F$158,"&lt;&gt;")+COUNTIFS($F$133:$F$158,F157,$B$133:$B$158,"&lt;"&amp;B157)+1)</f>
        <v/>
      </c>
      <c r="H157">
        <f>IF(OR(E157="",C157=""),"",IF(C157&gt;=DATE(2019,5,1),"令和"&amp;(YEAR(C157)-2018),IF(C157&gt;=DATE(1989,1,8),"平成"&amp;(YEAR(C157)-1988),"昭和"&amp;(YEAR(C157)-1925)))&amp;"年"&amp;MONTH(C157)&amp;"月")</f>
        <v/>
      </c>
    </row>
    <row r="158">
      <c r="A158" t="n">
        <v>6</v>
      </c>
      <c r="B158" t="n">
        <v>26</v>
      </c>
      <c r="C158">
        <f>IFERROR(INDEX(資格取込!$S$6:$S$405,MATCH(6&amp;"_"&amp;20,資格取込!$Z$6:$Z$405,0)),"")</f>
        <v/>
      </c>
      <c r="D158">
        <f>IFERROR(INDEX(資格取込!$R$6:$R$405,MATCH(6&amp;"_"&amp;20,資格取込!$Z$6:$Z$405,0)),"")</f>
        <v/>
      </c>
      <c r="E158">
        <f>IF(D158="","",IFERROR(INDEX(資格マスタ!$B:$B,MATCH(ASC(SUBSTITUTE(SUBSTITUTE(D158," ",""),"　","")),資格マスタ!$D:$D,0)),D158))</f>
        <v/>
      </c>
      <c r="F158">
        <f>IF(E158="","",IF(C158="",DATE(9999,1,1),C158))</f>
        <v/>
      </c>
      <c r="G158">
        <f>IF(E158="","",COUNTIFS($F$133:$F$158,"&lt;"&amp;F158,$F$133:$F$158,"&lt;&gt;")+COUNTIFS($F$133:$F$158,F158,$B$133:$B$158,"&lt;"&amp;B158)+1)</f>
        <v/>
      </c>
      <c r="H158">
        <f>IF(OR(E158="",C158=""),"",IF(C158&gt;=DATE(2019,5,1),"令和"&amp;(YEAR(C158)-2018),IF(C158&gt;=DATE(1989,1,8),"平成"&amp;(YEAR(C158)-1988),"昭和"&amp;(YEAR(C158)-1925)))&amp;"年"&amp;MONTH(C158)&amp;"月")</f>
        <v/>
      </c>
    </row>
    <row r="159">
      <c r="A159" t="n">
        <v>7</v>
      </c>
      <c r="B159" t="n">
        <v>1</v>
      </c>
      <c r="C159"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159">
        <f>IF(入力!N11="","",入力!N11)</f>
        <v/>
      </c>
      <c r="E159">
        <f>IF(D159="","",IFERROR(INDEX(資格マスタ!$B:$B,MATCH(ASC(SUBSTITUTE(SUBSTITUTE(D159," ",""),"　","")),資格マスタ!$D:$D,0)),D159))</f>
        <v/>
      </c>
      <c r="F159">
        <f>IF(E159="","",IF(C159="",DATE(9999,1,1),C159))</f>
        <v/>
      </c>
      <c r="G159">
        <f>IF(E159="","",COUNTIFS($F$159:$F$184,"&lt;"&amp;F159,$F$159:$F$184,"&lt;&gt;")+COUNTIFS($F$159:$F$184,F159,$B$159:$B$184,"&lt;"&amp;B159)+1)</f>
        <v/>
      </c>
      <c r="H159">
        <f>IF(OR(E159="",C159=""),"",IF(C159&gt;=DATE(2019,5,1),"令和"&amp;(YEAR(C159)-2018),IF(C159&gt;=DATE(1989,1,8),"平成"&amp;(YEAR(C159)-1988),"昭和"&amp;(YEAR(C159)-1925)))&amp;"年"&amp;MONTH(C159)&amp;"月")</f>
        <v/>
      </c>
    </row>
    <row r="160">
      <c r="A160" t="n">
        <v>7</v>
      </c>
      <c r="B160" t="n">
        <v>2</v>
      </c>
      <c r="C160">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160">
        <f>IF(入力!P11="","",入力!P11)</f>
        <v/>
      </c>
      <c r="E160">
        <f>IF(D160="","",IFERROR(INDEX(資格マスタ!$B:$B,MATCH(ASC(SUBSTITUTE(SUBSTITUTE(D160," ",""),"　","")),資格マスタ!$D:$D,0)),D160))</f>
        <v/>
      </c>
      <c r="F160">
        <f>IF(E160="","",IF(C160="",DATE(9999,1,1),C160))</f>
        <v/>
      </c>
      <c r="G160">
        <f>IF(E160="","",COUNTIFS($F$159:$F$184,"&lt;"&amp;F160,$F$159:$F$184,"&lt;&gt;")+COUNTIFS($F$159:$F$184,F160,$B$159:$B$184,"&lt;"&amp;B160)+1)</f>
        <v/>
      </c>
      <c r="H160">
        <f>IF(OR(E160="",C160=""),"",IF(C160&gt;=DATE(2019,5,1),"令和"&amp;(YEAR(C160)-2018),IF(C160&gt;=DATE(1989,1,8),"平成"&amp;(YEAR(C160)-1988),"昭和"&amp;(YEAR(C160)-1925)))&amp;"年"&amp;MONTH(C160)&amp;"月")</f>
        <v/>
      </c>
    </row>
    <row r="161">
      <c r="A161" t="n">
        <v>7</v>
      </c>
      <c r="B161" t="n">
        <v>3</v>
      </c>
      <c r="C161">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161">
        <f>IF(入力!R11="","",入力!R11)</f>
        <v/>
      </c>
      <c r="E161">
        <f>IF(D161="","",IFERROR(INDEX(資格マスタ!$B:$B,MATCH(ASC(SUBSTITUTE(SUBSTITUTE(D161," ",""),"　","")),資格マスタ!$D:$D,0)),D161))</f>
        <v/>
      </c>
      <c r="F161">
        <f>IF(E161="","",IF(C161="",DATE(9999,1,1),C161))</f>
        <v/>
      </c>
      <c r="G161">
        <f>IF(E161="","",COUNTIFS($F$159:$F$184,"&lt;"&amp;F161,$F$159:$F$184,"&lt;&gt;")+COUNTIFS($F$159:$F$184,F161,$B$159:$B$184,"&lt;"&amp;B161)+1)</f>
        <v/>
      </c>
      <c r="H161">
        <f>IF(OR(E161="",C161=""),"",IF(C161&gt;=DATE(2019,5,1),"令和"&amp;(YEAR(C161)-2018),IF(C161&gt;=DATE(1989,1,8),"平成"&amp;(YEAR(C161)-1988),"昭和"&amp;(YEAR(C161)-1925)))&amp;"年"&amp;MONTH(C161)&amp;"月")</f>
        <v/>
      </c>
    </row>
    <row r="162">
      <c r="A162" t="n">
        <v>7</v>
      </c>
      <c r="B162" t="n">
        <v>4</v>
      </c>
      <c r="C162">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162">
        <f>IF(入力!T11="","",入力!T11)</f>
        <v/>
      </c>
      <c r="E162">
        <f>IF(D162="","",IFERROR(INDEX(資格マスタ!$B:$B,MATCH(ASC(SUBSTITUTE(SUBSTITUTE(D162," ",""),"　","")),資格マスタ!$D:$D,0)),D162))</f>
        <v/>
      </c>
      <c r="F162">
        <f>IF(E162="","",IF(C162="",DATE(9999,1,1),C162))</f>
        <v/>
      </c>
      <c r="G162">
        <f>IF(E162="","",COUNTIFS($F$159:$F$184,"&lt;"&amp;F162,$F$159:$F$184,"&lt;&gt;")+COUNTIFS($F$159:$F$184,F162,$B$159:$B$184,"&lt;"&amp;B162)+1)</f>
        <v/>
      </c>
      <c r="H162">
        <f>IF(OR(E162="",C162=""),"",IF(C162&gt;=DATE(2019,5,1),"令和"&amp;(YEAR(C162)-2018),IF(C162&gt;=DATE(1989,1,8),"平成"&amp;(YEAR(C162)-1988),"昭和"&amp;(YEAR(C162)-1925)))&amp;"年"&amp;MONTH(C162)&amp;"月")</f>
        <v/>
      </c>
    </row>
    <row r="163">
      <c r="A163" t="n">
        <v>7</v>
      </c>
      <c r="B163" t="n">
        <v>5</v>
      </c>
      <c r="C163">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163">
        <f>IF(入力!V11="","",入力!V11)</f>
        <v/>
      </c>
      <c r="E163">
        <f>IF(D163="","",IFERROR(INDEX(資格マスタ!$B:$B,MATCH(ASC(SUBSTITUTE(SUBSTITUTE(D163," ",""),"　","")),資格マスタ!$D:$D,0)),D163))</f>
        <v/>
      </c>
      <c r="F163">
        <f>IF(E163="","",IF(C163="",DATE(9999,1,1),C163))</f>
        <v/>
      </c>
      <c r="G163">
        <f>IF(E163="","",COUNTIFS($F$159:$F$184,"&lt;"&amp;F163,$F$159:$F$184,"&lt;&gt;")+COUNTIFS($F$159:$F$184,F163,$B$159:$B$184,"&lt;"&amp;B163)+1)</f>
        <v/>
      </c>
      <c r="H163">
        <f>IF(OR(E163="",C163=""),"",IF(C163&gt;=DATE(2019,5,1),"令和"&amp;(YEAR(C163)-2018),IF(C163&gt;=DATE(1989,1,8),"平成"&amp;(YEAR(C163)-1988),"昭和"&amp;(YEAR(C163)-1925)))&amp;"年"&amp;MONTH(C163)&amp;"月")</f>
        <v/>
      </c>
    </row>
    <row r="164">
      <c r="A164" t="n">
        <v>7</v>
      </c>
      <c r="B164" t="n">
        <v>6</v>
      </c>
      <c r="C164">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164">
        <f>IF(入力!X11="","",入力!X11)</f>
        <v/>
      </c>
      <c r="E164">
        <f>IF(D164="","",IFERROR(INDEX(資格マスタ!$B:$B,MATCH(ASC(SUBSTITUTE(SUBSTITUTE(D164," ",""),"　","")),資格マスタ!$D:$D,0)),D164))</f>
        <v/>
      </c>
      <c r="F164">
        <f>IF(E164="","",IF(C164="",DATE(9999,1,1),C164))</f>
        <v/>
      </c>
      <c r="G164">
        <f>IF(E164="","",COUNTIFS($F$159:$F$184,"&lt;"&amp;F164,$F$159:$F$184,"&lt;&gt;")+COUNTIFS($F$159:$F$184,F164,$B$159:$B$184,"&lt;"&amp;B164)+1)</f>
        <v/>
      </c>
      <c r="H164">
        <f>IF(OR(E164="",C164=""),"",IF(C164&gt;=DATE(2019,5,1),"令和"&amp;(YEAR(C164)-2018),IF(C164&gt;=DATE(1989,1,8),"平成"&amp;(YEAR(C164)-1988),"昭和"&amp;(YEAR(C164)-1925)))&amp;"年"&amp;MONTH(C164)&amp;"月")</f>
        <v/>
      </c>
    </row>
    <row r="165">
      <c r="A165" t="n">
        <v>7</v>
      </c>
      <c r="B165" t="n">
        <v>7</v>
      </c>
      <c r="C165">
        <f>IFERROR(INDEX(資格取込!$S$6:$S$405,MATCH(7&amp;"_"&amp;1,資格取込!$Z$6:$Z$405,0)),"")</f>
        <v/>
      </c>
      <c r="D165">
        <f>IFERROR(INDEX(資格取込!$R$6:$R$405,MATCH(7&amp;"_"&amp;1,資格取込!$Z$6:$Z$405,0)),"")</f>
        <v/>
      </c>
      <c r="E165">
        <f>IF(D165="","",IFERROR(INDEX(資格マスタ!$B:$B,MATCH(ASC(SUBSTITUTE(SUBSTITUTE(D165," ",""),"　","")),資格マスタ!$D:$D,0)),D165))</f>
        <v/>
      </c>
      <c r="F165">
        <f>IF(E165="","",IF(C165="",DATE(9999,1,1),C165))</f>
        <v/>
      </c>
      <c r="G165">
        <f>IF(E165="","",COUNTIFS($F$159:$F$184,"&lt;"&amp;F165,$F$159:$F$184,"&lt;&gt;")+COUNTIFS($F$159:$F$184,F165,$B$159:$B$184,"&lt;"&amp;B165)+1)</f>
        <v/>
      </c>
      <c r="H165">
        <f>IF(OR(E165="",C165=""),"",IF(C165&gt;=DATE(2019,5,1),"令和"&amp;(YEAR(C165)-2018),IF(C165&gt;=DATE(1989,1,8),"平成"&amp;(YEAR(C165)-1988),"昭和"&amp;(YEAR(C165)-1925)))&amp;"年"&amp;MONTH(C165)&amp;"月")</f>
        <v/>
      </c>
    </row>
    <row r="166">
      <c r="A166" t="n">
        <v>7</v>
      </c>
      <c r="B166" t="n">
        <v>8</v>
      </c>
      <c r="C166">
        <f>IFERROR(INDEX(資格取込!$S$6:$S$405,MATCH(7&amp;"_"&amp;2,資格取込!$Z$6:$Z$405,0)),"")</f>
        <v/>
      </c>
      <c r="D166">
        <f>IFERROR(INDEX(資格取込!$R$6:$R$405,MATCH(7&amp;"_"&amp;2,資格取込!$Z$6:$Z$405,0)),"")</f>
        <v/>
      </c>
      <c r="E166">
        <f>IF(D166="","",IFERROR(INDEX(資格マスタ!$B:$B,MATCH(ASC(SUBSTITUTE(SUBSTITUTE(D166," ",""),"　","")),資格マスタ!$D:$D,0)),D166))</f>
        <v/>
      </c>
      <c r="F166">
        <f>IF(E166="","",IF(C166="",DATE(9999,1,1),C166))</f>
        <v/>
      </c>
      <c r="G166">
        <f>IF(E166="","",COUNTIFS($F$159:$F$184,"&lt;"&amp;F166,$F$159:$F$184,"&lt;&gt;")+COUNTIFS($F$159:$F$184,F166,$B$159:$B$184,"&lt;"&amp;B166)+1)</f>
        <v/>
      </c>
      <c r="H166">
        <f>IF(OR(E166="",C166=""),"",IF(C166&gt;=DATE(2019,5,1),"令和"&amp;(YEAR(C166)-2018),IF(C166&gt;=DATE(1989,1,8),"平成"&amp;(YEAR(C166)-1988),"昭和"&amp;(YEAR(C166)-1925)))&amp;"年"&amp;MONTH(C166)&amp;"月")</f>
        <v/>
      </c>
    </row>
    <row r="167">
      <c r="A167" t="n">
        <v>7</v>
      </c>
      <c r="B167" t="n">
        <v>9</v>
      </c>
      <c r="C167">
        <f>IFERROR(INDEX(資格取込!$S$6:$S$405,MATCH(7&amp;"_"&amp;3,資格取込!$Z$6:$Z$405,0)),"")</f>
        <v/>
      </c>
      <c r="D167">
        <f>IFERROR(INDEX(資格取込!$R$6:$R$405,MATCH(7&amp;"_"&amp;3,資格取込!$Z$6:$Z$405,0)),"")</f>
        <v/>
      </c>
      <c r="E167">
        <f>IF(D167="","",IFERROR(INDEX(資格マスタ!$B:$B,MATCH(ASC(SUBSTITUTE(SUBSTITUTE(D167," ",""),"　","")),資格マスタ!$D:$D,0)),D167))</f>
        <v/>
      </c>
      <c r="F167">
        <f>IF(E167="","",IF(C167="",DATE(9999,1,1),C167))</f>
        <v/>
      </c>
      <c r="G167">
        <f>IF(E167="","",COUNTIFS($F$159:$F$184,"&lt;"&amp;F167,$F$159:$F$184,"&lt;&gt;")+COUNTIFS($F$159:$F$184,F167,$B$159:$B$184,"&lt;"&amp;B167)+1)</f>
        <v/>
      </c>
      <c r="H167">
        <f>IF(OR(E167="",C167=""),"",IF(C167&gt;=DATE(2019,5,1),"令和"&amp;(YEAR(C167)-2018),IF(C167&gt;=DATE(1989,1,8),"平成"&amp;(YEAR(C167)-1988),"昭和"&amp;(YEAR(C167)-1925)))&amp;"年"&amp;MONTH(C167)&amp;"月")</f>
        <v/>
      </c>
    </row>
    <row r="168">
      <c r="A168" t="n">
        <v>7</v>
      </c>
      <c r="B168" t="n">
        <v>10</v>
      </c>
      <c r="C168">
        <f>IFERROR(INDEX(資格取込!$S$6:$S$405,MATCH(7&amp;"_"&amp;4,資格取込!$Z$6:$Z$405,0)),"")</f>
        <v/>
      </c>
      <c r="D168">
        <f>IFERROR(INDEX(資格取込!$R$6:$R$405,MATCH(7&amp;"_"&amp;4,資格取込!$Z$6:$Z$405,0)),"")</f>
        <v/>
      </c>
      <c r="E168">
        <f>IF(D168="","",IFERROR(INDEX(資格マスタ!$B:$B,MATCH(ASC(SUBSTITUTE(SUBSTITUTE(D168," ",""),"　","")),資格マスタ!$D:$D,0)),D168))</f>
        <v/>
      </c>
      <c r="F168">
        <f>IF(E168="","",IF(C168="",DATE(9999,1,1),C168))</f>
        <v/>
      </c>
      <c r="G168">
        <f>IF(E168="","",COUNTIFS($F$159:$F$184,"&lt;"&amp;F168,$F$159:$F$184,"&lt;&gt;")+COUNTIFS($F$159:$F$184,F168,$B$159:$B$184,"&lt;"&amp;B168)+1)</f>
        <v/>
      </c>
      <c r="H168">
        <f>IF(OR(E168="",C168=""),"",IF(C168&gt;=DATE(2019,5,1),"令和"&amp;(YEAR(C168)-2018),IF(C168&gt;=DATE(1989,1,8),"平成"&amp;(YEAR(C168)-1988),"昭和"&amp;(YEAR(C168)-1925)))&amp;"年"&amp;MONTH(C168)&amp;"月")</f>
        <v/>
      </c>
    </row>
    <row r="169">
      <c r="A169" t="n">
        <v>7</v>
      </c>
      <c r="B169" t="n">
        <v>11</v>
      </c>
      <c r="C169">
        <f>IFERROR(INDEX(資格取込!$S$6:$S$405,MATCH(7&amp;"_"&amp;5,資格取込!$Z$6:$Z$405,0)),"")</f>
        <v/>
      </c>
      <c r="D169">
        <f>IFERROR(INDEX(資格取込!$R$6:$R$405,MATCH(7&amp;"_"&amp;5,資格取込!$Z$6:$Z$405,0)),"")</f>
        <v/>
      </c>
      <c r="E169">
        <f>IF(D169="","",IFERROR(INDEX(資格マスタ!$B:$B,MATCH(ASC(SUBSTITUTE(SUBSTITUTE(D169," ",""),"　","")),資格マスタ!$D:$D,0)),D169))</f>
        <v/>
      </c>
      <c r="F169">
        <f>IF(E169="","",IF(C169="",DATE(9999,1,1),C169))</f>
        <v/>
      </c>
      <c r="G169">
        <f>IF(E169="","",COUNTIFS($F$159:$F$184,"&lt;"&amp;F169,$F$159:$F$184,"&lt;&gt;")+COUNTIFS($F$159:$F$184,F169,$B$159:$B$184,"&lt;"&amp;B169)+1)</f>
        <v/>
      </c>
      <c r="H169">
        <f>IF(OR(E169="",C169=""),"",IF(C169&gt;=DATE(2019,5,1),"令和"&amp;(YEAR(C169)-2018),IF(C169&gt;=DATE(1989,1,8),"平成"&amp;(YEAR(C169)-1988),"昭和"&amp;(YEAR(C169)-1925)))&amp;"年"&amp;MONTH(C169)&amp;"月")</f>
        <v/>
      </c>
    </row>
    <row r="170">
      <c r="A170" t="n">
        <v>7</v>
      </c>
      <c r="B170" t="n">
        <v>12</v>
      </c>
      <c r="C170">
        <f>IFERROR(INDEX(資格取込!$S$6:$S$405,MATCH(7&amp;"_"&amp;6,資格取込!$Z$6:$Z$405,0)),"")</f>
        <v/>
      </c>
      <c r="D170">
        <f>IFERROR(INDEX(資格取込!$R$6:$R$405,MATCH(7&amp;"_"&amp;6,資格取込!$Z$6:$Z$405,0)),"")</f>
        <v/>
      </c>
      <c r="E170">
        <f>IF(D170="","",IFERROR(INDEX(資格マスタ!$B:$B,MATCH(ASC(SUBSTITUTE(SUBSTITUTE(D170," ",""),"　","")),資格マスタ!$D:$D,0)),D170))</f>
        <v/>
      </c>
      <c r="F170">
        <f>IF(E170="","",IF(C170="",DATE(9999,1,1),C170))</f>
        <v/>
      </c>
      <c r="G170">
        <f>IF(E170="","",COUNTIFS($F$159:$F$184,"&lt;"&amp;F170,$F$159:$F$184,"&lt;&gt;")+COUNTIFS($F$159:$F$184,F170,$B$159:$B$184,"&lt;"&amp;B170)+1)</f>
        <v/>
      </c>
      <c r="H170">
        <f>IF(OR(E170="",C170=""),"",IF(C170&gt;=DATE(2019,5,1),"令和"&amp;(YEAR(C170)-2018),IF(C170&gt;=DATE(1989,1,8),"平成"&amp;(YEAR(C170)-1988),"昭和"&amp;(YEAR(C170)-1925)))&amp;"年"&amp;MONTH(C170)&amp;"月")</f>
        <v/>
      </c>
    </row>
    <row r="171">
      <c r="A171" t="n">
        <v>7</v>
      </c>
      <c r="B171" t="n">
        <v>13</v>
      </c>
      <c r="C171">
        <f>IFERROR(INDEX(資格取込!$S$6:$S$405,MATCH(7&amp;"_"&amp;7,資格取込!$Z$6:$Z$405,0)),"")</f>
        <v/>
      </c>
      <c r="D171">
        <f>IFERROR(INDEX(資格取込!$R$6:$R$405,MATCH(7&amp;"_"&amp;7,資格取込!$Z$6:$Z$405,0)),"")</f>
        <v/>
      </c>
      <c r="E171">
        <f>IF(D171="","",IFERROR(INDEX(資格マスタ!$B:$B,MATCH(ASC(SUBSTITUTE(SUBSTITUTE(D171," ",""),"　","")),資格マスタ!$D:$D,0)),D171))</f>
        <v/>
      </c>
      <c r="F171">
        <f>IF(E171="","",IF(C171="",DATE(9999,1,1),C171))</f>
        <v/>
      </c>
      <c r="G171">
        <f>IF(E171="","",COUNTIFS($F$159:$F$184,"&lt;"&amp;F171,$F$159:$F$184,"&lt;&gt;")+COUNTIFS($F$159:$F$184,F171,$B$159:$B$184,"&lt;"&amp;B171)+1)</f>
        <v/>
      </c>
      <c r="H171">
        <f>IF(OR(E171="",C171=""),"",IF(C171&gt;=DATE(2019,5,1),"令和"&amp;(YEAR(C171)-2018),IF(C171&gt;=DATE(1989,1,8),"平成"&amp;(YEAR(C171)-1988),"昭和"&amp;(YEAR(C171)-1925)))&amp;"年"&amp;MONTH(C171)&amp;"月")</f>
        <v/>
      </c>
    </row>
    <row r="172">
      <c r="A172" t="n">
        <v>7</v>
      </c>
      <c r="B172" t="n">
        <v>14</v>
      </c>
      <c r="C172">
        <f>IFERROR(INDEX(資格取込!$S$6:$S$405,MATCH(7&amp;"_"&amp;8,資格取込!$Z$6:$Z$405,0)),"")</f>
        <v/>
      </c>
      <c r="D172">
        <f>IFERROR(INDEX(資格取込!$R$6:$R$405,MATCH(7&amp;"_"&amp;8,資格取込!$Z$6:$Z$405,0)),"")</f>
        <v/>
      </c>
      <c r="E172">
        <f>IF(D172="","",IFERROR(INDEX(資格マスタ!$B:$B,MATCH(ASC(SUBSTITUTE(SUBSTITUTE(D172," ",""),"　","")),資格マスタ!$D:$D,0)),D172))</f>
        <v/>
      </c>
      <c r="F172">
        <f>IF(E172="","",IF(C172="",DATE(9999,1,1),C172))</f>
        <v/>
      </c>
      <c r="G172">
        <f>IF(E172="","",COUNTIFS($F$159:$F$184,"&lt;"&amp;F172,$F$159:$F$184,"&lt;&gt;")+COUNTIFS($F$159:$F$184,F172,$B$159:$B$184,"&lt;"&amp;B172)+1)</f>
        <v/>
      </c>
      <c r="H172">
        <f>IF(OR(E172="",C172=""),"",IF(C172&gt;=DATE(2019,5,1),"令和"&amp;(YEAR(C172)-2018),IF(C172&gt;=DATE(1989,1,8),"平成"&amp;(YEAR(C172)-1988),"昭和"&amp;(YEAR(C172)-1925)))&amp;"年"&amp;MONTH(C172)&amp;"月")</f>
        <v/>
      </c>
    </row>
    <row r="173">
      <c r="A173" t="n">
        <v>7</v>
      </c>
      <c r="B173" t="n">
        <v>15</v>
      </c>
      <c r="C173">
        <f>IFERROR(INDEX(資格取込!$S$6:$S$405,MATCH(7&amp;"_"&amp;9,資格取込!$Z$6:$Z$405,0)),"")</f>
        <v/>
      </c>
      <c r="D173">
        <f>IFERROR(INDEX(資格取込!$R$6:$R$405,MATCH(7&amp;"_"&amp;9,資格取込!$Z$6:$Z$405,0)),"")</f>
        <v/>
      </c>
      <c r="E173">
        <f>IF(D173="","",IFERROR(INDEX(資格マスタ!$B:$B,MATCH(ASC(SUBSTITUTE(SUBSTITUTE(D173," ",""),"　","")),資格マスタ!$D:$D,0)),D173))</f>
        <v/>
      </c>
      <c r="F173">
        <f>IF(E173="","",IF(C173="",DATE(9999,1,1),C173))</f>
        <v/>
      </c>
      <c r="G173">
        <f>IF(E173="","",COUNTIFS($F$159:$F$184,"&lt;"&amp;F173,$F$159:$F$184,"&lt;&gt;")+COUNTIFS($F$159:$F$184,F173,$B$159:$B$184,"&lt;"&amp;B173)+1)</f>
        <v/>
      </c>
      <c r="H173">
        <f>IF(OR(E173="",C173=""),"",IF(C173&gt;=DATE(2019,5,1),"令和"&amp;(YEAR(C173)-2018),IF(C173&gt;=DATE(1989,1,8),"平成"&amp;(YEAR(C173)-1988),"昭和"&amp;(YEAR(C173)-1925)))&amp;"年"&amp;MONTH(C173)&amp;"月")</f>
        <v/>
      </c>
    </row>
    <row r="174">
      <c r="A174" t="n">
        <v>7</v>
      </c>
      <c r="B174" t="n">
        <v>16</v>
      </c>
      <c r="C174">
        <f>IFERROR(INDEX(資格取込!$S$6:$S$405,MATCH(7&amp;"_"&amp;10,資格取込!$Z$6:$Z$405,0)),"")</f>
        <v/>
      </c>
      <c r="D174">
        <f>IFERROR(INDEX(資格取込!$R$6:$R$405,MATCH(7&amp;"_"&amp;10,資格取込!$Z$6:$Z$405,0)),"")</f>
        <v/>
      </c>
      <c r="E174">
        <f>IF(D174="","",IFERROR(INDEX(資格マスタ!$B:$B,MATCH(ASC(SUBSTITUTE(SUBSTITUTE(D174," ",""),"　","")),資格マスタ!$D:$D,0)),D174))</f>
        <v/>
      </c>
      <c r="F174">
        <f>IF(E174="","",IF(C174="",DATE(9999,1,1),C174))</f>
        <v/>
      </c>
      <c r="G174">
        <f>IF(E174="","",COUNTIFS($F$159:$F$184,"&lt;"&amp;F174,$F$159:$F$184,"&lt;&gt;")+COUNTIFS($F$159:$F$184,F174,$B$159:$B$184,"&lt;"&amp;B174)+1)</f>
        <v/>
      </c>
      <c r="H174">
        <f>IF(OR(E174="",C174=""),"",IF(C174&gt;=DATE(2019,5,1),"令和"&amp;(YEAR(C174)-2018),IF(C174&gt;=DATE(1989,1,8),"平成"&amp;(YEAR(C174)-1988),"昭和"&amp;(YEAR(C174)-1925)))&amp;"年"&amp;MONTH(C174)&amp;"月")</f>
        <v/>
      </c>
    </row>
    <row r="175">
      <c r="A175" t="n">
        <v>7</v>
      </c>
      <c r="B175" t="n">
        <v>17</v>
      </c>
      <c r="C175">
        <f>IFERROR(INDEX(資格取込!$S$6:$S$405,MATCH(7&amp;"_"&amp;11,資格取込!$Z$6:$Z$405,0)),"")</f>
        <v/>
      </c>
      <c r="D175">
        <f>IFERROR(INDEX(資格取込!$R$6:$R$405,MATCH(7&amp;"_"&amp;11,資格取込!$Z$6:$Z$405,0)),"")</f>
        <v/>
      </c>
      <c r="E175">
        <f>IF(D175="","",IFERROR(INDEX(資格マスタ!$B:$B,MATCH(ASC(SUBSTITUTE(SUBSTITUTE(D175," ",""),"　","")),資格マスタ!$D:$D,0)),D175))</f>
        <v/>
      </c>
      <c r="F175">
        <f>IF(E175="","",IF(C175="",DATE(9999,1,1),C175))</f>
        <v/>
      </c>
      <c r="G175">
        <f>IF(E175="","",COUNTIFS($F$159:$F$184,"&lt;"&amp;F175,$F$159:$F$184,"&lt;&gt;")+COUNTIFS($F$159:$F$184,F175,$B$159:$B$184,"&lt;"&amp;B175)+1)</f>
        <v/>
      </c>
      <c r="H175">
        <f>IF(OR(E175="",C175=""),"",IF(C175&gt;=DATE(2019,5,1),"令和"&amp;(YEAR(C175)-2018),IF(C175&gt;=DATE(1989,1,8),"平成"&amp;(YEAR(C175)-1988),"昭和"&amp;(YEAR(C175)-1925)))&amp;"年"&amp;MONTH(C175)&amp;"月")</f>
        <v/>
      </c>
    </row>
    <row r="176">
      <c r="A176" t="n">
        <v>7</v>
      </c>
      <c r="B176" t="n">
        <v>18</v>
      </c>
      <c r="C176">
        <f>IFERROR(INDEX(資格取込!$S$6:$S$405,MATCH(7&amp;"_"&amp;12,資格取込!$Z$6:$Z$405,0)),"")</f>
        <v/>
      </c>
      <c r="D176">
        <f>IFERROR(INDEX(資格取込!$R$6:$R$405,MATCH(7&amp;"_"&amp;12,資格取込!$Z$6:$Z$405,0)),"")</f>
        <v/>
      </c>
      <c r="E176">
        <f>IF(D176="","",IFERROR(INDEX(資格マスタ!$B:$B,MATCH(ASC(SUBSTITUTE(SUBSTITUTE(D176," ",""),"　","")),資格マスタ!$D:$D,0)),D176))</f>
        <v/>
      </c>
      <c r="F176">
        <f>IF(E176="","",IF(C176="",DATE(9999,1,1),C176))</f>
        <v/>
      </c>
      <c r="G176">
        <f>IF(E176="","",COUNTIFS($F$159:$F$184,"&lt;"&amp;F176,$F$159:$F$184,"&lt;&gt;")+COUNTIFS($F$159:$F$184,F176,$B$159:$B$184,"&lt;"&amp;B176)+1)</f>
        <v/>
      </c>
      <c r="H176">
        <f>IF(OR(E176="",C176=""),"",IF(C176&gt;=DATE(2019,5,1),"令和"&amp;(YEAR(C176)-2018),IF(C176&gt;=DATE(1989,1,8),"平成"&amp;(YEAR(C176)-1988),"昭和"&amp;(YEAR(C176)-1925)))&amp;"年"&amp;MONTH(C176)&amp;"月")</f>
        <v/>
      </c>
    </row>
    <row r="177">
      <c r="A177" t="n">
        <v>7</v>
      </c>
      <c r="B177" t="n">
        <v>19</v>
      </c>
      <c r="C177">
        <f>IFERROR(INDEX(資格取込!$S$6:$S$405,MATCH(7&amp;"_"&amp;13,資格取込!$Z$6:$Z$405,0)),"")</f>
        <v/>
      </c>
      <c r="D177">
        <f>IFERROR(INDEX(資格取込!$R$6:$R$405,MATCH(7&amp;"_"&amp;13,資格取込!$Z$6:$Z$405,0)),"")</f>
        <v/>
      </c>
      <c r="E177">
        <f>IF(D177="","",IFERROR(INDEX(資格マスタ!$B:$B,MATCH(ASC(SUBSTITUTE(SUBSTITUTE(D177," ",""),"　","")),資格マスタ!$D:$D,0)),D177))</f>
        <v/>
      </c>
      <c r="F177">
        <f>IF(E177="","",IF(C177="",DATE(9999,1,1),C177))</f>
        <v/>
      </c>
      <c r="G177">
        <f>IF(E177="","",COUNTIFS($F$159:$F$184,"&lt;"&amp;F177,$F$159:$F$184,"&lt;&gt;")+COUNTIFS($F$159:$F$184,F177,$B$159:$B$184,"&lt;"&amp;B177)+1)</f>
        <v/>
      </c>
      <c r="H177">
        <f>IF(OR(E177="",C177=""),"",IF(C177&gt;=DATE(2019,5,1),"令和"&amp;(YEAR(C177)-2018),IF(C177&gt;=DATE(1989,1,8),"平成"&amp;(YEAR(C177)-1988),"昭和"&amp;(YEAR(C177)-1925)))&amp;"年"&amp;MONTH(C177)&amp;"月")</f>
        <v/>
      </c>
    </row>
    <row r="178">
      <c r="A178" t="n">
        <v>7</v>
      </c>
      <c r="B178" t="n">
        <v>20</v>
      </c>
      <c r="C178">
        <f>IFERROR(INDEX(資格取込!$S$6:$S$405,MATCH(7&amp;"_"&amp;14,資格取込!$Z$6:$Z$405,0)),"")</f>
        <v/>
      </c>
      <c r="D178">
        <f>IFERROR(INDEX(資格取込!$R$6:$R$405,MATCH(7&amp;"_"&amp;14,資格取込!$Z$6:$Z$405,0)),"")</f>
        <v/>
      </c>
      <c r="E178">
        <f>IF(D178="","",IFERROR(INDEX(資格マスタ!$B:$B,MATCH(ASC(SUBSTITUTE(SUBSTITUTE(D178," ",""),"　","")),資格マスタ!$D:$D,0)),D178))</f>
        <v/>
      </c>
      <c r="F178">
        <f>IF(E178="","",IF(C178="",DATE(9999,1,1),C178))</f>
        <v/>
      </c>
      <c r="G178">
        <f>IF(E178="","",COUNTIFS($F$159:$F$184,"&lt;"&amp;F178,$F$159:$F$184,"&lt;&gt;")+COUNTIFS($F$159:$F$184,F178,$B$159:$B$184,"&lt;"&amp;B178)+1)</f>
        <v/>
      </c>
      <c r="H178">
        <f>IF(OR(E178="",C178=""),"",IF(C178&gt;=DATE(2019,5,1),"令和"&amp;(YEAR(C178)-2018),IF(C178&gt;=DATE(1989,1,8),"平成"&amp;(YEAR(C178)-1988),"昭和"&amp;(YEAR(C178)-1925)))&amp;"年"&amp;MONTH(C178)&amp;"月")</f>
        <v/>
      </c>
    </row>
    <row r="179">
      <c r="A179" t="n">
        <v>7</v>
      </c>
      <c r="B179" t="n">
        <v>21</v>
      </c>
      <c r="C179">
        <f>IFERROR(INDEX(資格取込!$S$6:$S$405,MATCH(7&amp;"_"&amp;15,資格取込!$Z$6:$Z$405,0)),"")</f>
        <v/>
      </c>
      <c r="D179">
        <f>IFERROR(INDEX(資格取込!$R$6:$R$405,MATCH(7&amp;"_"&amp;15,資格取込!$Z$6:$Z$405,0)),"")</f>
        <v/>
      </c>
      <c r="E179">
        <f>IF(D179="","",IFERROR(INDEX(資格マスタ!$B:$B,MATCH(ASC(SUBSTITUTE(SUBSTITUTE(D179," ",""),"　","")),資格マスタ!$D:$D,0)),D179))</f>
        <v/>
      </c>
      <c r="F179">
        <f>IF(E179="","",IF(C179="",DATE(9999,1,1),C179))</f>
        <v/>
      </c>
      <c r="G179">
        <f>IF(E179="","",COUNTIFS($F$159:$F$184,"&lt;"&amp;F179,$F$159:$F$184,"&lt;&gt;")+COUNTIFS($F$159:$F$184,F179,$B$159:$B$184,"&lt;"&amp;B179)+1)</f>
        <v/>
      </c>
      <c r="H179">
        <f>IF(OR(E179="",C179=""),"",IF(C179&gt;=DATE(2019,5,1),"令和"&amp;(YEAR(C179)-2018),IF(C179&gt;=DATE(1989,1,8),"平成"&amp;(YEAR(C179)-1988),"昭和"&amp;(YEAR(C179)-1925)))&amp;"年"&amp;MONTH(C179)&amp;"月")</f>
        <v/>
      </c>
    </row>
    <row r="180">
      <c r="A180" t="n">
        <v>7</v>
      </c>
      <c r="B180" t="n">
        <v>22</v>
      </c>
      <c r="C180">
        <f>IFERROR(INDEX(資格取込!$S$6:$S$405,MATCH(7&amp;"_"&amp;16,資格取込!$Z$6:$Z$405,0)),"")</f>
        <v/>
      </c>
      <c r="D180">
        <f>IFERROR(INDEX(資格取込!$R$6:$R$405,MATCH(7&amp;"_"&amp;16,資格取込!$Z$6:$Z$405,0)),"")</f>
        <v/>
      </c>
      <c r="E180">
        <f>IF(D180="","",IFERROR(INDEX(資格マスタ!$B:$B,MATCH(ASC(SUBSTITUTE(SUBSTITUTE(D180," ",""),"　","")),資格マスタ!$D:$D,0)),D180))</f>
        <v/>
      </c>
      <c r="F180">
        <f>IF(E180="","",IF(C180="",DATE(9999,1,1),C180))</f>
        <v/>
      </c>
      <c r="G180">
        <f>IF(E180="","",COUNTIFS($F$159:$F$184,"&lt;"&amp;F180,$F$159:$F$184,"&lt;&gt;")+COUNTIFS($F$159:$F$184,F180,$B$159:$B$184,"&lt;"&amp;B180)+1)</f>
        <v/>
      </c>
      <c r="H180">
        <f>IF(OR(E180="",C180=""),"",IF(C180&gt;=DATE(2019,5,1),"令和"&amp;(YEAR(C180)-2018),IF(C180&gt;=DATE(1989,1,8),"平成"&amp;(YEAR(C180)-1988),"昭和"&amp;(YEAR(C180)-1925)))&amp;"年"&amp;MONTH(C180)&amp;"月")</f>
        <v/>
      </c>
    </row>
    <row r="181">
      <c r="A181" t="n">
        <v>7</v>
      </c>
      <c r="B181" t="n">
        <v>23</v>
      </c>
      <c r="C181">
        <f>IFERROR(INDEX(資格取込!$S$6:$S$405,MATCH(7&amp;"_"&amp;17,資格取込!$Z$6:$Z$405,0)),"")</f>
        <v/>
      </c>
      <c r="D181">
        <f>IFERROR(INDEX(資格取込!$R$6:$R$405,MATCH(7&amp;"_"&amp;17,資格取込!$Z$6:$Z$405,0)),"")</f>
        <v/>
      </c>
      <c r="E181">
        <f>IF(D181="","",IFERROR(INDEX(資格マスタ!$B:$B,MATCH(ASC(SUBSTITUTE(SUBSTITUTE(D181," ",""),"　","")),資格マスタ!$D:$D,0)),D181))</f>
        <v/>
      </c>
      <c r="F181">
        <f>IF(E181="","",IF(C181="",DATE(9999,1,1),C181))</f>
        <v/>
      </c>
      <c r="G181">
        <f>IF(E181="","",COUNTIFS($F$159:$F$184,"&lt;"&amp;F181,$F$159:$F$184,"&lt;&gt;")+COUNTIFS($F$159:$F$184,F181,$B$159:$B$184,"&lt;"&amp;B181)+1)</f>
        <v/>
      </c>
      <c r="H181">
        <f>IF(OR(E181="",C181=""),"",IF(C181&gt;=DATE(2019,5,1),"令和"&amp;(YEAR(C181)-2018),IF(C181&gt;=DATE(1989,1,8),"平成"&amp;(YEAR(C181)-1988),"昭和"&amp;(YEAR(C181)-1925)))&amp;"年"&amp;MONTH(C181)&amp;"月")</f>
        <v/>
      </c>
    </row>
    <row r="182">
      <c r="A182" t="n">
        <v>7</v>
      </c>
      <c r="B182" t="n">
        <v>24</v>
      </c>
      <c r="C182">
        <f>IFERROR(INDEX(資格取込!$S$6:$S$405,MATCH(7&amp;"_"&amp;18,資格取込!$Z$6:$Z$405,0)),"")</f>
        <v/>
      </c>
      <c r="D182">
        <f>IFERROR(INDEX(資格取込!$R$6:$R$405,MATCH(7&amp;"_"&amp;18,資格取込!$Z$6:$Z$405,0)),"")</f>
        <v/>
      </c>
      <c r="E182">
        <f>IF(D182="","",IFERROR(INDEX(資格マスタ!$B:$B,MATCH(ASC(SUBSTITUTE(SUBSTITUTE(D182," ",""),"　","")),資格マスタ!$D:$D,0)),D182))</f>
        <v/>
      </c>
      <c r="F182">
        <f>IF(E182="","",IF(C182="",DATE(9999,1,1),C182))</f>
        <v/>
      </c>
      <c r="G182">
        <f>IF(E182="","",COUNTIFS($F$159:$F$184,"&lt;"&amp;F182,$F$159:$F$184,"&lt;&gt;")+COUNTIFS($F$159:$F$184,F182,$B$159:$B$184,"&lt;"&amp;B182)+1)</f>
        <v/>
      </c>
      <c r="H182">
        <f>IF(OR(E182="",C182=""),"",IF(C182&gt;=DATE(2019,5,1),"令和"&amp;(YEAR(C182)-2018),IF(C182&gt;=DATE(1989,1,8),"平成"&amp;(YEAR(C182)-1988),"昭和"&amp;(YEAR(C182)-1925)))&amp;"年"&amp;MONTH(C182)&amp;"月")</f>
        <v/>
      </c>
    </row>
    <row r="183">
      <c r="A183" t="n">
        <v>7</v>
      </c>
      <c r="B183" t="n">
        <v>25</v>
      </c>
      <c r="C183">
        <f>IFERROR(INDEX(資格取込!$S$6:$S$405,MATCH(7&amp;"_"&amp;19,資格取込!$Z$6:$Z$405,0)),"")</f>
        <v/>
      </c>
      <c r="D183">
        <f>IFERROR(INDEX(資格取込!$R$6:$R$405,MATCH(7&amp;"_"&amp;19,資格取込!$Z$6:$Z$405,0)),"")</f>
        <v/>
      </c>
      <c r="E183">
        <f>IF(D183="","",IFERROR(INDEX(資格マスタ!$B:$B,MATCH(ASC(SUBSTITUTE(SUBSTITUTE(D183," ",""),"　","")),資格マスタ!$D:$D,0)),D183))</f>
        <v/>
      </c>
      <c r="F183">
        <f>IF(E183="","",IF(C183="",DATE(9999,1,1),C183))</f>
        <v/>
      </c>
      <c r="G183">
        <f>IF(E183="","",COUNTIFS($F$159:$F$184,"&lt;"&amp;F183,$F$159:$F$184,"&lt;&gt;")+COUNTIFS($F$159:$F$184,F183,$B$159:$B$184,"&lt;"&amp;B183)+1)</f>
        <v/>
      </c>
      <c r="H183">
        <f>IF(OR(E183="",C183=""),"",IF(C183&gt;=DATE(2019,5,1),"令和"&amp;(YEAR(C183)-2018),IF(C183&gt;=DATE(1989,1,8),"平成"&amp;(YEAR(C183)-1988),"昭和"&amp;(YEAR(C183)-1925)))&amp;"年"&amp;MONTH(C183)&amp;"月")</f>
        <v/>
      </c>
    </row>
    <row r="184">
      <c r="A184" t="n">
        <v>7</v>
      </c>
      <c r="B184" t="n">
        <v>26</v>
      </c>
      <c r="C184">
        <f>IFERROR(INDEX(資格取込!$S$6:$S$405,MATCH(7&amp;"_"&amp;20,資格取込!$Z$6:$Z$405,0)),"")</f>
        <v/>
      </c>
      <c r="D184">
        <f>IFERROR(INDEX(資格取込!$R$6:$R$405,MATCH(7&amp;"_"&amp;20,資格取込!$Z$6:$Z$405,0)),"")</f>
        <v/>
      </c>
      <c r="E184">
        <f>IF(D184="","",IFERROR(INDEX(資格マスタ!$B:$B,MATCH(ASC(SUBSTITUTE(SUBSTITUTE(D184," ",""),"　","")),資格マスタ!$D:$D,0)),D184))</f>
        <v/>
      </c>
      <c r="F184">
        <f>IF(E184="","",IF(C184="",DATE(9999,1,1),C184))</f>
        <v/>
      </c>
      <c r="G184">
        <f>IF(E184="","",COUNTIFS($F$159:$F$184,"&lt;"&amp;F184,$F$159:$F$184,"&lt;&gt;")+COUNTIFS($F$159:$F$184,F184,$B$159:$B$184,"&lt;"&amp;B184)+1)</f>
        <v/>
      </c>
      <c r="H184">
        <f>IF(OR(E184="",C184=""),"",IF(C184&gt;=DATE(2019,5,1),"令和"&amp;(YEAR(C184)-2018),IF(C184&gt;=DATE(1989,1,8),"平成"&amp;(YEAR(C184)-1988),"昭和"&amp;(YEAR(C184)-1925)))&amp;"年"&amp;MONTH(C184)&amp;"月")</f>
        <v/>
      </c>
    </row>
    <row r="185">
      <c r="A185" t="n">
        <v>8</v>
      </c>
      <c r="B185" t="n">
        <v>1</v>
      </c>
      <c r="C185"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85">
        <f>IF(入力!N12="","",入力!N12)</f>
        <v/>
      </c>
      <c r="E185">
        <f>IF(D185="","",IFERROR(INDEX(資格マスタ!$B:$B,MATCH(ASC(SUBSTITUTE(SUBSTITUTE(D185," ",""),"　","")),資格マスタ!$D:$D,0)),D185))</f>
        <v/>
      </c>
      <c r="F185">
        <f>IF(E185="","",IF(C185="",DATE(9999,1,1),C185))</f>
        <v/>
      </c>
      <c r="G185">
        <f>IF(E185="","",COUNTIFS($F$185:$F$210,"&lt;"&amp;F185,$F$185:$F$210,"&lt;&gt;")+COUNTIFS($F$185:$F$210,F185,$B$185:$B$210,"&lt;"&amp;B185)+1)</f>
        <v/>
      </c>
      <c r="H185">
        <f>IF(OR(E185="",C185=""),"",IF(C185&gt;=DATE(2019,5,1),"令和"&amp;(YEAR(C185)-2018),IF(C185&gt;=DATE(1989,1,8),"平成"&amp;(YEAR(C185)-1988),"昭和"&amp;(YEAR(C185)-1925)))&amp;"年"&amp;MONTH(C185)&amp;"月")</f>
        <v/>
      </c>
    </row>
    <row r="186">
      <c r="A186" t="n">
        <v>8</v>
      </c>
      <c r="B186" t="n">
        <v>2</v>
      </c>
      <c r="C186">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86">
        <f>IF(入力!P12="","",入力!P12)</f>
        <v/>
      </c>
      <c r="E186">
        <f>IF(D186="","",IFERROR(INDEX(資格マスタ!$B:$B,MATCH(ASC(SUBSTITUTE(SUBSTITUTE(D186," ",""),"　","")),資格マスタ!$D:$D,0)),D186))</f>
        <v/>
      </c>
      <c r="F186">
        <f>IF(E186="","",IF(C186="",DATE(9999,1,1),C186))</f>
        <v/>
      </c>
      <c r="G186">
        <f>IF(E186="","",COUNTIFS($F$185:$F$210,"&lt;"&amp;F186,$F$185:$F$210,"&lt;&gt;")+COUNTIFS($F$185:$F$210,F186,$B$185:$B$210,"&lt;"&amp;B186)+1)</f>
        <v/>
      </c>
      <c r="H186">
        <f>IF(OR(E186="",C186=""),"",IF(C186&gt;=DATE(2019,5,1),"令和"&amp;(YEAR(C186)-2018),IF(C186&gt;=DATE(1989,1,8),"平成"&amp;(YEAR(C186)-1988),"昭和"&amp;(YEAR(C186)-1925)))&amp;"年"&amp;MONTH(C186)&amp;"月")</f>
        <v/>
      </c>
    </row>
    <row r="187">
      <c r="A187" t="n">
        <v>8</v>
      </c>
      <c r="B187" t="n">
        <v>3</v>
      </c>
      <c r="C187">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87">
        <f>IF(入力!R12="","",入力!R12)</f>
        <v/>
      </c>
      <c r="E187">
        <f>IF(D187="","",IFERROR(INDEX(資格マスタ!$B:$B,MATCH(ASC(SUBSTITUTE(SUBSTITUTE(D187," ",""),"　","")),資格マスタ!$D:$D,0)),D187))</f>
        <v/>
      </c>
      <c r="F187">
        <f>IF(E187="","",IF(C187="",DATE(9999,1,1),C187))</f>
        <v/>
      </c>
      <c r="G187">
        <f>IF(E187="","",COUNTIFS($F$185:$F$210,"&lt;"&amp;F187,$F$185:$F$210,"&lt;&gt;")+COUNTIFS($F$185:$F$210,F187,$B$185:$B$210,"&lt;"&amp;B187)+1)</f>
        <v/>
      </c>
      <c r="H187">
        <f>IF(OR(E187="",C187=""),"",IF(C187&gt;=DATE(2019,5,1),"令和"&amp;(YEAR(C187)-2018),IF(C187&gt;=DATE(1989,1,8),"平成"&amp;(YEAR(C187)-1988),"昭和"&amp;(YEAR(C187)-1925)))&amp;"年"&amp;MONTH(C187)&amp;"月")</f>
        <v/>
      </c>
    </row>
    <row r="188">
      <c r="A188" t="n">
        <v>8</v>
      </c>
      <c r="B188" t="n">
        <v>4</v>
      </c>
      <c r="C188">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88">
        <f>IF(入力!T12="","",入力!T12)</f>
        <v/>
      </c>
      <c r="E188">
        <f>IF(D188="","",IFERROR(INDEX(資格マスタ!$B:$B,MATCH(ASC(SUBSTITUTE(SUBSTITUTE(D188," ",""),"　","")),資格マスタ!$D:$D,0)),D188))</f>
        <v/>
      </c>
      <c r="F188">
        <f>IF(E188="","",IF(C188="",DATE(9999,1,1),C188))</f>
        <v/>
      </c>
      <c r="G188">
        <f>IF(E188="","",COUNTIFS($F$185:$F$210,"&lt;"&amp;F188,$F$185:$F$210,"&lt;&gt;")+COUNTIFS($F$185:$F$210,F188,$B$185:$B$210,"&lt;"&amp;B188)+1)</f>
        <v/>
      </c>
      <c r="H188">
        <f>IF(OR(E188="",C188=""),"",IF(C188&gt;=DATE(2019,5,1),"令和"&amp;(YEAR(C188)-2018),IF(C188&gt;=DATE(1989,1,8),"平成"&amp;(YEAR(C188)-1988),"昭和"&amp;(YEAR(C188)-1925)))&amp;"年"&amp;MONTH(C188)&amp;"月")</f>
        <v/>
      </c>
    </row>
    <row r="189">
      <c r="A189" t="n">
        <v>8</v>
      </c>
      <c r="B189" t="n">
        <v>5</v>
      </c>
      <c r="C189">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89">
        <f>IF(入力!V12="","",入力!V12)</f>
        <v/>
      </c>
      <c r="E189">
        <f>IF(D189="","",IFERROR(INDEX(資格マスタ!$B:$B,MATCH(ASC(SUBSTITUTE(SUBSTITUTE(D189," ",""),"　","")),資格マスタ!$D:$D,0)),D189))</f>
        <v/>
      </c>
      <c r="F189">
        <f>IF(E189="","",IF(C189="",DATE(9999,1,1),C189))</f>
        <v/>
      </c>
      <c r="G189">
        <f>IF(E189="","",COUNTIFS($F$185:$F$210,"&lt;"&amp;F189,$F$185:$F$210,"&lt;&gt;")+COUNTIFS($F$185:$F$210,F189,$B$185:$B$210,"&lt;"&amp;B189)+1)</f>
        <v/>
      </c>
      <c r="H189">
        <f>IF(OR(E189="",C189=""),"",IF(C189&gt;=DATE(2019,5,1),"令和"&amp;(YEAR(C189)-2018),IF(C189&gt;=DATE(1989,1,8),"平成"&amp;(YEAR(C189)-1988),"昭和"&amp;(YEAR(C189)-1925)))&amp;"年"&amp;MONTH(C189)&amp;"月")</f>
        <v/>
      </c>
    </row>
    <row r="190">
      <c r="A190" t="n">
        <v>8</v>
      </c>
      <c r="B190" t="n">
        <v>6</v>
      </c>
      <c r="C190">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90">
        <f>IF(入力!X12="","",入力!X12)</f>
        <v/>
      </c>
      <c r="E190">
        <f>IF(D190="","",IFERROR(INDEX(資格マスタ!$B:$B,MATCH(ASC(SUBSTITUTE(SUBSTITUTE(D190," ",""),"　","")),資格マスタ!$D:$D,0)),D190))</f>
        <v/>
      </c>
      <c r="F190">
        <f>IF(E190="","",IF(C190="",DATE(9999,1,1),C190))</f>
        <v/>
      </c>
      <c r="G190">
        <f>IF(E190="","",COUNTIFS($F$185:$F$210,"&lt;"&amp;F190,$F$185:$F$210,"&lt;&gt;")+COUNTIFS($F$185:$F$210,F190,$B$185:$B$210,"&lt;"&amp;B190)+1)</f>
        <v/>
      </c>
      <c r="H190">
        <f>IF(OR(E190="",C190=""),"",IF(C190&gt;=DATE(2019,5,1),"令和"&amp;(YEAR(C190)-2018),IF(C190&gt;=DATE(1989,1,8),"平成"&amp;(YEAR(C190)-1988),"昭和"&amp;(YEAR(C190)-1925)))&amp;"年"&amp;MONTH(C190)&amp;"月")</f>
        <v/>
      </c>
    </row>
    <row r="191">
      <c r="A191" t="n">
        <v>8</v>
      </c>
      <c r="B191" t="n">
        <v>7</v>
      </c>
      <c r="C191">
        <f>IFERROR(INDEX(資格取込!$S$6:$S$405,MATCH(8&amp;"_"&amp;1,資格取込!$Z$6:$Z$405,0)),"")</f>
        <v/>
      </c>
      <c r="D191">
        <f>IFERROR(INDEX(資格取込!$R$6:$R$405,MATCH(8&amp;"_"&amp;1,資格取込!$Z$6:$Z$405,0)),"")</f>
        <v/>
      </c>
      <c r="E191">
        <f>IF(D191="","",IFERROR(INDEX(資格マスタ!$B:$B,MATCH(ASC(SUBSTITUTE(SUBSTITUTE(D191," ",""),"　","")),資格マスタ!$D:$D,0)),D191))</f>
        <v/>
      </c>
      <c r="F191">
        <f>IF(E191="","",IF(C191="",DATE(9999,1,1),C191))</f>
        <v/>
      </c>
      <c r="G191">
        <f>IF(E191="","",COUNTIFS($F$185:$F$210,"&lt;"&amp;F191,$F$185:$F$210,"&lt;&gt;")+COUNTIFS($F$185:$F$210,F191,$B$185:$B$210,"&lt;"&amp;B191)+1)</f>
        <v/>
      </c>
      <c r="H191">
        <f>IF(OR(E191="",C191=""),"",IF(C191&gt;=DATE(2019,5,1),"令和"&amp;(YEAR(C191)-2018),IF(C191&gt;=DATE(1989,1,8),"平成"&amp;(YEAR(C191)-1988),"昭和"&amp;(YEAR(C191)-1925)))&amp;"年"&amp;MONTH(C191)&amp;"月")</f>
        <v/>
      </c>
    </row>
    <row r="192">
      <c r="A192" t="n">
        <v>8</v>
      </c>
      <c r="B192" t="n">
        <v>8</v>
      </c>
      <c r="C192">
        <f>IFERROR(INDEX(資格取込!$S$6:$S$405,MATCH(8&amp;"_"&amp;2,資格取込!$Z$6:$Z$405,0)),"")</f>
        <v/>
      </c>
      <c r="D192">
        <f>IFERROR(INDEX(資格取込!$R$6:$R$405,MATCH(8&amp;"_"&amp;2,資格取込!$Z$6:$Z$405,0)),"")</f>
        <v/>
      </c>
      <c r="E192">
        <f>IF(D192="","",IFERROR(INDEX(資格マスタ!$B:$B,MATCH(ASC(SUBSTITUTE(SUBSTITUTE(D192," ",""),"　","")),資格マスタ!$D:$D,0)),D192))</f>
        <v/>
      </c>
      <c r="F192">
        <f>IF(E192="","",IF(C192="",DATE(9999,1,1),C192))</f>
        <v/>
      </c>
      <c r="G192">
        <f>IF(E192="","",COUNTIFS($F$185:$F$210,"&lt;"&amp;F192,$F$185:$F$210,"&lt;&gt;")+COUNTIFS($F$185:$F$210,F192,$B$185:$B$210,"&lt;"&amp;B192)+1)</f>
        <v/>
      </c>
      <c r="H192">
        <f>IF(OR(E192="",C192=""),"",IF(C192&gt;=DATE(2019,5,1),"令和"&amp;(YEAR(C192)-2018),IF(C192&gt;=DATE(1989,1,8),"平成"&amp;(YEAR(C192)-1988),"昭和"&amp;(YEAR(C192)-1925)))&amp;"年"&amp;MONTH(C192)&amp;"月")</f>
        <v/>
      </c>
    </row>
    <row r="193">
      <c r="A193" t="n">
        <v>8</v>
      </c>
      <c r="B193" t="n">
        <v>9</v>
      </c>
      <c r="C193">
        <f>IFERROR(INDEX(資格取込!$S$6:$S$405,MATCH(8&amp;"_"&amp;3,資格取込!$Z$6:$Z$405,0)),"")</f>
        <v/>
      </c>
      <c r="D193">
        <f>IFERROR(INDEX(資格取込!$R$6:$R$405,MATCH(8&amp;"_"&amp;3,資格取込!$Z$6:$Z$405,0)),"")</f>
        <v/>
      </c>
      <c r="E193">
        <f>IF(D193="","",IFERROR(INDEX(資格マスタ!$B:$B,MATCH(ASC(SUBSTITUTE(SUBSTITUTE(D193," ",""),"　","")),資格マスタ!$D:$D,0)),D193))</f>
        <v/>
      </c>
      <c r="F193">
        <f>IF(E193="","",IF(C193="",DATE(9999,1,1),C193))</f>
        <v/>
      </c>
      <c r="G193">
        <f>IF(E193="","",COUNTIFS($F$185:$F$210,"&lt;"&amp;F193,$F$185:$F$210,"&lt;&gt;")+COUNTIFS($F$185:$F$210,F193,$B$185:$B$210,"&lt;"&amp;B193)+1)</f>
        <v/>
      </c>
      <c r="H193">
        <f>IF(OR(E193="",C193=""),"",IF(C193&gt;=DATE(2019,5,1),"令和"&amp;(YEAR(C193)-2018),IF(C193&gt;=DATE(1989,1,8),"平成"&amp;(YEAR(C193)-1988),"昭和"&amp;(YEAR(C193)-1925)))&amp;"年"&amp;MONTH(C193)&amp;"月")</f>
        <v/>
      </c>
    </row>
    <row r="194">
      <c r="A194" t="n">
        <v>8</v>
      </c>
      <c r="B194" t="n">
        <v>10</v>
      </c>
      <c r="C194">
        <f>IFERROR(INDEX(資格取込!$S$6:$S$405,MATCH(8&amp;"_"&amp;4,資格取込!$Z$6:$Z$405,0)),"")</f>
        <v/>
      </c>
      <c r="D194">
        <f>IFERROR(INDEX(資格取込!$R$6:$R$405,MATCH(8&amp;"_"&amp;4,資格取込!$Z$6:$Z$405,0)),"")</f>
        <v/>
      </c>
      <c r="E194">
        <f>IF(D194="","",IFERROR(INDEX(資格マスタ!$B:$B,MATCH(ASC(SUBSTITUTE(SUBSTITUTE(D194," ",""),"　","")),資格マスタ!$D:$D,0)),D194))</f>
        <v/>
      </c>
      <c r="F194">
        <f>IF(E194="","",IF(C194="",DATE(9999,1,1),C194))</f>
        <v/>
      </c>
      <c r="G194">
        <f>IF(E194="","",COUNTIFS($F$185:$F$210,"&lt;"&amp;F194,$F$185:$F$210,"&lt;&gt;")+COUNTIFS($F$185:$F$210,F194,$B$185:$B$210,"&lt;"&amp;B194)+1)</f>
        <v/>
      </c>
      <c r="H194">
        <f>IF(OR(E194="",C194=""),"",IF(C194&gt;=DATE(2019,5,1),"令和"&amp;(YEAR(C194)-2018),IF(C194&gt;=DATE(1989,1,8),"平成"&amp;(YEAR(C194)-1988),"昭和"&amp;(YEAR(C194)-1925)))&amp;"年"&amp;MONTH(C194)&amp;"月")</f>
        <v/>
      </c>
    </row>
    <row r="195">
      <c r="A195" t="n">
        <v>8</v>
      </c>
      <c r="B195" t="n">
        <v>11</v>
      </c>
      <c r="C195">
        <f>IFERROR(INDEX(資格取込!$S$6:$S$405,MATCH(8&amp;"_"&amp;5,資格取込!$Z$6:$Z$405,0)),"")</f>
        <v/>
      </c>
      <c r="D195">
        <f>IFERROR(INDEX(資格取込!$R$6:$R$405,MATCH(8&amp;"_"&amp;5,資格取込!$Z$6:$Z$405,0)),"")</f>
        <v/>
      </c>
      <c r="E195">
        <f>IF(D195="","",IFERROR(INDEX(資格マスタ!$B:$B,MATCH(ASC(SUBSTITUTE(SUBSTITUTE(D195," ",""),"　","")),資格マスタ!$D:$D,0)),D195))</f>
        <v/>
      </c>
      <c r="F195">
        <f>IF(E195="","",IF(C195="",DATE(9999,1,1),C195))</f>
        <v/>
      </c>
      <c r="G195">
        <f>IF(E195="","",COUNTIFS($F$185:$F$210,"&lt;"&amp;F195,$F$185:$F$210,"&lt;&gt;")+COUNTIFS($F$185:$F$210,F195,$B$185:$B$210,"&lt;"&amp;B195)+1)</f>
        <v/>
      </c>
      <c r="H195">
        <f>IF(OR(E195="",C195=""),"",IF(C195&gt;=DATE(2019,5,1),"令和"&amp;(YEAR(C195)-2018),IF(C195&gt;=DATE(1989,1,8),"平成"&amp;(YEAR(C195)-1988),"昭和"&amp;(YEAR(C195)-1925)))&amp;"年"&amp;MONTH(C195)&amp;"月")</f>
        <v/>
      </c>
    </row>
    <row r="196">
      <c r="A196" t="n">
        <v>8</v>
      </c>
      <c r="B196" t="n">
        <v>12</v>
      </c>
      <c r="C196">
        <f>IFERROR(INDEX(資格取込!$S$6:$S$405,MATCH(8&amp;"_"&amp;6,資格取込!$Z$6:$Z$405,0)),"")</f>
        <v/>
      </c>
      <c r="D196">
        <f>IFERROR(INDEX(資格取込!$R$6:$R$405,MATCH(8&amp;"_"&amp;6,資格取込!$Z$6:$Z$405,0)),"")</f>
        <v/>
      </c>
      <c r="E196">
        <f>IF(D196="","",IFERROR(INDEX(資格マスタ!$B:$B,MATCH(ASC(SUBSTITUTE(SUBSTITUTE(D196," ",""),"　","")),資格マスタ!$D:$D,0)),D196))</f>
        <v/>
      </c>
      <c r="F196">
        <f>IF(E196="","",IF(C196="",DATE(9999,1,1),C196))</f>
        <v/>
      </c>
      <c r="G196">
        <f>IF(E196="","",COUNTIFS($F$185:$F$210,"&lt;"&amp;F196,$F$185:$F$210,"&lt;&gt;")+COUNTIFS($F$185:$F$210,F196,$B$185:$B$210,"&lt;"&amp;B196)+1)</f>
        <v/>
      </c>
      <c r="H196">
        <f>IF(OR(E196="",C196=""),"",IF(C196&gt;=DATE(2019,5,1),"令和"&amp;(YEAR(C196)-2018),IF(C196&gt;=DATE(1989,1,8),"平成"&amp;(YEAR(C196)-1988),"昭和"&amp;(YEAR(C196)-1925)))&amp;"年"&amp;MONTH(C196)&amp;"月")</f>
        <v/>
      </c>
    </row>
    <row r="197">
      <c r="A197" t="n">
        <v>8</v>
      </c>
      <c r="B197" t="n">
        <v>13</v>
      </c>
      <c r="C197">
        <f>IFERROR(INDEX(資格取込!$S$6:$S$405,MATCH(8&amp;"_"&amp;7,資格取込!$Z$6:$Z$405,0)),"")</f>
        <v/>
      </c>
      <c r="D197">
        <f>IFERROR(INDEX(資格取込!$R$6:$R$405,MATCH(8&amp;"_"&amp;7,資格取込!$Z$6:$Z$405,0)),"")</f>
        <v/>
      </c>
      <c r="E197">
        <f>IF(D197="","",IFERROR(INDEX(資格マスタ!$B:$B,MATCH(ASC(SUBSTITUTE(SUBSTITUTE(D197," ",""),"　","")),資格マスタ!$D:$D,0)),D197))</f>
        <v/>
      </c>
      <c r="F197">
        <f>IF(E197="","",IF(C197="",DATE(9999,1,1),C197))</f>
        <v/>
      </c>
      <c r="G197">
        <f>IF(E197="","",COUNTIFS($F$185:$F$210,"&lt;"&amp;F197,$F$185:$F$210,"&lt;&gt;")+COUNTIFS($F$185:$F$210,F197,$B$185:$B$210,"&lt;"&amp;B197)+1)</f>
        <v/>
      </c>
      <c r="H197">
        <f>IF(OR(E197="",C197=""),"",IF(C197&gt;=DATE(2019,5,1),"令和"&amp;(YEAR(C197)-2018),IF(C197&gt;=DATE(1989,1,8),"平成"&amp;(YEAR(C197)-1988),"昭和"&amp;(YEAR(C197)-1925)))&amp;"年"&amp;MONTH(C197)&amp;"月")</f>
        <v/>
      </c>
    </row>
    <row r="198">
      <c r="A198" t="n">
        <v>8</v>
      </c>
      <c r="B198" t="n">
        <v>14</v>
      </c>
      <c r="C198">
        <f>IFERROR(INDEX(資格取込!$S$6:$S$405,MATCH(8&amp;"_"&amp;8,資格取込!$Z$6:$Z$405,0)),"")</f>
        <v/>
      </c>
      <c r="D198">
        <f>IFERROR(INDEX(資格取込!$R$6:$R$405,MATCH(8&amp;"_"&amp;8,資格取込!$Z$6:$Z$405,0)),"")</f>
        <v/>
      </c>
      <c r="E198">
        <f>IF(D198="","",IFERROR(INDEX(資格マスタ!$B:$B,MATCH(ASC(SUBSTITUTE(SUBSTITUTE(D198," ",""),"　","")),資格マスタ!$D:$D,0)),D198))</f>
        <v/>
      </c>
      <c r="F198">
        <f>IF(E198="","",IF(C198="",DATE(9999,1,1),C198))</f>
        <v/>
      </c>
      <c r="G198">
        <f>IF(E198="","",COUNTIFS($F$185:$F$210,"&lt;"&amp;F198,$F$185:$F$210,"&lt;&gt;")+COUNTIFS($F$185:$F$210,F198,$B$185:$B$210,"&lt;"&amp;B198)+1)</f>
        <v/>
      </c>
      <c r="H198">
        <f>IF(OR(E198="",C198=""),"",IF(C198&gt;=DATE(2019,5,1),"令和"&amp;(YEAR(C198)-2018),IF(C198&gt;=DATE(1989,1,8),"平成"&amp;(YEAR(C198)-1988),"昭和"&amp;(YEAR(C198)-1925)))&amp;"年"&amp;MONTH(C198)&amp;"月")</f>
        <v/>
      </c>
    </row>
    <row r="199">
      <c r="A199" t="n">
        <v>8</v>
      </c>
      <c r="B199" t="n">
        <v>15</v>
      </c>
      <c r="C199">
        <f>IFERROR(INDEX(資格取込!$S$6:$S$405,MATCH(8&amp;"_"&amp;9,資格取込!$Z$6:$Z$405,0)),"")</f>
        <v/>
      </c>
      <c r="D199">
        <f>IFERROR(INDEX(資格取込!$R$6:$R$405,MATCH(8&amp;"_"&amp;9,資格取込!$Z$6:$Z$405,0)),"")</f>
        <v/>
      </c>
      <c r="E199">
        <f>IF(D199="","",IFERROR(INDEX(資格マスタ!$B:$B,MATCH(ASC(SUBSTITUTE(SUBSTITUTE(D199," ",""),"　","")),資格マスタ!$D:$D,0)),D199))</f>
        <v/>
      </c>
      <c r="F199">
        <f>IF(E199="","",IF(C199="",DATE(9999,1,1),C199))</f>
        <v/>
      </c>
      <c r="G199">
        <f>IF(E199="","",COUNTIFS($F$185:$F$210,"&lt;"&amp;F199,$F$185:$F$210,"&lt;&gt;")+COUNTIFS($F$185:$F$210,F199,$B$185:$B$210,"&lt;"&amp;B199)+1)</f>
        <v/>
      </c>
      <c r="H199">
        <f>IF(OR(E199="",C199=""),"",IF(C199&gt;=DATE(2019,5,1),"令和"&amp;(YEAR(C199)-2018),IF(C199&gt;=DATE(1989,1,8),"平成"&amp;(YEAR(C199)-1988),"昭和"&amp;(YEAR(C199)-1925)))&amp;"年"&amp;MONTH(C199)&amp;"月")</f>
        <v/>
      </c>
    </row>
    <row r="200">
      <c r="A200" t="n">
        <v>8</v>
      </c>
      <c r="B200" t="n">
        <v>16</v>
      </c>
      <c r="C200">
        <f>IFERROR(INDEX(資格取込!$S$6:$S$405,MATCH(8&amp;"_"&amp;10,資格取込!$Z$6:$Z$405,0)),"")</f>
        <v/>
      </c>
      <c r="D200">
        <f>IFERROR(INDEX(資格取込!$R$6:$R$405,MATCH(8&amp;"_"&amp;10,資格取込!$Z$6:$Z$405,0)),"")</f>
        <v/>
      </c>
      <c r="E200">
        <f>IF(D200="","",IFERROR(INDEX(資格マスタ!$B:$B,MATCH(ASC(SUBSTITUTE(SUBSTITUTE(D200," ",""),"　","")),資格マスタ!$D:$D,0)),D200))</f>
        <v/>
      </c>
      <c r="F200">
        <f>IF(E200="","",IF(C200="",DATE(9999,1,1),C200))</f>
        <v/>
      </c>
      <c r="G200">
        <f>IF(E200="","",COUNTIFS($F$185:$F$210,"&lt;"&amp;F200,$F$185:$F$210,"&lt;&gt;")+COUNTIFS($F$185:$F$210,F200,$B$185:$B$210,"&lt;"&amp;B200)+1)</f>
        <v/>
      </c>
      <c r="H200">
        <f>IF(OR(E200="",C200=""),"",IF(C200&gt;=DATE(2019,5,1),"令和"&amp;(YEAR(C200)-2018),IF(C200&gt;=DATE(1989,1,8),"平成"&amp;(YEAR(C200)-1988),"昭和"&amp;(YEAR(C200)-1925)))&amp;"年"&amp;MONTH(C200)&amp;"月")</f>
        <v/>
      </c>
    </row>
    <row r="201">
      <c r="A201" t="n">
        <v>8</v>
      </c>
      <c r="B201" t="n">
        <v>17</v>
      </c>
      <c r="C201">
        <f>IFERROR(INDEX(資格取込!$S$6:$S$405,MATCH(8&amp;"_"&amp;11,資格取込!$Z$6:$Z$405,0)),"")</f>
        <v/>
      </c>
      <c r="D201">
        <f>IFERROR(INDEX(資格取込!$R$6:$R$405,MATCH(8&amp;"_"&amp;11,資格取込!$Z$6:$Z$405,0)),"")</f>
        <v/>
      </c>
      <c r="E201">
        <f>IF(D201="","",IFERROR(INDEX(資格マスタ!$B:$B,MATCH(ASC(SUBSTITUTE(SUBSTITUTE(D201," ",""),"　","")),資格マスタ!$D:$D,0)),D201))</f>
        <v/>
      </c>
      <c r="F201">
        <f>IF(E201="","",IF(C201="",DATE(9999,1,1),C201))</f>
        <v/>
      </c>
      <c r="G201">
        <f>IF(E201="","",COUNTIFS($F$185:$F$210,"&lt;"&amp;F201,$F$185:$F$210,"&lt;&gt;")+COUNTIFS($F$185:$F$210,F201,$B$185:$B$210,"&lt;"&amp;B201)+1)</f>
        <v/>
      </c>
      <c r="H201">
        <f>IF(OR(E201="",C201=""),"",IF(C201&gt;=DATE(2019,5,1),"令和"&amp;(YEAR(C201)-2018),IF(C201&gt;=DATE(1989,1,8),"平成"&amp;(YEAR(C201)-1988),"昭和"&amp;(YEAR(C201)-1925)))&amp;"年"&amp;MONTH(C201)&amp;"月")</f>
        <v/>
      </c>
    </row>
    <row r="202">
      <c r="A202" t="n">
        <v>8</v>
      </c>
      <c r="B202" t="n">
        <v>18</v>
      </c>
      <c r="C202">
        <f>IFERROR(INDEX(資格取込!$S$6:$S$405,MATCH(8&amp;"_"&amp;12,資格取込!$Z$6:$Z$405,0)),"")</f>
        <v/>
      </c>
      <c r="D202">
        <f>IFERROR(INDEX(資格取込!$R$6:$R$405,MATCH(8&amp;"_"&amp;12,資格取込!$Z$6:$Z$405,0)),"")</f>
        <v/>
      </c>
      <c r="E202">
        <f>IF(D202="","",IFERROR(INDEX(資格マスタ!$B:$B,MATCH(ASC(SUBSTITUTE(SUBSTITUTE(D202," ",""),"　","")),資格マスタ!$D:$D,0)),D202))</f>
        <v/>
      </c>
      <c r="F202">
        <f>IF(E202="","",IF(C202="",DATE(9999,1,1),C202))</f>
        <v/>
      </c>
      <c r="G202">
        <f>IF(E202="","",COUNTIFS($F$185:$F$210,"&lt;"&amp;F202,$F$185:$F$210,"&lt;&gt;")+COUNTIFS($F$185:$F$210,F202,$B$185:$B$210,"&lt;"&amp;B202)+1)</f>
        <v/>
      </c>
      <c r="H202">
        <f>IF(OR(E202="",C202=""),"",IF(C202&gt;=DATE(2019,5,1),"令和"&amp;(YEAR(C202)-2018),IF(C202&gt;=DATE(1989,1,8),"平成"&amp;(YEAR(C202)-1988),"昭和"&amp;(YEAR(C202)-1925)))&amp;"年"&amp;MONTH(C202)&amp;"月")</f>
        <v/>
      </c>
    </row>
    <row r="203">
      <c r="A203" t="n">
        <v>8</v>
      </c>
      <c r="B203" t="n">
        <v>19</v>
      </c>
      <c r="C203">
        <f>IFERROR(INDEX(資格取込!$S$6:$S$405,MATCH(8&amp;"_"&amp;13,資格取込!$Z$6:$Z$405,0)),"")</f>
        <v/>
      </c>
      <c r="D203">
        <f>IFERROR(INDEX(資格取込!$R$6:$R$405,MATCH(8&amp;"_"&amp;13,資格取込!$Z$6:$Z$405,0)),"")</f>
        <v/>
      </c>
      <c r="E203">
        <f>IF(D203="","",IFERROR(INDEX(資格マスタ!$B:$B,MATCH(ASC(SUBSTITUTE(SUBSTITUTE(D203," ",""),"　","")),資格マスタ!$D:$D,0)),D203))</f>
        <v/>
      </c>
      <c r="F203">
        <f>IF(E203="","",IF(C203="",DATE(9999,1,1),C203))</f>
        <v/>
      </c>
      <c r="G203">
        <f>IF(E203="","",COUNTIFS($F$185:$F$210,"&lt;"&amp;F203,$F$185:$F$210,"&lt;&gt;")+COUNTIFS($F$185:$F$210,F203,$B$185:$B$210,"&lt;"&amp;B203)+1)</f>
        <v/>
      </c>
      <c r="H203">
        <f>IF(OR(E203="",C203=""),"",IF(C203&gt;=DATE(2019,5,1),"令和"&amp;(YEAR(C203)-2018),IF(C203&gt;=DATE(1989,1,8),"平成"&amp;(YEAR(C203)-1988),"昭和"&amp;(YEAR(C203)-1925)))&amp;"年"&amp;MONTH(C203)&amp;"月")</f>
        <v/>
      </c>
    </row>
    <row r="204">
      <c r="A204" t="n">
        <v>8</v>
      </c>
      <c r="B204" t="n">
        <v>20</v>
      </c>
      <c r="C204">
        <f>IFERROR(INDEX(資格取込!$S$6:$S$405,MATCH(8&amp;"_"&amp;14,資格取込!$Z$6:$Z$405,0)),"")</f>
        <v/>
      </c>
      <c r="D204">
        <f>IFERROR(INDEX(資格取込!$R$6:$R$405,MATCH(8&amp;"_"&amp;14,資格取込!$Z$6:$Z$405,0)),"")</f>
        <v/>
      </c>
      <c r="E204">
        <f>IF(D204="","",IFERROR(INDEX(資格マスタ!$B:$B,MATCH(ASC(SUBSTITUTE(SUBSTITUTE(D204," ",""),"　","")),資格マスタ!$D:$D,0)),D204))</f>
        <v/>
      </c>
      <c r="F204">
        <f>IF(E204="","",IF(C204="",DATE(9999,1,1),C204))</f>
        <v/>
      </c>
      <c r="G204">
        <f>IF(E204="","",COUNTIFS($F$185:$F$210,"&lt;"&amp;F204,$F$185:$F$210,"&lt;&gt;")+COUNTIFS($F$185:$F$210,F204,$B$185:$B$210,"&lt;"&amp;B204)+1)</f>
        <v/>
      </c>
      <c r="H204">
        <f>IF(OR(E204="",C204=""),"",IF(C204&gt;=DATE(2019,5,1),"令和"&amp;(YEAR(C204)-2018),IF(C204&gt;=DATE(1989,1,8),"平成"&amp;(YEAR(C204)-1988),"昭和"&amp;(YEAR(C204)-1925)))&amp;"年"&amp;MONTH(C204)&amp;"月")</f>
        <v/>
      </c>
    </row>
    <row r="205">
      <c r="A205" t="n">
        <v>8</v>
      </c>
      <c r="B205" t="n">
        <v>21</v>
      </c>
      <c r="C205">
        <f>IFERROR(INDEX(資格取込!$S$6:$S$405,MATCH(8&amp;"_"&amp;15,資格取込!$Z$6:$Z$405,0)),"")</f>
        <v/>
      </c>
      <c r="D205">
        <f>IFERROR(INDEX(資格取込!$R$6:$R$405,MATCH(8&amp;"_"&amp;15,資格取込!$Z$6:$Z$405,0)),"")</f>
        <v/>
      </c>
      <c r="E205">
        <f>IF(D205="","",IFERROR(INDEX(資格マスタ!$B:$B,MATCH(ASC(SUBSTITUTE(SUBSTITUTE(D205," ",""),"　","")),資格マスタ!$D:$D,0)),D205))</f>
        <v/>
      </c>
      <c r="F205">
        <f>IF(E205="","",IF(C205="",DATE(9999,1,1),C205))</f>
        <v/>
      </c>
      <c r="G205">
        <f>IF(E205="","",COUNTIFS($F$185:$F$210,"&lt;"&amp;F205,$F$185:$F$210,"&lt;&gt;")+COUNTIFS($F$185:$F$210,F205,$B$185:$B$210,"&lt;"&amp;B205)+1)</f>
        <v/>
      </c>
      <c r="H205">
        <f>IF(OR(E205="",C205=""),"",IF(C205&gt;=DATE(2019,5,1),"令和"&amp;(YEAR(C205)-2018),IF(C205&gt;=DATE(1989,1,8),"平成"&amp;(YEAR(C205)-1988),"昭和"&amp;(YEAR(C205)-1925)))&amp;"年"&amp;MONTH(C205)&amp;"月")</f>
        <v/>
      </c>
    </row>
    <row r="206">
      <c r="A206" t="n">
        <v>8</v>
      </c>
      <c r="B206" t="n">
        <v>22</v>
      </c>
      <c r="C206">
        <f>IFERROR(INDEX(資格取込!$S$6:$S$405,MATCH(8&amp;"_"&amp;16,資格取込!$Z$6:$Z$405,0)),"")</f>
        <v/>
      </c>
      <c r="D206">
        <f>IFERROR(INDEX(資格取込!$R$6:$R$405,MATCH(8&amp;"_"&amp;16,資格取込!$Z$6:$Z$405,0)),"")</f>
        <v/>
      </c>
      <c r="E206">
        <f>IF(D206="","",IFERROR(INDEX(資格マスタ!$B:$B,MATCH(ASC(SUBSTITUTE(SUBSTITUTE(D206," ",""),"　","")),資格マスタ!$D:$D,0)),D206))</f>
        <v/>
      </c>
      <c r="F206">
        <f>IF(E206="","",IF(C206="",DATE(9999,1,1),C206))</f>
        <v/>
      </c>
      <c r="G206">
        <f>IF(E206="","",COUNTIFS($F$185:$F$210,"&lt;"&amp;F206,$F$185:$F$210,"&lt;&gt;")+COUNTIFS($F$185:$F$210,F206,$B$185:$B$210,"&lt;"&amp;B206)+1)</f>
        <v/>
      </c>
      <c r="H206">
        <f>IF(OR(E206="",C206=""),"",IF(C206&gt;=DATE(2019,5,1),"令和"&amp;(YEAR(C206)-2018),IF(C206&gt;=DATE(1989,1,8),"平成"&amp;(YEAR(C206)-1988),"昭和"&amp;(YEAR(C206)-1925)))&amp;"年"&amp;MONTH(C206)&amp;"月")</f>
        <v/>
      </c>
    </row>
    <row r="207">
      <c r="A207" t="n">
        <v>8</v>
      </c>
      <c r="B207" t="n">
        <v>23</v>
      </c>
      <c r="C207">
        <f>IFERROR(INDEX(資格取込!$S$6:$S$405,MATCH(8&amp;"_"&amp;17,資格取込!$Z$6:$Z$405,0)),"")</f>
        <v/>
      </c>
      <c r="D207">
        <f>IFERROR(INDEX(資格取込!$R$6:$R$405,MATCH(8&amp;"_"&amp;17,資格取込!$Z$6:$Z$405,0)),"")</f>
        <v/>
      </c>
      <c r="E207">
        <f>IF(D207="","",IFERROR(INDEX(資格マスタ!$B:$B,MATCH(ASC(SUBSTITUTE(SUBSTITUTE(D207," ",""),"　","")),資格マスタ!$D:$D,0)),D207))</f>
        <v/>
      </c>
      <c r="F207">
        <f>IF(E207="","",IF(C207="",DATE(9999,1,1),C207))</f>
        <v/>
      </c>
      <c r="G207">
        <f>IF(E207="","",COUNTIFS($F$185:$F$210,"&lt;"&amp;F207,$F$185:$F$210,"&lt;&gt;")+COUNTIFS($F$185:$F$210,F207,$B$185:$B$210,"&lt;"&amp;B207)+1)</f>
        <v/>
      </c>
      <c r="H207">
        <f>IF(OR(E207="",C207=""),"",IF(C207&gt;=DATE(2019,5,1),"令和"&amp;(YEAR(C207)-2018),IF(C207&gt;=DATE(1989,1,8),"平成"&amp;(YEAR(C207)-1988),"昭和"&amp;(YEAR(C207)-1925)))&amp;"年"&amp;MONTH(C207)&amp;"月")</f>
        <v/>
      </c>
    </row>
    <row r="208">
      <c r="A208" t="n">
        <v>8</v>
      </c>
      <c r="B208" t="n">
        <v>24</v>
      </c>
      <c r="C208">
        <f>IFERROR(INDEX(資格取込!$S$6:$S$405,MATCH(8&amp;"_"&amp;18,資格取込!$Z$6:$Z$405,0)),"")</f>
        <v/>
      </c>
      <c r="D208">
        <f>IFERROR(INDEX(資格取込!$R$6:$R$405,MATCH(8&amp;"_"&amp;18,資格取込!$Z$6:$Z$405,0)),"")</f>
        <v/>
      </c>
      <c r="E208">
        <f>IF(D208="","",IFERROR(INDEX(資格マスタ!$B:$B,MATCH(ASC(SUBSTITUTE(SUBSTITUTE(D208," ",""),"　","")),資格マスタ!$D:$D,0)),D208))</f>
        <v/>
      </c>
      <c r="F208">
        <f>IF(E208="","",IF(C208="",DATE(9999,1,1),C208))</f>
        <v/>
      </c>
      <c r="G208">
        <f>IF(E208="","",COUNTIFS($F$185:$F$210,"&lt;"&amp;F208,$F$185:$F$210,"&lt;&gt;")+COUNTIFS($F$185:$F$210,F208,$B$185:$B$210,"&lt;"&amp;B208)+1)</f>
        <v/>
      </c>
      <c r="H208">
        <f>IF(OR(E208="",C208=""),"",IF(C208&gt;=DATE(2019,5,1),"令和"&amp;(YEAR(C208)-2018),IF(C208&gt;=DATE(1989,1,8),"平成"&amp;(YEAR(C208)-1988),"昭和"&amp;(YEAR(C208)-1925)))&amp;"年"&amp;MONTH(C208)&amp;"月")</f>
        <v/>
      </c>
    </row>
    <row r="209">
      <c r="A209" t="n">
        <v>8</v>
      </c>
      <c r="B209" t="n">
        <v>25</v>
      </c>
      <c r="C209">
        <f>IFERROR(INDEX(資格取込!$S$6:$S$405,MATCH(8&amp;"_"&amp;19,資格取込!$Z$6:$Z$405,0)),"")</f>
        <v/>
      </c>
      <c r="D209">
        <f>IFERROR(INDEX(資格取込!$R$6:$R$405,MATCH(8&amp;"_"&amp;19,資格取込!$Z$6:$Z$405,0)),"")</f>
        <v/>
      </c>
      <c r="E209">
        <f>IF(D209="","",IFERROR(INDEX(資格マスタ!$B:$B,MATCH(ASC(SUBSTITUTE(SUBSTITUTE(D209," ",""),"　","")),資格マスタ!$D:$D,0)),D209))</f>
        <v/>
      </c>
      <c r="F209">
        <f>IF(E209="","",IF(C209="",DATE(9999,1,1),C209))</f>
        <v/>
      </c>
      <c r="G209">
        <f>IF(E209="","",COUNTIFS($F$185:$F$210,"&lt;"&amp;F209,$F$185:$F$210,"&lt;&gt;")+COUNTIFS($F$185:$F$210,F209,$B$185:$B$210,"&lt;"&amp;B209)+1)</f>
        <v/>
      </c>
      <c r="H209">
        <f>IF(OR(E209="",C209=""),"",IF(C209&gt;=DATE(2019,5,1),"令和"&amp;(YEAR(C209)-2018),IF(C209&gt;=DATE(1989,1,8),"平成"&amp;(YEAR(C209)-1988),"昭和"&amp;(YEAR(C209)-1925)))&amp;"年"&amp;MONTH(C209)&amp;"月")</f>
        <v/>
      </c>
    </row>
    <row r="210">
      <c r="A210" t="n">
        <v>8</v>
      </c>
      <c r="B210" t="n">
        <v>26</v>
      </c>
      <c r="C210">
        <f>IFERROR(INDEX(資格取込!$S$6:$S$405,MATCH(8&amp;"_"&amp;20,資格取込!$Z$6:$Z$405,0)),"")</f>
        <v/>
      </c>
      <c r="D210">
        <f>IFERROR(INDEX(資格取込!$R$6:$R$405,MATCH(8&amp;"_"&amp;20,資格取込!$Z$6:$Z$405,0)),"")</f>
        <v/>
      </c>
      <c r="E210">
        <f>IF(D210="","",IFERROR(INDEX(資格マスタ!$B:$B,MATCH(ASC(SUBSTITUTE(SUBSTITUTE(D210," ",""),"　","")),資格マスタ!$D:$D,0)),D210))</f>
        <v/>
      </c>
      <c r="F210">
        <f>IF(E210="","",IF(C210="",DATE(9999,1,1),C210))</f>
        <v/>
      </c>
      <c r="G210">
        <f>IF(E210="","",COUNTIFS($F$185:$F$210,"&lt;"&amp;F210,$F$185:$F$210,"&lt;&gt;")+COUNTIFS($F$185:$F$210,F210,$B$185:$B$210,"&lt;"&amp;B210)+1)</f>
        <v/>
      </c>
      <c r="H210">
        <f>IF(OR(E210="",C210=""),"",IF(C210&gt;=DATE(2019,5,1),"令和"&amp;(YEAR(C210)-2018),IF(C210&gt;=DATE(1989,1,8),"平成"&amp;(YEAR(C210)-1988),"昭和"&amp;(YEAR(C210)-1925)))&amp;"年"&amp;MONTH(C210)&amp;"月")</f>
        <v/>
      </c>
    </row>
    <row r="211">
      <c r="A211" t="n">
        <v>9</v>
      </c>
      <c r="B211" t="n">
        <v>1</v>
      </c>
      <c r="C211"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211">
        <f>IF(入力!N13="","",入力!N13)</f>
        <v/>
      </c>
      <c r="E211">
        <f>IF(D211="","",IFERROR(INDEX(資格マスタ!$B:$B,MATCH(ASC(SUBSTITUTE(SUBSTITUTE(D211," ",""),"　","")),資格マスタ!$D:$D,0)),D211))</f>
        <v/>
      </c>
      <c r="F211">
        <f>IF(E211="","",IF(C211="",DATE(9999,1,1),C211))</f>
        <v/>
      </c>
      <c r="G211">
        <f>IF(E211="","",COUNTIFS($F$211:$F$236,"&lt;"&amp;F211,$F$211:$F$236,"&lt;&gt;")+COUNTIFS($F$211:$F$236,F211,$B$211:$B$236,"&lt;"&amp;B211)+1)</f>
        <v/>
      </c>
      <c r="H211">
        <f>IF(OR(E211="",C211=""),"",IF(C211&gt;=DATE(2019,5,1),"令和"&amp;(YEAR(C211)-2018),IF(C211&gt;=DATE(1989,1,8),"平成"&amp;(YEAR(C211)-1988),"昭和"&amp;(YEAR(C211)-1925)))&amp;"年"&amp;MONTH(C211)&amp;"月")</f>
        <v/>
      </c>
    </row>
    <row r="212">
      <c r="A212" t="n">
        <v>9</v>
      </c>
      <c r="B212" t="n">
        <v>2</v>
      </c>
      <c r="C212">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212">
        <f>IF(入力!P13="","",入力!P13)</f>
        <v/>
      </c>
      <c r="E212">
        <f>IF(D212="","",IFERROR(INDEX(資格マスタ!$B:$B,MATCH(ASC(SUBSTITUTE(SUBSTITUTE(D212," ",""),"　","")),資格マスタ!$D:$D,0)),D212))</f>
        <v/>
      </c>
      <c r="F212">
        <f>IF(E212="","",IF(C212="",DATE(9999,1,1),C212))</f>
        <v/>
      </c>
      <c r="G212">
        <f>IF(E212="","",COUNTIFS($F$211:$F$236,"&lt;"&amp;F212,$F$211:$F$236,"&lt;&gt;")+COUNTIFS($F$211:$F$236,F212,$B$211:$B$236,"&lt;"&amp;B212)+1)</f>
        <v/>
      </c>
      <c r="H212">
        <f>IF(OR(E212="",C212=""),"",IF(C212&gt;=DATE(2019,5,1),"令和"&amp;(YEAR(C212)-2018),IF(C212&gt;=DATE(1989,1,8),"平成"&amp;(YEAR(C212)-1988),"昭和"&amp;(YEAR(C212)-1925)))&amp;"年"&amp;MONTH(C212)&amp;"月")</f>
        <v/>
      </c>
    </row>
    <row r="213">
      <c r="A213" t="n">
        <v>9</v>
      </c>
      <c r="B213" t="n">
        <v>3</v>
      </c>
      <c r="C213">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213">
        <f>IF(入力!R13="","",入力!R13)</f>
        <v/>
      </c>
      <c r="E213">
        <f>IF(D213="","",IFERROR(INDEX(資格マスタ!$B:$B,MATCH(ASC(SUBSTITUTE(SUBSTITUTE(D213," ",""),"　","")),資格マスタ!$D:$D,0)),D213))</f>
        <v/>
      </c>
      <c r="F213">
        <f>IF(E213="","",IF(C213="",DATE(9999,1,1),C213))</f>
        <v/>
      </c>
      <c r="G213">
        <f>IF(E213="","",COUNTIFS($F$211:$F$236,"&lt;"&amp;F213,$F$211:$F$236,"&lt;&gt;")+COUNTIFS($F$211:$F$236,F213,$B$211:$B$236,"&lt;"&amp;B213)+1)</f>
        <v/>
      </c>
      <c r="H213">
        <f>IF(OR(E213="",C213=""),"",IF(C213&gt;=DATE(2019,5,1),"令和"&amp;(YEAR(C213)-2018),IF(C213&gt;=DATE(1989,1,8),"平成"&amp;(YEAR(C213)-1988),"昭和"&amp;(YEAR(C213)-1925)))&amp;"年"&amp;MONTH(C213)&amp;"月")</f>
        <v/>
      </c>
    </row>
    <row r="214">
      <c r="A214" t="n">
        <v>9</v>
      </c>
      <c r="B214" t="n">
        <v>4</v>
      </c>
      <c r="C214">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214">
        <f>IF(入力!T13="","",入力!T13)</f>
        <v/>
      </c>
      <c r="E214">
        <f>IF(D214="","",IFERROR(INDEX(資格マスタ!$B:$B,MATCH(ASC(SUBSTITUTE(SUBSTITUTE(D214," ",""),"　","")),資格マスタ!$D:$D,0)),D214))</f>
        <v/>
      </c>
      <c r="F214">
        <f>IF(E214="","",IF(C214="",DATE(9999,1,1),C214))</f>
        <v/>
      </c>
      <c r="G214">
        <f>IF(E214="","",COUNTIFS($F$211:$F$236,"&lt;"&amp;F214,$F$211:$F$236,"&lt;&gt;")+COUNTIFS($F$211:$F$236,F214,$B$211:$B$236,"&lt;"&amp;B214)+1)</f>
        <v/>
      </c>
      <c r="H214">
        <f>IF(OR(E214="",C214=""),"",IF(C214&gt;=DATE(2019,5,1),"令和"&amp;(YEAR(C214)-2018),IF(C214&gt;=DATE(1989,1,8),"平成"&amp;(YEAR(C214)-1988),"昭和"&amp;(YEAR(C214)-1925)))&amp;"年"&amp;MONTH(C214)&amp;"月")</f>
        <v/>
      </c>
    </row>
    <row r="215">
      <c r="A215" t="n">
        <v>9</v>
      </c>
      <c r="B215" t="n">
        <v>5</v>
      </c>
      <c r="C215">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215">
        <f>IF(入力!V13="","",入力!V13)</f>
        <v/>
      </c>
      <c r="E215">
        <f>IF(D215="","",IFERROR(INDEX(資格マスタ!$B:$B,MATCH(ASC(SUBSTITUTE(SUBSTITUTE(D215," ",""),"　","")),資格マスタ!$D:$D,0)),D215))</f>
        <v/>
      </c>
      <c r="F215">
        <f>IF(E215="","",IF(C215="",DATE(9999,1,1),C215))</f>
        <v/>
      </c>
      <c r="G215">
        <f>IF(E215="","",COUNTIFS($F$211:$F$236,"&lt;"&amp;F215,$F$211:$F$236,"&lt;&gt;")+COUNTIFS($F$211:$F$236,F215,$B$211:$B$236,"&lt;"&amp;B215)+1)</f>
        <v/>
      </c>
      <c r="H215">
        <f>IF(OR(E215="",C215=""),"",IF(C215&gt;=DATE(2019,5,1),"令和"&amp;(YEAR(C215)-2018),IF(C215&gt;=DATE(1989,1,8),"平成"&amp;(YEAR(C215)-1988),"昭和"&amp;(YEAR(C215)-1925)))&amp;"年"&amp;MONTH(C215)&amp;"月")</f>
        <v/>
      </c>
    </row>
    <row r="216">
      <c r="A216" t="n">
        <v>9</v>
      </c>
      <c r="B216" t="n">
        <v>6</v>
      </c>
      <c r="C216">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216">
        <f>IF(入力!X13="","",入力!X13)</f>
        <v/>
      </c>
      <c r="E216">
        <f>IF(D216="","",IFERROR(INDEX(資格マスタ!$B:$B,MATCH(ASC(SUBSTITUTE(SUBSTITUTE(D216," ",""),"　","")),資格マスタ!$D:$D,0)),D216))</f>
        <v/>
      </c>
      <c r="F216">
        <f>IF(E216="","",IF(C216="",DATE(9999,1,1),C216))</f>
        <v/>
      </c>
      <c r="G216">
        <f>IF(E216="","",COUNTIFS($F$211:$F$236,"&lt;"&amp;F216,$F$211:$F$236,"&lt;&gt;")+COUNTIFS($F$211:$F$236,F216,$B$211:$B$236,"&lt;"&amp;B216)+1)</f>
        <v/>
      </c>
      <c r="H216">
        <f>IF(OR(E216="",C216=""),"",IF(C216&gt;=DATE(2019,5,1),"令和"&amp;(YEAR(C216)-2018),IF(C216&gt;=DATE(1989,1,8),"平成"&amp;(YEAR(C216)-1988),"昭和"&amp;(YEAR(C216)-1925)))&amp;"年"&amp;MONTH(C216)&amp;"月")</f>
        <v/>
      </c>
    </row>
    <row r="217">
      <c r="A217" t="n">
        <v>9</v>
      </c>
      <c r="B217" t="n">
        <v>7</v>
      </c>
      <c r="C217">
        <f>IFERROR(INDEX(資格取込!$S$6:$S$405,MATCH(9&amp;"_"&amp;1,資格取込!$Z$6:$Z$405,0)),"")</f>
        <v/>
      </c>
      <c r="D217">
        <f>IFERROR(INDEX(資格取込!$R$6:$R$405,MATCH(9&amp;"_"&amp;1,資格取込!$Z$6:$Z$405,0)),"")</f>
        <v/>
      </c>
      <c r="E217">
        <f>IF(D217="","",IFERROR(INDEX(資格マスタ!$B:$B,MATCH(ASC(SUBSTITUTE(SUBSTITUTE(D217," ",""),"　","")),資格マスタ!$D:$D,0)),D217))</f>
        <v/>
      </c>
      <c r="F217">
        <f>IF(E217="","",IF(C217="",DATE(9999,1,1),C217))</f>
        <v/>
      </c>
      <c r="G217">
        <f>IF(E217="","",COUNTIFS($F$211:$F$236,"&lt;"&amp;F217,$F$211:$F$236,"&lt;&gt;")+COUNTIFS($F$211:$F$236,F217,$B$211:$B$236,"&lt;"&amp;B217)+1)</f>
        <v/>
      </c>
      <c r="H217">
        <f>IF(OR(E217="",C217=""),"",IF(C217&gt;=DATE(2019,5,1),"令和"&amp;(YEAR(C217)-2018),IF(C217&gt;=DATE(1989,1,8),"平成"&amp;(YEAR(C217)-1988),"昭和"&amp;(YEAR(C217)-1925)))&amp;"年"&amp;MONTH(C217)&amp;"月")</f>
        <v/>
      </c>
    </row>
    <row r="218">
      <c r="A218" t="n">
        <v>9</v>
      </c>
      <c r="B218" t="n">
        <v>8</v>
      </c>
      <c r="C218">
        <f>IFERROR(INDEX(資格取込!$S$6:$S$405,MATCH(9&amp;"_"&amp;2,資格取込!$Z$6:$Z$405,0)),"")</f>
        <v/>
      </c>
      <c r="D218">
        <f>IFERROR(INDEX(資格取込!$R$6:$R$405,MATCH(9&amp;"_"&amp;2,資格取込!$Z$6:$Z$405,0)),"")</f>
        <v/>
      </c>
      <c r="E218">
        <f>IF(D218="","",IFERROR(INDEX(資格マスタ!$B:$B,MATCH(ASC(SUBSTITUTE(SUBSTITUTE(D218," ",""),"　","")),資格マスタ!$D:$D,0)),D218))</f>
        <v/>
      </c>
      <c r="F218">
        <f>IF(E218="","",IF(C218="",DATE(9999,1,1),C218))</f>
        <v/>
      </c>
      <c r="G218">
        <f>IF(E218="","",COUNTIFS($F$211:$F$236,"&lt;"&amp;F218,$F$211:$F$236,"&lt;&gt;")+COUNTIFS($F$211:$F$236,F218,$B$211:$B$236,"&lt;"&amp;B218)+1)</f>
        <v/>
      </c>
      <c r="H218">
        <f>IF(OR(E218="",C218=""),"",IF(C218&gt;=DATE(2019,5,1),"令和"&amp;(YEAR(C218)-2018),IF(C218&gt;=DATE(1989,1,8),"平成"&amp;(YEAR(C218)-1988),"昭和"&amp;(YEAR(C218)-1925)))&amp;"年"&amp;MONTH(C218)&amp;"月")</f>
        <v/>
      </c>
    </row>
    <row r="219">
      <c r="A219" t="n">
        <v>9</v>
      </c>
      <c r="B219" t="n">
        <v>9</v>
      </c>
      <c r="C219">
        <f>IFERROR(INDEX(資格取込!$S$6:$S$405,MATCH(9&amp;"_"&amp;3,資格取込!$Z$6:$Z$405,0)),"")</f>
        <v/>
      </c>
      <c r="D219">
        <f>IFERROR(INDEX(資格取込!$R$6:$R$405,MATCH(9&amp;"_"&amp;3,資格取込!$Z$6:$Z$405,0)),"")</f>
        <v/>
      </c>
      <c r="E219">
        <f>IF(D219="","",IFERROR(INDEX(資格マスタ!$B:$B,MATCH(ASC(SUBSTITUTE(SUBSTITUTE(D219," ",""),"　","")),資格マスタ!$D:$D,0)),D219))</f>
        <v/>
      </c>
      <c r="F219">
        <f>IF(E219="","",IF(C219="",DATE(9999,1,1),C219))</f>
        <v/>
      </c>
      <c r="G219">
        <f>IF(E219="","",COUNTIFS($F$211:$F$236,"&lt;"&amp;F219,$F$211:$F$236,"&lt;&gt;")+COUNTIFS($F$211:$F$236,F219,$B$211:$B$236,"&lt;"&amp;B219)+1)</f>
        <v/>
      </c>
      <c r="H219">
        <f>IF(OR(E219="",C219=""),"",IF(C219&gt;=DATE(2019,5,1),"令和"&amp;(YEAR(C219)-2018),IF(C219&gt;=DATE(1989,1,8),"平成"&amp;(YEAR(C219)-1988),"昭和"&amp;(YEAR(C219)-1925)))&amp;"年"&amp;MONTH(C219)&amp;"月")</f>
        <v/>
      </c>
    </row>
    <row r="220">
      <c r="A220" t="n">
        <v>9</v>
      </c>
      <c r="B220" t="n">
        <v>10</v>
      </c>
      <c r="C220">
        <f>IFERROR(INDEX(資格取込!$S$6:$S$405,MATCH(9&amp;"_"&amp;4,資格取込!$Z$6:$Z$405,0)),"")</f>
        <v/>
      </c>
      <c r="D220">
        <f>IFERROR(INDEX(資格取込!$R$6:$R$405,MATCH(9&amp;"_"&amp;4,資格取込!$Z$6:$Z$405,0)),"")</f>
        <v/>
      </c>
      <c r="E220">
        <f>IF(D220="","",IFERROR(INDEX(資格マスタ!$B:$B,MATCH(ASC(SUBSTITUTE(SUBSTITUTE(D220," ",""),"　","")),資格マスタ!$D:$D,0)),D220))</f>
        <v/>
      </c>
      <c r="F220">
        <f>IF(E220="","",IF(C220="",DATE(9999,1,1),C220))</f>
        <v/>
      </c>
      <c r="G220">
        <f>IF(E220="","",COUNTIFS($F$211:$F$236,"&lt;"&amp;F220,$F$211:$F$236,"&lt;&gt;")+COUNTIFS($F$211:$F$236,F220,$B$211:$B$236,"&lt;"&amp;B220)+1)</f>
        <v/>
      </c>
      <c r="H220">
        <f>IF(OR(E220="",C220=""),"",IF(C220&gt;=DATE(2019,5,1),"令和"&amp;(YEAR(C220)-2018),IF(C220&gt;=DATE(1989,1,8),"平成"&amp;(YEAR(C220)-1988),"昭和"&amp;(YEAR(C220)-1925)))&amp;"年"&amp;MONTH(C220)&amp;"月")</f>
        <v/>
      </c>
    </row>
    <row r="221">
      <c r="A221" t="n">
        <v>9</v>
      </c>
      <c r="B221" t="n">
        <v>11</v>
      </c>
      <c r="C221">
        <f>IFERROR(INDEX(資格取込!$S$6:$S$405,MATCH(9&amp;"_"&amp;5,資格取込!$Z$6:$Z$405,0)),"")</f>
        <v/>
      </c>
      <c r="D221">
        <f>IFERROR(INDEX(資格取込!$R$6:$R$405,MATCH(9&amp;"_"&amp;5,資格取込!$Z$6:$Z$405,0)),"")</f>
        <v/>
      </c>
      <c r="E221">
        <f>IF(D221="","",IFERROR(INDEX(資格マスタ!$B:$B,MATCH(ASC(SUBSTITUTE(SUBSTITUTE(D221," ",""),"　","")),資格マスタ!$D:$D,0)),D221))</f>
        <v/>
      </c>
      <c r="F221">
        <f>IF(E221="","",IF(C221="",DATE(9999,1,1),C221))</f>
        <v/>
      </c>
      <c r="G221">
        <f>IF(E221="","",COUNTIFS($F$211:$F$236,"&lt;"&amp;F221,$F$211:$F$236,"&lt;&gt;")+COUNTIFS($F$211:$F$236,F221,$B$211:$B$236,"&lt;"&amp;B221)+1)</f>
        <v/>
      </c>
      <c r="H221">
        <f>IF(OR(E221="",C221=""),"",IF(C221&gt;=DATE(2019,5,1),"令和"&amp;(YEAR(C221)-2018),IF(C221&gt;=DATE(1989,1,8),"平成"&amp;(YEAR(C221)-1988),"昭和"&amp;(YEAR(C221)-1925)))&amp;"年"&amp;MONTH(C221)&amp;"月")</f>
        <v/>
      </c>
    </row>
    <row r="222">
      <c r="A222" t="n">
        <v>9</v>
      </c>
      <c r="B222" t="n">
        <v>12</v>
      </c>
      <c r="C222">
        <f>IFERROR(INDEX(資格取込!$S$6:$S$405,MATCH(9&amp;"_"&amp;6,資格取込!$Z$6:$Z$405,0)),"")</f>
        <v/>
      </c>
      <c r="D222">
        <f>IFERROR(INDEX(資格取込!$R$6:$R$405,MATCH(9&amp;"_"&amp;6,資格取込!$Z$6:$Z$405,0)),"")</f>
        <v/>
      </c>
      <c r="E222">
        <f>IF(D222="","",IFERROR(INDEX(資格マスタ!$B:$B,MATCH(ASC(SUBSTITUTE(SUBSTITUTE(D222," ",""),"　","")),資格マスタ!$D:$D,0)),D222))</f>
        <v/>
      </c>
      <c r="F222">
        <f>IF(E222="","",IF(C222="",DATE(9999,1,1),C222))</f>
        <v/>
      </c>
      <c r="G222">
        <f>IF(E222="","",COUNTIFS($F$211:$F$236,"&lt;"&amp;F222,$F$211:$F$236,"&lt;&gt;")+COUNTIFS($F$211:$F$236,F222,$B$211:$B$236,"&lt;"&amp;B222)+1)</f>
        <v/>
      </c>
      <c r="H222">
        <f>IF(OR(E222="",C222=""),"",IF(C222&gt;=DATE(2019,5,1),"令和"&amp;(YEAR(C222)-2018),IF(C222&gt;=DATE(1989,1,8),"平成"&amp;(YEAR(C222)-1988),"昭和"&amp;(YEAR(C222)-1925)))&amp;"年"&amp;MONTH(C222)&amp;"月")</f>
        <v/>
      </c>
    </row>
    <row r="223">
      <c r="A223" t="n">
        <v>9</v>
      </c>
      <c r="B223" t="n">
        <v>13</v>
      </c>
      <c r="C223">
        <f>IFERROR(INDEX(資格取込!$S$6:$S$405,MATCH(9&amp;"_"&amp;7,資格取込!$Z$6:$Z$405,0)),"")</f>
        <v/>
      </c>
      <c r="D223">
        <f>IFERROR(INDEX(資格取込!$R$6:$R$405,MATCH(9&amp;"_"&amp;7,資格取込!$Z$6:$Z$405,0)),"")</f>
        <v/>
      </c>
      <c r="E223">
        <f>IF(D223="","",IFERROR(INDEX(資格マスタ!$B:$B,MATCH(ASC(SUBSTITUTE(SUBSTITUTE(D223," ",""),"　","")),資格マスタ!$D:$D,0)),D223))</f>
        <v/>
      </c>
      <c r="F223">
        <f>IF(E223="","",IF(C223="",DATE(9999,1,1),C223))</f>
        <v/>
      </c>
      <c r="G223">
        <f>IF(E223="","",COUNTIFS($F$211:$F$236,"&lt;"&amp;F223,$F$211:$F$236,"&lt;&gt;")+COUNTIFS($F$211:$F$236,F223,$B$211:$B$236,"&lt;"&amp;B223)+1)</f>
        <v/>
      </c>
      <c r="H223">
        <f>IF(OR(E223="",C223=""),"",IF(C223&gt;=DATE(2019,5,1),"令和"&amp;(YEAR(C223)-2018),IF(C223&gt;=DATE(1989,1,8),"平成"&amp;(YEAR(C223)-1988),"昭和"&amp;(YEAR(C223)-1925)))&amp;"年"&amp;MONTH(C223)&amp;"月")</f>
        <v/>
      </c>
    </row>
    <row r="224">
      <c r="A224" t="n">
        <v>9</v>
      </c>
      <c r="B224" t="n">
        <v>14</v>
      </c>
      <c r="C224">
        <f>IFERROR(INDEX(資格取込!$S$6:$S$405,MATCH(9&amp;"_"&amp;8,資格取込!$Z$6:$Z$405,0)),"")</f>
        <v/>
      </c>
      <c r="D224">
        <f>IFERROR(INDEX(資格取込!$R$6:$R$405,MATCH(9&amp;"_"&amp;8,資格取込!$Z$6:$Z$405,0)),"")</f>
        <v/>
      </c>
      <c r="E224">
        <f>IF(D224="","",IFERROR(INDEX(資格マスタ!$B:$B,MATCH(ASC(SUBSTITUTE(SUBSTITUTE(D224," ",""),"　","")),資格マスタ!$D:$D,0)),D224))</f>
        <v/>
      </c>
      <c r="F224">
        <f>IF(E224="","",IF(C224="",DATE(9999,1,1),C224))</f>
        <v/>
      </c>
      <c r="G224">
        <f>IF(E224="","",COUNTIFS($F$211:$F$236,"&lt;"&amp;F224,$F$211:$F$236,"&lt;&gt;")+COUNTIFS($F$211:$F$236,F224,$B$211:$B$236,"&lt;"&amp;B224)+1)</f>
        <v/>
      </c>
      <c r="H224">
        <f>IF(OR(E224="",C224=""),"",IF(C224&gt;=DATE(2019,5,1),"令和"&amp;(YEAR(C224)-2018),IF(C224&gt;=DATE(1989,1,8),"平成"&amp;(YEAR(C224)-1988),"昭和"&amp;(YEAR(C224)-1925)))&amp;"年"&amp;MONTH(C224)&amp;"月")</f>
        <v/>
      </c>
    </row>
    <row r="225">
      <c r="A225" t="n">
        <v>9</v>
      </c>
      <c r="B225" t="n">
        <v>15</v>
      </c>
      <c r="C225">
        <f>IFERROR(INDEX(資格取込!$S$6:$S$405,MATCH(9&amp;"_"&amp;9,資格取込!$Z$6:$Z$405,0)),"")</f>
        <v/>
      </c>
      <c r="D225">
        <f>IFERROR(INDEX(資格取込!$R$6:$R$405,MATCH(9&amp;"_"&amp;9,資格取込!$Z$6:$Z$405,0)),"")</f>
        <v/>
      </c>
      <c r="E225">
        <f>IF(D225="","",IFERROR(INDEX(資格マスタ!$B:$B,MATCH(ASC(SUBSTITUTE(SUBSTITUTE(D225," ",""),"　","")),資格マスタ!$D:$D,0)),D225))</f>
        <v/>
      </c>
      <c r="F225">
        <f>IF(E225="","",IF(C225="",DATE(9999,1,1),C225))</f>
        <v/>
      </c>
      <c r="G225">
        <f>IF(E225="","",COUNTIFS($F$211:$F$236,"&lt;"&amp;F225,$F$211:$F$236,"&lt;&gt;")+COUNTIFS($F$211:$F$236,F225,$B$211:$B$236,"&lt;"&amp;B225)+1)</f>
        <v/>
      </c>
      <c r="H225">
        <f>IF(OR(E225="",C225=""),"",IF(C225&gt;=DATE(2019,5,1),"令和"&amp;(YEAR(C225)-2018),IF(C225&gt;=DATE(1989,1,8),"平成"&amp;(YEAR(C225)-1988),"昭和"&amp;(YEAR(C225)-1925)))&amp;"年"&amp;MONTH(C225)&amp;"月")</f>
        <v/>
      </c>
    </row>
    <row r="226">
      <c r="A226" t="n">
        <v>9</v>
      </c>
      <c r="B226" t="n">
        <v>16</v>
      </c>
      <c r="C226">
        <f>IFERROR(INDEX(資格取込!$S$6:$S$405,MATCH(9&amp;"_"&amp;10,資格取込!$Z$6:$Z$405,0)),"")</f>
        <v/>
      </c>
      <c r="D226">
        <f>IFERROR(INDEX(資格取込!$R$6:$R$405,MATCH(9&amp;"_"&amp;10,資格取込!$Z$6:$Z$405,0)),"")</f>
        <v/>
      </c>
      <c r="E226">
        <f>IF(D226="","",IFERROR(INDEX(資格マスタ!$B:$B,MATCH(ASC(SUBSTITUTE(SUBSTITUTE(D226," ",""),"　","")),資格マスタ!$D:$D,0)),D226))</f>
        <v/>
      </c>
      <c r="F226">
        <f>IF(E226="","",IF(C226="",DATE(9999,1,1),C226))</f>
        <v/>
      </c>
      <c r="G226">
        <f>IF(E226="","",COUNTIFS($F$211:$F$236,"&lt;"&amp;F226,$F$211:$F$236,"&lt;&gt;")+COUNTIFS($F$211:$F$236,F226,$B$211:$B$236,"&lt;"&amp;B226)+1)</f>
        <v/>
      </c>
      <c r="H226">
        <f>IF(OR(E226="",C226=""),"",IF(C226&gt;=DATE(2019,5,1),"令和"&amp;(YEAR(C226)-2018),IF(C226&gt;=DATE(1989,1,8),"平成"&amp;(YEAR(C226)-1988),"昭和"&amp;(YEAR(C226)-1925)))&amp;"年"&amp;MONTH(C226)&amp;"月")</f>
        <v/>
      </c>
    </row>
    <row r="227">
      <c r="A227" t="n">
        <v>9</v>
      </c>
      <c r="B227" t="n">
        <v>17</v>
      </c>
      <c r="C227">
        <f>IFERROR(INDEX(資格取込!$S$6:$S$405,MATCH(9&amp;"_"&amp;11,資格取込!$Z$6:$Z$405,0)),"")</f>
        <v/>
      </c>
      <c r="D227">
        <f>IFERROR(INDEX(資格取込!$R$6:$R$405,MATCH(9&amp;"_"&amp;11,資格取込!$Z$6:$Z$405,0)),"")</f>
        <v/>
      </c>
      <c r="E227">
        <f>IF(D227="","",IFERROR(INDEX(資格マスタ!$B:$B,MATCH(ASC(SUBSTITUTE(SUBSTITUTE(D227," ",""),"　","")),資格マスタ!$D:$D,0)),D227))</f>
        <v/>
      </c>
      <c r="F227">
        <f>IF(E227="","",IF(C227="",DATE(9999,1,1),C227))</f>
        <v/>
      </c>
      <c r="G227">
        <f>IF(E227="","",COUNTIFS($F$211:$F$236,"&lt;"&amp;F227,$F$211:$F$236,"&lt;&gt;")+COUNTIFS($F$211:$F$236,F227,$B$211:$B$236,"&lt;"&amp;B227)+1)</f>
        <v/>
      </c>
      <c r="H227">
        <f>IF(OR(E227="",C227=""),"",IF(C227&gt;=DATE(2019,5,1),"令和"&amp;(YEAR(C227)-2018),IF(C227&gt;=DATE(1989,1,8),"平成"&amp;(YEAR(C227)-1988),"昭和"&amp;(YEAR(C227)-1925)))&amp;"年"&amp;MONTH(C227)&amp;"月")</f>
        <v/>
      </c>
    </row>
    <row r="228">
      <c r="A228" t="n">
        <v>9</v>
      </c>
      <c r="B228" t="n">
        <v>18</v>
      </c>
      <c r="C228">
        <f>IFERROR(INDEX(資格取込!$S$6:$S$405,MATCH(9&amp;"_"&amp;12,資格取込!$Z$6:$Z$405,0)),"")</f>
        <v/>
      </c>
      <c r="D228">
        <f>IFERROR(INDEX(資格取込!$R$6:$R$405,MATCH(9&amp;"_"&amp;12,資格取込!$Z$6:$Z$405,0)),"")</f>
        <v/>
      </c>
      <c r="E228">
        <f>IF(D228="","",IFERROR(INDEX(資格マスタ!$B:$B,MATCH(ASC(SUBSTITUTE(SUBSTITUTE(D228," ",""),"　","")),資格マスタ!$D:$D,0)),D228))</f>
        <v/>
      </c>
      <c r="F228">
        <f>IF(E228="","",IF(C228="",DATE(9999,1,1),C228))</f>
        <v/>
      </c>
      <c r="G228">
        <f>IF(E228="","",COUNTIFS($F$211:$F$236,"&lt;"&amp;F228,$F$211:$F$236,"&lt;&gt;")+COUNTIFS($F$211:$F$236,F228,$B$211:$B$236,"&lt;"&amp;B228)+1)</f>
        <v/>
      </c>
      <c r="H228">
        <f>IF(OR(E228="",C228=""),"",IF(C228&gt;=DATE(2019,5,1),"令和"&amp;(YEAR(C228)-2018),IF(C228&gt;=DATE(1989,1,8),"平成"&amp;(YEAR(C228)-1988),"昭和"&amp;(YEAR(C228)-1925)))&amp;"年"&amp;MONTH(C228)&amp;"月")</f>
        <v/>
      </c>
    </row>
    <row r="229">
      <c r="A229" t="n">
        <v>9</v>
      </c>
      <c r="B229" t="n">
        <v>19</v>
      </c>
      <c r="C229">
        <f>IFERROR(INDEX(資格取込!$S$6:$S$405,MATCH(9&amp;"_"&amp;13,資格取込!$Z$6:$Z$405,0)),"")</f>
        <v/>
      </c>
      <c r="D229">
        <f>IFERROR(INDEX(資格取込!$R$6:$R$405,MATCH(9&amp;"_"&amp;13,資格取込!$Z$6:$Z$405,0)),"")</f>
        <v/>
      </c>
      <c r="E229">
        <f>IF(D229="","",IFERROR(INDEX(資格マスタ!$B:$B,MATCH(ASC(SUBSTITUTE(SUBSTITUTE(D229," ",""),"　","")),資格マスタ!$D:$D,0)),D229))</f>
        <v/>
      </c>
      <c r="F229">
        <f>IF(E229="","",IF(C229="",DATE(9999,1,1),C229))</f>
        <v/>
      </c>
      <c r="G229">
        <f>IF(E229="","",COUNTIFS($F$211:$F$236,"&lt;"&amp;F229,$F$211:$F$236,"&lt;&gt;")+COUNTIFS($F$211:$F$236,F229,$B$211:$B$236,"&lt;"&amp;B229)+1)</f>
        <v/>
      </c>
      <c r="H229">
        <f>IF(OR(E229="",C229=""),"",IF(C229&gt;=DATE(2019,5,1),"令和"&amp;(YEAR(C229)-2018),IF(C229&gt;=DATE(1989,1,8),"平成"&amp;(YEAR(C229)-1988),"昭和"&amp;(YEAR(C229)-1925)))&amp;"年"&amp;MONTH(C229)&amp;"月")</f>
        <v/>
      </c>
    </row>
    <row r="230">
      <c r="A230" t="n">
        <v>9</v>
      </c>
      <c r="B230" t="n">
        <v>20</v>
      </c>
      <c r="C230">
        <f>IFERROR(INDEX(資格取込!$S$6:$S$405,MATCH(9&amp;"_"&amp;14,資格取込!$Z$6:$Z$405,0)),"")</f>
        <v/>
      </c>
      <c r="D230">
        <f>IFERROR(INDEX(資格取込!$R$6:$R$405,MATCH(9&amp;"_"&amp;14,資格取込!$Z$6:$Z$405,0)),"")</f>
        <v/>
      </c>
      <c r="E230">
        <f>IF(D230="","",IFERROR(INDEX(資格マスタ!$B:$B,MATCH(ASC(SUBSTITUTE(SUBSTITUTE(D230," ",""),"　","")),資格マスタ!$D:$D,0)),D230))</f>
        <v/>
      </c>
      <c r="F230">
        <f>IF(E230="","",IF(C230="",DATE(9999,1,1),C230))</f>
        <v/>
      </c>
      <c r="G230">
        <f>IF(E230="","",COUNTIFS($F$211:$F$236,"&lt;"&amp;F230,$F$211:$F$236,"&lt;&gt;")+COUNTIFS($F$211:$F$236,F230,$B$211:$B$236,"&lt;"&amp;B230)+1)</f>
        <v/>
      </c>
      <c r="H230">
        <f>IF(OR(E230="",C230=""),"",IF(C230&gt;=DATE(2019,5,1),"令和"&amp;(YEAR(C230)-2018),IF(C230&gt;=DATE(1989,1,8),"平成"&amp;(YEAR(C230)-1988),"昭和"&amp;(YEAR(C230)-1925)))&amp;"年"&amp;MONTH(C230)&amp;"月")</f>
        <v/>
      </c>
    </row>
    <row r="231">
      <c r="A231" t="n">
        <v>9</v>
      </c>
      <c r="B231" t="n">
        <v>21</v>
      </c>
      <c r="C231">
        <f>IFERROR(INDEX(資格取込!$S$6:$S$405,MATCH(9&amp;"_"&amp;15,資格取込!$Z$6:$Z$405,0)),"")</f>
        <v/>
      </c>
      <c r="D231">
        <f>IFERROR(INDEX(資格取込!$R$6:$R$405,MATCH(9&amp;"_"&amp;15,資格取込!$Z$6:$Z$405,0)),"")</f>
        <v/>
      </c>
      <c r="E231">
        <f>IF(D231="","",IFERROR(INDEX(資格マスタ!$B:$B,MATCH(ASC(SUBSTITUTE(SUBSTITUTE(D231," ",""),"　","")),資格マスタ!$D:$D,0)),D231))</f>
        <v/>
      </c>
      <c r="F231">
        <f>IF(E231="","",IF(C231="",DATE(9999,1,1),C231))</f>
        <v/>
      </c>
      <c r="G231">
        <f>IF(E231="","",COUNTIFS($F$211:$F$236,"&lt;"&amp;F231,$F$211:$F$236,"&lt;&gt;")+COUNTIFS($F$211:$F$236,F231,$B$211:$B$236,"&lt;"&amp;B231)+1)</f>
        <v/>
      </c>
      <c r="H231">
        <f>IF(OR(E231="",C231=""),"",IF(C231&gt;=DATE(2019,5,1),"令和"&amp;(YEAR(C231)-2018),IF(C231&gt;=DATE(1989,1,8),"平成"&amp;(YEAR(C231)-1988),"昭和"&amp;(YEAR(C231)-1925)))&amp;"年"&amp;MONTH(C231)&amp;"月")</f>
        <v/>
      </c>
    </row>
    <row r="232">
      <c r="A232" t="n">
        <v>9</v>
      </c>
      <c r="B232" t="n">
        <v>22</v>
      </c>
      <c r="C232">
        <f>IFERROR(INDEX(資格取込!$S$6:$S$405,MATCH(9&amp;"_"&amp;16,資格取込!$Z$6:$Z$405,0)),"")</f>
        <v/>
      </c>
      <c r="D232">
        <f>IFERROR(INDEX(資格取込!$R$6:$R$405,MATCH(9&amp;"_"&amp;16,資格取込!$Z$6:$Z$405,0)),"")</f>
        <v/>
      </c>
      <c r="E232">
        <f>IF(D232="","",IFERROR(INDEX(資格マスタ!$B:$B,MATCH(ASC(SUBSTITUTE(SUBSTITUTE(D232," ",""),"　","")),資格マスタ!$D:$D,0)),D232))</f>
        <v/>
      </c>
      <c r="F232">
        <f>IF(E232="","",IF(C232="",DATE(9999,1,1),C232))</f>
        <v/>
      </c>
      <c r="G232">
        <f>IF(E232="","",COUNTIFS($F$211:$F$236,"&lt;"&amp;F232,$F$211:$F$236,"&lt;&gt;")+COUNTIFS($F$211:$F$236,F232,$B$211:$B$236,"&lt;"&amp;B232)+1)</f>
        <v/>
      </c>
      <c r="H232">
        <f>IF(OR(E232="",C232=""),"",IF(C232&gt;=DATE(2019,5,1),"令和"&amp;(YEAR(C232)-2018),IF(C232&gt;=DATE(1989,1,8),"平成"&amp;(YEAR(C232)-1988),"昭和"&amp;(YEAR(C232)-1925)))&amp;"年"&amp;MONTH(C232)&amp;"月")</f>
        <v/>
      </c>
    </row>
    <row r="233">
      <c r="A233" t="n">
        <v>9</v>
      </c>
      <c r="B233" t="n">
        <v>23</v>
      </c>
      <c r="C233">
        <f>IFERROR(INDEX(資格取込!$S$6:$S$405,MATCH(9&amp;"_"&amp;17,資格取込!$Z$6:$Z$405,0)),"")</f>
        <v/>
      </c>
      <c r="D233">
        <f>IFERROR(INDEX(資格取込!$R$6:$R$405,MATCH(9&amp;"_"&amp;17,資格取込!$Z$6:$Z$405,0)),"")</f>
        <v/>
      </c>
      <c r="E233">
        <f>IF(D233="","",IFERROR(INDEX(資格マスタ!$B:$B,MATCH(ASC(SUBSTITUTE(SUBSTITUTE(D233," ",""),"　","")),資格マスタ!$D:$D,0)),D233))</f>
        <v/>
      </c>
      <c r="F233">
        <f>IF(E233="","",IF(C233="",DATE(9999,1,1),C233))</f>
        <v/>
      </c>
      <c r="G233">
        <f>IF(E233="","",COUNTIFS($F$211:$F$236,"&lt;"&amp;F233,$F$211:$F$236,"&lt;&gt;")+COUNTIFS($F$211:$F$236,F233,$B$211:$B$236,"&lt;"&amp;B233)+1)</f>
        <v/>
      </c>
      <c r="H233">
        <f>IF(OR(E233="",C233=""),"",IF(C233&gt;=DATE(2019,5,1),"令和"&amp;(YEAR(C233)-2018),IF(C233&gt;=DATE(1989,1,8),"平成"&amp;(YEAR(C233)-1988),"昭和"&amp;(YEAR(C233)-1925)))&amp;"年"&amp;MONTH(C233)&amp;"月")</f>
        <v/>
      </c>
    </row>
    <row r="234">
      <c r="A234" t="n">
        <v>9</v>
      </c>
      <c r="B234" t="n">
        <v>24</v>
      </c>
      <c r="C234">
        <f>IFERROR(INDEX(資格取込!$S$6:$S$405,MATCH(9&amp;"_"&amp;18,資格取込!$Z$6:$Z$405,0)),"")</f>
        <v/>
      </c>
      <c r="D234">
        <f>IFERROR(INDEX(資格取込!$R$6:$R$405,MATCH(9&amp;"_"&amp;18,資格取込!$Z$6:$Z$405,0)),"")</f>
        <v/>
      </c>
      <c r="E234">
        <f>IF(D234="","",IFERROR(INDEX(資格マスタ!$B:$B,MATCH(ASC(SUBSTITUTE(SUBSTITUTE(D234," ",""),"　","")),資格マスタ!$D:$D,0)),D234))</f>
        <v/>
      </c>
      <c r="F234">
        <f>IF(E234="","",IF(C234="",DATE(9999,1,1),C234))</f>
        <v/>
      </c>
      <c r="G234">
        <f>IF(E234="","",COUNTIFS($F$211:$F$236,"&lt;"&amp;F234,$F$211:$F$236,"&lt;&gt;")+COUNTIFS($F$211:$F$236,F234,$B$211:$B$236,"&lt;"&amp;B234)+1)</f>
        <v/>
      </c>
      <c r="H234">
        <f>IF(OR(E234="",C234=""),"",IF(C234&gt;=DATE(2019,5,1),"令和"&amp;(YEAR(C234)-2018),IF(C234&gt;=DATE(1989,1,8),"平成"&amp;(YEAR(C234)-1988),"昭和"&amp;(YEAR(C234)-1925)))&amp;"年"&amp;MONTH(C234)&amp;"月")</f>
        <v/>
      </c>
    </row>
    <row r="235">
      <c r="A235" t="n">
        <v>9</v>
      </c>
      <c r="B235" t="n">
        <v>25</v>
      </c>
      <c r="C235">
        <f>IFERROR(INDEX(資格取込!$S$6:$S$405,MATCH(9&amp;"_"&amp;19,資格取込!$Z$6:$Z$405,0)),"")</f>
        <v/>
      </c>
      <c r="D235">
        <f>IFERROR(INDEX(資格取込!$R$6:$R$405,MATCH(9&amp;"_"&amp;19,資格取込!$Z$6:$Z$405,0)),"")</f>
        <v/>
      </c>
      <c r="E235">
        <f>IF(D235="","",IFERROR(INDEX(資格マスタ!$B:$B,MATCH(ASC(SUBSTITUTE(SUBSTITUTE(D235," ",""),"　","")),資格マスタ!$D:$D,0)),D235))</f>
        <v/>
      </c>
      <c r="F235">
        <f>IF(E235="","",IF(C235="",DATE(9999,1,1),C235))</f>
        <v/>
      </c>
      <c r="G235">
        <f>IF(E235="","",COUNTIFS($F$211:$F$236,"&lt;"&amp;F235,$F$211:$F$236,"&lt;&gt;")+COUNTIFS($F$211:$F$236,F235,$B$211:$B$236,"&lt;"&amp;B235)+1)</f>
        <v/>
      </c>
      <c r="H235">
        <f>IF(OR(E235="",C235=""),"",IF(C235&gt;=DATE(2019,5,1),"令和"&amp;(YEAR(C235)-2018),IF(C235&gt;=DATE(1989,1,8),"平成"&amp;(YEAR(C235)-1988),"昭和"&amp;(YEAR(C235)-1925)))&amp;"年"&amp;MONTH(C235)&amp;"月")</f>
        <v/>
      </c>
    </row>
    <row r="236">
      <c r="A236" t="n">
        <v>9</v>
      </c>
      <c r="B236" t="n">
        <v>26</v>
      </c>
      <c r="C236">
        <f>IFERROR(INDEX(資格取込!$S$6:$S$405,MATCH(9&amp;"_"&amp;20,資格取込!$Z$6:$Z$405,0)),"")</f>
        <v/>
      </c>
      <c r="D236">
        <f>IFERROR(INDEX(資格取込!$R$6:$R$405,MATCH(9&amp;"_"&amp;20,資格取込!$Z$6:$Z$405,0)),"")</f>
        <v/>
      </c>
      <c r="E236">
        <f>IF(D236="","",IFERROR(INDEX(資格マスタ!$B:$B,MATCH(ASC(SUBSTITUTE(SUBSTITUTE(D236," ",""),"　","")),資格マスタ!$D:$D,0)),D236))</f>
        <v/>
      </c>
      <c r="F236">
        <f>IF(E236="","",IF(C236="",DATE(9999,1,1),C236))</f>
        <v/>
      </c>
      <c r="G236">
        <f>IF(E236="","",COUNTIFS($F$211:$F$236,"&lt;"&amp;F236,$F$211:$F$236,"&lt;&gt;")+COUNTIFS($F$211:$F$236,F236,$B$211:$B$236,"&lt;"&amp;B236)+1)</f>
        <v/>
      </c>
      <c r="H236">
        <f>IF(OR(E236="",C236=""),"",IF(C236&gt;=DATE(2019,5,1),"令和"&amp;(YEAR(C236)-2018),IF(C236&gt;=DATE(1989,1,8),"平成"&amp;(YEAR(C236)-1988),"昭和"&amp;(YEAR(C236)-1925)))&amp;"年"&amp;MONTH(C236)&amp;"月")</f>
        <v/>
      </c>
    </row>
    <row r="237">
      <c r="A237" t="n">
        <v>10</v>
      </c>
      <c r="B237" t="n">
        <v>1</v>
      </c>
      <c r="C237"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237">
        <f>IF(入力!N14="","",入力!N14)</f>
        <v/>
      </c>
      <c r="E237">
        <f>IF(D237="","",IFERROR(INDEX(資格マスタ!$B:$B,MATCH(ASC(SUBSTITUTE(SUBSTITUTE(D237," ",""),"　","")),資格マスタ!$D:$D,0)),D237))</f>
        <v/>
      </c>
      <c r="F237">
        <f>IF(E237="","",IF(C237="",DATE(9999,1,1),C237))</f>
        <v/>
      </c>
      <c r="G237">
        <f>IF(E237="","",COUNTIFS($F$237:$F$262,"&lt;"&amp;F237,$F$237:$F$262,"&lt;&gt;")+COUNTIFS($F$237:$F$262,F237,$B$237:$B$262,"&lt;"&amp;B237)+1)</f>
        <v/>
      </c>
      <c r="H237">
        <f>IF(OR(E237="",C237=""),"",IF(C237&gt;=DATE(2019,5,1),"令和"&amp;(YEAR(C237)-2018),IF(C237&gt;=DATE(1989,1,8),"平成"&amp;(YEAR(C237)-1988),"昭和"&amp;(YEAR(C237)-1925)))&amp;"年"&amp;MONTH(C237)&amp;"月")</f>
        <v/>
      </c>
    </row>
    <row r="238">
      <c r="A238" t="n">
        <v>10</v>
      </c>
      <c r="B238" t="n">
        <v>2</v>
      </c>
      <c r="C238">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238">
        <f>IF(入力!P14="","",入力!P14)</f>
        <v/>
      </c>
      <c r="E238">
        <f>IF(D238="","",IFERROR(INDEX(資格マスタ!$B:$B,MATCH(ASC(SUBSTITUTE(SUBSTITUTE(D238," ",""),"　","")),資格マスタ!$D:$D,0)),D238))</f>
        <v/>
      </c>
      <c r="F238">
        <f>IF(E238="","",IF(C238="",DATE(9999,1,1),C238))</f>
        <v/>
      </c>
      <c r="G238">
        <f>IF(E238="","",COUNTIFS($F$237:$F$262,"&lt;"&amp;F238,$F$237:$F$262,"&lt;&gt;")+COUNTIFS($F$237:$F$262,F238,$B$237:$B$262,"&lt;"&amp;B238)+1)</f>
        <v/>
      </c>
      <c r="H238">
        <f>IF(OR(E238="",C238=""),"",IF(C238&gt;=DATE(2019,5,1),"令和"&amp;(YEAR(C238)-2018),IF(C238&gt;=DATE(1989,1,8),"平成"&amp;(YEAR(C238)-1988),"昭和"&amp;(YEAR(C238)-1925)))&amp;"年"&amp;MONTH(C238)&amp;"月")</f>
        <v/>
      </c>
    </row>
    <row r="239">
      <c r="A239" t="n">
        <v>10</v>
      </c>
      <c r="B239" t="n">
        <v>3</v>
      </c>
      <c r="C239">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239">
        <f>IF(入力!R14="","",入力!R14)</f>
        <v/>
      </c>
      <c r="E239">
        <f>IF(D239="","",IFERROR(INDEX(資格マスタ!$B:$B,MATCH(ASC(SUBSTITUTE(SUBSTITUTE(D239," ",""),"　","")),資格マスタ!$D:$D,0)),D239))</f>
        <v/>
      </c>
      <c r="F239">
        <f>IF(E239="","",IF(C239="",DATE(9999,1,1),C239))</f>
        <v/>
      </c>
      <c r="G239">
        <f>IF(E239="","",COUNTIFS($F$237:$F$262,"&lt;"&amp;F239,$F$237:$F$262,"&lt;&gt;")+COUNTIFS($F$237:$F$262,F239,$B$237:$B$262,"&lt;"&amp;B239)+1)</f>
        <v/>
      </c>
      <c r="H239">
        <f>IF(OR(E239="",C239=""),"",IF(C239&gt;=DATE(2019,5,1),"令和"&amp;(YEAR(C239)-2018),IF(C239&gt;=DATE(1989,1,8),"平成"&amp;(YEAR(C239)-1988),"昭和"&amp;(YEAR(C239)-1925)))&amp;"年"&amp;MONTH(C239)&amp;"月")</f>
        <v/>
      </c>
    </row>
    <row r="240">
      <c r="A240" t="n">
        <v>10</v>
      </c>
      <c r="B240" t="n">
        <v>4</v>
      </c>
      <c r="C240">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240">
        <f>IF(入力!T14="","",入力!T14)</f>
        <v/>
      </c>
      <c r="E240">
        <f>IF(D240="","",IFERROR(INDEX(資格マスタ!$B:$B,MATCH(ASC(SUBSTITUTE(SUBSTITUTE(D240," ",""),"　","")),資格マスタ!$D:$D,0)),D240))</f>
        <v/>
      </c>
      <c r="F240">
        <f>IF(E240="","",IF(C240="",DATE(9999,1,1),C240))</f>
        <v/>
      </c>
      <c r="G240">
        <f>IF(E240="","",COUNTIFS($F$237:$F$262,"&lt;"&amp;F240,$F$237:$F$262,"&lt;&gt;")+COUNTIFS($F$237:$F$262,F240,$B$237:$B$262,"&lt;"&amp;B240)+1)</f>
        <v/>
      </c>
      <c r="H240">
        <f>IF(OR(E240="",C240=""),"",IF(C240&gt;=DATE(2019,5,1),"令和"&amp;(YEAR(C240)-2018),IF(C240&gt;=DATE(1989,1,8),"平成"&amp;(YEAR(C240)-1988),"昭和"&amp;(YEAR(C240)-1925)))&amp;"年"&amp;MONTH(C240)&amp;"月")</f>
        <v/>
      </c>
    </row>
    <row r="241">
      <c r="A241" t="n">
        <v>10</v>
      </c>
      <c r="B241" t="n">
        <v>5</v>
      </c>
      <c r="C241">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241">
        <f>IF(入力!V14="","",入力!V14)</f>
        <v/>
      </c>
      <c r="E241">
        <f>IF(D241="","",IFERROR(INDEX(資格マスタ!$B:$B,MATCH(ASC(SUBSTITUTE(SUBSTITUTE(D241," ",""),"　","")),資格マスタ!$D:$D,0)),D241))</f>
        <v/>
      </c>
      <c r="F241">
        <f>IF(E241="","",IF(C241="",DATE(9999,1,1),C241))</f>
        <v/>
      </c>
      <c r="G241">
        <f>IF(E241="","",COUNTIFS($F$237:$F$262,"&lt;"&amp;F241,$F$237:$F$262,"&lt;&gt;")+COUNTIFS($F$237:$F$262,F241,$B$237:$B$262,"&lt;"&amp;B241)+1)</f>
        <v/>
      </c>
      <c r="H241">
        <f>IF(OR(E241="",C241=""),"",IF(C241&gt;=DATE(2019,5,1),"令和"&amp;(YEAR(C241)-2018),IF(C241&gt;=DATE(1989,1,8),"平成"&amp;(YEAR(C241)-1988),"昭和"&amp;(YEAR(C241)-1925)))&amp;"年"&amp;MONTH(C241)&amp;"月")</f>
        <v/>
      </c>
    </row>
    <row r="242">
      <c r="A242" t="n">
        <v>10</v>
      </c>
      <c r="B242" t="n">
        <v>6</v>
      </c>
      <c r="C242">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242">
        <f>IF(入力!X14="","",入力!X14)</f>
        <v/>
      </c>
      <c r="E242">
        <f>IF(D242="","",IFERROR(INDEX(資格マスタ!$B:$B,MATCH(ASC(SUBSTITUTE(SUBSTITUTE(D242," ",""),"　","")),資格マスタ!$D:$D,0)),D242))</f>
        <v/>
      </c>
      <c r="F242">
        <f>IF(E242="","",IF(C242="",DATE(9999,1,1),C242))</f>
        <v/>
      </c>
      <c r="G242">
        <f>IF(E242="","",COUNTIFS($F$237:$F$262,"&lt;"&amp;F242,$F$237:$F$262,"&lt;&gt;")+COUNTIFS($F$237:$F$262,F242,$B$237:$B$262,"&lt;"&amp;B242)+1)</f>
        <v/>
      </c>
      <c r="H242">
        <f>IF(OR(E242="",C242=""),"",IF(C242&gt;=DATE(2019,5,1),"令和"&amp;(YEAR(C242)-2018),IF(C242&gt;=DATE(1989,1,8),"平成"&amp;(YEAR(C242)-1988),"昭和"&amp;(YEAR(C242)-1925)))&amp;"年"&amp;MONTH(C242)&amp;"月")</f>
        <v/>
      </c>
    </row>
    <row r="243">
      <c r="A243" t="n">
        <v>10</v>
      </c>
      <c r="B243" t="n">
        <v>7</v>
      </c>
      <c r="C243">
        <f>IFERROR(INDEX(資格取込!$S$6:$S$405,MATCH(10&amp;"_"&amp;1,資格取込!$Z$6:$Z$405,0)),"")</f>
        <v/>
      </c>
      <c r="D243">
        <f>IFERROR(INDEX(資格取込!$R$6:$R$405,MATCH(10&amp;"_"&amp;1,資格取込!$Z$6:$Z$405,0)),"")</f>
        <v/>
      </c>
      <c r="E243">
        <f>IF(D243="","",IFERROR(INDEX(資格マスタ!$B:$B,MATCH(ASC(SUBSTITUTE(SUBSTITUTE(D243," ",""),"　","")),資格マスタ!$D:$D,0)),D243))</f>
        <v/>
      </c>
      <c r="F243">
        <f>IF(E243="","",IF(C243="",DATE(9999,1,1),C243))</f>
        <v/>
      </c>
      <c r="G243">
        <f>IF(E243="","",COUNTIFS($F$237:$F$262,"&lt;"&amp;F243,$F$237:$F$262,"&lt;&gt;")+COUNTIFS($F$237:$F$262,F243,$B$237:$B$262,"&lt;"&amp;B243)+1)</f>
        <v/>
      </c>
      <c r="H243">
        <f>IF(OR(E243="",C243=""),"",IF(C243&gt;=DATE(2019,5,1),"令和"&amp;(YEAR(C243)-2018),IF(C243&gt;=DATE(1989,1,8),"平成"&amp;(YEAR(C243)-1988),"昭和"&amp;(YEAR(C243)-1925)))&amp;"年"&amp;MONTH(C243)&amp;"月")</f>
        <v/>
      </c>
    </row>
    <row r="244">
      <c r="A244" t="n">
        <v>10</v>
      </c>
      <c r="B244" t="n">
        <v>8</v>
      </c>
      <c r="C244">
        <f>IFERROR(INDEX(資格取込!$S$6:$S$405,MATCH(10&amp;"_"&amp;2,資格取込!$Z$6:$Z$405,0)),"")</f>
        <v/>
      </c>
      <c r="D244">
        <f>IFERROR(INDEX(資格取込!$R$6:$R$405,MATCH(10&amp;"_"&amp;2,資格取込!$Z$6:$Z$405,0)),"")</f>
        <v/>
      </c>
      <c r="E244">
        <f>IF(D244="","",IFERROR(INDEX(資格マスタ!$B:$B,MATCH(ASC(SUBSTITUTE(SUBSTITUTE(D244," ",""),"　","")),資格マスタ!$D:$D,0)),D244))</f>
        <v/>
      </c>
      <c r="F244">
        <f>IF(E244="","",IF(C244="",DATE(9999,1,1),C244))</f>
        <v/>
      </c>
      <c r="G244">
        <f>IF(E244="","",COUNTIFS($F$237:$F$262,"&lt;"&amp;F244,$F$237:$F$262,"&lt;&gt;")+COUNTIFS($F$237:$F$262,F244,$B$237:$B$262,"&lt;"&amp;B244)+1)</f>
        <v/>
      </c>
      <c r="H244">
        <f>IF(OR(E244="",C244=""),"",IF(C244&gt;=DATE(2019,5,1),"令和"&amp;(YEAR(C244)-2018),IF(C244&gt;=DATE(1989,1,8),"平成"&amp;(YEAR(C244)-1988),"昭和"&amp;(YEAR(C244)-1925)))&amp;"年"&amp;MONTH(C244)&amp;"月")</f>
        <v/>
      </c>
    </row>
    <row r="245">
      <c r="A245" t="n">
        <v>10</v>
      </c>
      <c r="B245" t="n">
        <v>9</v>
      </c>
      <c r="C245">
        <f>IFERROR(INDEX(資格取込!$S$6:$S$405,MATCH(10&amp;"_"&amp;3,資格取込!$Z$6:$Z$405,0)),"")</f>
        <v/>
      </c>
      <c r="D245">
        <f>IFERROR(INDEX(資格取込!$R$6:$R$405,MATCH(10&amp;"_"&amp;3,資格取込!$Z$6:$Z$405,0)),"")</f>
        <v/>
      </c>
      <c r="E245">
        <f>IF(D245="","",IFERROR(INDEX(資格マスタ!$B:$B,MATCH(ASC(SUBSTITUTE(SUBSTITUTE(D245," ",""),"　","")),資格マスタ!$D:$D,0)),D245))</f>
        <v/>
      </c>
      <c r="F245">
        <f>IF(E245="","",IF(C245="",DATE(9999,1,1),C245))</f>
        <v/>
      </c>
      <c r="G245">
        <f>IF(E245="","",COUNTIFS($F$237:$F$262,"&lt;"&amp;F245,$F$237:$F$262,"&lt;&gt;")+COUNTIFS($F$237:$F$262,F245,$B$237:$B$262,"&lt;"&amp;B245)+1)</f>
        <v/>
      </c>
      <c r="H245">
        <f>IF(OR(E245="",C245=""),"",IF(C245&gt;=DATE(2019,5,1),"令和"&amp;(YEAR(C245)-2018),IF(C245&gt;=DATE(1989,1,8),"平成"&amp;(YEAR(C245)-1988),"昭和"&amp;(YEAR(C245)-1925)))&amp;"年"&amp;MONTH(C245)&amp;"月")</f>
        <v/>
      </c>
    </row>
    <row r="246">
      <c r="A246" t="n">
        <v>10</v>
      </c>
      <c r="B246" t="n">
        <v>10</v>
      </c>
      <c r="C246">
        <f>IFERROR(INDEX(資格取込!$S$6:$S$405,MATCH(10&amp;"_"&amp;4,資格取込!$Z$6:$Z$405,0)),"")</f>
        <v/>
      </c>
      <c r="D246">
        <f>IFERROR(INDEX(資格取込!$R$6:$R$405,MATCH(10&amp;"_"&amp;4,資格取込!$Z$6:$Z$405,0)),"")</f>
        <v/>
      </c>
      <c r="E246">
        <f>IF(D246="","",IFERROR(INDEX(資格マスタ!$B:$B,MATCH(ASC(SUBSTITUTE(SUBSTITUTE(D246," ",""),"　","")),資格マスタ!$D:$D,0)),D246))</f>
        <v/>
      </c>
      <c r="F246">
        <f>IF(E246="","",IF(C246="",DATE(9999,1,1),C246))</f>
        <v/>
      </c>
      <c r="G246">
        <f>IF(E246="","",COUNTIFS($F$237:$F$262,"&lt;"&amp;F246,$F$237:$F$262,"&lt;&gt;")+COUNTIFS($F$237:$F$262,F246,$B$237:$B$262,"&lt;"&amp;B246)+1)</f>
        <v/>
      </c>
      <c r="H246">
        <f>IF(OR(E246="",C246=""),"",IF(C246&gt;=DATE(2019,5,1),"令和"&amp;(YEAR(C246)-2018),IF(C246&gt;=DATE(1989,1,8),"平成"&amp;(YEAR(C246)-1988),"昭和"&amp;(YEAR(C246)-1925)))&amp;"年"&amp;MONTH(C246)&amp;"月")</f>
        <v/>
      </c>
    </row>
    <row r="247">
      <c r="A247" t="n">
        <v>10</v>
      </c>
      <c r="B247" t="n">
        <v>11</v>
      </c>
      <c r="C247">
        <f>IFERROR(INDEX(資格取込!$S$6:$S$405,MATCH(10&amp;"_"&amp;5,資格取込!$Z$6:$Z$405,0)),"")</f>
        <v/>
      </c>
      <c r="D247">
        <f>IFERROR(INDEX(資格取込!$R$6:$R$405,MATCH(10&amp;"_"&amp;5,資格取込!$Z$6:$Z$405,0)),"")</f>
        <v/>
      </c>
      <c r="E247">
        <f>IF(D247="","",IFERROR(INDEX(資格マスタ!$B:$B,MATCH(ASC(SUBSTITUTE(SUBSTITUTE(D247," ",""),"　","")),資格マスタ!$D:$D,0)),D247))</f>
        <v/>
      </c>
      <c r="F247">
        <f>IF(E247="","",IF(C247="",DATE(9999,1,1),C247))</f>
        <v/>
      </c>
      <c r="G247">
        <f>IF(E247="","",COUNTIFS($F$237:$F$262,"&lt;"&amp;F247,$F$237:$F$262,"&lt;&gt;")+COUNTIFS($F$237:$F$262,F247,$B$237:$B$262,"&lt;"&amp;B247)+1)</f>
        <v/>
      </c>
      <c r="H247">
        <f>IF(OR(E247="",C247=""),"",IF(C247&gt;=DATE(2019,5,1),"令和"&amp;(YEAR(C247)-2018),IF(C247&gt;=DATE(1989,1,8),"平成"&amp;(YEAR(C247)-1988),"昭和"&amp;(YEAR(C247)-1925)))&amp;"年"&amp;MONTH(C247)&amp;"月")</f>
        <v/>
      </c>
    </row>
    <row r="248">
      <c r="A248" t="n">
        <v>10</v>
      </c>
      <c r="B248" t="n">
        <v>12</v>
      </c>
      <c r="C248">
        <f>IFERROR(INDEX(資格取込!$S$6:$S$405,MATCH(10&amp;"_"&amp;6,資格取込!$Z$6:$Z$405,0)),"")</f>
        <v/>
      </c>
      <c r="D248">
        <f>IFERROR(INDEX(資格取込!$R$6:$R$405,MATCH(10&amp;"_"&amp;6,資格取込!$Z$6:$Z$405,0)),"")</f>
        <v/>
      </c>
      <c r="E248">
        <f>IF(D248="","",IFERROR(INDEX(資格マスタ!$B:$B,MATCH(ASC(SUBSTITUTE(SUBSTITUTE(D248," ",""),"　","")),資格マスタ!$D:$D,0)),D248))</f>
        <v/>
      </c>
      <c r="F248">
        <f>IF(E248="","",IF(C248="",DATE(9999,1,1),C248))</f>
        <v/>
      </c>
      <c r="G248">
        <f>IF(E248="","",COUNTIFS($F$237:$F$262,"&lt;"&amp;F248,$F$237:$F$262,"&lt;&gt;")+COUNTIFS($F$237:$F$262,F248,$B$237:$B$262,"&lt;"&amp;B248)+1)</f>
        <v/>
      </c>
      <c r="H248">
        <f>IF(OR(E248="",C248=""),"",IF(C248&gt;=DATE(2019,5,1),"令和"&amp;(YEAR(C248)-2018),IF(C248&gt;=DATE(1989,1,8),"平成"&amp;(YEAR(C248)-1988),"昭和"&amp;(YEAR(C248)-1925)))&amp;"年"&amp;MONTH(C248)&amp;"月")</f>
        <v/>
      </c>
    </row>
    <row r="249">
      <c r="A249" t="n">
        <v>10</v>
      </c>
      <c r="B249" t="n">
        <v>13</v>
      </c>
      <c r="C249">
        <f>IFERROR(INDEX(資格取込!$S$6:$S$405,MATCH(10&amp;"_"&amp;7,資格取込!$Z$6:$Z$405,0)),"")</f>
        <v/>
      </c>
      <c r="D249">
        <f>IFERROR(INDEX(資格取込!$R$6:$R$405,MATCH(10&amp;"_"&amp;7,資格取込!$Z$6:$Z$405,0)),"")</f>
        <v/>
      </c>
      <c r="E249">
        <f>IF(D249="","",IFERROR(INDEX(資格マスタ!$B:$B,MATCH(ASC(SUBSTITUTE(SUBSTITUTE(D249," ",""),"　","")),資格マスタ!$D:$D,0)),D249))</f>
        <v/>
      </c>
      <c r="F249">
        <f>IF(E249="","",IF(C249="",DATE(9999,1,1),C249))</f>
        <v/>
      </c>
      <c r="G249">
        <f>IF(E249="","",COUNTIFS($F$237:$F$262,"&lt;"&amp;F249,$F$237:$F$262,"&lt;&gt;")+COUNTIFS($F$237:$F$262,F249,$B$237:$B$262,"&lt;"&amp;B249)+1)</f>
        <v/>
      </c>
      <c r="H249">
        <f>IF(OR(E249="",C249=""),"",IF(C249&gt;=DATE(2019,5,1),"令和"&amp;(YEAR(C249)-2018),IF(C249&gt;=DATE(1989,1,8),"平成"&amp;(YEAR(C249)-1988),"昭和"&amp;(YEAR(C249)-1925)))&amp;"年"&amp;MONTH(C249)&amp;"月")</f>
        <v/>
      </c>
    </row>
    <row r="250">
      <c r="A250" t="n">
        <v>10</v>
      </c>
      <c r="B250" t="n">
        <v>14</v>
      </c>
      <c r="C250">
        <f>IFERROR(INDEX(資格取込!$S$6:$S$405,MATCH(10&amp;"_"&amp;8,資格取込!$Z$6:$Z$405,0)),"")</f>
        <v/>
      </c>
      <c r="D250">
        <f>IFERROR(INDEX(資格取込!$R$6:$R$405,MATCH(10&amp;"_"&amp;8,資格取込!$Z$6:$Z$405,0)),"")</f>
        <v/>
      </c>
      <c r="E250">
        <f>IF(D250="","",IFERROR(INDEX(資格マスタ!$B:$B,MATCH(ASC(SUBSTITUTE(SUBSTITUTE(D250," ",""),"　","")),資格マスタ!$D:$D,0)),D250))</f>
        <v/>
      </c>
      <c r="F250">
        <f>IF(E250="","",IF(C250="",DATE(9999,1,1),C250))</f>
        <v/>
      </c>
      <c r="G250">
        <f>IF(E250="","",COUNTIFS($F$237:$F$262,"&lt;"&amp;F250,$F$237:$F$262,"&lt;&gt;")+COUNTIFS($F$237:$F$262,F250,$B$237:$B$262,"&lt;"&amp;B250)+1)</f>
        <v/>
      </c>
      <c r="H250">
        <f>IF(OR(E250="",C250=""),"",IF(C250&gt;=DATE(2019,5,1),"令和"&amp;(YEAR(C250)-2018),IF(C250&gt;=DATE(1989,1,8),"平成"&amp;(YEAR(C250)-1988),"昭和"&amp;(YEAR(C250)-1925)))&amp;"年"&amp;MONTH(C250)&amp;"月")</f>
        <v/>
      </c>
    </row>
    <row r="251">
      <c r="A251" t="n">
        <v>10</v>
      </c>
      <c r="B251" t="n">
        <v>15</v>
      </c>
      <c r="C251">
        <f>IFERROR(INDEX(資格取込!$S$6:$S$405,MATCH(10&amp;"_"&amp;9,資格取込!$Z$6:$Z$405,0)),"")</f>
        <v/>
      </c>
      <c r="D251">
        <f>IFERROR(INDEX(資格取込!$R$6:$R$405,MATCH(10&amp;"_"&amp;9,資格取込!$Z$6:$Z$405,0)),"")</f>
        <v/>
      </c>
      <c r="E251">
        <f>IF(D251="","",IFERROR(INDEX(資格マスタ!$B:$B,MATCH(ASC(SUBSTITUTE(SUBSTITUTE(D251," ",""),"　","")),資格マスタ!$D:$D,0)),D251))</f>
        <v/>
      </c>
      <c r="F251">
        <f>IF(E251="","",IF(C251="",DATE(9999,1,1),C251))</f>
        <v/>
      </c>
      <c r="G251">
        <f>IF(E251="","",COUNTIFS($F$237:$F$262,"&lt;"&amp;F251,$F$237:$F$262,"&lt;&gt;")+COUNTIFS($F$237:$F$262,F251,$B$237:$B$262,"&lt;"&amp;B251)+1)</f>
        <v/>
      </c>
      <c r="H251">
        <f>IF(OR(E251="",C251=""),"",IF(C251&gt;=DATE(2019,5,1),"令和"&amp;(YEAR(C251)-2018),IF(C251&gt;=DATE(1989,1,8),"平成"&amp;(YEAR(C251)-1988),"昭和"&amp;(YEAR(C251)-1925)))&amp;"年"&amp;MONTH(C251)&amp;"月")</f>
        <v/>
      </c>
    </row>
    <row r="252">
      <c r="A252" t="n">
        <v>10</v>
      </c>
      <c r="B252" t="n">
        <v>16</v>
      </c>
      <c r="C252">
        <f>IFERROR(INDEX(資格取込!$S$6:$S$405,MATCH(10&amp;"_"&amp;10,資格取込!$Z$6:$Z$405,0)),"")</f>
        <v/>
      </c>
      <c r="D252">
        <f>IFERROR(INDEX(資格取込!$R$6:$R$405,MATCH(10&amp;"_"&amp;10,資格取込!$Z$6:$Z$405,0)),"")</f>
        <v/>
      </c>
      <c r="E252">
        <f>IF(D252="","",IFERROR(INDEX(資格マスタ!$B:$B,MATCH(ASC(SUBSTITUTE(SUBSTITUTE(D252," ",""),"　","")),資格マスタ!$D:$D,0)),D252))</f>
        <v/>
      </c>
      <c r="F252">
        <f>IF(E252="","",IF(C252="",DATE(9999,1,1),C252))</f>
        <v/>
      </c>
      <c r="G252">
        <f>IF(E252="","",COUNTIFS($F$237:$F$262,"&lt;"&amp;F252,$F$237:$F$262,"&lt;&gt;")+COUNTIFS($F$237:$F$262,F252,$B$237:$B$262,"&lt;"&amp;B252)+1)</f>
        <v/>
      </c>
      <c r="H252">
        <f>IF(OR(E252="",C252=""),"",IF(C252&gt;=DATE(2019,5,1),"令和"&amp;(YEAR(C252)-2018),IF(C252&gt;=DATE(1989,1,8),"平成"&amp;(YEAR(C252)-1988),"昭和"&amp;(YEAR(C252)-1925)))&amp;"年"&amp;MONTH(C252)&amp;"月")</f>
        <v/>
      </c>
    </row>
    <row r="253">
      <c r="A253" t="n">
        <v>10</v>
      </c>
      <c r="B253" t="n">
        <v>17</v>
      </c>
      <c r="C253">
        <f>IFERROR(INDEX(資格取込!$S$6:$S$405,MATCH(10&amp;"_"&amp;11,資格取込!$Z$6:$Z$405,0)),"")</f>
        <v/>
      </c>
      <c r="D253">
        <f>IFERROR(INDEX(資格取込!$R$6:$R$405,MATCH(10&amp;"_"&amp;11,資格取込!$Z$6:$Z$405,0)),"")</f>
        <v/>
      </c>
      <c r="E253">
        <f>IF(D253="","",IFERROR(INDEX(資格マスタ!$B:$B,MATCH(ASC(SUBSTITUTE(SUBSTITUTE(D253," ",""),"　","")),資格マスタ!$D:$D,0)),D253))</f>
        <v/>
      </c>
      <c r="F253">
        <f>IF(E253="","",IF(C253="",DATE(9999,1,1),C253))</f>
        <v/>
      </c>
      <c r="G253">
        <f>IF(E253="","",COUNTIFS($F$237:$F$262,"&lt;"&amp;F253,$F$237:$F$262,"&lt;&gt;")+COUNTIFS($F$237:$F$262,F253,$B$237:$B$262,"&lt;"&amp;B253)+1)</f>
        <v/>
      </c>
      <c r="H253">
        <f>IF(OR(E253="",C253=""),"",IF(C253&gt;=DATE(2019,5,1),"令和"&amp;(YEAR(C253)-2018),IF(C253&gt;=DATE(1989,1,8),"平成"&amp;(YEAR(C253)-1988),"昭和"&amp;(YEAR(C253)-1925)))&amp;"年"&amp;MONTH(C253)&amp;"月")</f>
        <v/>
      </c>
    </row>
    <row r="254">
      <c r="A254" t="n">
        <v>10</v>
      </c>
      <c r="B254" t="n">
        <v>18</v>
      </c>
      <c r="C254">
        <f>IFERROR(INDEX(資格取込!$S$6:$S$405,MATCH(10&amp;"_"&amp;12,資格取込!$Z$6:$Z$405,0)),"")</f>
        <v/>
      </c>
      <c r="D254">
        <f>IFERROR(INDEX(資格取込!$R$6:$R$405,MATCH(10&amp;"_"&amp;12,資格取込!$Z$6:$Z$405,0)),"")</f>
        <v/>
      </c>
      <c r="E254">
        <f>IF(D254="","",IFERROR(INDEX(資格マスタ!$B:$B,MATCH(ASC(SUBSTITUTE(SUBSTITUTE(D254," ",""),"　","")),資格マスタ!$D:$D,0)),D254))</f>
        <v/>
      </c>
      <c r="F254">
        <f>IF(E254="","",IF(C254="",DATE(9999,1,1),C254))</f>
        <v/>
      </c>
      <c r="G254">
        <f>IF(E254="","",COUNTIFS($F$237:$F$262,"&lt;"&amp;F254,$F$237:$F$262,"&lt;&gt;")+COUNTIFS($F$237:$F$262,F254,$B$237:$B$262,"&lt;"&amp;B254)+1)</f>
        <v/>
      </c>
      <c r="H254">
        <f>IF(OR(E254="",C254=""),"",IF(C254&gt;=DATE(2019,5,1),"令和"&amp;(YEAR(C254)-2018),IF(C254&gt;=DATE(1989,1,8),"平成"&amp;(YEAR(C254)-1988),"昭和"&amp;(YEAR(C254)-1925)))&amp;"年"&amp;MONTH(C254)&amp;"月")</f>
        <v/>
      </c>
    </row>
    <row r="255">
      <c r="A255" t="n">
        <v>10</v>
      </c>
      <c r="B255" t="n">
        <v>19</v>
      </c>
      <c r="C255">
        <f>IFERROR(INDEX(資格取込!$S$6:$S$405,MATCH(10&amp;"_"&amp;13,資格取込!$Z$6:$Z$405,0)),"")</f>
        <v/>
      </c>
      <c r="D255">
        <f>IFERROR(INDEX(資格取込!$R$6:$R$405,MATCH(10&amp;"_"&amp;13,資格取込!$Z$6:$Z$405,0)),"")</f>
        <v/>
      </c>
      <c r="E255">
        <f>IF(D255="","",IFERROR(INDEX(資格マスタ!$B:$B,MATCH(ASC(SUBSTITUTE(SUBSTITUTE(D255," ",""),"　","")),資格マスタ!$D:$D,0)),D255))</f>
        <v/>
      </c>
      <c r="F255">
        <f>IF(E255="","",IF(C255="",DATE(9999,1,1),C255))</f>
        <v/>
      </c>
      <c r="G255">
        <f>IF(E255="","",COUNTIFS($F$237:$F$262,"&lt;"&amp;F255,$F$237:$F$262,"&lt;&gt;")+COUNTIFS($F$237:$F$262,F255,$B$237:$B$262,"&lt;"&amp;B255)+1)</f>
        <v/>
      </c>
      <c r="H255">
        <f>IF(OR(E255="",C255=""),"",IF(C255&gt;=DATE(2019,5,1),"令和"&amp;(YEAR(C255)-2018),IF(C255&gt;=DATE(1989,1,8),"平成"&amp;(YEAR(C255)-1988),"昭和"&amp;(YEAR(C255)-1925)))&amp;"年"&amp;MONTH(C255)&amp;"月")</f>
        <v/>
      </c>
    </row>
    <row r="256">
      <c r="A256" t="n">
        <v>10</v>
      </c>
      <c r="B256" t="n">
        <v>20</v>
      </c>
      <c r="C256">
        <f>IFERROR(INDEX(資格取込!$S$6:$S$405,MATCH(10&amp;"_"&amp;14,資格取込!$Z$6:$Z$405,0)),"")</f>
        <v/>
      </c>
      <c r="D256">
        <f>IFERROR(INDEX(資格取込!$R$6:$R$405,MATCH(10&amp;"_"&amp;14,資格取込!$Z$6:$Z$405,0)),"")</f>
        <v/>
      </c>
      <c r="E256">
        <f>IF(D256="","",IFERROR(INDEX(資格マスタ!$B:$B,MATCH(ASC(SUBSTITUTE(SUBSTITUTE(D256," ",""),"　","")),資格マスタ!$D:$D,0)),D256))</f>
        <v/>
      </c>
      <c r="F256">
        <f>IF(E256="","",IF(C256="",DATE(9999,1,1),C256))</f>
        <v/>
      </c>
      <c r="G256">
        <f>IF(E256="","",COUNTIFS($F$237:$F$262,"&lt;"&amp;F256,$F$237:$F$262,"&lt;&gt;")+COUNTIFS($F$237:$F$262,F256,$B$237:$B$262,"&lt;"&amp;B256)+1)</f>
        <v/>
      </c>
      <c r="H256">
        <f>IF(OR(E256="",C256=""),"",IF(C256&gt;=DATE(2019,5,1),"令和"&amp;(YEAR(C256)-2018),IF(C256&gt;=DATE(1989,1,8),"平成"&amp;(YEAR(C256)-1988),"昭和"&amp;(YEAR(C256)-1925)))&amp;"年"&amp;MONTH(C256)&amp;"月")</f>
        <v/>
      </c>
    </row>
    <row r="257">
      <c r="A257" t="n">
        <v>10</v>
      </c>
      <c r="B257" t="n">
        <v>21</v>
      </c>
      <c r="C257">
        <f>IFERROR(INDEX(資格取込!$S$6:$S$405,MATCH(10&amp;"_"&amp;15,資格取込!$Z$6:$Z$405,0)),"")</f>
        <v/>
      </c>
      <c r="D257">
        <f>IFERROR(INDEX(資格取込!$R$6:$R$405,MATCH(10&amp;"_"&amp;15,資格取込!$Z$6:$Z$405,0)),"")</f>
        <v/>
      </c>
      <c r="E257">
        <f>IF(D257="","",IFERROR(INDEX(資格マスタ!$B:$B,MATCH(ASC(SUBSTITUTE(SUBSTITUTE(D257," ",""),"　","")),資格マスタ!$D:$D,0)),D257))</f>
        <v/>
      </c>
      <c r="F257">
        <f>IF(E257="","",IF(C257="",DATE(9999,1,1),C257))</f>
        <v/>
      </c>
      <c r="G257">
        <f>IF(E257="","",COUNTIFS($F$237:$F$262,"&lt;"&amp;F257,$F$237:$F$262,"&lt;&gt;")+COUNTIFS($F$237:$F$262,F257,$B$237:$B$262,"&lt;"&amp;B257)+1)</f>
        <v/>
      </c>
      <c r="H257">
        <f>IF(OR(E257="",C257=""),"",IF(C257&gt;=DATE(2019,5,1),"令和"&amp;(YEAR(C257)-2018),IF(C257&gt;=DATE(1989,1,8),"平成"&amp;(YEAR(C257)-1988),"昭和"&amp;(YEAR(C257)-1925)))&amp;"年"&amp;MONTH(C257)&amp;"月")</f>
        <v/>
      </c>
    </row>
    <row r="258">
      <c r="A258" t="n">
        <v>10</v>
      </c>
      <c r="B258" t="n">
        <v>22</v>
      </c>
      <c r="C258">
        <f>IFERROR(INDEX(資格取込!$S$6:$S$405,MATCH(10&amp;"_"&amp;16,資格取込!$Z$6:$Z$405,0)),"")</f>
        <v/>
      </c>
      <c r="D258">
        <f>IFERROR(INDEX(資格取込!$R$6:$R$405,MATCH(10&amp;"_"&amp;16,資格取込!$Z$6:$Z$405,0)),"")</f>
        <v/>
      </c>
      <c r="E258">
        <f>IF(D258="","",IFERROR(INDEX(資格マスタ!$B:$B,MATCH(ASC(SUBSTITUTE(SUBSTITUTE(D258," ",""),"　","")),資格マスタ!$D:$D,0)),D258))</f>
        <v/>
      </c>
      <c r="F258">
        <f>IF(E258="","",IF(C258="",DATE(9999,1,1),C258))</f>
        <v/>
      </c>
      <c r="G258">
        <f>IF(E258="","",COUNTIFS($F$237:$F$262,"&lt;"&amp;F258,$F$237:$F$262,"&lt;&gt;")+COUNTIFS($F$237:$F$262,F258,$B$237:$B$262,"&lt;"&amp;B258)+1)</f>
        <v/>
      </c>
      <c r="H258">
        <f>IF(OR(E258="",C258=""),"",IF(C258&gt;=DATE(2019,5,1),"令和"&amp;(YEAR(C258)-2018),IF(C258&gt;=DATE(1989,1,8),"平成"&amp;(YEAR(C258)-1988),"昭和"&amp;(YEAR(C258)-1925)))&amp;"年"&amp;MONTH(C258)&amp;"月")</f>
        <v/>
      </c>
    </row>
    <row r="259">
      <c r="A259" t="n">
        <v>10</v>
      </c>
      <c r="B259" t="n">
        <v>23</v>
      </c>
      <c r="C259">
        <f>IFERROR(INDEX(資格取込!$S$6:$S$405,MATCH(10&amp;"_"&amp;17,資格取込!$Z$6:$Z$405,0)),"")</f>
        <v/>
      </c>
      <c r="D259">
        <f>IFERROR(INDEX(資格取込!$R$6:$R$405,MATCH(10&amp;"_"&amp;17,資格取込!$Z$6:$Z$405,0)),"")</f>
        <v/>
      </c>
      <c r="E259">
        <f>IF(D259="","",IFERROR(INDEX(資格マスタ!$B:$B,MATCH(ASC(SUBSTITUTE(SUBSTITUTE(D259," ",""),"　","")),資格マスタ!$D:$D,0)),D259))</f>
        <v/>
      </c>
      <c r="F259">
        <f>IF(E259="","",IF(C259="",DATE(9999,1,1),C259))</f>
        <v/>
      </c>
      <c r="G259">
        <f>IF(E259="","",COUNTIFS($F$237:$F$262,"&lt;"&amp;F259,$F$237:$F$262,"&lt;&gt;")+COUNTIFS($F$237:$F$262,F259,$B$237:$B$262,"&lt;"&amp;B259)+1)</f>
        <v/>
      </c>
      <c r="H259">
        <f>IF(OR(E259="",C259=""),"",IF(C259&gt;=DATE(2019,5,1),"令和"&amp;(YEAR(C259)-2018),IF(C259&gt;=DATE(1989,1,8),"平成"&amp;(YEAR(C259)-1988),"昭和"&amp;(YEAR(C259)-1925)))&amp;"年"&amp;MONTH(C259)&amp;"月")</f>
        <v/>
      </c>
    </row>
    <row r="260">
      <c r="A260" t="n">
        <v>10</v>
      </c>
      <c r="B260" t="n">
        <v>24</v>
      </c>
      <c r="C260">
        <f>IFERROR(INDEX(資格取込!$S$6:$S$405,MATCH(10&amp;"_"&amp;18,資格取込!$Z$6:$Z$405,0)),"")</f>
        <v/>
      </c>
      <c r="D260">
        <f>IFERROR(INDEX(資格取込!$R$6:$R$405,MATCH(10&amp;"_"&amp;18,資格取込!$Z$6:$Z$405,0)),"")</f>
        <v/>
      </c>
      <c r="E260">
        <f>IF(D260="","",IFERROR(INDEX(資格マスタ!$B:$B,MATCH(ASC(SUBSTITUTE(SUBSTITUTE(D260," ",""),"　","")),資格マスタ!$D:$D,0)),D260))</f>
        <v/>
      </c>
      <c r="F260">
        <f>IF(E260="","",IF(C260="",DATE(9999,1,1),C260))</f>
        <v/>
      </c>
      <c r="G260">
        <f>IF(E260="","",COUNTIFS($F$237:$F$262,"&lt;"&amp;F260,$F$237:$F$262,"&lt;&gt;")+COUNTIFS($F$237:$F$262,F260,$B$237:$B$262,"&lt;"&amp;B260)+1)</f>
        <v/>
      </c>
      <c r="H260">
        <f>IF(OR(E260="",C260=""),"",IF(C260&gt;=DATE(2019,5,1),"令和"&amp;(YEAR(C260)-2018),IF(C260&gt;=DATE(1989,1,8),"平成"&amp;(YEAR(C260)-1988),"昭和"&amp;(YEAR(C260)-1925)))&amp;"年"&amp;MONTH(C260)&amp;"月")</f>
        <v/>
      </c>
    </row>
    <row r="261">
      <c r="A261" t="n">
        <v>10</v>
      </c>
      <c r="B261" t="n">
        <v>25</v>
      </c>
      <c r="C261">
        <f>IFERROR(INDEX(資格取込!$S$6:$S$405,MATCH(10&amp;"_"&amp;19,資格取込!$Z$6:$Z$405,0)),"")</f>
        <v/>
      </c>
      <c r="D261">
        <f>IFERROR(INDEX(資格取込!$R$6:$R$405,MATCH(10&amp;"_"&amp;19,資格取込!$Z$6:$Z$405,0)),"")</f>
        <v/>
      </c>
      <c r="E261">
        <f>IF(D261="","",IFERROR(INDEX(資格マスタ!$B:$B,MATCH(ASC(SUBSTITUTE(SUBSTITUTE(D261," ",""),"　","")),資格マスタ!$D:$D,0)),D261))</f>
        <v/>
      </c>
      <c r="F261">
        <f>IF(E261="","",IF(C261="",DATE(9999,1,1),C261))</f>
        <v/>
      </c>
      <c r="G261">
        <f>IF(E261="","",COUNTIFS($F$237:$F$262,"&lt;"&amp;F261,$F$237:$F$262,"&lt;&gt;")+COUNTIFS($F$237:$F$262,F261,$B$237:$B$262,"&lt;"&amp;B261)+1)</f>
        <v/>
      </c>
      <c r="H261">
        <f>IF(OR(E261="",C261=""),"",IF(C261&gt;=DATE(2019,5,1),"令和"&amp;(YEAR(C261)-2018),IF(C261&gt;=DATE(1989,1,8),"平成"&amp;(YEAR(C261)-1988),"昭和"&amp;(YEAR(C261)-1925)))&amp;"年"&amp;MONTH(C261)&amp;"月")</f>
        <v/>
      </c>
    </row>
    <row r="262">
      <c r="A262" t="n">
        <v>10</v>
      </c>
      <c r="B262" t="n">
        <v>26</v>
      </c>
      <c r="C262">
        <f>IFERROR(INDEX(資格取込!$S$6:$S$405,MATCH(10&amp;"_"&amp;20,資格取込!$Z$6:$Z$405,0)),"")</f>
        <v/>
      </c>
      <c r="D262">
        <f>IFERROR(INDEX(資格取込!$R$6:$R$405,MATCH(10&amp;"_"&amp;20,資格取込!$Z$6:$Z$405,0)),"")</f>
        <v/>
      </c>
      <c r="E262">
        <f>IF(D262="","",IFERROR(INDEX(資格マスタ!$B:$B,MATCH(ASC(SUBSTITUTE(SUBSTITUTE(D262," ",""),"　","")),資格マスタ!$D:$D,0)),D262))</f>
        <v/>
      </c>
      <c r="F262">
        <f>IF(E262="","",IF(C262="",DATE(9999,1,1),C262))</f>
        <v/>
      </c>
      <c r="G262">
        <f>IF(E262="","",COUNTIFS($F$237:$F$262,"&lt;"&amp;F262,$F$237:$F$262,"&lt;&gt;")+COUNTIFS($F$237:$F$262,F262,$B$237:$B$262,"&lt;"&amp;B262)+1)</f>
        <v/>
      </c>
      <c r="H262">
        <f>IF(OR(E262="",C262=""),"",IF(C262&gt;=DATE(2019,5,1),"令和"&amp;(YEAR(C262)-2018),IF(C262&gt;=DATE(1989,1,8),"平成"&amp;(YEAR(C262)-1988),"昭和"&amp;(YEAR(C262)-1925)))&amp;"年"&amp;MONTH(C262)&amp;"月")</f>
        <v/>
      </c>
    </row>
    <row r="263">
      <c r="A263" t="n">
        <v>11</v>
      </c>
      <c r="B263" t="n">
        <v>1</v>
      </c>
      <c r="C26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263">
        <f>IF(入力!N15="","",入力!N15)</f>
        <v/>
      </c>
      <c r="E263">
        <f>IF(D263="","",IFERROR(INDEX(資格マスタ!$B:$B,MATCH(ASC(SUBSTITUTE(SUBSTITUTE(D263," ",""),"　","")),資格マスタ!$D:$D,0)),D263))</f>
        <v/>
      </c>
      <c r="F263">
        <f>IF(E263="","",IF(C263="",DATE(9999,1,1),C263))</f>
        <v/>
      </c>
      <c r="G263">
        <f>IF(E263="","",COUNTIFS($F$263:$F$288,"&lt;"&amp;F263,$F$263:$F$288,"&lt;&gt;")+COUNTIFS($F$263:$F$288,F263,$B$263:$B$288,"&lt;"&amp;B263)+1)</f>
        <v/>
      </c>
      <c r="H263">
        <f>IF(OR(E263="",C263=""),"",IF(C263&gt;=DATE(2019,5,1),"令和"&amp;(YEAR(C263)-2018),IF(C263&gt;=DATE(1989,1,8),"平成"&amp;(YEAR(C263)-1988),"昭和"&amp;(YEAR(C263)-1925)))&amp;"年"&amp;MONTH(C263)&amp;"月")</f>
        <v/>
      </c>
    </row>
    <row r="264">
      <c r="A264" t="n">
        <v>11</v>
      </c>
      <c r="B264" t="n">
        <v>2</v>
      </c>
      <c r="C26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264">
        <f>IF(入力!P15="","",入力!P15)</f>
        <v/>
      </c>
      <c r="E264">
        <f>IF(D264="","",IFERROR(INDEX(資格マスタ!$B:$B,MATCH(ASC(SUBSTITUTE(SUBSTITUTE(D264," ",""),"　","")),資格マスタ!$D:$D,0)),D264))</f>
        <v/>
      </c>
      <c r="F264">
        <f>IF(E264="","",IF(C264="",DATE(9999,1,1),C264))</f>
        <v/>
      </c>
      <c r="G264">
        <f>IF(E264="","",COUNTIFS($F$263:$F$288,"&lt;"&amp;F264,$F$263:$F$288,"&lt;&gt;")+COUNTIFS($F$263:$F$288,F264,$B$263:$B$288,"&lt;"&amp;B264)+1)</f>
        <v/>
      </c>
      <c r="H264">
        <f>IF(OR(E264="",C264=""),"",IF(C264&gt;=DATE(2019,5,1),"令和"&amp;(YEAR(C264)-2018),IF(C264&gt;=DATE(1989,1,8),"平成"&amp;(YEAR(C264)-1988),"昭和"&amp;(YEAR(C264)-1925)))&amp;"年"&amp;MONTH(C264)&amp;"月")</f>
        <v/>
      </c>
    </row>
    <row r="265">
      <c r="A265" t="n">
        <v>11</v>
      </c>
      <c r="B265" t="n">
        <v>3</v>
      </c>
      <c r="C26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265">
        <f>IF(入力!R15="","",入力!R15)</f>
        <v/>
      </c>
      <c r="E265">
        <f>IF(D265="","",IFERROR(INDEX(資格マスタ!$B:$B,MATCH(ASC(SUBSTITUTE(SUBSTITUTE(D265," ",""),"　","")),資格マスタ!$D:$D,0)),D265))</f>
        <v/>
      </c>
      <c r="F265">
        <f>IF(E265="","",IF(C265="",DATE(9999,1,1),C265))</f>
        <v/>
      </c>
      <c r="G265">
        <f>IF(E265="","",COUNTIFS($F$263:$F$288,"&lt;"&amp;F265,$F$263:$F$288,"&lt;&gt;")+COUNTIFS($F$263:$F$288,F265,$B$263:$B$288,"&lt;"&amp;B265)+1)</f>
        <v/>
      </c>
      <c r="H265">
        <f>IF(OR(E265="",C265=""),"",IF(C265&gt;=DATE(2019,5,1),"令和"&amp;(YEAR(C265)-2018),IF(C265&gt;=DATE(1989,1,8),"平成"&amp;(YEAR(C265)-1988),"昭和"&amp;(YEAR(C265)-1925)))&amp;"年"&amp;MONTH(C265)&amp;"月")</f>
        <v/>
      </c>
    </row>
    <row r="266">
      <c r="A266" t="n">
        <v>11</v>
      </c>
      <c r="B266" t="n">
        <v>4</v>
      </c>
      <c r="C26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266">
        <f>IF(入力!T15="","",入力!T15)</f>
        <v/>
      </c>
      <c r="E266">
        <f>IF(D266="","",IFERROR(INDEX(資格マスタ!$B:$B,MATCH(ASC(SUBSTITUTE(SUBSTITUTE(D266," ",""),"　","")),資格マスタ!$D:$D,0)),D266))</f>
        <v/>
      </c>
      <c r="F266">
        <f>IF(E266="","",IF(C266="",DATE(9999,1,1),C266))</f>
        <v/>
      </c>
      <c r="G266">
        <f>IF(E266="","",COUNTIFS($F$263:$F$288,"&lt;"&amp;F266,$F$263:$F$288,"&lt;&gt;")+COUNTIFS($F$263:$F$288,F266,$B$263:$B$288,"&lt;"&amp;B266)+1)</f>
        <v/>
      </c>
      <c r="H266">
        <f>IF(OR(E266="",C266=""),"",IF(C266&gt;=DATE(2019,5,1),"令和"&amp;(YEAR(C266)-2018),IF(C266&gt;=DATE(1989,1,8),"平成"&amp;(YEAR(C266)-1988),"昭和"&amp;(YEAR(C266)-1925)))&amp;"年"&amp;MONTH(C266)&amp;"月")</f>
        <v/>
      </c>
    </row>
    <row r="267">
      <c r="A267" t="n">
        <v>11</v>
      </c>
      <c r="B267" t="n">
        <v>5</v>
      </c>
      <c r="C26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267">
        <f>IF(入力!V15="","",入力!V15)</f>
        <v/>
      </c>
      <c r="E267">
        <f>IF(D267="","",IFERROR(INDEX(資格マスタ!$B:$B,MATCH(ASC(SUBSTITUTE(SUBSTITUTE(D267," ",""),"　","")),資格マスタ!$D:$D,0)),D267))</f>
        <v/>
      </c>
      <c r="F267">
        <f>IF(E267="","",IF(C267="",DATE(9999,1,1),C267))</f>
        <v/>
      </c>
      <c r="G267">
        <f>IF(E267="","",COUNTIFS($F$263:$F$288,"&lt;"&amp;F267,$F$263:$F$288,"&lt;&gt;")+COUNTIFS($F$263:$F$288,F267,$B$263:$B$288,"&lt;"&amp;B267)+1)</f>
        <v/>
      </c>
      <c r="H267">
        <f>IF(OR(E267="",C267=""),"",IF(C267&gt;=DATE(2019,5,1),"令和"&amp;(YEAR(C267)-2018),IF(C267&gt;=DATE(1989,1,8),"平成"&amp;(YEAR(C267)-1988),"昭和"&amp;(YEAR(C267)-1925)))&amp;"年"&amp;MONTH(C267)&amp;"月")</f>
        <v/>
      </c>
    </row>
    <row r="268">
      <c r="A268" t="n">
        <v>11</v>
      </c>
      <c r="B268" t="n">
        <v>6</v>
      </c>
      <c r="C26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268">
        <f>IF(入力!X15="","",入力!X15)</f>
        <v/>
      </c>
      <c r="E268">
        <f>IF(D268="","",IFERROR(INDEX(資格マスタ!$B:$B,MATCH(ASC(SUBSTITUTE(SUBSTITUTE(D268," ",""),"　","")),資格マスタ!$D:$D,0)),D268))</f>
        <v/>
      </c>
      <c r="F268">
        <f>IF(E268="","",IF(C268="",DATE(9999,1,1),C268))</f>
        <v/>
      </c>
      <c r="G268">
        <f>IF(E268="","",COUNTIFS($F$263:$F$288,"&lt;"&amp;F268,$F$263:$F$288,"&lt;&gt;")+COUNTIFS($F$263:$F$288,F268,$B$263:$B$288,"&lt;"&amp;B268)+1)</f>
        <v/>
      </c>
      <c r="H268">
        <f>IF(OR(E268="",C268=""),"",IF(C268&gt;=DATE(2019,5,1),"令和"&amp;(YEAR(C268)-2018),IF(C268&gt;=DATE(1989,1,8),"平成"&amp;(YEAR(C268)-1988),"昭和"&amp;(YEAR(C268)-1925)))&amp;"年"&amp;MONTH(C268)&amp;"月")</f>
        <v/>
      </c>
    </row>
    <row r="269">
      <c r="A269" t="n">
        <v>11</v>
      </c>
      <c r="B269" t="n">
        <v>7</v>
      </c>
      <c r="C269">
        <f>IFERROR(INDEX(資格取込!$S$6:$S$405,MATCH(11&amp;"_"&amp;1,資格取込!$Z$6:$Z$405,0)),"")</f>
        <v/>
      </c>
      <c r="D269">
        <f>IFERROR(INDEX(資格取込!$R$6:$R$405,MATCH(11&amp;"_"&amp;1,資格取込!$Z$6:$Z$405,0)),"")</f>
        <v/>
      </c>
      <c r="E269">
        <f>IF(D269="","",IFERROR(INDEX(資格マスタ!$B:$B,MATCH(ASC(SUBSTITUTE(SUBSTITUTE(D269," ",""),"　","")),資格マスタ!$D:$D,0)),D269))</f>
        <v/>
      </c>
      <c r="F269">
        <f>IF(E269="","",IF(C269="",DATE(9999,1,1),C269))</f>
        <v/>
      </c>
      <c r="G269">
        <f>IF(E269="","",COUNTIFS($F$263:$F$288,"&lt;"&amp;F269,$F$263:$F$288,"&lt;&gt;")+COUNTIFS($F$263:$F$288,F269,$B$263:$B$288,"&lt;"&amp;B269)+1)</f>
        <v/>
      </c>
      <c r="H269">
        <f>IF(OR(E269="",C269=""),"",IF(C269&gt;=DATE(2019,5,1),"令和"&amp;(YEAR(C269)-2018),IF(C269&gt;=DATE(1989,1,8),"平成"&amp;(YEAR(C269)-1988),"昭和"&amp;(YEAR(C269)-1925)))&amp;"年"&amp;MONTH(C269)&amp;"月")</f>
        <v/>
      </c>
    </row>
    <row r="270">
      <c r="A270" t="n">
        <v>11</v>
      </c>
      <c r="B270" t="n">
        <v>8</v>
      </c>
      <c r="C270">
        <f>IFERROR(INDEX(資格取込!$S$6:$S$405,MATCH(11&amp;"_"&amp;2,資格取込!$Z$6:$Z$405,0)),"")</f>
        <v/>
      </c>
      <c r="D270">
        <f>IFERROR(INDEX(資格取込!$R$6:$R$405,MATCH(11&amp;"_"&amp;2,資格取込!$Z$6:$Z$405,0)),"")</f>
        <v/>
      </c>
      <c r="E270">
        <f>IF(D270="","",IFERROR(INDEX(資格マスタ!$B:$B,MATCH(ASC(SUBSTITUTE(SUBSTITUTE(D270," ",""),"　","")),資格マスタ!$D:$D,0)),D270))</f>
        <v/>
      </c>
      <c r="F270">
        <f>IF(E270="","",IF(C270="",DATE(9999,1,1),C270))</f>
        <v/>
      </c>
      <c r="G270">
        <f>IF(E270="","",COUNTIFS($F$263:$F$288,"&lt;"&amp;F270,$F$263:$F$288,"&lt;&gt;")+COUNTIFS($F$263:$F$288,F270,$B$263:$B$288,"&lt;"&amp;B270)+1)</f>
        <v/>
      </c>
      <c r="H270">
        <f>IF(OR(E270="",C270=""),"",IF(C270&gt;=DATE(2019,5,1),"令和"&amp;(YEAR(C270)-2018),IF(C270&gt;=DATE(1989,1,8),"平成"&amp;(YEAR(C270)-1988),"昭和"&amp;(YEAR(C270)-1925)))&amp;"年"&amp;MONTH(C270)&amp;"月")</f>
        <v/>
      </c>
    </row>
    <row r="271">
      <c r="A271" t="n">
        <v>11</v>
      </c>
      <c r="B271" t="n">
        <v>9</v>
      </c>
      <c r="C271">
        <f>IFERROR(INDEX(資格取込!$S$6:$S$405,MATCH(11&amp;"_"&amp;3,資格取込!$Z$6:$Z$405,0)),"")</f>
        <v/>
      </c>
      <c r="D271">
        <f>IFERROR(INDEX(資格取込!$R$6:$R$405,MATCH(11&amp;"_"&amp;3,資格取込!$Z$6:$Z$405,0)),"")</f>
        <v/>
      </c>
      <c r="E271">
        <f>IF(D271="","",IFERROR(INDEX(資格マスタ!$B:$B,MATCH(ASC(SUBSTITUTE(SUBSTITUTE(D271," ",""),"　","")),資格マスタ!$D:$D,0)),D271))</f>
        <v/>
      </c>
      <c r="F271">
        <f>IF(E271="","",IF(C271="",DATE(9999,1,1),C271))</f>
        <v/>
      </c>
      <c r="G271">
        <f>IF(E271="","",COUNTIFS($F$263:$F$288,"&lt;"&amp;F271,$F$263:$F$288,"&lt;&gt;")+COUNTIFS($F$263:$F$288,F271,$B$263:$B$288,"&lt;"&amp;B271)+1)</f>
        <v/>
      </c>
      <c r="H271">
        <f>IF(OR(E271="",C271=""),"",IF(C271&gt;=DATE(2019,5,1),"令和"&amp;(YEAR(C271)-2018),IF(C271&gt;=DATE(1989,1,8),"平成"&amp;(YEAR(C271)-1988),"昭和"&amp;(YEAR(C271)-1925)))&amp;"年"&amp;MONTH(C271)&amp;"月")</f>
        <v/>
      </c>
    </row>
    <row r="272">
      <c r="A272" t="n">
        <v>11</v>
      </c>
      <c r="B272" t="n">
        <v>10</v>
      </c>
      <c r="C272">
        <f>IFERROR(INDEX(資格取込!$S$6:$S$405,MATCH(11&amp;"_"&amp;4,資格取込!$Z$6:$Z$405,0)),"")</f>
        <v/>
      </c>
      <c r="D272">
        <f>IFERROR(INDEX(資格取込!$R$6:$R$405,MATCH(11&amp;"_"&amp;4,資格取込!$Z$6:$Z$405,0)),"")</f>
        <v/>
      </c>
      <c r="E272">
        <f>IF(D272="","",IFERROR(INDEX(資格マスタ!$B:$B,MATCH(ASC(SUBSTITUTE(SUBSTITUTE(D272," ",""),"　","")),資格マスタ!$D:$D,0)),D272))</f>
        <v/>
      </c>
      <c r="F272">
        <f>IF(E272="","",IF(C272="",DATE(9999,1,1),C272))</f>
        <v/>
      </c>
      <c r="G272">
        <f>IF(E272="","",COUNTIFS($F$263:$F$288,"&lt;"&amp;F272,$F$263:$F$288,"&lt;&gt;")+COUNTIFS($F$263:$F$288,F272,$B$263:$B$288,"&lt;"&amp;B272)+1)</f>
        <v/>
      </c>
      <c r="H272">
        <f>IF(OR(E272="",C272=""),"",IF(C272&gt;=DATE(2019,5,1),"令和"&amp;(YEAR(C272)-2018),IF(C272&gt;=DATE(1989,1,8),"平成"&amp;(YEAR(C272)-1988),"昭和"&amp;(YEAR(C272)-1925)))&amp;"年"&amp;MONTH(C272)&amp;"月")</f>
        <v/>
      </c>
    </row>
    <row r="273">
      <c r="A273" t="n">
        <v>11</v>
      </c>
      <c r="B273" t="n">
        <v>11</v>
      </c>
      <c r="C273">
        <f>IFERROR(INDEX(資格取込!$S$6:$S$405,MATCH(11&amp;"_"&amp;5,資格取込!$Z$6:$Z$405,0)),"")</f>
        <v/>
      </c>
      <c r="D273">
        <f>IFERROR(INDEX(資格取込!$R$6:$R$405,MATCH(11&amp;"_"&amp;5,資格取込!$Z$6:$Z$405,0)),"")</f>
        <v/>
      </c>
      <c r="E273">
        <f>IF(D273="","",IFERROR(INDEX(資格マスタ!$B:$B,MATCH(ASC(SUBSTITUTE(SUBSTITUTE(D273," ",""),"　","")),資格マスタ!$D:$D,0)),D273))</f>
        <v/>
      </c>
      <c r="F273">
        <f>IF(E273="","",IF(C273="",DATE(9999,1,1),C273))</f>
        <v/>
      </c>
      <c r="G273">
        <f>IF(E273="","",COUNTIFS($F$263:$F$288,"&lt;"&amp;F273,$F$263:$F$288,"&lt;&gt;")+COUNTIFS($F$263:$F$288,F273,$B$263:$B$288,"&lt;"&amp;B273)+1)</f>
        <v/>
      </c>
      <c r="H273">
        <f>IF(OR(E273="",C273=""),"",IF(C273&gt;=DATE(2019,5,1),"令和"&amp;(YEAR(C273)-2018),IF(C273&gt;=DATE(1989,1,8),"平成"&amp;(YEAR(C273)-1988),"昭和"&amp;(YEAR(C273)-1925)))&amp;"年"&amp;MONTH(C273)&amp;"月")</f>
        <v/>
      </c>
    </row>
    <row r="274">
      <c r="A274" t="n">
        <v>11</v>
      </c>
      <c r="B274" t="n">
        <v>12</v>
      </c>
      <c r="C274">
        <f>IFERROR(INDEX(資格取込!$S$6:$S$405,MATCH(11&amp;"_"&amp;6,資格取込!$Z$6:$Z$405,0)),"")</f>
        <v/>
      </c>
      <c r="D274">
        <f>IFERROR(INDEX(資格取込!$R$6:$R$405,MATCH(11&amp;"_"&amp;6,資格取込!$Z$6:$Z$405,0)),"")</f>
        <v/>
      </c>
      <c r="E274">
        <f>IF(D274="","",IFERROR(INDEX(資格マスタ!$B:$B,MATCH(ASC(SUBSTITUTE(SUBSTITUTE(D274," ",""),"　","")),資格マスタ!$D:$D,0)),D274))</f>
        <v/>
      </c>
      <c r="F274">
        <f>IF(E274="","",IF(C274="",DATE(9999,1,1),C274))</f>
        <v/>
      </c>
      <c r="G274">
        <f>IF(E274="","",COUNTIFS($F$263:$F$288,"&lt;"&amp;F274,$F$263:$F$288,"&lt;&gt;")+COUNTIFS($F$263:$F$288,F274,$B$263:$B$288,"&lt;"&amp;B274)+1)</f>
        <v/>
      </c>
      <c r="H274">
        <f>IF(OR(E274="",C274=""),"",IF(C274&gt;=DATE(2019,5,1),"令和"&amp;(YEAR(C274)-2018),IF(C274&gt;=DATE(1989,1,8),"平成"&amp;(YEAR(C274)-1988),"昭和"&amp;(YEAR(C274)-1925)))&amp;"年"&amp;MONTH(C274)&amp;"月")</f>
        <v/>
      </c>
    </row>
    <row r="275">
      <c r="A275" t="n">
        <v>11</v>
      </c>
      <c r="B275" t="n">
        <v>13</v>
      </c>
      <c r="C275">
        <f>IFERROR(INDEX(資格取込!$S$6:$S$405,MATCH(11&amp;"_"&amp;7,資格取込!$Z$6:$Z$405,0)),"")</f>
        <v/>
      </c>
      <c r="D275">
        <f>IFERROR(INDEX(資格取込!$R$6:$R$405,MATCH(11&amp;"_"&amp;7,資格取込!$Z$6:$Z$405,0)),"")</f>
        <v/>
      </c>
      <c r="E275">
        <f>IF(D275="","",IFERROR(INDEX(資格マスタ!$B:$B,MATCH(ASC(SUBSTITUTE(SUBSTITUTE(D275," ",""),"　","")),資格マスタ!$D:$D,0)),D275))</f>
        <v/>
      </c>
      <c r="F275">
        <f>IF(E275="","",IF(C275="",DATE(9999,1,1),C275))</f>
        <v/>
      </c>
      <c r="G275">
        <f>IF(E275="","",COUNTIFS($F$263:$F$288,"&lt;"&amp;F275,$F$263:$F$288,"&lt;&gt;")+COUNTIFS($F$263:$F$288,F275,$B$263:$B$288,"&lt;"&amp;B275)+1)</f>
        <v/>
      </c>
      <c r="H275">
        <f>IF(OR(E275="",C275=""),"",IF(C275&gt;=DATE(2019,5,1),"令和"&amp;(YEAR(C275)-2018),IF(C275&gt;=DATE(1989,1,8),"平成"&amp;(YEAR(C275)-1988),"昭和"&amp;(YEAR(C275)-1925)))&amp;"年"&amp;MONTH(C275)&amp;"月")</f>
        <v/>
      </c>
    </row>
    <row r="276">
      <c r="A276" t="n">
        <v>11</v>
      </c>
      <c r="B276" t="n">
        <v>14</v>
      </c>
      <c r="C276">
        <f>IFERROR(INDEX(資格取込!$S$6:$S$405,MATCH(11&amp;"_"&amp;8,資格取込!$Z$6:$Z$405,0)),"")</f>
        <v/>
      </c>
      <c r="D276">
        <f>IFERROR(INDEX(資格取込!$R$6:$R$405,MATCH(11&amp;"_"&amp;8,資格取込!$Z$6:$Z$405,0)),"")</f>
        <v/>
      </c>
      <c r="E276">
        <f>IF(D276="","",IFERROR(INDEX(資格マスタ!$B:$B,MATCH(ASC(SUBSTITUTE(SUBSTITUTE(D276," ",""),"　","")),資格マスタ!$D:$D,0)),D276))</f>
        <v/>
      </c>
      <c r="F276">
        <f>IF(E276="","",IF(C276="",DATE(9999,1,1),C276))</f>
        <v/>
      </c>
      <c r="G276">
        <f>IF(E276="","",COUNTIFS($F$263:$F$288,"&lt;"&amp;F276,$F$263:$F$288,"&lt;&gt;")+COUNTIFS($F$263:$F$288,F276,$B$263:$B$288,"&lt;"&amp;B276)+1)</f>
        <v/>
      </c>
      <c r="H276">
        <f>IF(OR(E276="",C276=""),"",IF(C276&gt;=DATE(2019,5,1),"令和"&amp;(YEAR(C276)-2018),IF(C276&gt;=DATE(1989,1,8),"平成"&amp;(YEAR(C276)-1988),"昭和"&amp;(YEAR(C276)-1925)))&amp;"年"&amp;MONTH(C276)&amp;"月")</f>
        <v/>
      </c>
    </row>
    <row r="277">
      <c r="A277" t="n">
        <v>11</v>
      </c>
      <c r="B277" t="n">
        <v>15</v>
      </c>
      <c r="C277">
        <f>IFERROR(INDEX(資格取込!$S$6:$S$405,MATCH(11&amp;"_"&amp;9,資格取込!$Z$6:$Z$405,0)),"")</f>
        <v/>
      </c>
      <c r="D277">
        <f>IFERROR(INDEX(資格取込!$R$6:$R$405,MATCH(11&amp;"_"&amp;9,資格取込!$Z$6:$Z$405,0)),"")</f>
        <v/>
      </c>
      <c r="E277">
        <f>IF(D277="","",IFERROR(INDEX(資格マスタ!$B:$B,MATCH(ASC(SUBSTITUTE(SUBSTITUTE(D277," ",""),"　","")),資格マスタ!$D:$D,0)),D277))</f>
        <v/>
      </c>
      <c r="F277">
        <f>IF(E277="","",IF(C277="",DATE(9999,1,1),C277))</f>
        <v/>
      </c>
      <c r="G277">
        <f>IF(E277="","",COUNTIFS($F$263:$F$288,"&lt;"&amp;F277,$F$263:$F$288,"&lt;&gt;")+COUNTIFS($F$263:$F$288,F277,$B$263:$B$288,"&lt;"&amp;B277)+1)</f>
        <v/>
      </c>
      <c r="H277">
        <f>IF(OR(E277="",C277=""),"",IF(C277&gt;=DATE(2019,5,1),"令和"&amp;(YEAR(C277)-2018),IF(C277&gt;=DATE(1989,1,8),"平成"&amp;(YEAR(C277)-1988),"昭和"&amp;(YEAR(C277)-1925)))&amp;"年"&amp;MONTH(C277)&amp;"月")</f>
        <v/>
      </c>
    </row>
    <row r="278">
      <c r="A278" t="n">
        <v>11</v>
      </c>
      <c r="B278" t="n">
        <v>16</v>
      </c>
      <c r="C278">
        <f>IFERROR(INDEX(資格取込!$S$6:$S$405,MATCH(11&amp;"_"&amp;10,資格取込!$Z$6:$Z$405,0)),"")</f>
        <v/>
      </c>
      <c r="D278">
        <f>IFERROR(INDEX(資格取込!$R$6:$R$405,MATCH(11&amp;"_"&amp;10,資格取込!$Z$6:$Z$405,0)),"")</f>
        <v/>
      </c>
      <c r="E278">
        <f>IF(D278="","",IFERROR(INDEX(資格マスタ!$B:$B,MATCH(ASC(SUBSTITUTE(SUBSTITUTE(D278," ",""),"　","")),資格マスタ!$D:$D,0)),D278))</f>
        <v/>
      </c>
      <c r="F278">
        <f>IF(E278="","",IF(C278="",DATE(9999,1,1),C278))</f>
        <v/>
      </c>
      <c r="G278">
        <f>IF(E278="","",COUNTIFS($F$263:$F$288,"&lt;"&amp;F278,$F$263:$F$288,"&lt;&gt;")+COUNTIFS($F$263:$F$288,F278,$B$263:$B$288,"&lt;"&amp;B278)+1)</f>
        <v/>
      </c>
      <c r="H278">
        <f>IF(OR(E278="",C278=""),"",IF(C278&gt;=DATE(2019,5,1),"令和"&amp;(YEAR(C278)-2018),IF(C278&gt;=DATE(1989,1,8),"平成"&amp;(YEAR(C278)-1988),"昭和"&amp;(YEAR(C278)-1925)))&amp;"年"&amp;MONTH(C278)&amp;"月")</f>
        <v/>
      </c>
    </row>
    <row r="279">
      <c r="A279" t="n">
        <v>11</v>
      </c>
      <c r="B279" t="n">
        <v>17</v>
      </c>
      <c r="C279">
        <f>IFERROR(INDEX(資格取込!$S$6:$S$405,MATCH(11&amp;"_"&amp;11,資格取込!$Z$6:$Z$405,0)),"")</f>
        <v/>
      </c>
      <c r="D279">
        <f>IFERROR(INDEX(資格取込!$R$6:$R$405,MATCH(11&amp;"_"&amp;11,資格取込!$Z$6:$Z$405,0)),"")</f>
        <v/>
      </c>
      <c r="E279">
        <f>IF(D279="","",IFERROR(INDEX(資格マスタ!$B:$B,MATCH(ASC(SUBSTITUTE(SUBSTITUTE(D279," ",""),"　","")),資格マスタ!$D:$D,0)),D279))</f>
        <v/>
      </c>
      <c r="F279">
        <f>IF(E279="","",IF(C279="",DATE(9999,1,1),C279))</f>
        <v/>
      </c>
      <c r="G279">
        <f>IF(E279="","",COUNTIFS($F$263:$F$288,"&lt;"&amp;F279,$F$263:$F$288,"&lt;&gt;")+COUNTIFS($F$263:$F$288,F279,$B$263:$B$288,"&lt;"&amp;B279)+1)</f>
        <v/>
      </c>
      <c r="H279">
        <f>IF(OR(E279="",C279=""),"",IF(C279&gt;=DATE(2019,5,1),"令和"&amp;(YEAR(C279)-2018),IF(C279&gt;=DATE(1989,1,8),"平成"&amp;(YEAR(C279)-1988),"昭和"&amp;(YEAR(C279)-1925)))&amp;"年"&amp;MONTH(C279)&amp;"月")</f>
        <v/>
      </c>
    </row>
    <row r="280">
      <c r="A280" t="n">
        <v>11</v>
      </c>
      <c r="B280" t="n">
        <v>18</v>
      </c>
      <c r="C280">
        <f>IFERROR(INDEX(資格取込!$S$6:$S$405,MATCH(11&amp;"_"&amp;12,資格取込!$Z$6:$Z$405,0)),"")</f>
        <v/>
      </c>
      <c r="D280">
        <f>IFERROR(INDEX(資格取込!$R$6:$R$405,MATCH(11&amp;"_"&amp;12,資格取込!$Z$6:$Z$405,0)),"")</f>
        <v/>
      </c>
      <c r="E280">
        <f>IF(D280="","",IFERROR(INDEX(資格マスタ!$B:$B,MATCH(ASC(SUBSTITUTE(SUBSTITUTE(D280," ",""),"　","")),資格マスタ!$D:$D,0)),D280))</f>
        <v/>
      </c>
      <c r="F280">
        <f>IF(E280="","",IF(C280="",DATE(9999,1,1),C280))</f>
        <v/>
      </c>
      <c r="G280">
        <f>IF(E280="","",COUNTIFS($F$263:$F$288,"&lt;"&amp;F280,$F$263:$F$288,"&lt;&gt;")+COUNTIFS($F$263:$F$288,F280,$B$263:$B$288,"&lt;"&amp;B280)+1)</f>
        <v/>
      </c>
      <c r="H280">
        <f>IF(OR(E280="",C280=""),"",IF(C280&gt;=DATE(2019,5,1),"令和"&amp;(YEAR(C280)-2018),IF(C280&gt;=DATE(1989,1,8),"平成"&amp;(YEAR(C280)-1988),"昭和"&amp;(YEAR(C280)-1925)))&amp;"年"&amp;MONTH(C280)&amp;"月")</f>
        <v/>
      </c>
    </row>
    <row r="281">
      <c r="A281" t="n">
        <v>11</v>
      </c>
      <c r="B281" t="n">
        <v>19</v>
      </c>
      <c r="C281">
        <f>IFERROR(INDEX(資格取込!$S$6:$S$405,MATCH(11&amp;"_"&amp;13,資格取込!$Z$6:$Z$405,0)),"")</f>
        <v/>
      </c>
      <c r="D281">
        <f>IFERROR(INDEX(資格取込!$R$6:$R$405,MATCH(11&amp;"_"&amp;13,資格取込!$Z$6:$Z$405,0)),"")</f>
        <v/>
      </c>
      <c r="E281">
        <f>IF(D281="","",IFERROR(INDEX(資格マスタ!$B:$B,MATCH(ASC(SUBSTITUTE(SUBSTITUTE(D281," ",""),"　","")),資格マスタ!$D:$D,0)),D281))</f>
        <v/>
      </c>
      <c r="F281">
        <f>IF(E281="","",IF(C281="",DATE(9999,1,1),C281))</f>
        <v/>
      </c>
      <c r="G281">
        <f>IF(E281="","",COUNTIFS($F$263:$F$288,"&lt;"&amp;F281,$F$263:$F$288,"&lt;&gt;")+COUNTIFS($F$263:$F$288,F281,$B$263:$B$288,"&lt;"&amp;B281)+1)</f>
        <v/>
      </c>
      <c r="H281">
        <f>IF(OR(E281="",C281=""),"",IF(C281&gt;=DATE(2019,5,1),"令和"&amp;(YEAR(C281)-2018),IF(C281&gt;=DATE(1989,1,8),"平成"&amp;(YEAR(C281)-1988),"昭和"&amp;(YEAR(C281)-1925)))&amp;"年"&amp;MONTH(C281)&amp;"月")</f>
        <v/>
      </c>
    </row>
    <row r="282">
      <c r="A282" t="n">
        <v>11</v>
      </c>
      <c r="B282" t="n">
        <v>20</v>
      </c>
      <c r="C282">
        <f>IFERROR(INDEX(資格取込!$S$6:$S$405,MATCH(11&amp;"_"&amp;14,資格取込!$Z$6:$Z$405,0)),"")</f>
        <v/>
      </c>
      <c r="D282">
        <f>IFERROR(INDEX(資格取込!$R$6:$R$405,MATCH(11&amp;"_"&amp;14,資格取込!$Z$6:$Z$405,0)),"")</f>
        <v/>
      </c>
      <c r="E282">
        <f>IF(D282="","",IFERROR(INDEX(資格マスタ!$B:$B,MATCH(ASC(SUBSTITUTE(SUBSTITUTE(D282," ",""),"　","")),資格マスタ!$D:$D,0)),D282))</f>
        <v/>
      </c>
      <c r="F282">
        <f>IF(E282="","",IF(C282="",DATE(9999,1,1),C282))</f>
        <v/>
      </c>
      <c r="G282">
        <f>IF(E282="","",COUNTIFS($F$263:$F$288,"&lt;"&amp;F282,$F$263:$F$288,"&lt;&gt;")+COUNTIFS($F$263:$F$288,F282,$B$263:$B$288,"&lt;"&amp;B282)+1)</f>
        <v/>
      </c>
      <c r="H282">
        <f>IF(OR(E282="",C282=""),"",IF(C282&gt;=DATE(2019,5,1),"令和"&amp;(YEAR(C282)-2018),IF(C282&gt;=DATE(1989,1,8),"平成"&amp;(YEAR(C282)-1988),"昭和"&amp;(YEAR(C282)-1925)))&amp;"年"&amp;MONTH(C282)&amp;"月")</f>
        <v/>
      </c>
    </row>
    <row r="283">
      <c r="A283" t="n">
        <v>11</v>
      </c>
      <c r="B283" t="n">
        <v>21</v>
      </c>
      <c r="C283">
        <f>IFERROR(INDEX(資格取込!$S$6:$S$405,MATCH(11&amp;"_"&amp;15,資格取込!$Z$6:$Z$405,0)),"")</f>
        <v/>
      </c>
      <c r="D283">
        <f>IFERROR(INDEX(資格取込!$R$6:$R$405,MATCH(11&amp;"_"&amp;15,資格取込!$Z$6:$Z$405,0)),"")</f>
        <v/>
      </c>
      <c r="E283">
        <f>IF(D283="","",IFERROR(INDEX(資格マスタ!$B:$B,MATCH(ASC(SUBSTITUTE(SUBSTITUTE(D283," ",""),"　","")),資格マスタ!$D:$D,0)),D283))</f>
        <v/>
      </c>
      <c r="F283">
        <f>IF(E283="","",IF(C283="",DATE(9999,1,1),C283))</f>
        <v/>
      </c>
      <c r="G283">
        <f>IF(E283="","",COUNTIFS($F$263:$F$288,"&lt;"&amp;F283,$F$263:$F$288,"&lt;&gt;")+COUNTIFS($F$263:$F$288,F283,$B$263:$B$288,"&lt;"&amp;B283)+1)</f>
        <v/>
      </c>
      <c r="H283">
        <f>IF(OR(E283="",C283=""),"",IF(C283&gt;=DATE(2019,5,1),"令和"&amp;(YEAR(C283)-2018),IF(C283&gt;=DATE(1989,1,8),"平成"&amp;(YEAR(C283)-1988),"昭和"&amp;(YEAR(C283)-1925)))&amp;"年"&amp;MONTH(C283)&amp;"月")</f>
        <v/>
      </c>
    </row>
    <row r="284">
      <c r="A284" t="n">
        <v>11</v>
      </c>
      <c r="B284" t="n">
        <v>22</v>
      </c>
      <c r="C284">
        <f>IFERROR(INDEX(資格取込!$S$6:$S$405,MATCH(11&amp;"_"&amp;16,資格取込!$Z$6:$Z$405,0)),"")</f>
        <v/>
      </c>
      <c r="D284">
        <f>IFERROR(INDEX(資格取込!$R$6:$R$405,MATCH(11&amp;"_"&amp;16,資格取込!$Z$6:$Z$405,0)),"")</f>
        <v/>
      </c>
      <c r="E284">
        <f>IF(D284="","",IFERROR(INDEX(資格マスタ!$B:$B,MATCH(ASC(SUBSTITUTE(SUBSTITUTE(D284," ",""),"　","")),資格マスタ!$D:$D,0)),D284))</f>
        <v/>
      </c>
      <c r="F284">
        <f>IF(E284="","",IF(C284="",DATE(9999,1,1),C284))</f>
        <v/>
      </c>
      <c r="G284">
        <f>IF(E284="","",COUNTIFS($F$263:$F$288,"&lt;"&amp;F284,$F$263:$F$288,"&lt;&gt;")+COUNTIFS($F$263:$F$288,F284,$B$263:$B$288,"&lt;"&amp;B284)+1)</f>
        <v/>
      </c>
      <c r="H284">
        <f>IF(OR(E284="",C284=""),"",IF(C284&gt;=DATE(2019,5,1),"令和"&amp;(YEAR(C284)-2018),IF(C284&gt;=DATE(1989,1,8),"平成"&amp;(YEAR(C284)-1988),"昭和"&amp;(YEAR(C284)-1925)))&amp;"年"&amp;MONTH(C284)&amp;"月")</f>
        <v/>
      </c>
    </row>
    <row r="285">
      <c r="A285" t="n">
        <v>11</v>
      </c>
      <c r="B285" t="n">
        <v>23</v>
      </c>
      <c r="C285">
        <f>IFERROR(INDEX(資格取込!$S$6:$S$405,MATCH(11&amp;"_"&amp;17,資格取込!$Z$6:$Z$405,0)),"")</f>
        <v/>
      </c>
      <c r="D285">
        <f>IFERROR(INDEX(資格取込!$R$6:$R$405,MATCH(11&amp;"_"&amp;17,資格取込!$Z$6:$Z$405,0)),"")</f>
        <v/>
      </c>
      <c r="E285">
        <f>IF(D285="","",IFERROR(INDEX(資格マスタ!$B:$B,MATCH(ASC(SUBSTITUTE(SUBSTITUTE(D285," ",""),"　","")),資格マスタ!$D:$D,0)),D285))</f>
        <v/>
      </c>
      <c r="F285">
        <f>IF(E285="","",IF(C285="",DATE(9999,1,1),C285))</f>
        <v/>
      </c>
      <c r="G285">
        <f>IF(E285="","",COUNTIFS($F$263:$F$288,"&lt;"&amp;F285,$F$263:$F$288,"&lt;&gt;")+COUNTIFS($F$263:$F$288,F285,$B$263:$B$288,"&lt;"&amp;B285)+1)</f>
        <v/>
      </c>
      <c r="H285">
        <f>IF(OR(E285="",C285=""),"",IF(C285&gt;=DATE(2019,5,1),"令和"&amp;(YEAR(C285)-2018),IF(C285&gt;=DATE(1989,1,8),"平成"&amp;(YEAR(C285)-1988),"昭和"&amp;(YEAR(C285)-1925)))&amp;"年"&amp;MONTH(C285)&amp;"月")</f>
        <v/>
      </c>
    </row>
    <row r="286">
      <c r="A286" t="n">
        <v>11</v>
      </c>
      <c r="B286" t="n">
        <v>24</v>
      </c>
      <c r="C286">
        <f>IFERROR(INDEX(資格取込!$S$6:$S$405,MATCH(11&amp;"_"&amp;18,資格取込!$Z$6:$Z$405,0)),"")</f>
        <v/>
      </c>
      <c r="D286">
        <f>IFERROR(INDEX(資格取込!$R$6:$R$405,MATCH(11&amp;"_"&amp;18,資格取込!$Z$6:$Z$405,0)),"")</f>
        <v/>
      </c>
      <c r="E286">
        <f>IF(D286="","",IFERROR(INDEX(資格マスタ!$B:$B,MATCH(ASC(SUBSTITUTE(SUBSTITUTE(D286," ",""),"　","")),資格マスタ!$D:$D,0)),D286))</f>
        <v/>
      </c>
      <c r="F286">
        <f>IF(E286="","",IF(C286="",DATE(9999,1,1),C286))</f>
        <v/>
      </c>
      <c r="G286">
        <f>IF(E286="","",COUNTIFS($F$263:$F$288,"&lt;"&amp;F286,$F$263:$F$288,"&lt;&gt;")+COUNTIFS($F$263:$F$288,F286,$B$263:$B$288,"&lt;"&amp;B286)+1)</f>
        <v/>
      </c>
      <c r="H286">
        <f>IF(OR(E286="",C286=""),"",IF(C286&gt;=DATE(2019,5,1),"令和"&amp;(YEAR(C286)-2018),IF(C286&gt;=DATE(1989,1,8),"平成"&amp;(YEAR(C286)-1988),"昭和"&amp;(YEAR(C286)-1925)))&amp;"年"&amp;MONTH(C286)&amp;"月")</f>
        <v/>
      </c>
    </row>
    <row r="287">
      <c r="A287" t="n">
        <v>11</v>
      </c>
      <c r="B287" t="n">
        <v>25</v>
      </c>
      <c r="C287">
        <f>IFERROR(INDEX(資格取込!$S$6:$S$405,MATCH(11&amp;"_"&amp;19,資格取込!$Z$6:$Z$405,0)),"")</f>
        <v/>
      </c>
      <c r="D287">
        <f>IFERROR(INDEX(資格取込!$R$6:$R$405,MATCH(11&amp;"_"&amp;19,資格取込!$Z$6:$Z$405,0)),"")</f>
        <v/>
      </c>
      <c r="E287">
        <f>IF(D287="","",IFERROR(INDEX(資格マスタ!$B:$B,MATCH(ASC(SUBSTITUTE(SUBSTITUTE(D287," ",""),"　","")),資格マスタ!$D:$D,0)),D287))</f>
        <v/>
      </c>
      <c r="F287">
        <f>IF(E287="","",IF(C287="",DATE(9999,1,1),C287))</f>
        <v/>
      </c>
      <c r="G287">
        <f>IF(E287="","",COUNTIFS($F$263:$F$288,"&lt;"&amp;F287,$F$263:$F$288,"&lt;&gt;")+COUNTIFS($F$263:$F$288,F287,$B$263:$B$288,"&lt;"&amp;B287)+1)</f>
        <v/>
      </c>
      <c r="H287">
        <f>IF(OR(E287="",C287=""),"",IF(C287&gt;=DATE(2019,5,1),"令和"&amp;(YEAR(C287)-2018),IF(C287&gt;=DATE(1989,1,8),"平成"&amp;(YEAR(C287)-1988),"昭和"&amp;(YEAR(C287)-1925)))&amp;"年"&amp;MONTH(C287)&amp;"月")</f>
        <v/>
      </c>
    </row>
    <row r="288">
      <c r="A288" t="n">
        <v>11</v>
      </c>
      <c r="B288" t="n">
        <v>26</v>
      </c>
      <c r="C288">
        <f>IFERROR(INDEX(資格取込!$S$6:$S$405,MATCH(11&amp;"_"&amp;20,資格取込!$Z$6:$Z$405,0)),"")</f>
        <v/>
      </c>
      <c r="D288">
        <f>IFERROR(INDEX(資格取込!$R$6:$R$405,MATCH(11&amp;"_"&amp;20,資格取込!$Z$6:$Z$405,0)),"")</f>
        <v/>
      </c>
      <c r="E288">
        <f>IF(D288="","",IFERROR(INDEX(資格マスタ!$B:$B,MATCH(ASC(SUBSTITUTE(SUBSTITUTE(D288," ",""),"　","")),資格マスタ!$D:$D,0)),D288))</f>
        <v/>
      </c>
      <c r="F288">
        <f>IF(E288="","",IF(C288="",DATE(9999,1,1),C288))</f>
        <v/>
      </c>
      <c r="G288">
        <f>IF(E288="","",COUNTIFS($F$263:$F$288,"&lt;"&amp;F288,$F$263:$F$288,"&lt;&gt;")+COUNTIFS($F$263:$F$288,F288,$B$263:$B$288,"&lt;"&amp;B288)+1)</f>
        <v/>
      </c>
      <c r="H288">
        <f>IF(OR(E288="",C288=""),"",IF(C288&gt;=DATE(2019,5,1),"令和"&amp;(YEAR(C288)-2018),IF(C288&gt;=DATE(1989,1,8),"平成"&amp;(YEAR(C288)-1988),"昭和"&amp;(YEAR(C288)-1925)))&amp;"年"&amp;MONTH(C288)&amp;"月")</f>
        <v/>
      </c>
    </row>
    <row r="289">
      <c r="A289" t="n">
        <v>12</v>
      </c>
      <c r="B289" t="n">
        <v>1</v>
      </c>
      <c r="C289"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289">
        <f>IF(入力!N16="","",入力!N16)</f>
        <v/>
      </c>
      <c r="E289">
        <f>IF(D289="","",IFERROR(INDEX(資格マスタ!$B:$B,MATCH(ASC(SUBSTITUTE(SUBSTITUTE(D289," ",""),"　","")),資格マスタ!$D:$D,0)),D289))</f>
        <v/>
      </c>
      <c r="F289">
        <f>IF(E289="","",IF(C289="",DATE(9999,1,1),C289))</f>
        <v/>
      </c>
      <c r="G289">
        <f>IF(E289="","",COUNTIFS($F$289:$F$314,"&lt;"&amp;F289,$F$289:$F$314,"&lt;&gt;")+COUNTIFS($F$289:$F$314,F289,$B$289:$B$314,"&lt;"&amp;B289)+1)</f>
        <v/>
      </c>
      <c r="H289">
        <f>IF(OR(E289="",C289=""),"",IF(C289&gt;=DATE(2019,5,1),"令和"&amp;(YEAR(C289)-2018),IF(C289&gt;=DATE(1989,1,8),"平成"&amp;(YEAR(C289)-1988),"昭和"&amp;(YEAR(C289)-1925)))&amp;"年"&amp;MONTH(C289)&amp;"月")</f>
        <v/>
      </c>
    </row>
    <row r="290">
      <c r="A290" t="n">
        <v>12</v>
      </c>
      <c r="B290" t="n">
        <v>2</v>
      </c>
      <c r="C290">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290">
        <f>IF(入力!P16="","",入力!P16)</f>
        <v/>
      </c>
      <c r="E290">
        <f>IF(D290="","",IFERROR(INDEX(資格マスタ!$B:$B,MATCH(ASC(SUBSTITUTE(SUBSTITUTE(D290," ",""),"　","")),資格マスタ!$D:$D,0)),D290))</f>
        <v/>
      </c>
      <c r="F290">
        <f>IF(E290="","",IF(C290="",DATE(9999,1,1),C290))</f>
        <v/>
      </c>
      <c r="G290">
        <f>IF(E290="","",COUNTIFS($F$289:$F$314,"&lt;"&amp;F290,$F$289:$F$314,"&lt;&gt;")+COUNTIFS($F$289:$F$314,F290,$B$289:$B$314,"&lt;"&amp;B290)+1)</f>
        <v/>
      </c>
      <c r="H290">
        <f>IF(OR(E290="",C290=""),"",IF(C290&gt;=DATE(2019,5,1),"令和"&amp;(YEAR(C290)-2018),IF(C290&gt;=DATE(1989,1,8),"平成"&amp;(YEAR(C290)-1988),"昭和"&amp;(YEAR(C290)-1925)))&amp;"年"&amp;MONTH(C290)&amp;"月")</f>
        <v/>
      </c>
    </row>
    <row r="291">
      <c r="A291" t="n">
        <v>12</v>
      </c>
      <c r="B291" t="n">
        <v>3</v>
      </c>
      <c r="C291">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291">
        <f>IF(入力!R16="","",入力!R16)</f>
        <v/>
      </c>
      <c r="E291">
        <f>IF(D291="","",IFERROR(INDEX(資格マスタ!$B:$B,MATCH(ASC(SUBSTITUTE(SUBSTITUTE(D291," ",""),"　","")),資格マスタ!$D:$D,0)),D291))</f>
        <v/>
      </c>
      <c r="F291">
        <f>IF(E291="","",IF(C291="",DATE(9999,1,1),C291))</f>
        <v/>
      </c>
      <c r="G291">
        <f>IF(E291="","",COUNTIFS($F$289:$F$314,"&lt;"&amp;F291,$F$289:$F$314,"&lt;&gt;")+COUNTIFS($F$289:$F$314,F291,$B$289:$B$314,"&lt;"&amp;B291)+1)</f>
        <v/>
      </c>
      <c r="H291">
        <f>IF(OR(E291="",C291=""),"",IF(C291&gt;=DATE(2019,5,1),"令和"&amp;(YEAR(C291)-2018),IF(C291&gt;=DATE(1989,1,8),"平成"&amp;(YEAR(C291)-1988),"昭和"&amp;(YEAR(C291)-1925)))&amp;"年"&amp;MONTH(C291)&amp;"月")</f>
        <v/>
      </c>
    </row>
    <row r="292">
      <c r="A292" t="n">
        <v>12</v>
      </c>
      <c r="B292" t="n">
        <v>4</v>
      </c>
      <c r="C292">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292">
        <f>IF(入力!T16="","",入力!T16)</f>
        <v/>
      </c>
      <c r="E292">
        <f>IF(D292="","",IFERROR(INDEX(資格マスタ!$B:$B,MATCH(ASC(SUBSTITUTE(SUBSTITUTE(D292," ",""),"　","")),資格マスタ!$D:$D,0)),D292))</f>
        <v/>
      </c>
      <c r="F292">
        <f>IF(E292="","",IF(C292="",DATE(9999,1,1),C292))</f>
        <v/>
      </c>
      <c r="G292">
        <f>IF(E292="","",COUNTIFS($F$289:$F$314,"&lt;"&amp;F292,$F$289:$F$314,"&lt;&gt;")+COUNTIFS($F$289:$F$314,F292,$B$289:$B$314,"&lt;"&amp;B292)+1)</f>
        <v/>
      </c>
      <c r="H292">
        <f>IF(OR(E292="",C292=""),"",IF(C292&gt;=DATE(2019,5,1),"令和"&amp;(YEAR(C292)-2018),IF(C292&gt;=DATE(1989,1,8),"平成"&amp;(YEAR(C292)-1988),"昭和"&amp;(YEAR(C292)-1925)))&amp;"年"&amp;MONTH(C292)&amp;"月")</f>
        <v/>
      </c>
    </row>
    <row r="293">
      <c r="A293" t="n">
        <v>12</v>
      </c>
      <c r="B293" t="n">
        <v>5</v>
      </c>
      <c r="C293">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293">
        <f>IF(入力!V16="","",入力!V16)</f>
        <v/>
      </c>
      <c r="E293">
        <f>IF(D293="","",IFERROR(INDEX(資格マスタ!$B:$B,MATCH(ASC(SUBSTITUTE(SUBSTITUTE(D293," ",""),"　","")),資格マスタ!$D:$D,0)),D293))</f>
        <v/>
      </c>
      <c r="F293">
        <f>IF(E293="","",IF(C293="",DATE(9999,1,1),C293))</f>
        <v/>
      </c>
      <c r="G293">
        <f>IF(E293="","",COUNTIFS($F$289:$F$314,"&lt;"&amp;F293,$F$289:$F$314,"&lt;&gt;")+COUNTIFS($F$289:$F$314,F293,$B$289:$B$314,"&lt;"&amp;B293)+1)</f>
        <v/>
      </c>
      <c r="H293">
        <f>IF(OR(E293="",C293=""),"",IF(C293&gt;=DATE(2019,5,1),"令和"&amp;(YEAR(C293)-2018),IF(C293&gt;=DATE(1989,1,8),"平成"&amp;(YEAR(C293)-1988),"昭和"&amp;(YEAR(C293)-1925)))&amp;"年"&amp;MONTH(C293)&amp;"月")</f>
        <v/>
      </c>
    </row>
    <row r="294">
      <c r="A294" t="n">
        <v>12</v>
      </c>
      <c r="B294" t="n">
        <v>6</v>
      </c>
      <c r="C294">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294">
        <f>IF(入力!X16="","",入力!X16)</f>
        <v/>
      </c>
      <c r="E294">
        <f>IF(D294="","",IFERROR(INDEX(資格マスタ!$B:$B,MATCH(ASC(SUBSTITUTE(SUBSTITUTE(D294," ",""),"　","")),資格マスタ!$D:$D,0)),D294))</f>
        <v/>
      </c>
      <c r="F294">
        <f>IF(E294="","",IF(C294="",DATE(9999,1,1),C294))</f>
        <v/>
      </c>
      <c r="G294">
        <f>IF(E294="","",COUNTIFS($F$289:$F$314,"&lt;"&amp;F294,$F$289:$F$314,"&lt;&gt;")+COUNTIFS($F$289:$F$314,F294,$B$289:$B$314,"&lt;"&amp;B294)+1)</f>
        <v/>
      </c>
      <c r="H294">
        <f>IF(OR(E294="",C294=""),"",IF(C294&gt;=DATE(2019,5,1),"令和"&amp;(YEAR(C294)-2018),IF(C294&gt;=DATE(1989,1,8),"平成"&amp;(YEAR(C294)-1988),"昭和"&amp;(YEAR(C294)-1925)))&amp;"年"&amp;MONTH(C294)&amp;"月")</f>
        <v/>
      </c>
    </row>
    <row r="295">
      <c r="A295" t="n">
        <v>12</v>
      </c>
      <c r="B295" t="n">
        <v>7</v>
      </c>
      <c r="C295">
        <f>IFERROR(INDEX(資格取込!$S$6:$S$405,MATCH(12&amp;"_"&amp;1,資格取込!$Z$6:$Z$405,0)),"")</f>
        <v/>
      </c>
      <c r="D295">
        <f>IFERROR(INDEX(資格取込!$R$6:$R$405,MATCH(12&amp;"_"&amp;1,資格取込!$Z$6:$Z$405,0)),"")</f>
        <v/>
      </c>
      <c r="E295">
        <f>IF(D295="","",IFERROR(INDEX(資格マスタ!$B:$B,MATCH(ASC(SUBSTITUTE(SUBSTITUTE(D295," ",""),"　","")),資格マスタ!$D:$D,0)),D295))</f>
        <v/>
      </c>
      <c r="F295">
        <f>IF(E295="","",IF(C295="",DATE(9999,1,1),C295))</f>
        <v/>
      </c>
      <c r="G295">
        <f>IF(E295="","",COUNTIFS($F$289:$F$314,"&lt;"&amp;F295,$F$289:$F$314,"&lt;&gt;")+COUNTIFS($F$289:$F$314,F295,$B$289:$B$314,"&lt;"&amp;B295)+1)</f>
        <v/>
      </c>
      <c r="H295">
        <f>IF(OR(E295="",C295=""),"",IF(C295&gt;=DATE(2019,5,1),"令和"&amp;(YEAR(C295)-2018),IF(C295&gt;=DATE(1989,1,8),"平成"&amp;(YEAR(C295)-1988),"昭和"&amp;(YEAR(C295)-1925)))&amp;"年"&amp;MONTH(C295)&amp;"月")</f>
        <v/>
      </c>
    </row>
    <row r="296">
      <c r="A296" t="n">
        <v>12</v>
      </c>
      <c r="B296" t="n">
        <v>8</v>
      </c>
      <c r="C296">
        <f>IFERROR(INDEX(資格取込!$S$6:$S$405,MATCH(12&amp;"_"&amp;2,資格取込!$Z$6:$Z$405,0)),"")</f>
        <v/>
      </c>
      <c r="D296">
        <f>IFERROR(INDEX(資格取込!$R$6:$R$405,MATCH(12&amp;"_"&amp;2,資格取込!$Z$6:$Z$405,0)),"")</f>
        <v/>
      </c>
      <c r="E296">
        <f>IF(D296="","",IFERROR(INDEX(資格マスタ!$B:$B,MATCH(ASC(SUBSTITUTE(SUBSTITUTE(D296," ",""),"　","")),資格マスタ!$D:$D,0)),D296))</f>
        <v/>
      </c>
      <c r="F296">
        <f>IF(E296="","",IF(C296="",DATE(9999,1,1),C296))</f>
        <v/>
      </c>
      <c r="G296">
        <f>IF(E296="","",COUNTIFS($F$289:$F$314,"&lt;"&amp;F296,$F$289:$F$314,"&lt;&gt;")+COUNTIFS($F$289:$F$314,F296,$B$289:$B$314,"&lt;"&amp;B296)+1)</f>
        <v/>
      </c>
      <c r="H296">
        <f>IF(OR(E296="",C296=""),"",IF(C296&gt;=DATE(2019,5,1),"令和"&amp;(YEAR(C296)-2018),IF(C296&gt;=DATE(1989,1,8),"平成"&amp;(YEAR(C296)-1988),"昭和"&amp;(YEAR(C296)-1925)))&amp;"年"&amp;MONTH(C296)&amp;"月")</f>
        <v/>
      </c>
    </row>
    <row r="297">
      <c r="A297" t="n">
        <v>12</v>
      </c>
      <c r="B297" t="n">
        <v>9</v>
      </c>
      <c r="C297">
        <f>IFERROR(INDEX(資格取込!$S$6:$S$405,MATCH(12&amp;"_"&amp;3,資格取込!$Z$6:$Z$405,0)),"")</f>
        <v/>
      </c>
      <c r="D297">
        <f>IFERROR(INDEX(資格取込!$R$6:$R$405,MATCH(12&amp;"_"&amp;3,資格取込!$Z$6:$Z$405,0)),"")</f>
        <v/>
      </c>
      <c r="E297">
        <f>IF(D297="","",IFERROR(INDEX(資格マスタ!$B:$B,MATCH(ASC(SUBSTITUTE(SUBSTITUTE(D297," ",""),"　","")),資格マスタ!$D:$D,0)),D297))</f>
        <v/>
      </c>
      <c r="F297">
        <f>IF(E297="","",IF(C297="",DATE(9999,1,1),C297))</f>
        <v/>
      </c>
      <c r="G297">
        <f>IF(E297="","",COUNTIFS($F$289:$F$314,"&lt;"&amp;F297,$F$289:$F$314,"&lt;&gt;")+COUNTIFS($F$289:$F$314,F297,$B$289:$B$314,"&lt;"&amp;B297)+1)</f>
        <v/>
      </c>
      <c r="H297">
        <f>IF(OR(E297="",C297=""),"",IF(C297&gt;=DATE(2019,5,1),"令和"&amp;(YEAR(C297)-2018),IF(C297&gt;=DATE(1989,1,8),"平成"&amp;(YEAR(C297)-1988),"昭和"&amp;(YEAR(C297)-1925)))&amp;"年"&amp;MONTH(C297)&amp;"月")</f>
        <v/>
      </c>
    </row>
    <row r="298">
      <c r="A298" t="n">
        <v>12</v>
      </c>
      <c r="B298" t="n">
        <v>10</v>
      </c>
      <c r="C298">
        <f>IFERROR(INDEX(資格取込!$S$6:$S$405,MATCH(12&amp;"_"&amp;4,資格取込!$Z$6:$Z$405,0)),"")</f>
        <v/>
      </c>
      <c r="D298">
        <f>IFERROR(INDEX(資格取込!$R$6:$R$405,MATCH(12&amp;"_"&amp;4,資格取込!$Z$6:$Z$405,0)),"")</f>
        <v/>
      </c>
      <c r="E298">
        <f>IF(D298="","",IFERROR(INDEX(資格マスタ!$B:$B,MATCH(ASC(SUBSTITUTE(SUBSTITUTE(D298," ",""),"　","")),資格マスタ!$D:$D,0)),D298))</f>
        <v/>
      </c>
      <c r="F298">
        <f>IF(E298="","",IF(C298="",DATE(9999,1,1),C298))</f>
        <v/>
      </c>
      <c r="G298">
        <f>IF(E298="","",COUNTIFS($F$289:$F$314,"&lt;"&amp;F298,$F$289:$F$314,"&lt;&gt;")+COUNTIFS($F$289:$F$314,F298,$B$289:$B$314,"&lt;"&amp;B298)+1)</f>
        <v/>
      </c>
      <c r="H298">
        <f>IF(OR(E298="",C298=""),"",IF(C298&gt;=DATE(2019,5,1),"令和"&amp;(YEAR(C298)-2018),IF(C298&gt;=DATE(1989,1,8),"平成"&amp;(YEAR(C298)-1988),"昭和"&amp;(YEAR(C298)-1925)))&amp;"年"&amp;MONTH(C298)&amp;"月")</f>
        <v/>
      </c>
    </row>
    <row r="299">
      <c r="A299" t="n">
        <v>12</v>
      </c>
      <c r="B299" t="n">
        <v>11</v>
      </c>
      <c r="C299">
        <f>IFERROR(INDEX(資格取込!$S$6:$S$405,MATCH(12&amp;"_"&amp;5,資格取込!$Z$6:$Z$405,0)),"")</f>
        <v/>
      </c>
      <c r="D299">
        <f>IFERROR(INDEX(資格取込!$R$6:$R$405,MATCH(12&amp;"_"&amp;5,資格取込!$Z$6:$Z$405,0)),"")</f>
        <v/>
      </c>
      <c r="E299">
        <f>IF(D299="","",IFERROR(INDEX(資格マスタ!$B:$B,MATCH(ASC(SUBSTITUTE(SUBSTITUTE(D299," ",""),"　","")),資格マスタ!$D:$D,0)),D299))</f>
        <v/>
      </c>
      <c r="F299">
        <f>IF(E299="","",IF(C299="",DATE(9999,1,1),C299))</f>
        <v/>
      </c>
      <c r="G299">
        <f>IF(E299="","",COUNTIFS($F$289:$F$314,"&lt;"&amp;F299,$F$289:$F$314,"&lt;&gt;")+COUNTIFS($F$289:$F$314,F299,$B$289:$B$314,"&lt;"&amp;B299)+1)</f>
        <v/>
      </c>
      <c r="H299">
        <f>IF(OR(E299="",C299=""),"",IF(C299&gt;=DATE(2019,5,1),"令和"&amp;(YEAR(C299)-2018),IF(C299&gt;=DATE(1989,1,8),"平成"&amp;(YEAR(C299)-1988),"昭和"&amp;(YEAR(C299)-1925)))&amp;"年"&amp;MONTH(C299)&amp;"月")</f>
        <v/>
      </c>
    </row>
    <row r="300">
      <c r="A300" t="n">
        <v>12</v>
      </c>
      <c r="B300" t="n">
        <v>12</v>
      </c>
      <c r="C300">
        <f>IFERROR(INDEX(資格取込!$S$6:$S$405,MATCH(12&amp;"_"&amp;6,資格取込!$Z$6:$Z$405,0)),"")</f>
        <v/>
      </c>
      <c r="D300">
        <f>IFERROR(INDEX(資格取込!$R$6:$R$405,MATCH(12&amp;"_"&amp;6,資格取込!$Z$6:$Z$405,0)),"")</f>
        <v/>
      </c>
      <c r="E300">
        <f>IF(D300="","",IFERROR(INDEX(資格マスタ!$B:$B,MATCH(ASC(SUBSTITUTE(SUBSTITUTE(D300," ",""),"　","")),資格マスタ!$D:$D,0)),D300))</f>
        <v/>
      </c>
      <c r="F300">
        <f>IF(E300="","",IF(C300="",DATE(9999,1,1),C300))</f>
        <v/>
      </c>
      <c r="G300">
        <f>IF(E300="","",COUNTIFS($F$289:$F$314,"&lt;"&amp;F300,$F$289:$F$314,"&lt;&gt;")+COUNTIFS($F$289:$F$314,F300,$B$289:$B$314,"&lt;"&amp;B300)+1)</f>
        <v/>
      </c>
      <c r="H300">
        <f>IF(OR(E300="",C300=""),"",IF(C300&gt;=DATE(2019,5,1),"令和"&amp;(YEAR(C300)-2018),IF(C300&gt;=DATE(1989,1,8),"平成"&amp;(YEAR(C300)-1988),"昭和"&amp;(YEAR(C300)-1925)))&amp;"年"&amp;MONTH(C300)&amp;"月")</f>
        <v/>
      </c>
    </row>
    <row r="301">
      <c r="A301" t="n">
        <v>12</v>
      </c>
      <c r="B301" t="n">
        <v>13</v>
      </c>
      <c r="C301">
        <f>IFERROR(INDEX(資格取込!$S$6:$S$405,MATCH(12&amp;"_"&amp;7,資格取込!$Z$6:$Z$405,0)),"")</f>
        <v/>
      </c>
      <c r="D301">
        <f>IFERROR(INDEX(資格取込!$R$6:$R$405,MATCH(12&amp;"_"&amp;7,資格取込!$Z$6:$Z$405,0)),"")</f>
        <v/>
      </c>
      <c r="E301">
        <f>IF(D301="","",IFERROR(INDEX(資格マスタ!$B:$B,MATCH(ASC(SUBSTITUTE(SUBSTITUTE(D301," ",""),"　","")),資格マスタ!$D:$D,0)),D301))</f>
        <v/>
      </c>
      <c r="F301">
        <f>IF(E301="","",IF(C301="",DATE(9999,1,1),C301))</f>
        <v/>
      </c>
      <c r="G301">
        <f>IF(E301="","",COUNTIFS($F$289:$F$314,"&lt;"&amp;F301,$F$289:$F$314,"&lt;&gt;")+COUNTIFS($F$289:$F$314,F301,$B$289:$B$314,"&lt;"&amp;B301)+1)</f>
        <v/>
      </c>
      <c r="H301">
        <f>IF(OR(E301="",C301=""),"",IF(C301&gt;=DATE(2019,5,1),"令和"&amp;(YEAR(C301)-2018),IF(C301&gt;=DATE(1989,1,8),"平成"&amp;(YEAR(C301)-1988),"昭和"&amp;(YEAR(C301)-1925)))&amp;"年"&amp;MONTH(C301)&amp;"月")</f>
        <v/>
      </c>
    </row>
    <row r="302">
      <c r="A302" t="n">
        <v>12</v>
      </c>
      <c r="B302" t="n">
        <v>14</v>
      </c>
      <c r="C302">
        <f>IFERROR(INDEX(資格取込!$S$6:$S$405,MATCH(12&amp;"_"&amp;8,資格取込!$Z$6:$Z$405,0)),"")</f>
        <v/>
      </c>
      <c r="D302">
        <f>IFERROR(INDEX(資格取込!$R$6:$R$405,MATCH(12&amp;"_"&amp;8,資格取込!$Z$6:$Z$405,0)),"")</f>
        <v/>
      </c>
      <c r="E302">
        <f>IF(D302="","",IFERROR(INDEX(資格マスタ!$B:$B,MATCH(ASC(SUBSTITUTE(SUBSTITUTE(D302," ",""),"　","")),資格マスタ!$D:$D,0)),D302))</f>
        <v/>
      </c>
      <c r="F302">
        <f>IF(E302="","",IF(C302="",DATE(9999,1,1),C302))</f>
        <v/>
      </c>
      <c r="G302">
        <f>IF(E302="","",COUNTIFS($F$289:$F$314,"&lt;"&amp;F302,$F$289:$F$314,"&lt;&gt;")+COUNTIFS($F$289:$F$314,F302,$B$289:$B$314,"&lt;"&amp;B302)+1)</f>
        <v/>
      </c>
      <c r="H302">
        <f>IF(OR(E302="",C302=""),"",IF(C302&gt;=DATE(2019,5,1),"令和"&amp;(YEAR(C302)-2018),IF(C302&gt;=DATE(1989,1,8),"平成"&amp;(YEAR(C302)-1988),"昭和"&amp;(YEAR(C302)-1925)))&amp;"年"&amp;MONTH(C302)&amp;"月")</f>
        <v/>
      </c>
    </row>
    <row r="303">
      <c r="A303" t="n">
        <v>12</v>
      </c>
      <c r="B303" t="n">
        <v>15</v>
      </c>
      <c r="C303">
        <f>IFERROR(INDEX(資格取込!$S$6:$S$405,MATCH(12&amp;"_"&amp;9,資格取込!$Z$6:$Z$405,0)),"")</f>
        <v/>
      </c>
      <c r="D303">
        <f>IFERROR(INDEX(資格取込!$R$6:$R$405,MATCH(12&amp;"_"&amp;9,資格取込!$Z$6:$Z$405,0)),"")</f>
        <v/>
      </c>
      <c r="E303">
        <f>IF(D303="","",IFERROR(INDEX(資格マスタ!$B:$B,MATCH(ASC(SUBSTITUTE(SUBSTITUTE(D303," ",""),"　","")),資格マスタ!$D:$D,0)),D303))</f>
        <v/>
      </c>
      <c r="F303">
        <f>IF(E303="","",IF(C303="",DATE(9999,1,1),C303))</f>
        <v/>
      </c>
      <c r="G303">
        <f>IF(E303="","",COUNTIFS($F$289:$F$314,"&lt;"&amp;F303,$F$289:$F$314,"&lt;&gt;")+COUNTIFS($F$289:$F$314,F303,$B$289:$B$314,"&lt;"&amp;B303)+1)</f>
        <v/>
      </c>
      <c r="H303">
        <f>IF(OR(E303="",C303=""),"",IF(C303&gt;=DATE(2019,5,1),"令和"&amp;(YEAR(C303)-2018),IF(C303&gt;=DATE(1989,1,8),"平成"&amp;(YEAR(C303)-1988),"昭和"&amp;(YEAR(C303)-1925)))&amp;"年"&amp;MONTH(C303)&amp;"月")</f>
        <v/>
      </c>
    </row>
    <row r="304">
      <c r="A304" t="n">
        <v>12</v>
      </c>
      <c r="B304" t="n">
        <v>16</v>
      </c>
      <c r="C304">
        <f>IFERROR(INDEX(資格取込!$S$6:$S$405,MATCH(12&amp;"_"&amp;10,資格取込!$Z$6:$Z$405,0)),"")</f>
        <v/>
      </c>
      <c r="D304">
        <f>IFERROR(INDEX(資格取込!$R$6:$R$405,MATCH(12&amp;"_"&amp;10,資格取込!$Z$6:$Z$405,0)),"")</f>
        <v/>
      </c>
      <c r="E304">
        <f>IF(D304="","",IFERROR(INDEX(資格マスタ!$B:$B,MATCH(ASC(SUBSTITUTE(SUBSTITUTE(D304," ",""),"　","")),資格マスタ!$D:$D,0)),D304))</f>
        <v/>
      </c>
      <c r="F304">
        <f>IF(E304="","",IF(C304="",DATE(9999,1,1),C304))</f>
        <v/>
      </c>
      <c r="G304">
        <f>IF(E304="","",COUNTIFS($F$289:$F$314,"&lt;"&amp;F304,$F$289:$F$314,"&lt;&gt;")+COUNTIFS($F$289:$F$314,F304,$B$289:$B$314,"&lt;"&amp;B304)+1)</f>
        <v/>
      </c>
      <c r="H304">
        <f>IF(OR(E304="",C304=""),"",IF(C304&gt;=DATE(2019,5,1),"令和"&amp;(YEAR(C304)-2018),IF(C304&gt;=DATE(1989,1,8),"平成"&amp;(YEAR(C304)-1988),"昭和"&amp;(YEAR(C304)-1925)))&amp;"年"&amp;MONTH(C304)&amp;"月")</f>
        <v/>
      </c>
    </row>
    <row r="305">
      <c r="A305" t="n">
        <v>12</v>
      </c>
      <c r="B305" t="n">
        <v>17</v>
      </c>
      <c r="C305">
        <f>IFERROR(INDEX(資格取込!$S$6:$S$405,MATCH(12&amp;"_"&amp;11,資格取込!$Z$6:$Z$405,0)),"")</f>
        <v/>
      </c>
      <c r="D305">
        <f>IFERROR(INDEX(資格取込!$R$6:$R$405,MATCH(12&amp;"_"&amp;11,資格取込!$Z$6:$Z$405,0)),"")</f>
        <v/>
      </c>
      <c r="E305">
        <f>IF(D305="","",IFERROR(INDEX(資格マスタ!$B:$B,MATCH(ASC(SUBSTITUTE(SUBSTITUTE(D305," ",""),"　","")),資格マスタ!$D:$D,0)),D305))</f>
        <v/>
      </c>
      <c r="F305">
        <f>IF(E305="","",IF(C305="",DATE(9999,1,1),C305))</f>
        <v/>
      </c>
      <c r="G305">
        <f>IF(E305="","",COUNTIFS($F$289:$F$314,"&lt;"&amp;F305,$F$289:$F$314,"&lt;&gt;")+COUNTIFS($F$289:$F$314,F305,$B$289:$B$314,"&lt;"&amp;B305)+1)</f>
        <v/>
      </c>
      <c r="H305">
        <f>IF(OR(E305="",C305=""),"",IF(C305&gt;=DATE(2019,5,1),"令和"&amp;(YEAR(C305)-2018),IF(C305&gt;=DATE(1989,1,8),"平成"&amp;(YEAR(C305)-1988),"昭和"&amp;(YEAR(C305)-1925)))&amp;"年"&amp;MONTH(C305)&amp;"月")</f>
        <v/>
      </c>
    </row>
    <row r="306">
      <c r="A306" t="n">
        <v>12</v>
      </c>
      <c r="B306" t="n">
        <v>18</v>
      </c>
      <c r="C306">
        <f>IFERROR(INDEX(資格取込!$S$6:$S$405,MATCH(12&amp;"_"&amp;12,資格取込!$Z$6:$Z$405,0)),"")</f>
        <v/>
      </c>
      <c r="D306">
        <f>IFERROR(INDEX(資格取込!$R$6:$R$405,MATCH(12&amp;"_"&amp;12,資格取込!$Z$6:$Z$405,0)),"")</f>
        <v/>
      </c>
      <c r="E306">
        <f>IF(D306="","",IFERROR(INDEX(資格マスタ!$B:$B,MATCH(ASC(SUBSTITUTE(SUBSTITUTE(D306," ",""),"　","")),資格マスタ!$D:$D,0)),D306))</f>
        <v/>
      </c>
      <c r="F306">
        <f>IF(E306="","",IF(C306="",DATE(9999,1,1),C306))</f>
        <v/>
      </c>
      <c r="G306">
        <f>IF(E306="","",COUNTIFS($F$289:$F$314,"&lt;"&amp;F306,$F$289:$F$314,"&lt;&gt;")+COUNTIFS($F$289:$F$314,F306,$B$289:$B$314,"&lt;"&amp;B306)+1)</f>
        <v/>
      </c>
      <c r="H306">
        <f>IF(OR(E306="",C306=""),"",IF(C306&gt;=DATE(2019,5,1),"令和"&amp;(YEAR(C306)-2018),IF(C306&gt;=DATE(1989,1,8),"平成"&amp;(YEAR(C306)-1988),"昭和"&amp;(YEAR(C306)-1925)))&amp;"年"&amp;MONTH(C306)&amp;"月")</f>
        <v/>
      </c>
    </row>
    <row r="307">
      <c r="A307" t="n">
        <v>12</v>
      </c>
      <c r="B307" t="n">
        <v>19</v>
      </c>
      <c r="C307">
        <f>IFERROR(INDEX(資格取込!$S$6:$S$405,MATCH(12&amp;"_"&amp;13,資格取込!$Z$6:$Z$405,0)),"")</f>
        <v/>
      </c>
      <c r="D307">
        <f>IFERROR(INDEX(資格取込!$R$6:$R$405,MATCH(12&amp;"_"&amp;13,資格取込!$Z$6:$Z$405,0)),"")</f>
        <v/>
      </c>
      <c r="E307">
        <f>IF(D307="","",IFERROR(INDEX(資格マスタ!$B:$B,MATCH(ASC(SUBSTITUTE(SUBSTITUTE(D307," ",""),"　","")),資格マスタ!$D:$D,0)),D307))</f>
        <v/>
      </c>
      <c r="F307">
        <f>IF(E307="","",IF(C307="",DATE(9999,1,1),C307))</f>
        <v/>
      </c>
      <c r="G307">
        <f>IF(E307="","",COUNTIFS($F$289:$F$314,"&lt;"&amp;F307,$F$289:$F$314,"&lt;&gt;")+COUNTIFS($F$289:$F$314,F307,$B$289:$B$314,"&lt;"&amp;B307)+1)</f>
        <v/>
      </c>
      <c r="H307">
        <f>IF(OR(E307="",C307=""),"",IF(C307&gt;=DATE(2019,5,1),"令和"&amp;(YEAR(C307)-2018),IF(C307&gt;=DATE(1989,1,8),"平成"&amp;(YEAR(C307)-1988),"昭和"&amp;(YEAR(C307)-1925)))&amp;"年"&amp;MONTH(C307)&amp;"月")</f>
        <v/>
      </c>
    </row>
    <row r="308">
      <c r="A308" t="n">
        <v>12</v>
      </c>
      <c r="B308" t="n">
        <v>20</v>
      </c>
      <c r="C308">
        <f>IFERROR(INDEX(資格取込!$S$6:$S$405,MATCH(12&amp;"_"&amp;14,資格取込!$Z$6:$Z$405,0)),"")</f>
        <v/>
      </c>
      <c r="D308">
        <f>IFERROR(INDEX(資格取込!$R$6:$R$405,MATCH(12&amp;"_"&amp;14,資格取込!$Z$6:$Z$405,0)),"")</f>
        <v/>
      </c>
      <c r="E308">
        <f>IF(D308="","",IFERROR(INDEX(資格マスタ!$B:$B,MATCH(ASC(SUBSTITUTE(SUBSTITUTE(D308," ",""),"　","")),資格マスタ!$D:$D,0)),D308))</f>
        <v/>
      </c>
      <c r="F308">
        <f>IF(E308="","",IF(C308="",DATE(9999,1,1),C308))</f>
        <v/>
      </c>
      <c r="G308">
        <f>IF(E308="","",COUNTIFS($F$289:$F$314,"&lt;"&amp;F308,$F$289:$F$314,"&lt;&gt;")+COUNTIFS($F$289:$F$314,F308,$B$289:$B$314,"&lt;"&amp;B308)+1)</f>
        <v/>
      </c>
      <c r="H308">
        <f>IF(OR(E308="",C308=""),"",IF(C308&gt;=DATE(2019,5,1),"令和"&amp;(YEAR(C308)-2018),IF(C308&gt;=DATE(1989,1,8),"平成"&amp;(YEAR(C308)-1988),"昭和"&amp;(YEAR(C308)-1925)))&amp;"年"&amp;MONTH(C308)&amp;"月")</f>
        <v/>
      </c>
    </row>
    <row r="309">
      <c r="A309" t="n">
        <v>12</v>
      </c>
      <c r="B309" t="n">
        <v>21</v>
      </c>
      <c r="C309">
        <f>IFERROR(INDEX(資格取込!$S$6:$S$405,MATCH(12&amp;"_"&amp;15,資格取込!$Z$6:$Z$405,0)),"")</f>
        <v/>
      </c>
      <c r="D309">
        <f>IFERROR(INDEX(資格取込!$R$6:$R$405,MATCH(12&amp;"_"&amp;15,資格取込!$Z$6:$Z$405,0)),"")</f>
        <v/>
      </c>
      <c r="E309">
        <f>IF(D309="","",IFERROR(INDEX(資格マスタ!$B:$B,MATCH(ASC(SUBSTITUTE(SUBSTITUTE(D309," ",""),"　","")),資格マスタ!$D:$D,0)),D309))</f>
        <v/>
      </c>
      <c r="F309">
        <f>IF(E309="","",IF(C309="",DATE(9999,1,1),C309))</f>
        <v/>
      </c>
      <c r="G309">
        <f>IF(E309="","",COUNTIFS($F$289:$F$314,"&lt;"&amp;F309,$F$289:$F$314,"&lt;&gt;")+COUNTIFS($F$289:$F$314,F309,$B$289:$B$314,"&lt;"&amp;B309)+1)</f>
        <v/>
      </c>
      <c r="H309">
        <f>IF(OR(E309="",C309=""),"",IF(C309&gt;=DATE(2019,5,1),"令和"&amp;(YEAR(C309)-2018),IF(C309&gt;=DATE(1989,1,8),"平成"&amp;(YEAR(C309)-1988),"昭和"&amp;(YEAR(C309)-1925)))&amp;"年"&amp;MONTH(C309)&amp;"月")</f>
        <v/>
      </c>
    </row>
    <row r="310">
      <c r="A310" t="n">
        <v>12</v>
      </c>
      <c r="B310" t="n">
        <v>22</v>
      </c>
      <c r="C310">
        <f>IFERROR(INDEX(資格取込!$S$6:$S$405,MATCH(12&amp;"_"&amp;16,資格取込!$Z$6:$Z$405,0)),"")</f>
        <v/>
      </c>
      <c r="D310">
        <f>IFERROR(INDEX(資格取込!$R$6:$R$405,MATCH(12&amp;"_"&amp;16,資格取込!$Z$6:$Z$405,0)),"")</f>
        <v/>
      </c>
      <c r="E310">
        <f>IF(D310="","",IFERROR(INDEX(資格マスタ!$B:$B,MATCH(ASC(SUBSTITUTE(SUBSTITUTE(D310," ",""),"　","")),資格マスタ!$D:$D,0)),D310))</f>
        <v/>
      </c>
      <c r="F310">
        <f>IF(E310="","",IF(C310="",DATE(9999,1,1),C310))</f>
        <v/>
      </c>
      <c r="G310">
        <f>IF(E310="","",COUNTIFS($F$289:$F$314,"&lt;"&amp;F310,$F$289:$F$314,"&lt;&gt;")+COUNTIFS($F$289:$F$314,F310,$B$289:$B$314,"&lt;"&amp;B310)+1)</f>
        <v/>
      </c>
      <c r="H310">
        <f>IF(OR(E310="",C310=""),"",IF(C310&gt;=DATE(2019,5,1),"令和"&amp;(YEAR(C310)-2018),IF(C310&gt;=DATE(1989,1,8),"平成"&amp;(YEAR(C310)-1988),"昭和"&amp;(YEAR(C310)-1925)))&amp;"年"&amp;MONTH(C310)&amp;"月")</f>
        <v/>
      </c>
    </row>
    <row r="311">
      <c r="A311" t="n">
        <v>12</v>
      </c>
      <c r="B311" t="n">
        <v>23</v>
      </c>
      <c r="C311">
        <f>IFERROR(INDEX(資格取込!$S$6:$S$405,MATCH(12&amp;"_"&amp;17,資格取込!$Z$6:$Z$405,0)),"")</f>
        <v/>
      </c>
      <c r="D311">
        <f>IFERROR(INDEX(資格取込!$R$6:$R$405,MATCH(12&amp;"_"&amp;17,資格取込!$Z$6:$Z$405,0)),"")</f>
        <v/>
      </c>
      <c r="E311">
        <f>IF(D311="","",IFERROR(INDEX(資格マスタ!$B:$B,MATCH(ASC(SUBSTITUTE(SUBSTITUTE(D311," ",""),"　","")),資格マスタ!$D:$D,0)),D311))</f>
        <v/>
      </c>
      <c r="F311">
        <f>IF(E311="","",IF(C311="",DATE(9999,1,1),C311))</f>
        <v/>
      </c>
      <c r="G311">
        <f>IF(E311="","",COUNTIFS($F$289:$F$314,"&lt;"&amp;F311,$F$289:$F$314,"&lt;&gt;")+COUNTIFS($F$289:$F$314,F311,$B$289:$B$314,"&lt;"&amp;B311)+1)</f>
        <v/>
      </c>
      <c r="H311">
        <f>IF(OR(E311="",C311=""),"",IF(C311&gt;=DATE(2019,5,1),"令和"&amp;(YEAR(C311)-2018),IF(C311&gt;=DATE(1989,1,8),"平成"&amp;(YEAR(C311)-1988),"昭和"&amp;(YEAR(C311)-1925)))&amp;"年"&amp;MONTH(C311)&amp;"月")</f>
        <v/>
      </c>
    </row>
    <row r="312">
      <c r="A312" t="n">
        <v>12</v>
      </c>
      <c r="B312" t="n">
        <v>24</v>
      </c>
      <c r="C312">
        <f>IFERROR(INDEX(資格取込!$S$6:$S$405,MATCH(12&amp;"_"&amp;18,資格取込!$Z$6:$Z$405,0)),"")</f>
        <v/>
      </c>
      <c r="D312">
        <f>IFERROR(INDEX(資格取込!$R$6:$R$405,MATCH(12&amp;"_"&amp;18,資格取込!$Z$6:$Z$405,0)),"")</f>
        <v/>
      </c>
      <c r="E312">
        <f>IF(D312="","",IFERROR(INDEX(資格マスタ!$B:$B,MATCH(ASC(SUBSTITUTE(SUBSTITUTE(D312," ",""),"　","")),資格マスタ!$D:$D,0)),D312))</f>
        <v/>
      </c>
      <c r="F312">
        <f>IF(E312="","",IF(C312="",DATE(9999,1,1),C312))</f>
        <v/>
      </c>
      <c r="G312">
        <f>IF(E312="","",COUNTIFS($F$289:$F$314,"&lt;"&amp;F312,$F$289:$F$314,"&lt;&gt;")+COUNTIFS($F$289:$F$314,F312,$B$289:$B$314,"&lt;"&amp;B312)+1)</f>
        <v/>
      </c>
      <c r="H312">
        <f>IF(OR(E312="",C312=""),"",IF(C312&gt;=DATE(2019,5,1),"令和"&amp;(YEAR(C312)-2018),IF(C312&gt;=DATE(1989,1,8),"平成"&amp;(YEAR(C312)-1988),"昭和"&amp;(YEAR(C312)-1925)))&amp;"年"&amp;MONTH(C312)&amp;"月")</f>
        <v/>
      </c>
    </row>
    <row r="313">
      <c r="A313" t="n">
        <v>12</v>
      </c>
      <c r="B313" t="n">
        <v>25</v>
      </c>
      <c r="C313">
        <f>IFERROR(INDEX(資格取込!$S$6:$S$405,MATCH(12&amp;"_"&amp;19,資格取込!$Z$6:$Z$405,0)),"")</f>
        <v/>
      </c>
      <c r="D313">
        <f>IFERROR(INDEX(資格取込!$R$6:$R$405,MATCH(12&amp;"_"&amp;19,資格取込!$Z$6:$Z$405,0)),"")</f>
        <v/>
      </c>
      <c r="E313">
        <f>IF(D313="","",IFERROR(INDEX(資格マスタ!$B:$B,MATCH(ASC(SUBSTITUTE(SUBSTITUTE(D313," ",""),"　","")),資格マスタ!$D:$D,0)),D313))</f>
        <v/>
      </c>
      <c r="F313">
        <f>IF(E313="","",IF(C313="",DATE(9999,1,1),C313))</f>
        <v/>
      </c>
      <c r="G313">
        <f>IF(E313="","",COUNTIFS($F$289:$F$314,"&lt;"&amp;F313,$F$289:$F$314,"&lt;&gt;")+COUNTIFS($F$289:$F$314,F313,$B$289:$B$314,"&lt;"&amp;B313)+1)</f>
        <v/>
      </c>
      <c r="H313">
        <f>IF(OR(E313="",C313=""),"",IF(C313&gt;=DATE(2019,5,1),"令和"&amp;(YEAR(C313)-2018),IF(C313&gt;=DATE(1989,1,8),"平成"&amp;(YEAR(C313)-1988),"昭和"&amp;(YEAR(C313)-1925)))&amp;"年"&amp;MONTH(C313)&amp;"月")</f>
        <v/>
      </c>
    </row>
    <row r="314">
      <c r="A314" t="n">
        <v>12</v>
      </c>
      <c r="B314" t="n">
        <v>26</v>
      </c>
      <c r="C314">
        <f>IFERROR(INDEX(資格取込!$S$6:$S$405,MATCH(12&amp;"_"&amp;20,資格取込!$Z$6:$Z$405,0)),"")</f>
        <v/>
      </c>
      <c r="D314">
        <f>IFERROR(INDEX(資格取込!$R$6:$R$405,MATCH(12&amp;"_"&amp;20,資格取込!$Z$6:$Z$405,0)),"")</f>
        <v/>
      </c>
      <c r="E314">
        <f>IF(D314="","",IFERROR(INDEX(資格マスタ!$B:$B,MATCH(ASC(SUBSTITUTE(SUBSTITUTE(D314," ",""),"　","")),資格マスタ!$D:$D,0)),D314))</f>
        <v/>
      </c>
      <c r="F314">
        <f>IF(E314="","",IF(C314="",DATE(9999,1,1),C314))</f>
        <v/>
      </c>
      <c r="G314">
        <f>IF(E314="","",COUNTIFS($F$289:$F$314,"&lt;"&amp;F314,$F$289:$F$314,"&lt;&gt;")+COUNTIFS($F$289:$F$314,F314,$B$289:$B$314,"&lt;"&amp;B314)+1)</f>
        <v/>
      </c>
      <c r="H314">
        <f>IF(OR(E314="",C314=""),"",IF(C314&gt;=DATE(2019,5,1),"令和"&amp;(YEAR(C314)-2018),IF(C314&gt;=DATE(1989,1,8),"平成"&amp;(YEAR(C314)-1988),"昭和"&amp;(YEAR(C314)-1925)))&amp;"年"&amp;MONTH(C314)&amp;"月")</f>
        <v/>
      </c>
    </row>
    <row r="315">
      <c r="A315" t="n">
        <v>13</v>
      </c>
      <c r="B315" t="n">
        <v>1</v>
      </c>
      <c r="C315"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315">
        <f>IF(入力!N17="","",入力!N17)</f>
        <v/>
      </c>
      <c r="E315">
        <f>IF(D315="","",IFERROR(INDEX(資格マスタ!$B:$B,MATCH(ASC(SUBSTITUTE(SUBSTITUTE(D315," ",""),"　","")),資格マスタ!$D:$D,0)),D315))</f>
        <v/>
      </c>
      <c r="F315">
        <f>IF(E315="","",IF(C315="",DATE(9999,1,1),C315))</f>
        <v/>
      </c>
      <c r="G315">
        <f>IF(E315="","",COUNTIFS($F$315:$F$340,"&lt;"&amp;F315,$F$315:$F$340,"&lt;&gt;")+COUNTIFS($F$315:$F$340,F315,$B$315:$B$340,"&lt;"&amp;B315)+1)</f>
        <v/>
      </c>
      <c r="H315">
        <f>IF(OR(E315="",C315=""),"",IF(C315&gt;=DATE(2019,5,1),"令和"&amp;(YEAR(C315)-2018),IF(C315&gt;=DATE(1989,1,8),"平成"&amp;(YEAR(C315)-1988),"昭和"&amp;(YEAR(C315)-1925)))&amp;"年"&amp;MONTH(C315)&amp;"月")</f>
        <v/>
      </c>
    </row>
    <row r="316">
      <c r="A316" t="n">
        <v>13</v>
      </c>
      <c r="B316" t="n">
        <v>2</v>
      </c>
      <c r="C316">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316">
        <f>IF(入力!P17="","",入力!P17)</f>
        <v/>
      </c>
      <c r="E316">
        <f>IF(D316="","",IFERROR(INDEX(資格マスタ!$B:$B,MATCH(ASC(SUBSTITUTE(SUBSTITUTE(D316," ",""),"　","")),資格マスタ!$D:$D,0)),D316))</f>
        <v/>
      </c>
      <c r="F316">
        <f>IF(E316="","",IF(C316="",DATE(9999,1,1),C316))</f>
        <v/>
      </c>
      <c r="G316">
        <f>IF(E316="","",COUNTIFS($F$315:$F$340,"&lt;"&amp;F316,$F$315:$F$340,"&lt;&gt;")+COUNTIFS($F$315:$F$340,F316,$B$315:$B$340,"&lt;"&amp;B316)+1)</f>
        <v/>
      </c>
      <c r="H316">
        <f>IF(OR(E316="",C316=""),"",IF(C316&gt;=DATE(2019,5,1),"令和"&amp;(YEAR(C316)-2018),IF(C316&gt;=DATE(1989,1,8),"平成"&amp;(YEAR(C316)-1988),"昭和"&amp;(YEAR(C316)-1925)))&amp;"年"&amp;MONTH(C316)&amp;"月")</f>
        <v/>
      </c>
    </row>
    <row r="317">
      <c r="A317" t="n">
        <v>13</v>
      </c>
      <c r="B317" t="n">
        <v>3</v>
      </c>
      <c r="C317">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317">
        <f>IF(入力!R17="","",入力!R17)</f>
        <v/>
      </c>
      <c r="E317">
        <f>IF(D317="","",IFERROR(INDEX(資格マスタ!$B:$B,MATCH(ASC(SUBSTITUTE(SUBSTITUTE(D317," ",""),"　","")),資格マスタ!$D:$D,0)),D317))</f>
        <v/>
      </c>
      <c r="F317">
        <f>IF(E317="","",IF(C317="",DATE(9999,1,1),C317))</f>
        <v/>
      </c>
      <c r="G317">
        <f>IF(E317="","",COUNTIFS($F$315:$F$340,"&lt;"&amp;F317,$F$315:$F$340,"&lt;&gt;")+COUNTIFS($F$315:$F$340,F317,$B$315:$B$340,"&lt;"&amp;B317)+1)</f>
        <v/>
      </c>
      <c r="H317">
        <f>IF(OR(E317="",C317=""),"",IF(C317&gt;=DATE(2019,5,1),"令和"&amp;(YEAR(C317)-2018),IF(C317&gt;=DATE(1989,1,8),"平成"&amp;(YEAR(C317)-1988),"昭和"&amp;(YEAR(C317)-1925)))&amp;"年"&amp;MONTH(C317)&amp;"月")</f>
        <v/>
      </c>
    </row>
    <row r="318">
      <c r="A318" t="n">
        <v>13</v>
      </c>
      <c r="B318" t="n">
        <v>4</v>
      </c>
      <c r="C318">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318">
        <f>IF(入力!T17="","",入力!T17)</f>
        <v/>
      </c>
      <c r="E318">
        <f>IF(D318="","",IFERROR(INDEX(資格マスタ!$B:$B,MATCH(ASC(SUBSTITUTE(SUBSTITUTE(D318," ",""),"　","")),資格マスタ!$D:$D,0)),D318))</f>
        <v/>
      </c>
      <c r="F318">
        <f>IF(E318="","",IF(C318="",DATE(9999,1,1),C318))</f>
        <v/>
      </c>
      <c r="G318">
        <f>IF(E318="","",COUNTIFS($F$315:$F$340,"&lt;"&amp;F318,$F$315:$F$340,"&lt;&gt;")+COUNTIFS($F$315:$F$340,F318,$B$315:$B$340,"&lt;"&amp;B318)+1)</f>
        <v/>
      </c>
      <c r="H318">
        <f>IF(OR(E318="",C318=""),"",IF(C318&gt;=DATE(2019,5,1),"令和"&amp;(YEAR(C318)-2018),IF(C318&gt;=DATE(1989,1,8),"平成"&amp;(YEAR(C318)-1988),"昭和"&amp;(YEAR(C318)-1925)))&amp;"年"&amp;MONTH(C318)&amp;"月")</f>
        <v/>
      </c>
    </row>
    <row r="319">
      <c r="A319" t="n">
        <v>13</v>
      </c>
      <c r="B319" t="n">
        <v>5</v>
      </c>
      <c r="C319">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319">
        <f>IF(入力!V17="","",入力!V17)</f>
        <v/>
      </c>
      <c r="E319">
        <f>IF(D319="","",IFERROR(INDEX(資格マスタ!$B:$B,MATCH(ASC(SUBSTITUTE(SUBSTITUTE(D319," ",""),"　","")),資格マスタ!$D:$D,0)),D319))</f>
        <v/>
      </c>
      <c r="F319">
        <f>IF(E319="","",IF(C319="",DATE(9999,1,1),C319))</f>
        <v/>
      </c>
      <c r="G319">
        <f>IF(E319="","",COUNTIFS($F$315:$F$340,"&lt;"&amp;F319,$F$315:$F$340,"&lt;&gt;")+COUNTIFS($F$315:$F$340,F319,$B$315:$B$340,"&lt;"&amp;B319)+1)</f>
        <v/>
      </c>
      <c r="H319">
        <f>IF(OR(E319="",C319=""),"",IF(C319&gt;=DATE(2019,5,1),"令和"&amp;(YEAR(C319)-2018),IF(C319&gt;=DATE(1989,1,8),"平成"&amp;(YEAR(C319)-1988),"昭和"&amp;(YEAR(C319)-1925)))&amp;"年"&amp;MONTH(C319)&amp;"月")</f>
        <v/>
      </c>
    </row>
    <row r="320">
      <c r="A320" t="n">
        <v>13</v>
      </c>
      <c r="B320" t="n">
        <v>6</v>
      </c>
      <c r="C320">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320">
        <f>IF(入力!X17="","",入力!X17)</f>
        <v/>
      </c>
      <c r="E320">
        <f>IF(D320="","",IFERROR(INDEX(資格マスタ!$B:$B,MATCH(ASC(SUBSTITUTE(SUBSTITUTE(D320," ",""),"　","")),資格マスタ!$D:$D,0)),D320))</f>
        <v/>
      </c>
      <c r="F320">
        <f>IF(E320="","",IF(C320="",DATE(9999,1,1),C320))</f>
        <v/>
      </c>
      <c r="G320">
        <f>IF(E320="","",COUNTIFS($F$315:$F$340,"&lt;"&amp;F320,$F$315:$F$340,"&lt;&gt;")+COUNTIFS($F$315:$F$340,F320,$B$315:$B$340,"&lt;"&amp;B320)+1)</f>
        <v/>
      </c>
      <c r="H320">
        <f>IF(OR(E320="",C320=""),"",IF(C320&gt;=DATE(2019,5,1),"令和"&amp;(YEAR(C320)-2018),IF(C320&gt;=DATE(1989,1,8),"平成"&amp;(YEAR(C320)-1988),"昭和"&amp;(YEAR(C320)-1925)))&amp;"年"&amp;MONTH(C320)&amp;"月")</f>
        <v/>
      </c>
    </row>
    <row r="321">
      <c r="A321" t="n">
        <v>13</v>
      </c>
      <c r="B321" t="n">
        <v>7</v>
      </c>
      <c r="C321">
        <f>IFERROR(INDEX(資格取込!$S$6:$S$405,MATCH(13&amp;"_"&amp;1,資格取込!$Z$6:$Z$405,0)),"")</f>
        <v/>
      </c>
      <c r="D321">
        <f>IFERROR(INDEX(資格取込!$R$6:$R$405,MATCH(13&amp;"_"&amp;1,資格取込!$Z$6:$Z$405,0)),"")</f>
        <v/>
      </c>
      <c r="E321">
        <f>IF(D321="","",IFERROR(INDEX(資格マスタ!$B:$B,MATCH(ASC(SUBSTITUTE(SUBSTITUTE(D321," ",""),"　","")),資格マスタ!$D:$D,0)),D321))</f>
        <v/>
      </c>
      <c r="F321">
        <f>IF(E321="","",IF(C321="",DATE(9999,1,1),C321))</f>
        <v/>
      </c>
      <c r="G321">
        <f>IF(E321="","",COUNTIFS($F$315:$F$340,"&lt;"&amp;F321,$F$315:$F$340,"&lt;&gt;")+COUNTIFS($F$315:$F$340,F321,$B$315:$B$340,"&lt;"&amp;B321)+1)</f>
        <v/>
      </c>
      <c r="H321">
        <f>IF(OR(E321="",C321=""),"",IF(C321&gt;=DATE(2019,5,1),"令和"&amp;(YEAR(C321)-2018),IF(C321&gt;=DATE(1989,1,8),"平成"&amp;(YEAR(C321)-1988),"昭和"&amp;(YEAR(C321)-1925)))&amp;"年"&amp;MONTH(C321)&amp;"月")</f>
        <v/>
      </c>
    </row>
    <row r="322">
      <c r="A322" t="n">
        <v>13</v>
      </c>
      <c r="B322" t="n">
        <v>8</v>
      </c>
      <c r="C322">
        <f>IFERROR(INDEX(資格取込!$S$6:$S$405,MATCH(13&amp;"_"&amp;2,資格取込!$Z$6:$Z$405,0)),"")</f>
        <v/>
      </c>
      <c r="D322">
        <f>IFERROR(INDEX(資格取込!$R$6:$R$405,MATCH(13&amp;"_"&amp;2,資格取込!$Z$6:$Z$405,0)),"")</f>
        <v/>
      </c>
      <c r="E322">
        <f>IF(D322="","",IFERROR(INDEX(資格マスタ!$B:$B,MATCH(ASC(SUBSTITUTE(SUBSTITUTE(D322," ",""),"　","")),資格マスタ!$D:$D,0)),D322))</f>
        <v/>
      </c>
      <c r="F322">
        <f>IF(E322="","",IF(C322="",DATE(9999,1,1),C322))</f>
        <v/>
      </c>
      <c r="G322">
        <f>IF(E322="","",COUNTIFS($F$315:$F$340,"&lt;"&amp;F322,$F$315:$F$340,"&lt;&gt;")+COUNTIFS($F$315:$F$340,F322,$B$315:$B$340,"&lt;"&amp;B322)+1)</f>
        <v/>
      </c>
      <c r="H322">
        <f>IF(OR(E322="",C322=""),"",IF(C322&gt;=DATE(2019,5,1),"令和"&amp;(YEAR(C322)-2018),IF(C322&gt;=DATE(1989,1,8),"平成"&amp;(YEAR(C322)-1988),"昭和"&amp;(YEAR(C322)-1925)))&amp;"年"&amp;MONTH(C322)&amp;"月")</f>
        <v/>
      </c>
    </row>
    <row r="323">
      <c r="A323" t="n">
        <v>13</v>
      </c>
      <c r="B323" t="n">
        <v>9</v>
      </c>
      <c r="C323">
        <f>IFERROR(INDEX(資格取込!$S$6:$S$405,MATCH(13&amp;"_"&amp;3,資格取込!$Z$6:$Z$405,0)),"")</f>
        <v/>
      </c>
      <c r="D323">
        <f>IFERROR(INDEX(資格取込!$R$6:$R$405,MATCH(13&amp;"_"&amp;3,資格取込!$Z$6:$Z$405,0)),"")</f>
        <v/>
      </c>
      <c r="E323">
        <f>IF(D323="","",IFERROR(INDEX(資格マスタ!$B:$B,MATCH(ASC(SUBSTITUTE(SUBSTITUTE(D323," ",""),"　","")),資格マスタ!$D:$D,0)),D323))</f>
        <v/>
      </c>
      <c r="F323">
        <f>IF(E323="","",IF(C323="",DATE(9999,1,1),C323))</f>
        <v/>
      </c>
      <c r="G323">
        <f>IF(E323="","",COUNTIFS($F$315:$F$340,"&lt;"&amp;F323,$F$315:$F$340,"&lt;&gt;")+COUNTIFS($F$315:$F$340,F323,$B$315:$B$340,"&lt;"&amp;B323)+1)</f>
        <v/>
      </c>
      <c r="H323">
        <f>IF(OR(E323="",C323=""),"",IF(C323&gt;=DATE(2019,5,1),"令和"&amp;(YEAR(C323)-2018),IF(C323&gt;=DATE(1989,1,8),"平成"&amp;(YEAR(C323)-1988),"昭和"&amp;(YEAR(C323)-1925)))&amp;"年"&amp;MONTH(C323)&amp;"月")</f>
        <v/>
      </c>
    </row>
    <row r="324">
      <c r="A324" t="n">
        <v>13</v>
      </c>
      <c r="B324" t="n">
        <v>10</v>
      </c>
      <c r="C324">
        <f>IFERROR(INDEX(資格取込!$S$6:$S$405,MATCH(13&amp;"_"&amp;4,資格取込!$Z$6:$Z$405,0)),"")</f>
        <v/>
      </c>
      <c r="D324">
        <f>IFERROR(INDEX(資格取込!$R$6:$R$405,MATCH(13&amp;"_"&amp;4,資格取込!$Z$6:$Z$405,0)),"")</f>
        <v/>
      </c>
      <c r="E324">
        <f>IF(D324="","",IFERROR(INDEX(資格マスタ!$B:$B,MATCH(ASC(SUBSTITUTE(SUBSTITUTE(D324," ",""),"　","")),資格マスタ!$D:$D,0)),D324))</f>
        <v/>
      </c>
      <c r="F324">
        <f>IF(E324="","",IF(C324="",DATE(9999,1,1),C324))</f>
        <v/>
      </c>
      <c r="G324">
        <f>IF(E324="","",COUNTIFS($F$315:$F$340,"&lt;"&amp;F324,$F$315:$F$340,"&lt;&gt;")+COUNTIFS($F$315:$F$340,F324,$B$315:$B$340,"&lt;"&amp;B324)+1)</f>
        <v/>
      </c>
      <c r="H324">
        <f>IF(OR(E324="",C324=""),"",IF(C324&gt;=DATE(2019,5,1),"令和"&amp;(YEAR(C324)-2018),IF(C324&gt;=DATE(1989,1,8),"平成"&amp;(YEAR(C324)-1988),"昭和"&amp;(YEAR(C324)-1925)))&amp;"年"&amp;MONTH(C324)&amp;"月")</f>
        <v/>
      </c>
    </row>
    <row r="325">
      <c r="A325" t="n">
        <v>13</v>
      </c>
      <c r="B325" t="n">
        <v>11</v>
      </c>
      <c r="C325">
        <f>IFERROR(INDEX(資格取込!$S$6:$S$405,MATCH(13&amp;"_"&amp;5,資格取込!$Z$6:$Z$405,0)),"")</f>
        <v/>
      </c>
      <c r="D325">
        <f>IFERROR(INDEX(資格取込!$R$6:$R$405,MATCH(13&amp;"_"&amp;5,資格取込!$Z$6:$Z$405,0)),"")</f>
        <v/>
      </c>
      <c r="E325">
        <f>IF(D325="","",IFERROR(INDEX(資格マスタ!$B:$B,MATCH(ASC(SUBSTITUTE(SUBSTITUTE(D325," ",""),"　","")),資格マスタ!$D:$D,0)),D325))</f>
        <v/>
      </c>
      <c r="F325">
        <f>IF(E325="","",IF(C325="",DATE(9999,1,1),C325))</f>
        <v/>
      </c>
      <c r="G325">
        <f>IF(E325="","",COUNTIFS($F$315:$F$340,"&lt;"&amp;F325,$F$315:$F$340,"&lt;&gt;")+COUNTIFS($F$315:$F$340,F325,$B$315:$B$340,"&lt;"&amp;B325)+1)</f>
        <v/>
      </c>
      <c r="H325">
        <f>IF(OR(E325="",C325=""),"",IF(C325&gt;=DATE(2019,5,1),"令和"&amp;(YEAR(C325)-2018),IF(C325&gt;=DATE(1989,1,8),"平成"&amp;(YEAR(C325)-1988),"昭和"&amp;(YEAR(C325)-1925)))&amp;"年"&amp;MONTH(C325)&amp;"月")</f>
        <v/>
      </c>
    </row>
    <row r="326">
      <c r="A326" t="n">
        <v>13</v>
      </c>
      <c r="B326" t="n">
        <v>12</v>
      </c>
      <c r="C326">
        <f>IFERROR(INDEX(資格取込!$S$6:$S$405,MATCH(13&amp;"_"&amp;6,資格取込!$Z$6:$Z$405,0)),"")</f>
        <v/>
      </c>
      <c r="D326">
        <f>IFERROR(INDEX(資格取込!$R$6:$R$405,MATCH(13&amp;"_"&amp;6,資格取込!$Z$6:$Z$405,0)),"")</f>
        <v/>
      </c>
      <c r="E326">
        <f>IF(D326="","",IFERROR(INDEX(資格マスタ!$B:$B,MATCH(ASC(SUBSTITUTE(SUBSTITUTE(D326," ",""),"　","")),資格マスタ!$D:$D,0)),D326))</f>
        <v/>
      </c>
      <c r="F326">
        <f>IF(E326="","",IF(C326="",DATE(9999,1,1),C326))</f>
        <v/>
      </c>
      <c r="G326">
        <f>IF(E326="","",COUNTIFS($F$315:$F$340,"&lt;"&amp;F326,$F$315:$F$340,"&lt;&gt;")+COUNTIFS($F$315:$F$340,F326,$B$315:$B$340,"&lt;"&amp;B326)+1)</f>
        <v/>
      </c>
      <c r="H326">
        <f>IF(OR(E326="",C326=""),"",IF(C326&gt;=DATE(2019,5,1),"令和"&amp;(YEAR(C326)-2018),IF(C326&gt;=DATE(1989,1,8),"平成"&amp;(YEAR(C326)-1988),"昭和"&amp;(YEAR(C326)-1925)))&amp;"年"&amp;MONTH(C326)&amp;"月")</f>
        <v/>
      </c>
    </row>
    <row r="327">
      <c r="A327" t="n">
        <v>13</v>
      </c>
      <c r="B327" t="n">
        <v>13</v>
      </c>
      <c r="C327">
        <f>IFERROR(INDEX(資格取込!$S$6:$S$405,MATCH(13&amp;"_"&amp;7,資格取込!$Z$6:$Z$405,0)),"")</f>
        <v/>
      </c>
      <c r="D327">
        <f>IFERROR(INDEX(資格取込!$R$6:$R$405,MATCH(13&amp;"_"&amp;7,資格取込!$Z$6:$Z$405,0)),"")</f>
        <v/>
      </c>
      <c r="E327">
        <f>IF(D327="","",IFERROR(INDEX(資格マスタ!$B:$B,MATCH(ASC(SUBSTITUTE(SUBSTITUTE(D327," ",""),"　","")),資格マスタ!$D:$D,0)),D327))</f>
        <v/>
      </c>
      <c r="F327">
        <f>IF(E327="","",IF(C327="",DATE(9999,1,1),C327))</f>
        <v/>
      </c>
      <c r="G327">
        <f>IF(E327="","",COUNTIFS($F$315:$F$340,"&lt;"&amp;F327,$F$315:$F$340,"&lt;&gt;")+COUNTIFS($F$315:$F$340,F327,$B$315:$B$340,"&lt;"&amp;B327)+1)</f>
        <v/>
      </c>
      <c r="H327">
        <f>IF(OR(E327="",C327=""),"",IF(C327&gt;=DATE(2019,5,1),"令和"&amp;(YEAR(C327)-2018),IF(C327&gt;=DATE(1989,1,8),"平成"&amp;(YEAR(C327)-1988),"昭和"&amp;(YEAR(C327)-1925)))&amp;"年"&amp;MONTH(C327)&amp;"月")</f>
        <v/>
      </c>
    </row>
    <row r="328">
      <c r="A328" t="n">
        <v>13</v>
      </c>
      <c r="B328" t="n">
        <v>14</v>
      </c>
      <c r="C328">
        <f>IFERROR(INDEX(資格取込!$S$6:$S$405,MATCH(13&amp;"_"&amp;8,資格取込!$Z$6:$Z$405,0)),"")</f>
        <v/>
      </c>
      <c r="D328">
        <f>IFERROR(INDEX(資格取込!$R$6:$R$405,MATCH(13&amp;"_"&amp;8,資格取込!$Z$6:$Z$405,0)),"")</f>
        <v/>
      </c>
      <c r="E328">
        <f>IF(D328="","",IFERROR(INDEX(資格マスタ!$B:$B,MATCH(ASC(SUBSTITUTE(SUBSTITUTE(D328," ",""),"　","")),資格マスタ!$D:$D,0)),D328))</f>
        <v/>
      </c>
      <c r="F328">
        <f>IF(E328="","",IF(C328="",DATE(9999,1,1),C328))</f>
        <v/>
      </c>
      <c r="G328">
        <f>IF(E328="","",COUNTIFS($F$315:$F$340,"&lt;"&amp;F328,$F$315:$F$340,"&lt;&gt;")+COUNTIFS($F$315:$F$340,F328,$B$315:$B$340,"&lt;"&amp;B328)+1)</f>
        <v/>
      </c>
      <c r="H328">
        <f>IF(OR(E328="",C328=""),"",IF(C328&gt;=DATE(2019,5,1),"令和"&amp;(YEAR(C328)-2018),IF(C328&gt;=DATE(1989,1,8),"平成"&amp;(YEAR(C328)-1988),"昭和"&amp;(YEAR(C328)-1925)))&amp;"年"&amp;MONTH(C328)&amp;"月")</f>
        <v/>
      </c>
    </row>
    <row r="329">
      <c r="A329" t="n">
        <v>13</v>
      </c>
      <c r="B329" t="n">
        <v>15</v>
      </c>
      <c r="C329">
        <f>IFERROR(INDEX(資格取込!$S$6:$S$405,MATCH(13&amp;"_"&amp;9,資格取込!$Z$6:$Z$405,0)),"")</f>
        <v/>
      </c>
      <c r="D329">
        <f>IFERROR(INDEX(資格取込!$R$6:$R$405,MATCH(13&amp;"_"&amp;9,資格取込!$Z$6:$Z$405,0)),"")</f>
        <v/>
      </c>
      <c r="E329">
        <f>IF(D329="","",IFERROR(INDEX(資格マスタ!$B:$B,MATCH(ASC(SUBSTITUTE(SUBSTITUTE(D329," ",""),"　","")),資格マスタ!$D:$D,0)),D329))</f>
        <v/>
      </c>
      <c r="F329">
        <f>IF(E329="","",IF(C329="",DATE(9999,1,1),C329))</f>
        <v/>
      </c>
      <c r="G329">
        <f>IF(E329="","",COUNTIFS($F$315:$F$340,"&lt;"&amp;F329,$F$315:$F$340,"&lt;&gt;")+COUNTIFS($F$315:$F$340,F329,$B$315:$B$340,"&lt;"&amp;B329)+1)</f>
        <v/>
      </c>
      <c r="H329">
        <f>IF(OR(E329="",C329=""),"",IF(C329&gt;=DATE(2019,5,1),"令和"&amp;(YEAR(C329)-2018),IF(C329&gt;=DATE(1989,1,8),"平成"&amp;(YEAR(C329)-1988),"昭和"&amp;(YEAR(C329)-1925)))&amp;"年"&amp;MONTH(C329)&amp;"月")</f>
        <v/>
      </c>
    </row>
    <row r="330">
      <c r="A330" t="n">
        <v>13</v>
      </c>
      <c r="B330" t="n">
        <v>16</v>
      </c>
      <c r="C330">
        <f>IFERROR(INDEX(資格取込!$S$6:$S$405,MATCH(13&amp;"_"&amp;10,資格取込!$Z$6:$Z$405,0)),"")</f>
        <v/>
      </c>
      <c r="D330">
        <f>IFERROR(INDEX(資格取込!$R$6:$R$405,MATCH(13&amp;"_"&amp;10,資格取込!$Z$6:$Z$405,0)),"")</f>
        <v/>
      </c>
      <c r="E330">
        <f>IF(D330="","",IFERROR(INDEX(資格マスタ!$B:$B,MATCH(ASC(SUBSTITUTE(SUBSTITUTE(D330," ",""),"　","")),資格マスタ!$D:$D,0)),D330))</f>
        <v/>
      </c>
      <c r="F330">
        <f>IF(E330="","",IF(C330="",DATE(9999,1,1),C330))</f>
        <v/>
      </c>
      <c r="G330">
        <f>IF(E330="","",COUNTIFS($F$315:$F$340,"&lt;"&amp;F330,$F$315:$F$340,"&lt;&gt;")+COUNTIFS($F$315:$F$340,F330,$B$315:$B$340,"&lt;"&amp;B330)+1)</f>
        <v/>
      </c>
      <c r="H330">
        <f>IF(OR(E330="",C330=""),"",IF(C330&gt;=DATE(2019,5,1),"令和"&amp;(YEAR(C330)-2018),IF(C330&gt;=DATE(1989,1,8),"平成"&amp;(YEAR(C330)-1988),"昭和"&amp;(YEAR(C330)-1925)))&amp;"年"&amp;MONTH(C330)&amp;"月")</f>
        <v/>
      </c>
    </row>
    <row r="331">
      <c r="A331" t="n">
        <v>13</v>
      </c>
      <c r="B331" t="n">
        <v>17</v>
      </c>
      <c r="C331">
        <f>IFERROR(INDEX(資格取込!$S$6:$S$405,MATCH(13&amp;"_"&amp;11,資格取込!$Z$6:$Z$405,0)),"")</f>
        <v/>
      </c>
      <c r="D331">
        <f>IFERROR(INDEX(資格取込!$R$6:$R$405,MATCH(13&amp;"_"&amp;11,資格取込!$Z$6:$Z$405,0)),"")</f>
        <v/>
      </c>
      <c r="E331">
        <f>IF(D331="","",IFERROR(INDEX(資格マスタ!$B:$B,MATCH(ASC(SUBSTITUTE(SUBSTITUTE(D331," ",""),"　","")),資格マスタ!$D:$D,0)),D331))</f>
        <v/>
      </c>
      <c r="F331">
        <f>IF(E331="","",IF(C331="",DATE(9999,1,1),C331))</f>
        <v/>
      </c>
      <c r="G331">
        <f>IF(E331="","",COUNTIFS($F$315:$F$340,"&lt;"&amp;F331,$F$315:$F$340,"&lt;&gt;")+COUNTIFS($F$315:$F$340,F331,$B$315:$B$340,"&lt;"&amp;B331)+1)</f>
        <v/>
      </c>
      <c r="H331">
        <f>IF(OR(E331="",C331=""),"",IF(C331&gt;=DATE(2019,5,1),"令和"&amp;(YEAR(C331)-2018),IF(C331&gt;=DATE(1989,1,8),"平成"&amp;(YEAR(C331)-1988),"昭和"&amp;(YEAR(C331)-1925)))&amp;"年"&amp;MONTH(C331)&amp;"月")</f>
        <v/>
      </c>
    </row>
    <row r="332">
      <c r="A332" t="n">
        <v>13</v>
      </c>
      <c r="B332" t="n">
        <v>18</v>
      </c>
      <c r="C332">
        <f>IFERROR(INDEX(資格取込!$S$6:$S$405,MATCH(13&amp;"_"&amp;12,資格取込!$Z$6:$Z$405,0)),"")</f>
        <v/>
      </c>
      <c r="D332">
        <f>IFERROR(INDEX(資格取込!$R$6:$R$405,MATCH(13&amp;"_"&amp;12,資格取込!$Z$6:$Z$405,0)),"")</f>
        <v/>
      </c>
      <c r="E332">
        <f>IF(D332="","",IFERROR(INDEX(資格マスタ!$B:$B,MATCH(ASC(SUBSTITUTE(SUBSTITUTE(D332," ",""),"　","")),資格マスタ!$D:$D,0)),D332))</f>
        <v/>
      </c>
      <c r="F332">
        <f>IF(E332="","",IF(C332="",DATE(9999,1,1),C332))</f>
        <v/>
      </c>
      <c r="G332">
        <f>IF(E332="","",COUNTIFS($F$315:$F$340,"&lt;"&amp;F332,$F$315:$F$340,"&lt;&gt;")+COUNTIFS($F$315:$F$340,F332,$B$315:$B$340,"&lt;"&amp;B332)+1)</f>
        <v/>
      </c>
      <c r="H332">
        <f>IF(OR(E332="",C332=""),"",IF(C332&gt;=DATE(2019,5,1),"令和"&amp;(YEAR(C332)-2018),IF(C332&gt;=DATE(1989,1,8),"平成"&amp;(YEAR(C332)-1988),"昭和"&amp;(YEAR(C332)-1925)))&amp;"年"&amp;MONTH(C332)&amp;"月")</f>
        <v/>
      </c>
    </row>
    <row r="333">
      <c r="A333" t="n">
        <v>13</v>
      </c>
      <c r="B333" t="n">
        <v>19</v>
      </c>
      <c r="C333">
        <f>IFERROR(INDEX(資格取込!$S$6:$S$405,MATCH(13&amp;"_"&amp;13,資格取込!$Z$6:$Z$405,0)),"")</f>
        <v/>
      </c>
      <c r="D333">
        <f>IFERROR(INDEX(資格取込!$R$6:$R$405,MATCH(13&amp;"_"&amp;13,資格取込!$Z$6:$Z$405,0)),"")</f>
        <v/>
      </c>
      <c r="E333">
        <f>IF(D333="","",IFERROR(INDEX(資格マスタ!$B:$B,MATCH(ASC(SUBSTITUTE(SUBSTITUTE(D333," ",""),"　","")),資格マスタ!$D:$D,0)),D333))</f>
        <v/>
      </c>
      <c r="F333">
        <f>IF(E333="","",IF(C333="",DATE(9999,1,1),C333))</f>
        <v/>
      </c>
      <c r="G333">
        <f>IF(E333="","",COUNTIFS($F$315:$F$340,"&lt;"&amp;F333,$F$315:$F$340,"&lt;&gt;")+COUNTIFS($F$315:$F$340,F333,$B$315:$B$340,"&lt;"&amp;B333)+1)</f>
        <v/>
      </c>
      <c r="H333">
        <f>IF(OR(E333="",C333=""),"",IF(C333&gt;=DATE(2019,5,1),"令和"&amp;(YEAR(C333)-2018),IF(C333&gt;=DATE(1989,1,8),"平成"&amp;(YEAR(C333)-1988),"昭和"&amp;(YEAR(C333)-1925)))&amp;"年"&amp;MONTH(C333)&amp;"月")</f>
        <v/>
      </c>
    </row>
    <row r="334">
      <c r="A334" t="n">
        <v>13</v>
      </c>
      <c r="B334" t="n">
        <v>20</v>
      </c>
      <c r="C334">
        <f>IFERROR(INDEX(資格取込!$S$6:$S$405,MATCH(13&amp;"_"&amp;14,資格取込!$Z$6:$Z$405,0)),"")</f>
        <v/>
      </c>
      <c r="D334">
        <f>IFERROR(INDEX(資格取込!$R$6:$R$405,MATCH(13&amp;"_"&amp;14,資格取込!$Z$6:$Z$405,0)),"")</f>
        <v/>
      </c>
      <c r="E334">
        <f>IF(D334="","",IFERROR(INDEX(資格マスタ!$B:$B,MATCH(ASC(SUBSTITUTE(SUBSTITUTE(D334," ",""),"　","")),資格マスタ!$D:$D,0)),D334))</f>
        <v/>
      </c>
      <c r="F334">
        <f>IF(E334="","",IF(C334="",DATE(9999,1,1),C334))</f>
        <v/>
      </c>
      <c r="G334">
        <f>IF(E334="","",COUNTIFS($F$315:$F$340,"&lt;"&amp;F334,$F$315:$F$340,"&lt;&gt;")+COUNTIFS($F$315:$F$340,F334,$B$315:$B$340,"&lt;"&amp;B334)+1)</f>
        <v/>
      </c>
      <c r="H334">
        <f>IF(OR(E334="",C334=""),"",IF(C334&gt;=DATE(2019,5,1),"令和"&amp;(YEAR(C334)-2018),IF(C334&gt;=DATE(1989,1,8),"平成"&amp;(YEAR(C334)-1988),"昭和"&amp;(YEAR(C334)-1925)))&amp;"年"&amp;MONTH(C334)&amp;"月")</f>
        <v/>
      </c>
    </row>
    <row r="335">
      <c r="A335" t="n">
        <v>13</v>
      </c>
      <c r="B335" t="n">
        <v>21</v>
      </c>
      <c r="C335">
        <f>IFERROR(INDEX(資格取込!$S$6:$S$405,MATCH(13&amp;"_"&amp;15,資格取込!$Z$6:$Z$405,0)),"")</f>
        <v/>
      </c>
      <c r="D335">
        <f>IFERROR(INDEX(資格取込!$R$6:$R$405,MATCH(13&amp;"_"&amp;15,資格取込!$Z$6:$Z$405,0)),"")</f>
        <v/>
      </c>
      <c r="E335">
        <f>IF(D335="","",IFERROR(INDEX(資格マスタ!$B:$B,MATCH(ASC(SUBSTITUTE(SUBSTITUTE(D335," ",""),"　","")),資格マスタ!$D:$D,0)),D335))</f>
        <v/>
      </c>
      <c r="F335">
        <f>IF(E335="","",IF(C335="",DATE(9999,1,1),C335))</f>
        <v/>
      </c>
      <c r="G335">
        <f>IF(E335="","",COUNTIFS($F$315:$F$340,"&lt;"&amp;F335,$F$315:$F$340,"&lt;&gt;")+COUNTIFS($F$315:$F$340,F335,$B$315:$B$340,"&lt;"&amp;B335)+1)</f>
        <v/>
      </c>
      <c r="H335">
        <f>IF(OR(E335="",C335=""),"",IF(C335&gt;=DATE(2019,5,1),"令和"&amp;(YEAR(C335)-2018),IF(C335&gt;=DATE(1989,1,8),"平成"&amp;(YEAR(C335)-1988),"昭和"&amp;(YEAR(C335)-1925)))&amp;"年"&amp;MONTH(C335)&amp;"月")</f>
        <v/>
      </c>
    </row>
    <row r="336">
      <c r="A336" t="n">
        <v>13</v>
      </c>
      <c r="B336" t="n">
        <v>22</v>
      </c>
      <c r="C336">
        <f>IFERROR(INDEX(資格取込!$S$6:$S$405,MATCH(13&amp;"_"&amp;16,資格取込!$Z$6:$Z$405,0)),"")</f>
        <v/>
      </c>
      <c r="D336">
        <f>IFERROR(INDEX(資格取込!$R$6:$R$405,MATCH(13&amp;"_"&amp;16,資格取込!$Z$6:$Z$405,0)),"")</f>
        <v/>
      </c>
      <c r="E336">
        <f>IF(D336="","",IFERROR(INDEX(資格マスタ!$B:$B,MATCH(ASC(SUBSTITUTE(SUBSTITUTE(D336," ",""),"　","")),資格マスタ!$D:$D,0)),D336))</f>
        <v/>
      </c>
      <c r="F336">
        <f>IF(E336="","",IF(C336="",DATE(9999,1,1),C336))</f>
        <v/>
      </c>
      <c r="G336">
        <f>IF(E336="","",COUNTIFS($F$315:$F$340,"&lt;"&amp;F336,$F$315:$F$340,"&lt;&gt;")+COUNTIFS($F$315:$F$340,F336,$B$315:$B$340,"&lt;"&amp;B336)+1)</f>
        <v/>
      </c>
      <c r="H336">
        <f>IF(OR(E336="",C336=""),"",IF(C336&gt;=DATE(2019,5,1),"令和"&amp;(YEAR(C336)-2018),IF(C336&gt;=DATE(1989,1,8),"平成"&amp;(YEAR(C336)-1988),"昭和"&amp;(YEAR(C336)-1925)))&amp;"年"&amp;MONTH(C336)&amp;"月")</f>
        <v/>
      </c>
    </row>
    <row r="337">
      <c r="A337" t="n">
        <v>13</v>
      </c>
      <c r="B337" t="n">
        <v>23</v>
      </c>
      <c r="C337">
        <f>IFERROR(INDEX(資格取込!$S$6:$S$405,MATCH(13&amp;"_"&amp;17,資格取込!$Z$6:$Z$405,0)),"")</f>
        <v/>
      </c>
      <c r="D337">
        <f>IFERROR(INDEX(資格取込!$R$6:$R$405,MATCH(13&amp;"_"&amp;17,資格取込!$Z$6:$Z$405,0)),"")</f>
        <v/>
      </c>
      <c r="E337">
        <f>IF(D337="","",IFERROR(INDEX(資格マスタ!$B:$B,MATCH(ASC(SUBSTITUTE(SUBSTITUTE(D337," ",""),"　","")),資格マスタ!$D:$D,0)),D337))</f>
        <v/>
      </c>
      <c r="F337">
        <f>IF(E337="","",IF(C337="",DATE(9999,1,1),C337))</f>
        <v/>
      </c>
      <c r="G337">
        <f>IF(E337="","",COUNTIFS($F$315:$F$340,"&lt;"&amp;F337,$F$315:$F$340,"&lt;&gt;")+COUNTIFS($F$315:$F$340,F337,$B$315:$B$340,"&lt;"&amp;B337)+1)</f>
        <v/>
      </c>
      <c r="H337">
        <f>IF(OR(E337="",C337=""),"",IF(C337&gt;=DATE(2019,5,1),"令和"&amp;(YEAR(C337)-2018),IF(C337&gt;=DATE(1989,1,8),"平成"&amp;(YEAR(C337)-1988),"昭和"&amp;(YEAR(C337)-1925)))&amp;"年"&amp;MONTH(C337)&amp;"月")</f>
        <v/>
      </c>
    </row>
    <row r="338">
      <c r="A338" t="n">
        <v>13</v>
      </c>
      <c r="B338" t="n">
        <v>24</v>
      </c>
      <c r="C338">
        <f>IFERROR(INDEX(資格取込!$S$6:$S$405,MATCH(13&amp;"_"&amp;18,資格取込!$Z$6:$Z$405,0)),"")</f>
        <v/>
      </c>
      <c r="D338">
        <f>IFERROR(INDEX(資格取込!$R$6:$R$405,MATCH(13&amp;"_"&amp;18,資格取込!$Z$6:$Z$405,0)),"")</f>
        <v/>
      </c>
      <c r="E338">
        <f>IF(D338="","",IFERROR(INDEX(資格マスタ!$B:$B,MATCH(ASC(SUBSTITUTE(SUBSTITUTE(D338," ",""),"　","")),資格マスタ!$D:$D,0)),D338))</f>
        <v/>
      </c>
      <c r="F338">
        <f>IF(E338="","",IF(C338="",DATE(9999,1,1),C338))</f>
        <v/>
      </c>
      <c r="G338">
        <f>IF(E338="","",COUNTIFS($F$315:$F$340,"&lt;"&amp;F338,$F$315:$F$340,"&lt;&gt;")+COUNTIFS($F$315:$F$340,F338,$B$315:$B$340,"&lt;"&amp;B338)+1)</f>
        <v/>
      </c>
      <c r="H338">
        <f>IF(OR(E338="",C338=""),"",IF(C338&gt;=DATE(2019,5,1),"令和"&amp;(YEAR(C338)-2018),IF(C338&gt;=DATE(1989,1,8),"平成"&amp;(YEAR(C338)-1988),"昭和"&amp;(YEAR(C338)-1925)))&amp;"年"&amp;MONTH(C338)&amp;"月")</f>
        <v/>
      </c>
    </row>
    <row r="339">
      <c r="A339" t="n">
        <v>13</v>
      </c>
      <c r="B339" t="n">
        <v>25</v>
      </c>
      <c r="C339">
        <f>IFERROR(INDEX(資格取込!$S$6:$S$405,MATCH(13&amp;"_"&amp;19,資格取込!$Z$6:$Z$405,0)),"")</f>
        <v/>
      </c>
      <c r="D339">
        <f>IFERROR(INDEX(資格取込!$R$6:$R$405,MATCH(13&amp;"_"&amp;19,資格取込!$Z$6:$Z$405,0)),"")</f>
        <v/>
      </c>
      <c r="E339">
        <f>IF(D339="","",IFERROR(INDEX(資格マスタ!$B:$B,MATCH(ASC(SUBSTITUTE(SUBSTITUTE(D339," ",""),"　","")),資格マスタ!$D:$D,0)),D339))</f>
        <v/>
      </c>
      <c r="F339">
        <f>IF(E339="","",IF(C339="",DATE(9999,1,1),C339))</f>
        <v/>
      </c>
      <c r="G339">
        <f>IF(E339="","",COUNTIFS($F$315:$F$340,"&lt;"&amp;F339,$F$315:$F$340,"&lt;&gt;")+COUNTIFS($F$315:$F$340,F339,$B$315:$B$340,"&lt;"&amp;B339)+1)</f>
        <v/>
      </c>
      <c r="H339">
        <f>IF(OR(E339="",C339=""),"",IF(C339&gt;=DATE(2019,5,1),"令和"&amp;(YEAR(C339)-2018),IF(C339&gt;=DATE(1989,1,8),"平成"&amp;(YEAR(C339)-1988),"昭和"&amp;(YEAR(C339)-1925)))&amp;"年"&amp;MONTH(C339)&amp;"月")</f>
        <v/>
      </c>
    </row>
    <row r="340">
      <c r="A340" t="n">
        <v>13</v>
      </c>
      <c r="B340" t="n">
        <v>26</v>
      </c>
      <c r="C340">
        <f>IFERROR(INDEX(資格取込!$S$6:$S$405,MATCH(13&amp;"_"&amp;20,資格取込!$Z$6:$Z$405,0)),"")</f>
        <v/>
      </c>
      <c r="D340">
        <f>IFERROR(INDEX(資格取込!$R$6:$R$405,MATCH(13&amp;"_"&amp;20,資格取込!$Z$6:$Z$405,0)),"")</f>
        <v/>
      </c>
      <c r="E340">
        <f>IF(D340="","",IFERROR(INDEX(資格マスタ!$B:$B,MATCH(ASC(SUBSTITUTE(SUBSTITUTE(D340," ",""),"　","")),資格マスタ!$D:$D,0)),D340))</f>
        <v/>
      </c>
      <c r="F340">
        <f>IF(E340="","",IF(C340="",DATE(9999,1,1),C340))</f>
        <v/>
      </c>
      <c r="G340">
        <f>IF(E340="","",COUNTIFS($F$315:$F$340,"&lt;"&amp;F340,$F$315:$F$340,"&lt;&gt;")+COUNTIFS($F$315:$F$340,F340,$B$315:$B$340,"&lt;"&amp;B340)+1)</f>
        <v/>
      </c>
      <c r="H340">
        <f>IF(OR(E340="",C340=""),"",IF(C340&gt;=DATE(2019,5,1),"令和"&amp;(YEAR(C340)-2018),IF(C340&gt;=DATE(1989,1,8),"平成"&amp;(YEAR(C340)-1988),"昭和"&amp;(YEAR(C340)-1925)))&amp;"年"&amp;MONTH(C340)&amp;"月")</f>
        <v/>
      </c>
    </row>
    <row r="341">
      <c r="A341" t="n">
        <v>14</v>
      </c>
      <c r="B341" t="n">
        <v>1</v>
      </c>
      <c r="C341"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341">
        <f>IF(入力!N18="","",入力!N18)</f>
        <v/>
      </c>
      <c r="E341">
        <f>IF(D341="","",IFERROR(INDEX(資格マスタ!$B:$B,MATCH(ASC(SUBSTITUTE(SUBSTITUTE(D341," ",""),"　","")),資格マスタ!$D:$D,0)),D341))</f>
        <v/>
      </c>
      <c r="F341">
        <f>IF(E341="","",IF(C341="",DATE(9999,1,1),C341))</f>
        <v/>
      </c>
      <c r="G341">
        <f>IF(E341="","",COUNTIFS($F$341:$F$366,"&lt;"&amp;F341,$F$341:$F$366,"&lt;&gt;")+COUNTIFS($F$341:$F$366,F341,$B$341:$B$366,"&lt;"&amp;B341)+1)</f>
        <v/>
      </c>
      <c r="H341">
        <f>IF(OR(E341="",C341=""),"",IF(C341&gt;=DATE(2019,5,1),"令和"&amp;(YEAR(C341)-2018),IF(C341&gt;=DATE(1989,1,8),"平成"&amp;(YEAR(C341)-1988),"昭和"&amp;(YEAR(C341)-1925)))&amp;"年"&amp;MONTH(C341)&amp;"月")</f>
        <v/>
      </c>
    </row>
    <row r="342">
      <c r="A342" t="n">
        <v>14</v>
      </c>
      <c r="B342" t="n">
        <v>2</v>
      </c>
      <c r="C342">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342">
        <f>IF(入力!P18="","",入力!P18)</f>
        <v/>
      </c>
      <c r="E342">
        <f>IF(D342="","",IFERROR(INDEX(資格マスタ!$B:$B,MATCH(ASC(SUBSTITUTE(SUBSTITUTE(D342," ",""),"　","")),資格マスタ!$D:$D,0)),D342))</f>
        <v/>
      </c>
      <c r="F342">
        <f>IF(E342="","",IF(C342="",DATE(9999,1,1),C342))</f>
        <v/>
      </c>
      <c r="G342">
        <f>IF(E342="","",COUNTIFS($F$341:$F$366,"&lt;"&amp;F342,$F$341:$F$366,"&lt;&gt;")+COUNTIFS($F$341:$F$366,F342,$B$341:$B$366,"&lt;"&amp;B342)+1)</f>
        <v/>
      </c>
      <c r="H342">
        <f>IF(OR(E342="",C342=""),"",IF(C342&gt;=DATE(2019,5,1),"令和"&amp;(YEAR(C342)-2018),IF(C342&gt;=DATE(1989,1,8),"平成"&amp;(YEAR(C342)-1988),"昭和"&amp;(YEAR(C342)-1925)))&amp;"年"&amp;MONTH(C342)&amp;"月")</f>
        <v/>
      </c>
    </row>
    <row r="343">
      <c r="A343" t="n">
        <v>14</v>
      </c>
      <c r="B343" t="n">
        <v>3</v>
      </c>
      <c r="C343">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343">
        <f>IF(入力!R18="","",入力!R18)</f>
        <v/>
      </c>
      <c r="E343">
        <f>IF(D343="","",IFERROR(INDEX(資格マスタ!$B:$B,MATCH(ASC(SUBSTITUTE(SUBSTITUTE(D343," ",""),"　","")),資格マスタ!$D:$D,0)),D343))</f>
        <v/>
      </c>
      <c r="F343">
        <f>IF(E343="","",IF(C343="",DATE(9999,1,1),C343))</f>
        <v/>
      </c>
      <c r="G343">
        <f>IF(E343="","",COUNTIFS($F$341:$F$366,"&lt;"&amp;F343,$F$341:$F$366,"&lt;&gt;")+COUNTIFS($F$341:$F$366,F343,$B$341:$B$366,"&lt;"&amp;B343)+1)</f>
        <v/>
      </c>
      <c r="H343">
        <f>IF(OR(E343="",C343=""),"",IF(C343&gt;=DATE(2019,5,1),"令和"&amp;(YEAR(C343)-2018),IF(C343&gt;=DATE(1989,1,8),"平成"&amp;(YEAR(C343)-1988),"昭和"&amp;(YEAR(C343)-1925)))&amp;"年"&amp;MONTH(C343)&amp;"月")</f>
        <v/>
      </c>
    </row>
    <row r="344">
      <c r="A344" t="n">
        <v>14</v>
      </c>
      <c r="B344" t="n">
        <v>4</v>
      </c>
      <c r="C344">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344">
        <f>IF(入力!T18="","",入力!T18)</f>
        <v/>
      </c>
      <c r="E344">
        <f>IF(D344="","",IFERROR(INDEX(資格マスタ!$B:$B,MATCH(ASC(SUBSTITUTE(SUBSTITUTE(D344," ",""),"　","")),資格マスタ!$D:$D,0)),D344))</f>
        <v/>
      </c>
      <c r="F344">
        <f>IF(E344="","",IF(C344="",DATE(9999,1,1),C344))</f>
        <v/>
      </c>
      <c r="G344">
        <f>IF(E344="","",COUNTIFS($F$341:$F$366,"&lt;"&amp;F344,$F$341:$F$366,"&lt;&gt;")+COUNTIFS($F$341:$F$366,F344,$B$341:$B$366,"&lt;"&amp;B344)+1)</f>
        <v/>
      </c>
      <c r="H344">
        <f>IF(OR(E344="",C344=""),"",IF(C344&gt;=DATE(2019,5,1),"令和"&amp;(YEAR(C344)-2018),IF(C344&gt;=DATE(1989,1,8),"平成"&amp;(YEAR(C344)-1988),"昭和"&amp;(YEAR(C344)-1925)))&amp;"年"&amp;MONTH(C344)&amp;"月")</f>
        <v/>
      </c>
    </row>
    <row r="345">
      <c r="A345" t="n">
        <v>14</v>
      </c>
      <c r="B345" t="n">
        <v>5</v>
      </c>
      <c r="C345">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345">
        <f>IF(入力!V18="","",入力!V18)</f>
        <v/>
      </c>
      <c r="E345">
        <f>IF(D345="","",IFERROR(INDEX(資格マスタ!$B:$B,MATCH(ASC(SUBSTITUTE(SUBSTITUTE(D345," ",""),"　","")),資格マスタ!$D:$D,0)),D345))</f>
        <v/>
      </c>
      <c r="F345">
        <f>IF(E345="","",IF(C345="",DATE(9999,1,1),C345))</f>
        <v/>
      </c>
      <c r="G345">
        <f>IF(E345="","",COUNTIFS($F$341:$F$366,"&lt;"&amp;F345,$F$341:$F$366,"&lt;&gt;")+COUNTIFS($F$341:$F$366,F345,$B$341:$B$366,"&lt;"&amp;B345)+1)</f>
        <v/>
      </c>
      <c r="H345">
        <f>IF(OR(E345="",C345=""),"",IF(C345&gt;=DATE(2019,5,1),"令和"&amp;(YEAR(C345)-2018),IF(C345&gt;=DATE(1989,1,8),"平成"&amp;(YEAR(C345)-1988),"昭和"&amp;(YEAR(C345)-1925)))&amp;"年"&amp;MONTH(C345)&amp;"月")</f>
        <v/>
      </c>
    </row>
    <row r="346">
      <c r="A346" t="n">
        <v>14</v>
      </c>
      <c r="B346" t="n">
        <v>6</v>
      </c>
      <c r="C346">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346">
        <f>IF(入力!X18="","",入力!X18)</f>
        <v/>
      </c>
      <c r="E346">
        <f>IF(D346="","",IFERROR(INDEX(資格マスタ!$B:$B,MATCH(ASC(SUBSTITUTE(SUBSTITUTE(D346," ",""),"　","")),資格マスタ!$D:$D,0)),D346))</f>
        <v/>
      </c>
      <c r="F346">
        <f>IF(E346="","",IF(C346="",DATE(9999,1,1),C346))</f>
        <v/>
      </c>
      <c r="G346">
        <f>IF(E346="","",COUNTIFS($F$341:$F$366,"&lt;"&amp;F346,$F$341:$F$366,"&lt;&gt;")+COUNTIFS($F$341:$F$366,F346,$B$341:$B$366,"&lt;"&amp;B346)+1)</f>
        <v/>
      </c>
      <c r="H346">
        <f>IF(OR(E346="",C346=""),"",IF(C346&gt;=DATE(2019,5,1),"令和"&amp;(YEAR(C346)-2018),IF(C346&gt;=DATE(1989,1,8),"平成"&amp;(YEAR(C346)-1988),"昭和"&amp;(YEAR(C346)-1925)))&amp;"年"&amp;MONTH(C346)&amp;"月")</f>
        <v/>
      </c>
    </row>
    <row r="347">
      <c r="A347" t="n">
        <v>14</v>
      </c>
      <c r="B347" t="n">
        <v>7</v>
      </c>
      <c r="C347">
        <f>IFERROR(INDEX(資格取込!$S$6:$S$405,MATCH(14&amp;"_"&amp;1,資格取込!$Z$6:$Z$405,0)),"")</f>
        <v/>
      </c>
      <c r="D347">
        <f>IFERROR(INDEX(資格取込!$R$6:$R$405,MATCH(14&amp;"_"&amp;1,資格取込!$Z$6:$Z$405,0)),"")</f>
        <v/>
      </c>
      <c r="E347">
        <f>IF(D347="","",IFERROR(INDEX(資格マスタ!$B:$B,MATCH(ASC(SUBSTITUTE(SUBSTITUTE(D347," ",""),"　","")),資格マスタ!$D:$D,0)),D347))</f>
        <v/>
      </c>
      <c r="F347">
        <f>IF(E347="","",IF(C347="",DATE(9999,1,1),C347))</f>
        <v/>
      </c>
      <c r="G347">
        <f>IF(E347="","",COUNTIFS($F$341:$F$366,"&lt;"&amp;F347,$F$341:$F$366,"&lt;&gt;")+COUNTIFS($F$341:$F$366,F347,$B$341:$B$366,"&lt;"&amp;B347)+1)</f>
        <v/>
      </c>
      <c r="H347">
        <f>IF(OR(E347="",C347=""),"",IF(C347&gt;=DATE(2019,5,1),"令和"&amp;(YEAR(C347)-2018),IF(C347&gt;=DATE(1989,1,8),"平成"&amp;(YEAR(C347)-1988),"昭和"&amp;(YEAR(C347)-1925)))&amp;"年"&amp;MONTH(C347)&amp;"月")</f>
        <v/>
      </c>
    </row>
    <row r="348">
      <c r="A348" t="n">
        <v>14</v>
      </c>
      <c r="B348" t="n">
        <v>8</v>
      </c>
      <c r="C348">
        <f>IFERROR(INDEX(資格取込!$S$6:$S$405,MATCH(14&amp;"_"&amp;2,資格取込!$Z$6:$Z$405,0)),"")</f>
        <v/>
      </c>
      <c r="D348">
        <f>IFERROR(INDEX(資格取込!$R$6:$R$405,MATCH(14&amp;"_"&amp;2,資格取込!$Z$6:$Z$405,0)),"")</f>
        <v/>
      </c>
      <c r="E348">
        <f>IF(D348="","",IFERROR(INDEX(資格マスタ!$B:$B,MATCH(ASC(SUBSTITUTE(SUBSTITUTE(D348," ",""),"　","")),資格マスタ!$D:$D,0)),D348))</f>
        <v/>
      </c>
      <c r="F348">
        <f>IF(E348="","",IF(C348="",DATE(9999,1,1),C348))</f>
        <v/>
      </c>
      <c r="G348">
        <f>IF(E348="","",COUNTIFS($F$341:$F$366,"&lt;"&amp;F348,$F$341:$F$366,"&lt;&gt;")+COUNTIFS($F$341:$F$366,F348,$B$341:$B$366,"&lt;"&amp;B348)+1)</f>
        <v/>
      </c>
      <c r="H348">
        <f>IF(OR(E348="",C348=""),"",IF(C348&gt;=DATE(2019,5,1),"令和"&amp;(YEAR(C348)-2018),IF(C348&gt;=DATE(1989,1,8),"平成"&amp;(YEAR(C348)-1988),"昭和"&amp;(YEAR(C348)-1925)))&amp;"年"&amp;MONTH(C348)&amp;"月")</f>
        <v/>
      </c>
    </row>
    <row r="349">
      <c r="A349" t="n">
        <v>14</v>
      </c>
      <c r="B349" t="n">
        <v>9</v>
      </c>
      <c r="C349">
        <f>IFERROR(INDEX(資格取込!$S$6:$S$405,MATCH(14&amp;"_"&amp;3,資格取込!$Z$6:$Z$405,0)),"")</f>
        <v/>
      </c>
      <c r="D349">
        <f>IFERROR(INDEX(資格取込!$R$6:$R$405,MATCH(14&amp;"_"&amp;3,資格取込!$Z$6:$Z$405,0)),"")</f>
        <v/>
      </c>
      <c r="E349">
        <f>IF(D349="","",IFERROR(INDEX(資格マスタ!$B:$B,MATCH(ASC(SUBSTITUTE(SUBSTITUTE(D349," ",""),"　","")),資格マスタ!$D:$D,0)),D349))</f>
        <v/>
      </c>
      <c r="F349">
        <f>IF(E349="","",IF(C349="",DATE(9999,1,1),C349))</f>
        <v/>
      </c>
      <c r="G349">
        <f>IF(E349="","",COUNTIFS($F$341:$F$366,"&lt;"&amp;F349,$F$341:$F$366,"&lt;&gt;")+COUNTIFS($F$341:$F$366,F349,$B$341:$B$366,"&lt;"&amp;B349)+1)</f>
        <v/>
      </c>
      <c r="H349">
        <f>IF(OR(E349="",C349=""),"",IF(C349&gt;=DATE(2019,5,1),"令和"&amp;(YEAR(C349)-2018),IF(C349&gt;=DATE(1989,1,8),"平成"&amp;(YEAR(C349)-1988),"昭和"&amp;(YEAR(C349)-1925)))&amp;"年"&amp;MONTH(C349)&amp;"月")</f>
        <v/>
      </c>
    </row>
    <row r="350">
      <c r="A350" t="n">
        <v>14</v>
      </c>
      <c r="B350" t="n">
        <v>10</v>
      </c>
      <c r="C350">
        <f>IFERROR(INDEX(資格取込!$S$6:$S$405,MATCH(14&amp;"_"&amp;4,資格取込!$Z$6:$Z$405,0)),"")</f>
        <v/>
      </c>
      <c r="D350">
        <f>IFERROR(INDEX(資格取込!$R$6:$R$405,MATCH(14&amp;"_"&amp;4,資格取込!$Z$6:$Z$405,0)),"")</f>
        <v/>
      </c>
      <c r="E350">
        <f>IF(D350="","",IFERROR(INDEX(資格マスタ!$B:$B,MATCH(ASC(SUBSTITUTE(SUBSTITUTE(D350," ",""),"　","")),資格マスタ!$D:$D,0)),D350))</f>
        <v/>
      </c>
      <c r="F350">
        <f>IF(E350="","",IF(C350="",DATE(9999,1,1),C350))</f>
        <v/>
      </c>
      <c r="G350">
        <f>IF(E350="","",COUNTIFS($F$341:$F$366,"&lt;"&amp;F350,$F$341:$F$366,"&lt;&gt;")+COUNTIFS($F$341:$F$366,F350,$B$341:$B$366,"&lt;"&amp;B350)+1)</f>
        <v/>
      </c>
      <c r="H350">
        <f>IF(OR(E350="",C350=""),"",IF(C350&gt;=DATE(2019,5,1),"令和"&amp;(YEAR(C350)-2018),IF(C350&gt;=DATE(1989,1,8),"平成"&amp;(YEAR(C350)-1988),"昭和"&amp;(YEAR(C350)-1925)))&amp;"年"&amp;MONTH(C350)&amp;"月")</f>
        <v/>
      </c>
    </row>
    <row r="351">
      <c r="A351" t="n">
        <v>14</v>
      </c>
      <c r="B351" t="n">
        <v>11</v>
      </c>
      <c r="C351">
        <f>IFERROR(INDEX(資格取込!$S$6:$S$405,MATCH(14&amp;"_"&amp;5,資格取込!$Z$6:$Z$405,0)),"")</f>
        <v/>
      </c>
      <c r="D351">
        <f>IFERROR(INDEX(資格取込!$R$6:$R$405,MATCH(14&amp;"_"&amp;5,資格取込!$Z$6:$Z$405,0)),"")</f>
        <v/>
      </c>
      <c r="E351">
        <f>IF(D351="","",IFERROR(INDEX(資格マスタ!$B:$B,MATCH(ASC(SUBSTITUTE(SUBSTITUTE(D351," ",""),"　","")),資格マスタ!$D:$D,0)),D351))</f>
        <v/>
      </c>
      <c r="F351">
        <f>IF(E351="","",IF(C351="",DATE(9999,1,1),C351))</f>
        <v/>
      </c>
      <c r="G351">
        <f>IF(E351="","",COUNTIFS($F$341:$F$366,"&lt;"&amp;F351,$F$341:$F$366,"&lt;&gt;")+COUNTIFS($F$341:$F$366,F351,$B$341:$B$366,"&lt;"&amp;B351)+1)</f>
        <v/>
      </c>
      <c r="H351">
        <f>IF(OR(E351="",C351=""),"",IF(C351&gt;=DATE(2019,5,1),"令和"&amp;(YEAR(C351)-2018),IF(C351&gt;=DATE(1989,1,8),"平成"&amp;(YEAR(C351)-1988),"昭和"&amp;(YEAR(C351)-1925)))&amp;"年"&amp;MONTH(C351)&amp;"月")</f>
        <v/>
      </c>
    </row>
    <row r="352">
      <c r="A352" t="n">
        <v>14</v>
      </c>
      <c r="B352" t="n">
        <v>12</v>
      </c>
      <c r="C352">
        <f>IFERROR(INDEX(資格取込!$S$6:$S$405,MATCH(14&amp;"_"&amp;6,資格取込!$Z$6:$Z$405,0)),"")</f>
        <v/>
      </c>
      <c r="D352">
        <f>IFERROR(INDEX(資格取込!$R$6:$R$405,MATCH(14&amp;"_"&amp;6,資格取込!$Z$6:$Z$405,0)),"")</f>
        <v/>
      </c>
      <c r="E352">
        <f>IF(D352="","",IFERROR(INDEX(資格マスタ!$B:$B,MATCH(ASC(SUBSTITUTE(SUBSTITUTE(D352," ",""),"　","")),資格マスタ!$D:$D,0)),D352))</f>
        <v/>
      </c>
      <c r="F352">
        <f>IF(E352="","",IF(C352="",DATE(9999,1,1),C352))</f>
        <v/>
      </c>
      <c r="G352">
        <f>IF(E352="","",COUNTIFS($F$341:$F$366,"&lt;"&amp;F352,$F$341:$F$366,"&lt;&gt;")+COUNTIFS($F$341:$F$366,F352,$B$341:$B$366,"&lt;"&amp;B352)+1)</f>
        <v/>
      </c>
      <c r="H352">
        <f>IF(OR(E352="",C352=""),"",IF(C352&gt;=DATE(2019,5,1),"令和"&amp;(YEAR(C352)-2018),IF(C352&gt;=DATE(1989,1,8),"平成"&amp;(YEAR(C352)-1988),"昭和"&amp;(YEAR(C352)-1925)))&amp;"年"&amp;MONTH(C352)&amp;"月")</f>
        <v/>
      </c>
    </row>
    <row r="353">
      <c r="A353" t="n">
        <v>14</v>
      </c>
      <c r="B353" t="n">
        <v>13</v>
      </c>
      <c r="C353">
        <f>IFERROR(INDEX(資格取込!$S$6:$S$405,MATCH(14&amp;"_"&amp;7,資格取込!$Z$6:$Z$405,0)),"")</f>
        <v/>
      </c>
      <c r="D353">
        <f>IFERROR(INDEX(資格取込!$R$6:$R$405,MATCH(14&amp;"_"&amp;7,資格取込!$Z$6:$Z$405,0)),"")</f>
        <v/>
      </c>
      <c r="E353">
        <f>IF(D353="","",IFERROR(INDEX(資格マスタ!$B:$B,MATCH(ASC(SUBSTITUTE(SUBSTITUTE(D353," ",""),"　","")),資格マスタ!$D:$D,0)),D353))</f>
        <v/>
      </c>
      <c r="F353">
        <f>IF(E353="","",IF(C353="",DATE(9999,1,1),C353))</f>
        <v/>
      </c>
      <c r="G353">
        <f>IF(E353="","",COUNTIFS($F$341:$F$366,"&lt;"&amp;F353,$F$341:$F$366,"&lt;&gt;")+COUNTIFS($F$341:$F$366,F353,$B$341:$B$366,"&lt;"&amp;B353)+1)</f>
        <v/>
      </c>
      <c r="H353">
        <f>IF(OR(E353="",C353=""),"",IF(C353&gt;=DATE(2019,5,1),"令和"&amp;(YEAR(C353)-2018),IF(C353&gt;=DATE(1989,1,8),"平成"&amp;(YEAR(C353)-1988),"昭和"&amp;(YEAR(C353)-1925)))&amp;"年"&amp;MONTH(C353)&amp;"月")</f>
        <v/>
      </c>
    </row>
    <row r="354">
      <c r="A354" t="n">
        <v>14</v>
      </c>
      <c r="B354" t="n">
        <v>14</v>
      </c>
      <c r="C354">
        <f>IFERROR(INDEX(資格取込!$S$6:$S$405,MATCH(14&amp;"_"&amp;8,資格取込!$Z$6:$Z$405,0)),"")</f>
        <v/>
      </c>
      <c r="D354">
        <f>IFERROR(INDEX(資格取込!$R$6:$R$405,MATCH(14&amp;"_"&amp;8,資格取込!$Z$6:$Z$405,0)),"")</f>
        <v/>
      </c>
      <c r="E354">
        <f>IF(D354="","",IFERROR(INDEX(資格マスタ!$B:$B,MATCH(ASC(SUBSTITUTE(SUBSTITUTE(D354," ",""),"　","")),資格マスタ!$D:$D,0)),D354))</f>
        <v/>
      </c>
      <c r="F354">
        <f>IF(E354="","",IF(C354="",DATE(9999,1,1),C354))</f>
        <v/>
      </c>
      <c r="G354">
        <f>IF(E354="","",COUNTIFS($F$341:$F$366,"&lt;"&amp;F354,$F$341:$F$366,"&lt;&gt;")+COUNTIFS($F$341:$F$366,F354,$B$341:$B$366,"&lt;"&amp;B354)+1)</f>
        <v/>
      </c>
      <c r="H354">
        <f>IF(OR(E354="",C354=""),"",IF(C354&gt;=DATE(2019,5,1),"令和"&amp;(YEAR(C354)-2018),IF(C354&gt;=DATE(1989,1,8),"平成"&amp;(YEAR(C354)-1988),"昭和"&amp;(YEAR(C354)-1925)))&amp;"年"&amp;MONTH(C354)&amp;"月")</f>
        <v/>
      </c>
    </row>
    <row r="355">
      <c r="A355" t="n">
        <v>14</v>
      </c>
      <c r="B355" t="n">
        <v>15</v>
      </c>
      <c r="C355">
        <f>IFERROR(INDEX(資格取込!$S$6:$S$405,MATCH(14&amp;"_"&amp;9,資格取込!$Z$6:$Z$405,0)),"")</f>
        <v/>
      </c>
      <c r="D355">
        <f>IFERROR(INDEX(資格取込!$R$6:$R$405,MATCH(14&amp;"_"&amp;9,資格取込!$Z$6:$Z$405,0)),"")</f>
        <v/>
      </c>
      <c r="E355">
        <f>IF(D355="","",IFERROR(INDEX(資格マスタ!$B:$B,MATCH(ASC(SUBSTITUTE(SUBSTITUTE(D355," ",""),"　","")),資格マスタ!$D:$D,0)),D355))</f>
        <v/>
      </c>
      <c r="F355">
        <f>IF(E355="","",IF(C355="",DATE(9999,1,1),C355))</f>
        <v/>
      </c>
      <c r="G355">
        <f>IF(E355="","",COUNTIFS($F$341:$F$366,"&lt;"&amp;F355,$F$341:$F$366,"&lt;&gt;")+COUNTIFS($F$341:$F$366,F355,$B$341:$B$366,"&lt;"&amp;B355)+1)</f>
        <v/>
      </c>
      <c r="H355">
        <f>IF(OR(E355="",C355=""),"",IF(C355&gt;=DATE(2019,5,1),"令和"&amp;(YEAR(C355)-2018),IF(C355&gt;=DATE(1989,1,8),"平成"&amp;(YEAR(C355)-1988),"昭和"&amp;(YEAR(C355)-1925)))&amp;"年"&amp;MONTH(C355)&amp;"月")</f>
        <v/>
      </c>
    </row>
    <row r="356">
      <c r="A356" t="n">
        <v>14</v>
      </c>
      <c r="B356" t="n">
        <v>16</v>
      </c>
      <c r="C356">
        <f>IFERROR(INDEX(資格取込!$S$6:$S$405,MATCH(14&amp;"_"&amp;10,資格取込!$Z$6:$Z$405,0)),"")</f>
        <v/>
      </c>
      <c r="D356">
        <f>IFERROR(INDEX(資格取込!$R$6:$R$405,MATCH(14&amp;"_"&amp;10,資格取込!$Z$6:$Z$405,0)),"")</f>
        <v/>
      </c>
      <c r="E356">
        <f>IF(D356="","",IFERROR(INDEX(資格マスタ!$B:$B,MATCH(ASC(SUBSTITUTE(SUBSTITUTE(D356," ",""),"　","")),資格マスタ!$D:$D,0)),D356))</f>
        <v/>
      </c>
      <c r="F356">
        <f>IF(E356="","",IF(C356="",DATE(9999,1,1),C356))</f>
        <v/>
      </c>
      <c r="G356">
        <f>IF(E356="","",COUNTIFS($F$341:$F$366,"&lt;"&amp;F356,$F$341:$F$366,"&lt;&gt;")+COUNTIFS($F$341:$F$366,F356,$B$341:$B$366,"&lt;"&amp;B356)+1)</f>
        <v/>
      </c>
      <c r="H356">
        <f>IF(OR(E356="",C356=""),"",IF(C356&gt;=DATE(2019,5,1),"令和"&amp;(YEAR(C356)-2018),IF(C356&gt;=DATE(1989,1,8),"平成"&amp;(YEAR(C356)-1988),"昭和"&amp;(YEAR(C356)-1925)))&amp;"年"&amp;MONTH(C356)&amp;"月")</f>
        <v/>
      </c>
    </row>
    <row r="357">
      <c r="A357" t="n">
        <v>14</v>
      </c>
      <c r="B357" t="n">
        <v>17</v>
      </c>
      <c r="C357">
        <f>IFERROR(INDEX(資格取込!$S$6:$S$405,MATCH(14&amp;"_"&amp;11,資格取込!$Z$6:$Z$405,0)),"")</f>
        <v/>
      </c>
      <c r="D357">
        <f>IFERROR(INDEX(資格取込!$R$6:$R$405,MATCH(14&amp;"_"&amp;11,資格取込!$Z$6:$Z$405,0)),"")</f>
        <v/>
      </c>
      <c r="E357">
        <f>IF(D357="","",IFERROR(INDEX(資格マスタ!$B:$B,MATCH(ASC(SUBSTITUTE(SUBSTITUTE(D357," ",""),"　","")),資格マスタ!$D:$D,0)),D357))</f>
        <v/>
      </c>
      <c r="F357">
        <f>IF(E357="","",IF(C357="",DATE(9999,1,1),C357))</f>
        <v/>
      </c>
      <c r="G357">
        <f>IF(E357="","",COUNTIFS($F$341:$F$366,"&lt;"&amp;F357,$F$341:$F$366,"&lt;&gt;")+COUNTIFS($F$341:$F$366,F357,$B$341:$B$366,"&lt;"&amp;B357)+1)</f>
        <v/>
      </c>
      <c r="H357">
        <f>IF(OR(E357="",C357=""),"",IF(C357&gt;=DATE(2019,5,1),"令和"&amp;(YEAR(C357)-2018),IF(C357&gt;=DATE(1989,1,8),"平成"&amp;(YEAR(C357)-1988),"昭和"&amp;(YEAR(C357)-1925)))&amp;"年"&amp;MONTH(C357)&amp;"月")</f>
        <v/>
      </c>
    </row>
    <row r="358">
      <c r="A358" t="n">
        <v>14</v>
      </c>
      <c r="B358" t="n">
        <v>18</v>
      </c>
      <c r="C358">
        <f>IFERROR(INDEX(資格取込!$S$6:$S$405,MATCH(14&amp;"_"&amp;12,資格取込!$Z$6:$Z$405,0)),"")</f>
        <v/>
      </c>
      <c r="D358">
        <f>IFERROR(INDEX(資格取込!$R$6:$R$405,MATCH(14&amp;"_"&amp;12,資格取込!$Z$6:$Z$405,0)),"")</f>
        <v/>
      </c>
      <c r="E358">
        <f>IF(D358="","",IFERROR(INDEX(資格マスタ!$B:$B,MATCH(ASC(SUBSTITUTE(SUBSTITUTE(D358," ",""),"　","")),資格マスタ!$D:$D,0)),D358))</f>
        <v/>
      </c>
      <c r="F358">
        <f>IF(E358="","",IF(C358="",DATE(9999,1,1),C358))</f>
        <v/>
      </c>
      <c r="G358">
        <f>IF(E358="","",COUNTIFS($F$341:$F$366,"&lt;"&amp;F358,$F$341:$F$366,"&lt;&gt;")+COUNTIFS($F$341:$F$366,F358,$B$341:$B$366,"&lt;"&amp;B358)+1)</f>
        <v/>
      </c>
      <c r="H358">
        <f>IF(OR(E358="",C358=""),"",IF(C358&gt;=DATE(2019,5,1),"令和"&amp;(YEAR(C358)-2018),IF(C358&gt;=DATE(1989,1,8),"平成"&amp;(YEAR(C358)-1988),"昭和"&amp;(YEAR(C358)-1925)))&amp;"年"&amp;MONTH(C358)&amp;"月")</f>
        <v/>
      </c>
    </row>
    <row r="359">
      <c r="A359" t="n">
        <v>14</v>
      </c>
      <c r="B359" t="n">
        <v>19</v>
      </c>
      <c r="C359">
        <f>IFERROR(INDEX(資格取込!$S$6:$S$405,MATCH(14&amp;"_"&amp;13,資格取込!$Z$6:$Z$405,0)),"")</f>
        <v/>
      </c>
      <c r="D359">
        <f>IFERROR(INDEX(資格取込!$R$6:$R$405,MATCH(14&amp;"_"&amp;13,資格取込!$Z$6:$Z$405,0)),"")</f>
        <v/>
      </c>
      <c r="E359">
        <f>IF(D359="","",IFERROR(INDEX(資格マスタ!$B:$B,MATCH(ASC(SUBSTITUTE(SUBSTITUTE(D359," ",""),"　","")),資格マスタ!$D:$D,0)),D359))</f>
        <v/>
      </c>
      <c r="F359">
        <f>IF(E359="","",IF(C359="",DATE(9999,1,1),C359))</f>
        <v/>
      </c>
      <c r="G359">
        <f>IF(E359="","",COUNTIFS($F$341:$F$366,"&lt;"&amp;F359,$F$341:$F$366,"&lt;&gt;")+COUNTIFS($F$341:$F$366,F359,$B$341:$B$366,"&lt;"&amp;B359)+1)</f>
        <v/>
      </c>
      <c r="H359">
        <f>IF(OR(E359="",C359=""),"",IF(C359&gt;=DATE(2019,5,1),"令和"&amp;(YEAR(C359)-2018),IF(C359&gt;=DATE(1989,1,8),"平成"&amp;(YEAR(C359)-1988),"昭和"&amp;(YEAR(C359)-1925)))&amp;"年"&amp;MONTH(C359)&amp;"月")</f>
        <v/>
      </c>
    </row>
    <row r="360">
      <c r="A360" t="n">
        <v>14</v>
      </c>
      <c r="B360" t="n">
        <v>20</v>
      </c>
      <c r="C360">
        <f>IFERROR(INDEX(資格取込!$S$6:$S$405,MATCH(14&amp;"_"&amp;14,資格取込!$Z$6:$Z$405,0)),"")</f>
        <v/>
      </c>
      <c r="D360">
        <f>IFERROR(INDEX(資格取込!$R$6:$R$405,MATCH(14&amp;"_"&amp;14,資格取込!$Z$6:$Z$405,0)),"")</f>
        <v/>
      </c>
      <c r="E360">
        <f>IF(D360="","",IFERROR(INDEX(資格マスタ!$B:$B,MATCH(ASC(SUBSTITUTE(SUBSTITUTE(D360," ",""),"　","")),資格マスタ!$D:$D,0)),D360))</f>
        <v/>
      </c>
      <c r="F360">
        <f>IF(E360="","",IF(C360="",DATE(9999,1,1),C360))</f>
        <v/>
      </c>
      <c r="G360">
        <f>IF(E360="","",COUNTIFS($F$341:$F$366,"&lt;"&amp;F360,$F$341:$F$366,"&lt;&gt;")+COUNTIFS($F$341:$F$366,F360,$B$341:$B$366,"&lt;"&amp;B360)+1)</f>
        <v/>
      </c>
      <c r="H360">
        <f>IF(OR(E360="",C360=""),"",IF(C360&gt;=DATE(2019,5,1),"令和"&amp;(YEAR(C360)-2018),IF(C360&gt;=DATE(1989,1,8),"平成"&amp;(YEAR(C360)-1988),"昭和"&amp;(YEAR(C360)-1925)))&amp;"年"&amp;MONTH(C360)&amp;"月")</f>
        <v/>
      </c>
    </row>
    <row r="361">
      <c r="A361" t="n">
        <v>14</v>
      </c>
      <c r="B361" t="n">
        <v>21</v>
      </c>
      <c r="C361">
        <f>IFERROR(INDEX(資格取込!$S$6:$S$405,MATCH(14&amp;"_"&amp;15,資格取込!$Z$6:$Z$405,0)),"")</f>
        <v/>
      </c>
      <c r="D361">
        <f>IFERROR(INDEX(資格取込!$R$6:$R$405,MATCH(14&amp;"_"&amp;15,資格取込!$Z$6:$Z$405,0)),"")</f>
        <v/>
      </c>
      <c r="E361">
        <f>IF(D361="","",IFERROR(INDEX(資格マスタ!$B:$B,MATCH(ASC(SUBSTITUTE(SUBSTITUTE(D361," ",""),"　","")),資格マスタ!$D:$D,0)),D361))</f>
        <v/>
      </c>
      <c r="F361">
        <f>IF(E361="","",IF(C361="",DATE(9999,1,1),C361))</f>
        <v/>
      </c>
      <c r="G361">
        <f>IF(E361="","",COUNTIFS($F$341:$F$366,"&lt;"&amp;F361,$F$341:$F$366,"&lt;&gt;")+COUNTIFS($F$341:$F$366,F361,$B$341:$B$366,"&lt;"&amp;B361)+1)</f>
        <v/>
      </c>
      <c r="H361">
        <f>IF(OR(E361="",C361=""),"",IF(C361&gt;=DATE(2019,5,1),"令和"&amp;(YEAR(C361)-2018),IF(C361&gt;=DATE(1989,1,8),"平成"&amp;(YEAR(C361)-1988),"昭和"&amp;(YEAR(C361)-1925)))&amp;"年"&amp;MONTH(C361)&amp;"月")</f>
        <v/>
      </c>
    </row>
    <row r="362">
      <c r="A362" t="n">
        <v>14</v>
      </c>
      <c r="B362" t="n">
        <v>22</v>
      </c>
      <c r="C362">
        <f>IFERROR(INDEX(資格取込!$S$6:$S$405,MATCH(14&amp;"_"&amp;16,資格取込!$Z$6:$Z$405,0)),"")</f>
        <v/>
      </c>
      <c r="D362">
        <f>IFERROR(INDEX(資格取込!$R$6:$R$405,MATCH(14&amp;"_"&amp;16,資格取込!$Z$6:$Z$405,0)),"")</f>
        <v/>
      </c>
      <c r="E362">
        <f>IF(D362="","",IFERROR(INDEX(資格マスタ!$B:$B,MATCH(ASC(SUBSTITUTE(SUBSTITUTE(D362," ",""),"　","")),資格マスタ!$D:$D,0)),D362))</f>
        <v/>
      </c>
      <c r="F362">
        <f>IF(E362="","",IF(C362="",DATE(9999,1,1),C362))</f>
        <v/>
      </c>
      <c r="G362">
        <f>IF(E362="","",COUNTIFS($F$341:$F$366,"&lt;"&amp;F362,$F$341:$F$366,"&lt;&gt;")+COUNTIFS($F$341:$F$366,F362,$B$341:$B$366,"&lt;"&amp;B362)+1)</f>
        <v/>
      </c>
      <c r="H362">
        <f>IF(OR(E362="",C362=""),"",IF(C362&gt;=DATE(2019,5,1),"令和"&amp;(YEAR(C362)-2018),IF(C362&gt;=DATE(1989,1,8),"平成"&amp;(YEAR(C362)-1988),"昭和"&amp;(YEAR(C362)-1925)))&amp;"年"&amp;MONTH(C362)&amp;"月")</f>
        <v/>
      </c>
    </row>
    <row r="363">
      <c r="A363" t="n">
        <v>14</v>
      </c>
      <c r="B363" t="n">
        <v>23</v>
      </c>
      <c r="C363">
        <f>IFERROR(INDEX(資格取込!$S$6:$S$405,MATCH(14&amp;"_"&amp;17,資格取込!$Z$6:$Z$405,0)),"")</f>
        <v/>
      </c>
      <c r="D363">
        <f>IFERROR(INDEX(資格取込!$R$6:$R$405,MATCH(14&amp;"_"&amp;17,資格取込!$Z$6:$Z$405,0)),"")</f>
        <v/>
      </c>
      <c r="E363">
        <f>IF(D363="","",IFERROR(INDEX(資格マスタ!$B:$B,MATCH(ASC(SUBSTITUTE(SUBSTITUTE(D363," ",""),"　","")),資格マスタ!$D:$D,0)),D363))</f>
        <v/>
      </c>
      <c r="F363">
        <f>IF(E363="","",IF(C363="",DATE(9999,1,1),C363))</f>
        <v/>
      </c>
      <c r="G363">
        <f>IF(E363="","",COUNTIFS($F$341:$F$366,"&lt;"&amp;F363,$F$341:$F$366,"&lt;&gt;")+COUNTIFS($F$341:$F$366,F363,$B$341:$B$366,"&lt;"&amp;B363)+1)</f>
        <v/>
      </c>
      <c r="H363">
        <f>IF(OR(E363="",C363=""),"",IF(C363&gt;=DATE(2019,5,1),"令和"&amp;(YEAR(C363)-2018),IF(C363&gt;=DATE(1989,1,8),"平成"&amp;(YEAR(C363)-1988),"昭和"&amp;(YEAR(C363)-1925)))&amp;"年"&amp;MONTH(C363)&amp;"月")</f>
        <v/>
      </c>
    </row>
    <row r="364">
      <c r="A364" t="n">
        <v>14</v>
      </c>
      <c r="B364" t="n">
        <v>24</v>
      </c>
      <c r="C364">
        <f>IFERROR(INDEX(資格取込!$S$6:$S$405,MATCH(14&amp;"_"&amp;18,資格取込!$Z$6:$Z$405,0)),"")</f>
        <v/>
      </c>
      <c r="D364">
        <f>IFERROR(INDEX(資格取込!$R$6:$R$405,MATCH(14&amp;"_"&amp;18,資格取込!$Z$6:$Z$405,0)),"")</f>
        <v/>
      </c>
      <c r="E364">
        <f>IF(D364="","",IFERROR(INDEX(資格マスタ!$B:$B,MATCH(ASC(SUBSTITUTE(SUBSTITUTE(D364," ",""),"　","")),資格マスタ!$D:$D,0)),D364))</f>
        <v/>
      </c>
      <c r="F364">
        <f>IF(E364="","",IF(C364="",DATE(9999,1,1),C364))</f>
        <v/>
      </c>
      <c r="G364">
        <f>IF(E364="","",COUNTIFS($F$341:$F$366,"&lt;"&amp;F364,$F$341:$F$366,"&lt;&gt;")+COUNTIFS($F$341:$F$366,F364,$B$341:$B$366,"&lt;"&amp;B364)+1)</f>
        <v/>
      </c>
      <c r="H364">
        <f>IF(OR(E364="",C364=""),"",IF(C364&gt;=DATE(2019,5,1),"令和"&amp;(YEAR(C364)-2018),IF(C364&gt;=DATE(1989,1,8),"平成"&amp;(YEAR(C364)-1988),"昭和"&amp;(YEAR(C364)-1925)))&amp;"年"&amp;MONTH(C364)&amp;"月")</f>
        <v/>
      </c>
    </row>
    <row r="365">
      <c r="A365" t="n">
        <v>14</v>
      </c>
      <c r="B365" t="n">
        <v>25</v>
      </c>
      <c r="C365">
        <f>IFERROR(INDEX(資格取込!$S$6:$S$405,MATCH(14&amp;"_"&amp;19,資格取込!$Z$6:$Z$405,0)),"")</f>
        <v/>
      </c>
      <c r="D365">
        <f>IFERROR(INDEX(資格取込!$R$6:$R$405,MATCH(14&amp;"_"&amp;19,資格取込!$Z$6:$Z$405,0)),"")</f>
        <v/>
      </c>
      <c r="E365">
        <f>IF(D365="","",IFERROR(INDEX(資格マスタ!$B:$B,MATCH(ASC(SUBSTITUTE(SUBSTITUTE(D365," ",""),"　","")),資格マスタ!$D:$D,0)),D365))</f>
        <v/>
      </c>
      <c r="F365">
        <f>IF(E365="","",IF(C365="",DATE(9999,1,1),C365))</f>
        <v/>
      </c>
      <c r="G365">
        <f>IF(E365="","",COUNTIFS($F$341:$F$366,"&lt;"&amp;F365,$F$341:$F$366,"&lt;&gt;")+COUNTIFS($F$341:$F$366,F365,$B$341:$B$366,"&lt;"&amp;B365)+1)</f>
        <v/>
      </c>
      <c r="H365">
        <f>IF(OR(E365="",C365=""),"",IF(C365&gt;=DATE(2019,5,1),"令和"&amp;(YEAR(C365)-2018),IF(C365&gt;=DATE(1989,1,8),"平成"&amp;(YEAR(C365)-1988),"昭和"&amp;(YEAR(C365)-1925)))&amp;"年"&amp;MONTH(C365)&amp;"月")</f>
        <v/>
      </c>
    </row>
    <row r="366">
      <c r="A366" t="n">
        <v>14</v>
      </c>
      <c r="B366" t="n">
        <v>26</v>
      </c>
      <c r="C366">
        <f>IFERROR(INDEX(資格取込!$S$6:$S$405,MATCH(14&amp;"_"&amp;20,資格取込!$Z$6:$Z$405,0)),"")</f>
        <v/>
      </c>
      <c r="D366">
        <f>IFERROR(INDEX(資格取込!$R$6:$R$405,MATCH(14&amp;"_"&amp;20,資格取込!$Z$6:$Z$405,0)),"")</f>
        <v/>
      </c>
      <c r="E366">
        <f>IF(D366="","",IFERROR(INDEX(資格マスタ!$B:$B,MATCH(ASC(SUBSTITUTE(SUBSTITUTE(D366," ",""),"　","")),資格マスタ!$D:$D,0)),D366))</f>
        <v/>
      </c>
      <c r="F366">
        <f>IF(E366="","",IF(C366="",DATE(9999,1,1),C366))</f>
        <v/>
      </c>
      <c r="G366">
        <f>IF(E366="","",COUNTIFS($F$341:$F$366,"&lt;"&amp;F366,$F$341:$F$366,"&lt;&gt;")+COUNTIFS($F$341:$F$366,F366,$B$341:$B$366,"&lt;"&amp;B366)+1)</f>
        <v/>
      </c>
      <c r="H366">
        <f>IF(OR(E366="",C366=""),"",IF(C366&gt;=DATE(2019,5,1),"令和"&amp;(YEAR(C366)-2018),IF(C366&gt;=DATE(1989,1,8),"平成"&amp;(YEAR(C366)-1988),"昭和"&amp;(YEAR(C366)-1925)))&amp;"年"&amp;MONTH(C366)&amp;"月")</f>
        <v/>
      </c>
    </row>
    <row r="367">
      <c r="A367" t="n">
        <v>15</v>
      </c>
      <c r="B367" t="n">
        <v>1</v>
      </c>
      <c r="C367"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367">
        <f>IF(入力!N19="","",入力!N19)</f>
        <v/>
      </c>
      <c r="E367">
        <f>IF(D367="","",IFERROR(INDEX(資格マスタ!$B:$B,MATCH(ASC(SUBSTITUTE(SUBSTITUTE(D367," ",""),"　","")),資格マスタ!$D:$D,0)),D367))</f>
        <v/>
      </c>
      <c r="F367">
        <f>IF(E367="","",IF(C367="",DATE(9999,1,1),C367))</f>
        <v/>
      </c>
      <c r="G367">
        <f>IF(E367="","",COUNTIFS($F$367:$F$392,"&lt;"&amp;F367,$F$367:$F$392,"&lt;&gt;")+COUNTIFS($F$367:$F$392,F367,$B$367:$B$392,"&lt;"&amp;B367)+1)</f>
        <v/>
      </c>
      <c r="H367">
        <f>IF(OR(E367="",C367=""),"",IF(C367&gt;=DATE(2019,5,1),"令和"&amp;(YEAR(C367)-2018),IF(C367&gt;=DATE(1989,1,8),"平成"&amp;(YEAR(C367)-1988),"昭和"&amp;(YEAR(C367)-1925)))&amp;"年"&amp;MONTH(C367)&amp;"月")</f>
        <v/>
      </c>
    </row>
    <row r="368">
      <c r="A368" t="n">
        <v>15</v>
      </c>
      <c r="B368" t="n">
        <v>2</v>
      </c>
      <c r="C368">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368">
        <f>IF(入力!P19="","",入力!P19)</f>
        <v/>
      </c>
      <c r="E368">
        <f>IF(D368="","",IFERROR(INDEX(資格マスタ!$B:$B,MATCH(ASC(SUBSTITUTE(SUBSTITUTE(D368," ",""),"　","")),資格マスタ!$D:$D,0)),D368))</f>
        <v/>
      </c>
      <c r="F368">
        <f>IF(E368="","",IF(C368="",DATE(9999,1,1),C368))</f>
        <v/>
      </c>
      <c r="G368">
        <f>IF(E368="","",COUNTIFS($F$367:$F$392,"&lt;"&amp;F368,$F$367:$F$392,"&lt;&gt;")+COUNTIFS($F$367:$F$392,F368,$B$367:$B$392,"&lt;"&amp;B368)+1)</f>
        <v/>
      </c>
      <c r="H368">
        <f>IF(OR(E368="",C368=""),"",IF(C368&gt;=DATE(2019,5,1),"令和"&amp;(YEAR(C368)-2018),IF(C368&gt;=DATE(1989,1,8),"平成"&amp;(YEAR(C368)-1988),"昭和"&amp;(YEAR(C368)-1925)))&amp;"年"&amp;MONTH(C368)&amp;"月")</f>
        <v/>
      </c>
    </row>
    <row r="369">
      <c r="A369" t="n">
        <v>15</v>
      </c>
      <c r="B369" t="n">
        <v>3</v>
      </c>
      <c r="C369">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369">
        <f>IF(入力!R19="","",入力!R19)</f>
        <v/>
      </c>
      <c r="E369">
        <f>IF(D369="","",IFERROR(INDEX(資格マスタ!$B:$B,MATCH(ASC(SUBSTITUTE(SUBSTITUTE(D369," ",""),"　","")),資格マスタ!$D:$D,0)),D369))</f>
        <v/>
      </c>
      <c r="F369">
        <f>IF(E369="","",IF(C369="",DATE(9999,1,1),C369))</f>
        <v/>
      </c>
      <c r="G369">
        <f>IF(E369="","",COUNTIFS($F$367:$F$392,"&lt;"&amp;F369,$F$367:$F$392,"&lt;&gt;")+COUNTIFS($F$367:$F$392,F369,$B$367:$B$392,"&lt;"&amp;B369)+1)</f>
        <v/>
      </c>
      <c r="H369">
        <f>IF(OR(E369="",C369=""),"",IF(C369&gt;=DATE(2019,5,1),"令和"&amp;(YEAR(C369)-2018),IF(C369&gt;=DATE(1989,1,8),"平成"&amp;(YEAR(C369)-1988),"昭和"&amp;(YEAR(C369)-1925)))&amp;"年"&amp;MONTH(C369)&amp;"月")</f>
        <v/>
      </c>
    </row>
    <row r="370">
      <c r="A370" t="n">
        <v>15</v>
      </c>
      <c r="B370" t="n">
        <v>4</v>
      </c>
      <c r="C370">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370">
        <f>IF(入力!T19="","",入力!T19)</f>
        <v/>
      </c>
      <c r="E370">
        <f>IF(D370="","",IFERROR(INDEX(資格マスタ!$B:$B,MATCH(ASC(SUBSTITUTE(SUBSTITUTE(D370," ",""),"　","")),資格マスタ!$D:$D,0)),D370))</f>
        <v/>
      </c>
      <c r="F370">
        <f>IF(E370="","",IF(C370="",DATE(9999,1,1),C370))</f>
        <v/>
      </c>
      <c r="G370">
        <f>IF(E370="","",COUNTIFS($F$367:$F$392,"&lt;"&amp;F370,$F$367:$F$392,"&lt;&gt;")+COUNTIFS($F$367:$F$392,F370,$B$367:$B$392,"&lt;"&amp;B370)+1)</f>
        <v/>
      </c>
      <c r="H370">
        <f>IF(OR(E370="",C370=""),"",IF(C370&gt;=DATE(2019,5,1),"令和"&amp;(YEAR(C370)-2018),IF(C370&gt;=DATE(1989,1,8),"平成"&amp;(YEAR(C370)-1988),"昭和"&amp;(YEAR(C370)-1925)))&amp;"年"&amp;MONTH(C370)&amp;"月")</f>
        <v/>
      </c>
    </row>
    <row r="371">
      <c r="A371" t="n">
        <v>15</v>
      </c>
      <c r="B371" t="n">
        <v>5</v>
      </c>
      <c r="C371">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371">
        <f>IF(入力!V19="","",入力!V19)</f>
        <v/>
      </c>
      <c r="E371">
        <f>IF(D371="","",IFERROR(INDEX(資格マスタ!$B:$B,MATCH(ASC(SUBSTITUTE(SUBSTITUTE(D371," ",""),"　","")),資格マスタ!$D:$D,0)),D371))</f>
        <v/>
      </c>
      <c r="F371">
        <f>IF(E371="","",IF(C371="",DATE(9999,1,1),C371))</f>
        <v/>
      </c>
      <c r="G371">
        <f>IF(E371="","",COUNTIFS($F$367:$F$392,"&lt;"&amp;F371,$F$367:$F$392,"&lt;&gt;")+COUNTIFS($F$367:$F$392,F371,$B$367:$B$392,"&lt;"&amp;B371)+1)</f>
        <v/>
      </c>
      <c r="H371">
        <f>IF(OR(E371="",C371=""),"",IF(C371&gt;=DATE(2019,5,1),"令和"&amp;(YEAR(C371)-2018),IF(C371&gt;=DATE(1989,1,8),"平成"&amp;(YEAR(C371)-1988),"昭和"&amp;(YEAR(C371)-1925)))&amp;"年"&amp;MONTH(C371)&amp;"月")</f>
        <v/>
      </c>
    </row>
    <row r="372">
      <c r="A372" t="n">
        <v>15</v>
      </c>
      <c r="B372" t="n">
        <v>6</v>
      </c>
      <c r="C372">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372">
        <f>IF(入力!X19="","",入力!X19)</f>
        <v/>
      </c>
      <c r="E372">
        <f>IF(D372="","",IFERROR(INDEX(資格マスタ!$B:$B,MATCH(ASC(SUBSTITUTE(SUBSTITUTE(D372," ",""),"　","")),資格マスタ!$D:$D,0)),D372))</f>
        <v/>
      </c>
      <c r="F372">
        <f>IF(E372="","",IF(C372="",DATE(9999,1,1),C372))</f>
        <v/>
      </c>
      <c r="G372">
        <f>IF(E372="","",COUNTIFS($F$367:$F$392,"&lt;"&amp;F372,$F$367:$F$392,"&lt;&gt;")+COUNTIFS($F$367:$F$392,F372,$B$367:$B$392,"&lt;"&amp;B372)+1)</f>
        <v/>
      </c>
      <c r="H372">
        <f>IF(OR(E372="",C372=""),"",IF(C372&gt;=DATE(2019,5,1),"令和"&amp;(YEAR(C372)-2018),IF(C372&gt;=DATE(1989,1,8),"平成"&amp;(YEAR(C372)-1988),"昭和"&amp;(YEAR(C372)-1925)))&amp;"年"&amp;MONTH(C372)&amp;"月")</f>
        <v/>
      </c>
    </row>
    <row r="373">
      <c r="A373" t="n">
        <v>15</v>
      </c>
      <c r="B373" t="n">
        <v>7</v>
      </c>
      <c r="C373">
        <f>IFERROR(INDEX(資格取込!$S$6:$S$405,MATCH(15&amp;"_"&amp;1,資格取込!$Z$6:$Z$405,0)),"")</f>
        <v/>
      </c>
      <c r="D373">
        <f>IFERROR(INDEX(資格取込!$R$6:$R$405,MATCH(15&amp;"_"&amp;1,資格取込!$Z$6:$Z$405,0)),"")</f>
        <v/>
      </c>
      <c r="E373">
        <f>IF(D373="","",IFERROR(INDEX(資格マスタ!$B:$B,MATCH(ASC(SUBSTITUTE(SUBSTITUTE(D373," ",""),"　","")),資格マスタ!$D:$D,0)),D373))</f>
        <v/>
      </c>
      <c r="F373">
        <f>IF(E373="","",IF(C373="",DATE(9999,1,1),C373))</f>
        <v/>
      </c>
      <c r="G373">
        <f>IF(E373="","",COUNTIFS($F$367:$F$392,"&lt;"&amp;F373,$F$367:$F$392,"&lt;&gt;")+COUNTIFS($F$367:$F$392,F373,$B$367:$B$392,"&lt;"&amp;B373)+1)</f>
        <v/>
      </c>
      <c r="H373">
        <f>IF(OR(E373="",C373=""),"",IF(C373&gt;=DATE(2019,5,1),"令和"&amp;(YEAR(C373)-2018),IF(C373&gt;=DATE(1989,1,8),"平成"&amp;(YEAR(C373)-1988),"昭和"&amp;(YEAR(C373)-1925)))&amp;"年"&amp;MONTH(C373)&amp;"月")</f>
        <v/>
      </c>
    </row>
    <row r="374">
      <c r="A374" t="n">
        <v>15</v>
      </c>
      <c r="B374" t="n">
        <v>8</v>
      </c>
      <c r="C374">
        <f>IFERROR(INDEX(資格取込!$S$6:$S$405,MATCH(15&amp;"_"&amp;2,資格取込!$Z$6:$Z$405,0)),"")</f>
        <v/>
      </c>
      <c r="D374">
        <f>IFERROR(INDEX(資格取込!$R$6:$R$405,MATCH(15&amp;"_"&amp;2,資格取込!$Z$6:$Z$405,0)),"")</f>
        <v/>
      </c>
      <c r="E374">
        <f>IF(D374="","",IFERROR(INDEX(資格マスタ!$B:$B,MATCH(ASC(SUBSTITUTE(SUBSTITUTE(D374," ",""),"　","")),資格マスタ!$D:$D,0)),D374))</f>
        <v/>
      </c>
      <c r="F374">
        <f>IF(E374="","",IF(C374="",DATE(9999,1,1),C374))</f>
        <v/>
      </c>
      <c r="G374">
        <f>IF(E374="","",COUNTIFS($F$367:$F$392,"&lt;"&amp;F374,$F$367:$F$392,"&lt;&gt;")+COUNTIFS($F$367:$F$392,F374,$B$367:$B$392,"&lt;"&amp;B374)+1)</f>
        <v/>
      </c>
      <c r="H374">
        <f>IF(OR(E374="",C374=""),"",IF(C374&gt;=DATE(2019,5,1),"令和"&amp;(YEAR(C374)-2018),IF(C374&gt;=DATE(1989,1,8),"平成"&amp;(YEAR(C374)-1988),"昭和"&amp;(YEAR(C374)-1925)))&amp;"年"&amp;MONTH(C374)&amp;"月")</f>
        <v/>
      </c>
    </row>
    <row r="375">
      <c r="A375" t="n">
        <v>15</v>
      </c>
      <c r="B375" t="n">
        <v>9</v>
      </c>
      <c r="C375">
        <f>IFERROR(INDEX(資格取込!$S$6:$S$405,MATCH(15&amp;"_"&amp;3,資格取込!$Z$6:$Z$405,0)),"")</f>
        <v/>
      </c>
      <c r="D375">
        <f>IFERROR(INDEX(資格取込!$R$6:$R$405,MATCH(15&amp;"_"&amp;3,資格取込!$Z$6:$Z$405,0)),"")</f>
        <v/>
      </c>
      <c r="E375">
        <f>IF(D375="","",IFERROR(INDEX(資格マスタ!$B:$B,MATCH(ASC(SUBSTITUTE(SUBSTITUTE(D375," ",""),"　","")),資格マスタ!$D:$D,0)),D375))</f>
        <v/>
      </c>
      <c r="F375">
        <f>IF(E375="","",IF(C375="",DATE(9999,1,1),C375))</f>
        <v/>
      </c>
      <c r="G375">
        <f>IF(E375="","",COUNTIFS($F$367:$F$392,"&lt;"&amp;F375,$F$367:$F$392,"&lt;&gt;")+COUNTIFS($F$367:$F$392,F375,$B$367:$B$392,"&lt;"&amp;B375)+1)</f>
        <v/>
      </c>
      <c r="H375">
        <f>IF(OR(E375="",C375=""),"",IF(C375&gt;=DATE(2019,5,1),"令和"&amp;(YEAR(C375)-2018),IF(C375&gt;=DATE(1989,1,8),"平成"&amp;(YEAR(C375)-1988),"昭和"&amp;(YEAR(C375)-1925)))&amp;"年"&amp;MONTH(C375)&amp;"月")</f>
        <v/>
      </c>
    </row>
    <row r="376">
      <c r="A376" t="n">
        <v>15</v>
      </c>
      <c r="B376" t="n">
        <v>10</v>
      </c>
      <c r="C376">
        <f>IFERROR(INDEX(資格取込!$S$6:$S$405,MATCH(15&amp;"_"&amp;4,資格取込!$Z$6:$Z$405,0)),"")</f>
        <v/>
      </c>
      <c r="D376">
        <f>IFERROR(INDEX(資格取込!$R$6:$R$405,MATCH(15&amp;"_"&amp;4,資格取込!$Z$6:$Z$405,0)),"")</f>
        <v/>
      </c>
      <c r="E376">
        <f>IF(D376="","",IFERROR(INDEX(資格マスタ!$B:$B,MATCH(ASC(SUBSTITUTE(SUBSTITUTE(D376," ",""),"　","")),資格マスタ!$D:$D,0)),D376))</f>
        <v/>
      </c>
      <c r="F376">
        <f>IF(E376="","",IF(C376="",DATE(9999,1,1),C376))</f>
        <v/>
      </c>
      <c r="G376">
        <f>IF(E376="","",COUNTIFS($F$367:$F$392,"&lt;"&amp;F376,$F$367:$F$392,"&lt;&gt;")+COUNTIFS($F$367:$F$392,F376,$B$367:$B$392,"&lt;"&amp;B376)+1)</f>
        <v/>
      </c>
      <c r="H376">
        <f>IF(OR(E376="",C376=""),"",IF(C376&gt;=DATE(2019,5,1),"令和"&amp;(YEAR(C376)-2018),IF(C376&gt;=DATE(1989,1,8),"平成"&amp;(YEAR(C376)-1988),"昭和"&amp;(YEAR(C376)-1925)))&amp;"年"&amp;MONTH(C376)&amp;"月")</f>
        <v/>
      </c>
    </row>
    <row r="377">
      <c r="A377" t="n">
        <v>15</v>
      </c>
      <c r="B377" t="n">
        <v>11</v>
      </c>
      <c r="C377">
        <f>IFERROR(INDEX(資格取込!$S$6:$S$405,MATCH(15&amp;"_"&amp;5,資格取込!$Z$6:$Z$405,0)),"")</f>
        <v/>
      </c>
      <c r="D377">
        <f>IFERROR(INDEX(資格取込!$R$6:$R$405,MATCH(15&amp;"_"&amp;5,資格取込!$Z$6:$Z$405,0)),"")</f>
        <v/>
      </c>
      <c r="E377">
        <f>IF(D377="","",IFERROR(INDEX(資格マスタ!$B:$B,MATCH(ASC(SUBSTITUTE(SUBSTITUTE(D377," ",""),"　","")),資格マスタ!$D:$D,0)),D377))</f>
        <v/>
      </c>
      <c r="F377">
        <f>IF(E377="","",IF(C377="",DATE(9999,1,1),C377))</f>
        <v/>
      </c>
      <c r="G377">
        <f>IF(E377="","",COUNTIFS($F$367:$F$392,"&lt;"&amp;F377,$F$367:$F$392,"&lt;&gt;")+COUNTIFS($F$367:$F$392,F377,$B$367:$B$392,"&lt;"&amp;B377)+1)</f>
        <v/>
      </c>
      <c r="H377">
        <f>IF(OR(E377="",C377=""),"",IF(C377&gt;=DATE(2019,5,1),"令和"&amp;(YEAR(C377)-2018),IF(C377&gt;=DATE(1989,1,8),"平成"&amp;(YEAR(C377)-1988),"昭和"&amp;(YEAR(C377)-1925)))&amp;"年"&amp;MONTH(C377)&amp;"月")</f>
        <v/>
      </c>
    </row>
    <row r="378">
      <c r="A378" t="n">
        <v>15</v>
      </c>
      <c r="B378" t="n">
        <v>12</v>
      </c>
      <c r="C378">
        <f>IFERROR(INDEX(資格取込!$S$6:$S$405,MATCH(15&amp;"_"&amp;6,資格取込!$Z$6:$Z$405,0)),"")</f>
        <v/>
      </c>
      <c r="D378">
        <f>IFERROR(INDEX(資格取込!$R$6:$R$405,MATCH(15&amp;"_"&amp;6,資格取込!$Z$6:$Z$405,0)),"")</f>
        <v/>
      </c>
      <c r="E378">
        <f>IF(D378="","",IFERROR(INDEX(資格マスタ!$B:$B,MATCH(ASC(SUBSTITUTE(SUBSTITUTE(D378," ",""),"　","")),資格マスタ!$D:$D,0)),D378))</f>
        <v/>
      </c>
      <c r="F378">
        <f>IF(E378="","",IF(C378="",DATE(9999,1,1),C378))</f>
        <v/>
      </c>
      <c r="G378">
        <f>IF(E378="","",COUNTIFS($F$367:$F$392,"&lt;"&amp;F378,$F$367:$F$392,"&lt;&gt;")+COUNTIFS($F$367:$F$392,F378,$B$367:$B$392,"&lt;"&amp;B378)+1)</f>
        <v/>
      </c>
      <c r="H378">
        <f>IF(OR(E378="",C378=""),"",IF(C378&gt;=DATE(2019,5,1),"令和"&amp;(YEAR(C378)-2018),IF(C378&gt;=DATE(1989,1,8),"平成"&amp;(YEAR(C378)-1988),"昭和"&amp;(YEAR(C378)-1925)))&amp;"年"&amp;MONTH(C378)&amp;"月")</f>
        <v/>
      </c>
    </row>
    <row r="379">
      <c r="A379" t="n">
        <v>15</v>
      </c>
      <c r="B379" t="n">
        <v>13</v>
      </c>
      <c r="C379">
        <f>IFERROR(INDEX(資格取込!$S$6:$S$405,MATCH(15&amp;"_"&amp;7,資格取込!$Z$6:$Z$405,0)),"")</f>
        <v/>
      </c>
      <c r="D379">
        <f>IFERROR(INDEX(資格取込!$R$6:$R$405,MATCH(15&amp;"_"&amp;7,資格取込!$Z$6:$Z$405,0)),"")</f>
        <v/>
      </c>
      <c r="E379">
        <f>IF(D379="","",IFERROR(INDEX(資格マスタ!$B:$B,MATCH(ASC(SUBSTITUTE(SUBSTITUTE(D379," ",""),"　","")),資格マスタ!$D:$D,0)),D379))</f>
        <v/>
      </c>
      <c r="F379">
        <f>IF(E379="","",IF(C379="",DATE(9999,1,1),C379))</f>
        <v/>
      </c>
      <c r="G379">
        <f>IF(E379="","",COUNTIFS($F$367:$F$392,"&lt;"&amp;F379,$F$367:$F$392,"&lt;&gt;")+COUNTIFS($F$367:$F$392,F379,$B$367:$B$392,"&lt;"&amp;B379)+1)</f>
        <v/>
      </c>
      <c r="H379">
        <f>IF(OR(E379="",C379=""),"",IF(C379&gt;=DATE(2019,5,1),"令和"&amp;(YEAR(C379)-2018),IF(C379&gt;=DATE(1989,1,8),"平成"&amp;(YEAR(C379)-1988),"昭和"&amp;(YEAR(C379)-1925)))&amp;"年"&amp;MONTH(C379)&amp;"月")</f>
        <v/>
      </c>
    </row>
    <row r="380">
      <c r="A380" t="n">
        <v>15</v>
      </c>
      <c r="B380" t="n">
        <v>14</v>
      </c>
      <c r="C380">
        <f>IFERROR(INDEX(資格取込!$S$6:$S$405,MATCH(15&amp;"_"&amp;8,資格取込!$Z$6:$Z$405,0)),"")</f>
        <v/>
      </c>
      <c r="D380">
        <f>IFERROR(INDEX(資格取込!$R$6:$R$405,MATCH(15&amp;"_"&amp;8,資格取込!$Z$6:$Z$405,0)),"")</f>
        <v/>
      </c>
      <c r="E380">
        <f>IF(D380="","",IFERROR(INDEX(資格マスタ!$B:$B,MATCH(ASC(SUBSTITUTE(SUBSTITUTE(D380," ",""),"　","")),資格マスタ!$D:$D,0)),D380))</f>
        <v/>
      </c>
      <c r="F380">
        <f>IF(E380="","",IF(C380="",DATE(9999,1,1),C380))</f>
        <v/>
      </c>
      <c r="G380">
        <f>IF(E380="","",COUNTIFS($F$367:$F$392,"&lt;"&amp;F380,$F$367:$F$392,"&lt;&gt;")+COUNTIFS($F$367:$F$392,F380,$B$367:$B$392,"&lt;"&amp;B380)+1)</f>
        <v/>
      </c>
      <c r="H380">
        <f>IF(OR(E380="",C380=""),"",IF(C380&gt;=DATE(2019,5,1),"令和"&amp;(YEAR(C380)-2018),IF(C380&gt;=DATE(1989,1,8),"平成"&amp;(YEAR(C380)-1988),"昭和"&amp;(YEAR(C380)-1925)))&amp;"年"&amp;MONTH(C380)&amp;"月")</f>
        <v/>
      </c>
    </row>
    <row r="381">
      <c r="A381" t="n">
        <v>15</v>
      </c>
      <c r="B381" t="n">
        <v>15</v>
      </c>
      <c r="C381">
        <f>IFERROR(INDEX(資格取込!$S$6:$S$405,MATCH(15&amp;"_"&amp;9,資格取込!$Z$6:$Z$405,0)),"")</f>
        <v/>
      </c>
      <c r="D381">
        <f>IFERROR(INDEX(資格取込!$R$6:$R$405,MATCH(15&amp;"_"&amp;9,資格取込!$Z$6:$Z$405,0)),"")</f>
        <v/>
      </c>
      <c r="E381">
        <f>IF(D381="","",IFERROR(INDEX(資格マスタ!$B:$B,MATCH(ASC(SUBSTITUTE(SUBSTITUTE(D381," ",""),"　","")),資格マスタ!$D:$D,0)),D381))</f>
        <v/>
      </c>
      <c r="F381">
        <f>IF(E381="","",IF(C381="",DATE(9999,1,1),C381))</f>
        <v/>
      </c>
      <c r="G381">
        <f>IF(E381="","",COUNTIFS($F$367:$F$392,"&lt;"&amp;F381,$F$367:$F$392,"&lt;&gt;")+COUNTIFS($F$367:$F$392,F381,$B$367:$B$392,"&lt;"&amp;B381)+1)</f>
        <v/>
      </c>
      <c r="H381">
        <f>IF(OR(E381="",C381=""),"",IF(C381&gt;=DATE(2019,5,1),"令和"&amp;(YEAR(C381)-2018),IF(C381&gt;=DATE(1989,1,8),"平成"&amp;(YEAR(C381)-1988),"昭和"&amp;(YEAR(C381)-1925)))&amp;"年"&amp;MONTH(C381)&amp;"月")</f>
        <v/>
      </c>
    </row>
    <row r="382">
      <c r="A382" t="n">
        <v>15</v>
      </c>
      <c r="B382" t="n">
        <v>16</v>
      </c>
      <c r="C382">
        <f>IFERROR(INDEX(資格取込!$S$6:$S$405,MATCH(15&amp;"_"&amp;10,資格取込!$Z$6:$Z$405,0)),"")</f>
        <v/>
      </c>
      <c r="D382">
        <f>IFERROR(INDEX(資格取込!$R$6:$R$405,MATCH(15&amp;"_"&amp;10,資格取込!$Z$6:$Z$405,0)),"")</f>
        <v/>
      </c>
      <c r="E382">
        <f>IF(D382="","",IFERROR(INDEX(資格マスタ!$B:$B,MATCH(ASC(SUBSTITUTE(SUBSTITUTE(D382," ",""),"　","")),資格マスタ!$D:$D,0)),D382))</f>
        <v/>
      </c>
      <c r="F382">
        <f>IF(E382="","",IF(C382="",DATE(9999,1,1),C382))</f>
        <v/>
      </c>
      <c r="G382">
        <f>IF(E382="","",COUNTIFS($F$367:$F$392,"&lt;"&amp;F382,$F$367:$F$392,"&lt;&gt;")+COUNTIFS($F$367:$F$392,F382,$B$367:$B$392,"&lt;"&amp;B382)+1)</f>
        <v/>
      </c>
      <c r="H382">
        <f>IF(OR(E382="",C382=""),"",IF(C382&gt;=DATE(2019,5,1),"令和"&amp;(YEAR(C382)-2018),IF(C382&gt;=DATE(1989,1,8),"平成"&amp;(YEAR(C382)-1988),"昭和"&amp;(YEAR(C382)-1925)))&amp;"年"&amp;MONTH(C382)&amp;"月")</f>
        <v/>
      </c>
    </row>
    <row r="383">
      <c r="A383" t="n">
        <v>15</v>
      </c>
      <c r="B383" t="n">
        <v>17</v>
      </c>
      <c r="C383">
        <f>IFERROR(INDEX(資格取込!$S$6:$S$405,MATCH(15&amp;"_"&amp;11,資格取込!$Z$6:$Z$405,0)),"")</f>
        <v/>
      </c>
      <c r="D383">
        <f>IFERROR(INDEX(資格取込!$R$6:$R$405,MATCH(15&amp;"_"&amp;11,資格取込!$Z$6:$Z$405,0)),"")</f>
        <v/>
      </c>
      <c r="E383">
        <f>IF(D383="","",IFERROR(INDEX(資格マスタ!$B:$B,MATCH(ASC(SUBSTITUTE(SUBSTITUTE(D383," ",""),"　","")),資格マスタ!$D:$D,0)),D383))</f>
        <v/>
      </c>
      <c r="F383">
        <f>IF(E383="","",IF(C383="",DATE(9999,1,1),C383))</f>
        <v/>
      </c>
      <c r="G383">
        <f>IF(E383="","",COUNTIFS($F$367:$F$392,"&lt;"&amp;F383,$F$367:$F$392,"&lt;&gt;")+COUNTIFS($F$367:$F$392,F383,$B$367:$B$392,"&lt;"&amp;B383)+1)</f>
        <v/>
      </c>
      <c r="H383">
        <f>IF(OR(E383="",C383=""),"",IF(C383&gt;=DATE(2019,5,1),"令和"&amp;(YEAR(C383)-2018),IF(C383&gt;=DATE(1989,1,8),"平成"&amp;(YEAR(C383)-1988),"昭和"&amp;(YEAR(C383)-1925)))&amp;"年"&amp;MONTH(C383)&amp;"月")</f>
        <v/>
      </c>
    </row>
    <row r="384">
      <c r="A384" t="n">
        <v>15</v>
      </c>
      <c r="B384" t="n">
        <v>18</v>
      </c>
      <c r="C384">
        <f>IFERROR(INDEX(資格取込!$S$6:$S$405,MATCH(15&amp;"_"&amp;12,資格取込!$Z$6:$Z$405,0)),"")</f>
        <v/>
      </c>
      <c r="D384">
        <f>IFERROR(INDEX(資格取込!$R$6:$R$405,MATCH(15&amp;"_"&amp;12,資格取込!$Z$6:$Z$405,0)),"")</f>
        <v/>
      </c>
      <c r="E384">
        <f>IF(D384="","",IFERROR(INDEX(資格マスタ!$B:$B,MATCH(ASC(SUBSTITUTE(SUBSTITUTE(D384," ",""),"　","")),資格マスタ!$D:$D,0)),D384))</f>
        <v/>
      </c>
      <c r="F384">
        <f>IF(E384="","",IF(C384="",DATE(9999,1,1),C384))</f>
        <v/>
      </c>
      <c r="G384">
        <f>IF(E384="","",COUNTIFS($F$367:$F$392,"&lt;"&amp;F384,$F$367:$F$392,"&lt;&gt;")+COUNTIFS($F$367:$F$392,F384,$B$367:$B$392,"&lt;"&amp;B384)+1)</f>
        <v/>
      </c>
      <c r="H384">
        <f>IF(OR(E384="",C384=""),"",IF(C384&gt;=DATE(2019,5,1),"令和"&amp;(YEAR(C384)-2018),IF(C384&gt;=DATE(1989,1,8),"平成"&amp;(YEAR(C384)-1988),"昭和"&amp;(YEAR(C384)-1925)))&amp;"年"&amp;MONTH(C384)&amp;"月")</f>
        <v/>
      </c>
    </row>
    <row r="385">
      <c r="A385" t="n">
        <v>15</v>
      </c>
      <c r="B385" t="n">
        <v>19</v>
      </c>
      <c r="C385">
        <f>IFERROR(INDEX(資格取込!$S$6:$S$405,MATCH(15&amp;"_"&amp;13,資格取込!$Z$6:$Z$405,0)),"")</f>
        <v/>
      </c>
      <c r="D385">
        <f>IFERROR(INDEX(資格取込!$R$6:$R$405,MATCH(15&amp;"_"&amp;13,資格取込!$Z$6:$Z$405,0)),"")</f>
        <v/>
      </c>
      <c r="E385">
        <f>IF(D385="","",IFERROR(INDEX(資格マスタ!$B:$B,MATCH(ASC(SUBSTITUTE(SUBSTITUTE(D385," ",""),"　","")),資格マスタ!$D:$D,0)),D385))</f>
        <v/>
      </c>
      <c r="F385">
        <f>IF(E385="","",IF(C385="",DATE(9999,1,1),C385))</f>
        <v/>
      </c>
      <c r="G385">
        <f>IF(E385="","",COUNTIFS($F$367:$F$392,"&lt;"&amp;F385,$F$367:$F$392,"&lt;&gt;")+COUNTIFS($F$367:$F$392,F385,$B$367:$B$392,"&lt;"&amp;B385)+1)</f>
        <v/>
      </c>
      <c r="H385">
        <f>IF(OR(E385="",C385=""),"",IF(C385&gt;=DATE(2019,5,1),"令和"&amp;(YEAR(C385)-2018),IF(C385&gt;=DATE(1989,1,8),"平成"&amp;(YEAR(C385)-1988),"昭和"&amp;(YEAR(C385)-1925)))&amp;"年"&amp;MONTH(C385)&amp;"月")</f>
        <v/>
      </c>
    </row>
    <row r="386">
      <c r="A386" t="n">
        <v>15</v>
      </c>
      <c r="B386" t="n">
        <v>20</v>
      </c>
      <c r="C386">
        <f>IFERROR(INDEX(資格取込!$S$6:$S$405,MATCH(15&amp;"_"&amp;14,資格取込!$Z$6:$Z$405,0)),"")</f>
        <v/>
      </c>
      <c r="D386">
        <f>IFERROR(INDEX(資格取込!$R$6:$R$405,MATCH(15&amp;"_"&amp;14,資格取込!$Z$6:$Z$405,0)),"")</f>
        <v/>
      </c>
      <c r="E386">
        <f>IF(D386="","",IFERROR(INDEX(資格マスタ!$B:$B,MATCH(ASC(SUBSTITUTE(SUBSTITUTE(D386," ",""),"　","")),資格マスタ!$D:$D,0)),D386))</f>
        <v/>
      </c>
      <c r="F386">
        <f>IF(E386="","",IF(C386="",DATE(9999,1,1),C386))</f>
        <v/>
      </c>
      <c r="G386">
        <f>IF(E386="","",COUNTIFS($F$367:$F$392,"&lt;"&amp;F386,$F$367:$F$392,"&lt;&gt;")+COUNTIFS($F$367:$F$392,F386,$B$367:$B$392,"&lt;"&amp;B386)+1)</f>
        <v/>
      </c>
      <c r="H386">
        <f>IF(OR(E386="",C386=""),"",IF(C386&gt;=DATE(2019,5,1),"令和"&amp;(YEAR(C386)-2018),IF(C386&gt;=DATE(1989,1,8),"平成"&amp;(YEAR(C386)-1988),"昭和"&amp;(YEAR(C386)-1925)))&amp;"年"&amp;MONTH(C386)&amp;"月")</f>
        <v/>
      </c>
    </row>
    <row r="387">
      <c r="A387" t="n">
        <v>15</v>
      </c>
      <c r="B387" t="n">
        <v>21</v>
      </c>
      <c r="C387">
        <f>IFERROR(INDEX(資格取込!$S$6:$S$405,MATCH(15&amp;"_"&amp;15,資格取込!$Z$6:$Z$405,0)),"")</f>
        <v/>
      </c>
      <c r="D387">
        <f>IFERROR(INDEX(資格取込!$R$6:$R$405,MATCH(15&amp;"_"&amp;15,資格取込!$Z$6:$Z$405,0)),"")</f>
        <v/>
      </c>
      <c r="E387">
        <f>IF(D387="","",IFERROR(INDEX(資格マスタ!$B:$B,MATCH(ASC(SUBSTITUTE(SUBSTITUTE(D387," ",""),"　","")),資格マスタ!$D:$D,0)),D387))</f>
        <v/>
      </c>
      <c r="F387">
        <f>IF(E387="","",IF(C387="",DATE(9999,1,1),C387))</f>
        <v/>
      </c>
      <c r="G387">
        <f>IF(E387="","",COUNTIFS($F$367:$F$392,"&lt;"&amp;F387,$F$367:$F$392,"&lt;&gt;")+COUNTIFS($F$367:$F$392,F387,$B$367:$B$392,"&lt;"&amp;B387)+1)</f>
        <v/>
      </c>
      <c r="H387">
        <f>IF(OR(E387="",C387=""),"",IF(C387&gt;=DATE(2019,5,1),"令和"&amp;(YEAR(C387)-2018),IF(C387&gt;=DATE(1989,1,8),"平成"&amp;(YEAR(C387)-1988),"昭和"&amp;(YEAR(C387)-1925)))&amp;"年"&amp;MONTH(C387)&amp;"月")</f>
        <v/>
      </c>
    </row>
    <row r="388">
      <c r="A388" t="n">
        <v>15</v>
      </c>
      <c r="B388" t="n">
        <v>22</v>
      </c>
      <c r="C388">
        <f>IFERROR(INDEX(資格取込!$S$6:$S$405,MATCH(15&amp;"_"&amp;16,資格取込!$Z$6:$Z$405,0)),"")</f>
        <v/>
      </c>
      <c r="D388">
        <f>IFERROR(INDEX(資格取込!$R$6:$R$405,MATCH(15&amp;"_"&amp;16,資格取込!$Z$6:$Z$405,0)),"")</f>
        <v/>
      </c>
      <c r="E388">
        <f>IF(D388="","",IFERROR(INDEX(資格マスタ!$B:$B,MATCH(ASC(SUBSTITUTE(SUBSTITUTE(D388," ",""),"　","")),資格マスタ!$D:$D,0)),D388))</f>
        <v/>
      </c>
      <c r="F388">
        <f>IF(E388="","",IF(C388="",DATE(9999,1,1),C388))</f>
        <v/>
      </c>
      <c r="G388">
        <f>IF(E388="","",COUNTIFS($F$367:$F$392,"&lt;"&amp;F388,$F$367:$F$392,"&lt;&gt;")+COUNTIFS($F$367:$F$392,F388,$B$367:$B$392,"&lt;"&amp;B388)+1)</f>
        <v/>
      </c>
      <c r="H388">
        <f>IF(OR(E388="",C388=""),"",IF(C388&gt;=DATE(2019,5,1),"令和"&amp;(YEAR(C388)-2018),IF(C388&gt;=DATE(1989,1,8),"平成"&amp;(YEAR(C388)-1988),"昭和"&amp;(YEAR(C388)-1925)))&amp;"年"&amp;MONTH(C388)&amp;"月")</f>
        <v/>
      </c>
    </row>
    <row r="389">
      <c r="A389" t="n">
        <v>15</v>
      </c>
      <c r="B389" t="n">
        <v>23</v>
      </c>
      <c r="C389">
        <f>IFERROR(INDEX(資格取込!$S$6:$S$405,MATCH(15&amp;"_"&amp;17,資格取込!$Z$6:$Z$405,0)),"")</f>
        <v/>
      </c>
      <c r="D389">
        <f>IFERROR(INDEX(資格取込!$R$6:$R$405,MATCH(15&amp;"_"&amp;17,資格取込!$Z$6:$Z$405,0)),"")</f>
        <v/>
      </c>
      <c r="E389">
        <f>IF(D389="","",IFERROR(INDEX(資格マスタ!$B:$B,MATCH(ASC(SUBSTITUTE(SUBSTITUTE(D389," ",""),"　","")),資格マスタ!$D:$D,0)),D389))</f>
        <v/>
      </c>
      <c r="F389">
        <f>IF(E389="","",IF(C389="",DATE(9999,1,1),C389))</f>
        <v/>
      </c>
      <c r="G389">
        <f>IF(E389="","",COUNTIFS($F$367:$F$392,"&lt;"&amp;F389,$F$367:$F$392,"&lt;&gt;")+COUNTIFS($F$367:$F$392,F389,$B$367:$B$392,"&lt;"&amp;B389)+1)</f>
        <v/>
      </c>
      <c r="H389">
        <f>IF(OR(E389="",C389=""),"",IF(C389&gt;=DATE(2019,5,1),"令和"&amp;(YEAR(C389)-2018),IF(C389&gt;=DATE(1989,1,8),"平成"&amp;(YEAR(C389)-1988),"昭和"&amp;(YEAR(C389)-1925)))&amp;"年"&amp;MONTH(C389)&amp;"月")</f>
        <v/>
      </c>
    </row>
    <row r="390">
      <c r="A390" t="n">
        <v>15</v>
      </c>
      <c r="B390" t="n">
        <v>24</v>
      </c>
      <c r="C390">
        <f>IFERROR(INDEX(資格取込!$S$6:$S$405,MATCH(15&amp;"_"&amp;18,資格取込!$Z$6:$Z$405,0)),"")</f>
        <v/>
      </c>
      <c r="D390">
        <f>IFERROR(INDEX(資格取込!$R$6:$R$405,MATCH(15&amp;"_"&amp;18,資格取込!$Z$6:$Z$405,0)),"")</f>
        <v/>
      </c>
      <c r="E390">
        <f>IF(D390="","",IFERROR(INDEX(資格マスタ!$B:$B,MATCH(ASC(SUBSTITUTE(SUBSTITUTE(D390," ",""),"　","")),資格マスタ!$D:$D,0)),D390))</f>
        <v/>
      </c>
      <c r="F390">
        <f>IF(E390="","",IF(C390="",DATE(9999,1,1),C390))</f>
        <v/>
      </c>
      <c r="G390">
        <f>IF(E390="","",COUNTIFS($F$367:$F$392,"&lt;"&amp;F390,$F$367:$F$392,"&lt;&gt;")+COUNTIFS($F$367:$F$392,F390,$B$367:$B$392,"&lt;"&amp;B390)+1)</f>
        <v/>
      </c>
      <c r="H390">
        <f>IF(OR(E390="",C390=""),"",IF(C390&gt;=DATE(2019,5,1),"令和"&amp;(YEAR(C390)-2018),IF(C390&gt;=DATE(1989,1,8),"平成"&amp;(YEAR(C390)-1988),"昭和"&amp;(YEAR(C390)-1925)))&amp;"年"&amp;MONTH(C390)&amp;"月")</f>
        <v/>
      </c>
    </row>
    <row r="391">
      <c r="A391" t="n">
        <v>15</v>
      </c>
      <c r="B391" t="n">
        <v>25</v>
      </c>
      <c r="C391">
        <f>IFERROR(INDEX(資格取込!$S$6:$S$405,MATCH(15&amp;"_"&amp;19,資格取込!$Z$6:$Z$405,0)),"")</f>
        <v/>
      </c>
      <c r="D391">
        <f>IFERROR(INDEX(資格取込!$R$6:$R$405,MATCH(15&amp;"_"&amp;19,資格取込!$Z$6:$Z$405,0)),"")</f>
        <v/>
      </c>
      <c r="E391">
        <f>IF(D391="","",IFERROR(INDEX(資格マスタ!$B:$B,MATCH(ASC(SUBSTITUTE(SUBSTITUTE(D391," ",""),"　","")),資格マスタ!$D:$D,0)),D391))</f>
        <v/>
      </c>
      <c r="F391">
        <f>IF(E391="","",IF(C391="",DATE(9999,1,1),C391))</f>
        <v/>
      </c>
      <c r="G391">
        <f>IF(E391="","",COUNTIFS($F$367:$F$392,"&lt;"&amp;F391,$F$367:$F$392,"&lt;&gt;")+COUNTIFS($F$367:$F$392,F391,$B$367:$B$392,"&lt;"&amp;B391)+1)</f>
        <v/>
      </c>
      <c r="H391">
        <f>IF(OR(E391="",C391=""),"",IF(C391&gt;=DATE(2019,5,1),"令和"&amp;(YEAR(C391)-2018),IF(C391&gt;=DATE(1989,1,8),"平成"&amp;(YEAR(C391)-1988),"昭和"&amp;(YEAR(C391)-1925)))&amp;"年"&amp;MONTH(C391)&amp;"月")</f>
        <v/>
      </c>
    </row>
    <row r="392">
      <c r="A392" t="n">
        <v>15</v>
      </c>
      <c r="B392" t="n">
        <v>26</v>
      </c>
      <c r="C392">
        <f>IFERROR(INDEX(資格取込!$S$6:$S$405,MATCH(15&amp;"_"&amp;20,資格取込!$Z$6:$Z$405,0)),"")</f>
        <v/>
      </c>
      <c r="D392">
        <f>IFERROR(INDEX(資格取込!$R$6:$R$405,MATCH(15&amp;"_"&amp;20,資格取込!$Z$6:$Z$405,0)),"")</f>
        <v/>
      </c>
      <c r="E392">
        <f>IF(D392="","",IFERROR(INDEX(資格マスタ!$B:$B,MATCH(ASC(SUBSTITUTE(SUBSTITUTE(D392," ",""),"　","")),資格マスタ!$D:$D,0)),D392))</f>
        <v/>
      </c>
      <c r="F392">
        <f>IF(E392="","",IF(C392="",DATE(9999,1,1),C392))</f>
        <v/>
      </c>
      <c r="G392">
        <f>IF(E392="","",COUNTIFS($F$367:$F$392,"&lt;"&amp;F392,$F$367:$F$392,"&lt;&gt;")+COUNTIFS($F$367:$F$392,F392,$B$367:$B$392,"&lt;"&amp;B392)+1)</f>
        <v/>
      </c>
      <c r="H392">
        <f>IF(OR(E392="",C392=""),"",IF(C392&gt;=DATE(2019,5,1),"令和"&amp;(YEAR(C392)-2018),IF(C392&gt;=DATE(1989,1,8),"平成"&amp;(YEAR(C392)-1988),"昭和"&amp;(YEAR(C392)-1925)))&amp;"年"&amp;MONTH(C392)&amp;"月")</f>
        <v/>
      </c>
    </row>
    <row r="393">
      <c r="A393" t="n">
        <v>16</v>
      </c>
      <c r="B393" t="n">
        <v>1</v>
      </c>
      <c r="C39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393">
        <f>IF(入力!N20="","",入力!N20)</f>
        <v/>
      </c>
      <c r="E393">
        <f>IF(D393="","",IFERROR(INDEX(資格マスタ!$B:$B,MATCH(ASC(SUBSTITUTE(SUBSTITUTE(D393," ",""),"　","")),資格マスタ!$D:$D,0)),D393))</f>
        <v/>
      </c>
      <c r="F393">
        <f>IF(E393="","",IF(C393="",DATE(9999,1,1),C393))</f>
        <v/>
      </c>
      <c r="G393">
        <f>IF(E393="","",COUNTIFS($F$393:$F$418,"&lt;"&amp;F393,$F$393:$F$418,"&lt;&gt;")+COUNTIFS($F$393:$F$418,F393,$B$393:$B$418,"&lt;"&amp;B393)+1)</f>
        <v/>
      </c>
      <c r="H393">
        <f>IF(OR(E393="",C393=""),"",IF(C393&gt;=DATE(2019,5,1),"令和"&amp;(YEAR(C393)-2018),IF(C393&gt;=DATE(1989,1,8),"平成"&amp;(YEAR(C393)-1988),"昭和"&amp;(YEAR(C393)-1925)))&amp;"年"&amp;MONTH(C393)&amp;"月")</f>
        <v/>
      </c>
    </row>
    <row r="394">
      <c r="A394" t="n">
        <v>16</v>
      </c>
      <c r="B394" t="n">
        <v>2</v>
      </c>
      <c r="C39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394">
        <f>IF(入力!P20="","",入力!P20)</f>
        <v/>
      </c>
      <c r="E394">
        <f>IF(D394="","",IFERROR(INDEX(資格マスタ!$B:$B,MATCH(ASC(SUBSTITUTE(SUBSTITUTE(D394," ",""),"　","")),資格マスタ!$D:$D,0)),D394))</f>
        <v/>
      </c>
      <c r="F394">
        <f>IF(E394="","",IF(C394="",DATE(9999,1,1),C394))</f>
        <v/>
      </c>
      <c r="G394">
        <f>IF(E394="","",COUNTIFS($F$393:$F$418,"&lt;"&amp;F394,$F$393:$F$418,"&lt;&gt;")+COUNTIFS($F$393:$F$418,F394,$B$393:$B$418,"&lt;"&amp;B394)+1)</f>
        <v/>
      </c>
      <c r="H394">
        <f>IF(OR(E394="",C394=""),"",IF(C394&gt;=DATE(2019,5,1),"令和"&amp;(YEAR(C394)-2018),IF(C394&gt;=DATE(1989,1,8),"平成"&amp;(YEAR(C394)-1988),"昭和"&amp;(YEAR(C394)-1925)))&amp;"年"&amp;MONTH(C394)&amp;"月")</f>
        <v/>
      </c>
    </row>
    <row r="395">
      <c r="A395" t="n">
        <v>16</v>
      </c>
      <c r="B395" t="n">
        <v>3</v>
      </c>
      <c r="C39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395">
        <f>IF(入力!R20="","",入力!R20)</f>
        <v/>
      </c>
      <c r="E395">
        <f>IF(D395="","",IFERROR(INDEX(資格マスタ!$B:$B,MATCH(ASC(SUBSTITUTE(SUBSTITUTE(D395," ",""),"　","")),資格マスタ!$D:$D,0)),D395))</f>
        <v/>
      </c>
      <c r="F395">
        <f>IF(E395="","",IF(C395="",DATE(9999,1,1),C395))</f>
        <v/>
      </c>
      <c r="G395">
        <f>IF(E395="","",COUNTIFS($F$393:$F$418,"&lt;"&amp;F395,$F$393:$F$418,"&lt;&gt;")+COUNTIFS($F$393:$F$418,F395,$B$393:$B$418,"&lt;"&amp;B395)+1)</f>
        <v/>
      </c>
      <c r="H395">
        <f>IF(OR(E395="",C395=""),"",IF(C395&gt;=DATE(2019,5,1),"令和"&amp;(YEAR(C395)-2018),IF(C395&gt;=DATE(1989,1,8),"平成"&amp;(YEAR(C395)-1988),"昭和"&amp;(YEAR(C395)-1925)))&amp;"年"&amp;MONTH(C395)&amp;"月")</f>
        <v/>
      </c>
    </row>
    <row r="396">
      <c r="A396" t="n">
        <v>16</v>
      </c>
      <c r="B396" t="n">
        <v>4</v>
      </c>
      <c r="C39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396">
        <f>IF(入力!T20="","",入力!T20)</f>
        <v/>
      </c>
      <c r="E396">
        <f>IF(D396="","",IFERROR(INDEX(資格マスタ!$B:$B,MATCH(ASC(SUBSTITUTE(SUBSTITUTE(D396," ",""),"　","")),資格マスタ!$D:$D,0)),D396))</f>
        <v/>
      </c>
      <c r="F396">
        <f>IF(E396="","",IF(C396="",DATE(9999,1,1),C396))</f>
        <v/>
      </c>
      <c r="G396">
        <f>IF(E396="","",COUNTIFS($F$393:$F$418,"&lt;"&amp;F396,$F$393:$F$418,"&lt;&gt;")+COUNTIFS($F$393:$F$418,F396,$B$393:$B$418,"&lt;"&amp;B396)+1)</f>
        <v/>
      </c>
      <c r="H396">
        <f>IF(OR(E396="",C396=""),"",IF(C396&gt;=DATE(2019,5,1),"令和"&amp;(YEAR(C396)-2018),IF(C396&gt;=DATE(1989,1,8),"平成"&amp;(YEAR(C396)-1988),"昭和"&amp;(YEAR(C396)-1925)))&amp;"年"&amp;MONTH(C396)&amp;"月")</f>
        <v/>
      </c>
    </row>
    <row r="397">
      <c r="A397" t="n">
        <v>16</v>
      </c>
      <c r="B397" t="n">
        <v>5</v>
      </c>
      <c r="C39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397">
        <f>IF(入力!V20="","",入力!V20)</f>
        <v/>
      </c>
      <c r="E397">
        <f>IF(D397="","",IFERROR(INDEX(資格マスタ!$B:$B,MATCH(ASC(SUBSTITUTE(SUBSTITUTE(D397," ",""),"　","")),資格マスタ!$D:$D,0)),D397))</f>
        <v/>
      </c>
      <c r="F397">
        <f>IF(E397="","",IF(C397="",DATE(9999,1,1),C397))</f>
        <v/>
      </c>
      <c r="G397">
        <f>IF(E397="","",COUNTIFS($F$393:$F$418,"&lt;"&amp;F397,$F$393:$F$418,"&lt;&gt;")+COUNTIFS($F$393:$F$418,F397,$B$393:$B$418,"&lt;"&amp;B397)+1)</f>
        <v/>
      </c>
      <c r="H397">
        <f>IF(OR(E397="",C397=""),"",IF(C397&gt;=DATE(2019,5,1),"令和"&amp;(YEAR(C397)-2018),IF(C397&gt;=DATE(1989,1,8),"平成"&amp;(YEAR(C397)-1988),"昭和"&amp;(YEAR(C397)-1925)))&amp;"年"&amp;MONTH(C397)&amp;"月")</f>
        <v/>
      </c>
    </row>
    <row r="398">
      <c r="A398" t="n">
        <v>16</v>
      </c>
      <c r="B398" t="n">
        <v>6</v>
      </c>
      <c r="C39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398">
        <f>IF(入力!X20="","",入力!X20)</f>
        <v/>
      </c>
      <c r="E398">
        <f>IF(D398="","",IFERROR(INDEX(資格マスタ!$B:$B,MATCH(ASC(SUBSTITUTE(SUBSTITUTE(D398," ",""),"　","")),資格マスタ!$D:$D,0)),D398))</f>
        <v/>
      </c>
      <c r="F398">
        <f>IF(E398="","",IF(C398="",DATE(9999,1,1),C398))</f>
        <v/>
      </c>
      <c r="G398">
        <f>IF(E398="","",COUNTIFS($F$393:$F$418,"&lt;"&amp;F398,$F$393:$F$418,"&lt;&gt;")+COUNTIFS($F$393:$F$418,F398,$B$393:$B$418,"&lt;"&amp;B398)+1)</f>
        <v/>
      </c>
      <c r="H398">
        <f>IF(OR(E398="",C398=""),"",IF(C398&gt;=DATE(2019,5,1),"令和"&amp;(YEAR(C398)-2018),IF(C398&gt;=DATE(1989,1,8),"平成"&amp;(YEAR(C398)-1988),"昭和"&amp;(YEAR(C398)-1925)))&amp;"年"&amp;MONTH(C398)&amp;"月")</f>
        <v/>
      </c>
    </row>
    <row r="399">
      <c r="A399" t="n">
        <v>16</v>
      </c>
      <c r="B399" t="n">
        <v>7</v>
      </c>
      <c r="C399">
        <f>IFERROR(INDEX(資格取込!$S$6:$S$405,MATCH(16&amp;"_"&amp;1,資格取込!$Z$6:$Z$405,0)),"")</f>
        <v/>
      </c>
      <c r="D399">
        <f>IFERROR(INDEX(資格取込!$R$6:$R$405,MATCH(16&amp;"_"&amp;1,資格取込!$Z$6:$Z$405,0)),"")</f>
        <v/>
      </c>
      <c r="E399">
        <f>IF(D399="","",IFERROR(INDEX(資格マスタ!$B:$B,MATCH(ASC(SUBSTITUTE(SUBSTITUTE(D399," ",""),"　","")),資格マスタ!$D:$D,0)),D399))</f>
        <v/>
      </c>
      <c r="F399">
        <f>IF(E399="","",IF(C399="",DATE(9999,1,1),C399))</f>
        <v/>
      </c>
      <c r="G399">
        <f>IF(E399="","",COUNTIFS($F$393:$F$418,"&lt;"&amp;F399,$F$393:$F$418,"&lt;&gt;")+COUNTIFS($F$393:$F$418,F399,$B$393:$B$418,"&lt;"&amp;B399)+1)</f>
        <v/>
      </c>
      <c r="H399">
        <f>IF(OR(E399="",C399=""),"",IF(C399&gt;=DATE(2019,5,1),"令和"&amp;(YEAR(C399)-2018),IF(C399&gt;=DATE(1989,1,8),"平成"&amp;(YEAR(C399)-1988),"昭和"&amp;(YEAR(C399)-1925)))&amp;"年"&amp;MONTH(C399)&amp;"月")</f>
        <v/>
      </c>
    </row>
    <row r="400">
      <c r="A400" t="n">
        <v>16</v>
      </c>
      <c r="B400" t="n">
        <v>8</v>
      </c>
      <c r="C400">
        <f>IFERROR(INDEX(資格取込!$S$6:$S$405,MATCH(16&amp;"_"&amp;2,資格取込!$Z$6:$Z$405,0)),"")</f>
        <v/>
      </c>
      <c r="D400">
        <f>IFERROR(INDEX(資格取込!$R$6:$R$405,MATCH(16&amp;"_"&amp;2,資格取込!$Z$6:$Z$405,0)),"")</f>
        <v/>
      </c>
      <c r="E400">
        <f>IF(D400="","",IFERROR(INDEX(資格マスタ!$B:$B,MATCH(ASC(SUBSTITUTE(SUBSTITUTE(D400," ",""),"　","")),資格マスタ!$D:$D,0)),D400))</f>
        <v/>
      </c>
      <c r="F400">
        <f>IF(E400="","",IF(C400="",DATE(9999,1,1),C400))</f>
        <v/>
      </c>
      <c r="G400">
        <f>IF(E400="","",COUNTIFS($F$393:$F$418,"&lt;"&amp;F400,$F$393:$F$418,"&lt;&gt;")+COUNTIFS($F$393:$F$418,F400,$B$393:$B$418,"&lt;"&amp;B400)+1)</f>
        <v/>
      </c>
      <c r="H400">
        <f>IF(OR(E400="",C400=""),"",IF(C400&gt;=DATE(2019,5,1),"令和"&amp;(YEAR(C400)-2018),IF(C400&gt;=DATE(1989,1,8),"平成"&amp;(YEAR(C400)-1988),"昭和"&amp;(YEAR(C400)-1925)))&amp;"年"&amp;MONTH(C400)&amp;"月")</f>
        <v/>
      </c>
    </row>
    <row r="401">
      <c r="A401" t="n">
        <v>16</v>
      </c>
      <c r="B401" t="n">
        <v>9</v>
      </c>
      <c r="C401">
        <f>IFERROR(INDEX(資格取込!$S$6:$S$405,MATCH(16&amp;"_"&amp;3,資格取込!$Z$6:$Z$405,0)),"")</f>
        <v/>
      </c>
      <c r="D401">
        <f>IFERROR(INDEX(資格取込!$R$6:$R$405,MATCH(16&amp;"_"&amp;3,資格取込!$Z$6:$Z$405,0)),"")</f>
        <v/>
      </c>
      <c r="E401">
        <f>IF(D401="","",IFERROR(INDEX(資格マスタ!$B:$B,MATCH(ASC(SUBSTITUTE(SUBSTITUTE(D401," ",""),"　","")),資格マスタ!$D:$D,0)),D401))</f>
        <v/>
      </c>
      <c r="F401">
        <f>IF(E401="","",IF(C401="",DATE(9999,1,1),C401))</f>
        <v/>
      </c>
      <c r="G401">
        <f>IF(E401="","",COUNTIFS($F$393:$F$418,"&lt;"&amp;F401,$F$393:$F$418,"&lt;&gt;")+COUNTIFS($F$393:$F$418,F401,$B$393:$B$418,"&lt;"&amp;B401)+1)</f>
        <v/>
      </c>
      <c r="H401">
        <f>IF(OR(E401="",C401=""),"",IF(C401&gt;=DATE(2019,5,1),"令和"&amp;(YEAR(C401)-2018),IF(C401&gt;=DATE(1989,1,8),"平成"&amp;(YEAR(C401)-1988),"昭和"&amp;(YEAR(C401)-1925)))&amp;"年"&amp;MONTH(C401)&amp;"月")</f>
        <v/>
      </c>
    </row>
    <row r="402">
      <c r="A402" t="n">
        <v>16</v>
      </c>
      <c r="B402" t="n">
        <v>10</v>
      </c>
      <c r="C402">
        <f>IFERROR(INDEX(資格取込!$S$6:$S$405,MATCH(16&amp;"_"&amp;4,資格取込!$Z$6:$Z$405,0)),"")</f>
        <v/>
      </c>
      <c r="D402">
        <f>IFERROR(INDEX(資格取込!$R$6:$R$405,MATCH(16&amp;"_"&amp;4,資格取込!$Z$6:$Z$405,0)),"")</f>
        <v/>
      </c>
      <c r="E402">
        <f>IF(D402="","",IFERROR(INDEX(資格マスタ!$B:$B,MATCH(ASC(SUBSTITUTE(SUBSTITUTE(D402," ",""),"　","")),資格マスタ!$D:$D,0)),D402))</f>
        <v/>
      </c>
      <c r="F402">
        <f>IF(E402="","",IF(C402="",DATE(9999,1,1),C402))</f>
        <v/>
      </c>
      <c r="G402">
        <f>IF(E402="","",COUNTIFS($F$393:$F$418,"&lt;"&amp;F402,$F$393:$F$418,"&lt;&gt;")+COUNTIFS($F$393:$F$418,F402,$B$393:$B$418,"&lt;"&amp;B402)+1)</f>
        <v/>
      </c>
      <c r="H402">
        <f>IF(OR(E402="",C402=""),"",IF(C402&gt;=DATE(2019,5,1),"令和"&amp;(YEAR(C402)-2018),IF(C402&gt;=DATE(1989,1,8),"平成"&amp;(YEAR(C402)-1988),"昭和"&amp;(YEAR(C402)-1925)))&amp;"年"&amp;MONTH(C402)&amp;"月")</f>
        <v/>
      </c>
    </row>
    <row r="403">
      <c r="A403" t="n">
        <v>16</v>
      </c>
      <c r="B403" t="n">
        <v>11</v>
      </c>
      <c r="C403">
        <f>IFERROR(INDEX(資格取込!$S$6:$S$405,MATCH(16&amp;"_"&amp;5,資格取込!$Z$6:$Z$405,0)),"")</f>
        <v/>
      </c>
      <c r="D403">
        <f>IFERROR(INDEX(資格取込!$R$6:$R$405,MATCH(16&amp;"_"&amp;5,資格取込!$Z$6:$Z$405,0)),"")</f>
        <v/>
      </c>
      <c r="E403">
        <f>IF(D403="","",IFERROR(INDEX(資格マスタ!$B:$B,MATCH(ASC(SUBSTITUTE(SUBSTITUTE(D403," ",""),"　","")),資格マスタ!$D:$D,0)),D403))</f>
        <v/>
      </c>
      <c r="F403">
        <f>IF(E403="","",IF(C403="",DATE(9999,1,1),C403))</f>
        <v/>
      </c>
      <c r="G403">
        <f>IF(E403="","",COUNTIFS($F$393:$F$418,"&lt;"&amp;F403,$F$393:$F$418,"&lt;&gt;")+COUNTIFS($F$393:$F$418,F403,$B$393:$B$418,"&lt;"&amp;B403)+1)</f>
        <v/>
      </c>
      <c r="H403">
        <f>IF(OR(E403="",C403=""),"",IF(C403&gt;=DATE(2019,5,1),"令和"&amp;(YEAR(C403)-2018),IF(C403&gt;=DATE(1989,1,8),"平成"&amp;(YEAR(C403)-1988),"昭和"&amp;(YEAR(C403)-1925)))&amp;"年"&amp;MONTH(C403)&amp;"月")</f>
        <v/>
      </c>
    </row>
    <row r="404">
      <c r="A404" t="n">
        <v>16</v>
      </c>
      <c r="B404" t="n">
        <v>12</v>
      </c>
      <c r="C404">
        <f>IFERROR(INDEX(資格取込!$S$6:$S$405,MATCH(16&amp;"_"&amp;6,資格取込!$Z$6:$Z$405,0)),"")</f>
        <v/>
      </c>
      <c r="D404">
        <f>IFERROR(INDEX(資格取込!$R$6:$R$405,MATCH(16&amp;"_"&amp;6,資格取込!$Z$6:$Z$405,0)),"")</f>
        <v/>
      </c>
      <c r="E404">
        <f>IF(D404="","",IFERROR(INDEX(資格マスタ!$B:$B,MATCH(ASC(SUBSTITUTE(SUBSTITUTE(D404," ",""),"　","")),資格マスタ!$D:$D,0)),D404))</f>
        <v/>
      </c>
      <c r="F404">
        <f>IF(E404="","",IF(C404="",DATE(9999,1,1),C404))</f>
        <v/>
      </c>
      <c r="G404">
        <f>IF(E404="","",COUNTIFS($F$393:$F$418,"&lt;"&amp;F404,$F$393:$F$418,"&lt;&gt;")+COUNTIFS($F$393:$F$418,F404,$B$393:$B$418,"&lt;"&amp;B404)+1)</f>
        <v/>
      </c>
      <c r="H404">
        <f>IF(OR(E404="",C404=""),"",IF(C404&gt;=DATE(2019,5,1),"令和"&amp;(YEAR(C404)-2018),IF(C404&gt;=DATE(1989,1,8),"平成"&amp;(YEAR(C404)-1988),"昭和"&amp;(YEAR(C404)-1925)))&amp;"年"&amp;MONTH(C404)&amp;"月")</f>
        <v/>
      </c>
    </row>
    <row r="405">
      <c r="A405" t="n">
        <v>16</v>
      </c>
      <c r="B405" t="n">
        <v>13</v>
      </c>
      <c r="C405">
        <f>IFERROR(INDEX(資格取込!$S$6:$S$405,MATCH(16&amp;"_"&amp;7,資格取込!$Z$6:$Z$405,0)),"")</f>
        <v/>
      </c>
      <c r="D405">
        <f>IFERROR(INDEX(資格取込!$R$6:$R$405,MATCH(16&amp;"_"&amp;7,資格取込!$Z$6:$Z$405,0)),"")</f>
        <v/>
      </c>
      <c r="E405">
        <f>IF(D405="","",IFERROR(INDEX(資格マスタ!$B:$B,MATCH(ASC(SUBSTITUTE(SUBSTITUTE(D405," ",""),"　","")),資格マスタ!$D:$D,0)),D405))</f>
        <v/>
      </c>
      <c r="F405">
        <f>IF(E405="","",IF(C405="",DATE(9999,1,1),C405))</f>
        <v/>
      </c>
      <c r="G405">
        <f>IF(E405="","",COUNTIFS($F$393:$F$418,"&lt;"&amp;F405,$F$393:$F$418,"&lt;&gt;")+COUNTIFS($F$393:$F$418,F405,$B$393:$B$418,"&lt;"&amp;B405)+1)</f>
        <v/>
      </c>
      <c r="H405">
        <f>IF(OR(E405="",C405=""),"",IF(C405&gt;=DATE(2019,5,1),"令和"&amp;(YEAR(C405)-2018),IF(C405&gt;=DATE(1989,1,8),"平成"&amp;(YEAR(C405)-1988),"昭和"&amp;(YEAR(C405)-1925)))&amp;"年"&amp;MONTH(C405)&amp;"月")</f>
        <v/>
      </c>
    </row>
    <row r="406">
      <c r="A406" t="n">
        <v>16</v>
      </c>
      <c r="B406" t="n">
        <v>14</v>
      </c>
      <c r="C406">
        <f>IFERROR(INDEX(資格取込!$S$6:$S$405,MATCH(16&amp;"_"&amp;8,資格取込!$Z$6:$Z$405,0)),"")</f>
        <v/>
      </c>
      <c r="D406">
        <f>IFERROR(INDEX(資格取込!$R$6:$R$405,MATCH(16&amp;"_"&amp;8,資格取込!$Z$6:$Z$405,0)),"")</f>
        <v/>
      </c>
      <c r="E406">
        <f>IF(D406="","",IFERROR(INDEX(資格マスタ!$B:$B,MATCH(ASC(SUBSTITUTE(SUBSTITUTE(D406," ",""),"　","")),資格マスタ!$D:$D,0)),D406))</f>
        <v/>
      </c>
      <c r="F406">
        <f>IF(E406="","",IF(C406="",DATE(9999,1,1),C406))</f>
        <v/>
      </c>
      <c r="G406">
        <f>IF(E406="","",COUNTIFS($F$393:$F$418,"&lt;"&amp;F406,$F$393:$F$418,"&lt;&gt;")+COUNTIFS($F$393:$F$418,F406,$B$393:$B$418,"&lt;"&amp;B406)+1)</f>
        <v/>
      </c>
      <c r="H406">
        <f>IF(OR(E406="",C406=""),"",IF(C406&gt;=DATE(2019,5,1),"令和"&amp;(YEAR(C406)-2018),IF(C406&gt;=DATE(1989,1,8),"平成"&amp;(YEAR(C406)-1988),"昭和"&amp;(YEAR(C406)-1925)))&amp;"年"&amp;MONTH(C406)&amp;"月")</f>
        <v/>
      </c>
    </row>
    <row r="407">
      <c r="A407" t="n">
        <v>16</v>
      </c>
      <c r="B407" t="n">
        <v>15</v>
      </c>
      <c r="C407">
        <f>IFERROR(INDEX(資格取込!$S$6:$S$405,MATCH(16&amp;"_"&amp;9,資格取込!$Z$6:$Z$405,0)),"")</f>
        <v/>
      </c>
      <c r="D407">
        <f>IFERROR(INDEX(資格取込!$R$6:$R$405,MATCH(16&amp;"_"&amp;9,資格取込!$Z$6:$Z$405,0)),"")</f>
        <v/>
      </c>
      <c r="E407">
        <f>IF(D407="","",IFERROR(INDEX(資格マスタ!$B:$B,MATCH(ASC(SUBSTITUTE(SUBSTITUTE(D407," ",""),"　","")),資格マスタ!$D:$D,0)),D407))</f>
        <v/>
      </c>
      <c r="F407">
        <f>IF(E407="","",IF(C407="",DATE(9999,1,1),C407))</f>
        <v/>
      </c>
      <c r="G407">
        <f>IF(E407="","",COUNTIFS($F$393:$F$418,"&lt;"&amp;F407,$F$393:$F$418,"&lt;&gt;")+COUNTIFS($F$393:$F$418,F407,$B$393:$B$418,"&lt;"&amp;B407)+1)</f>
        <v/>
      </c>
      <c r="H407">
        <f>IF(OR(E407="",C407=""),"",IF(C407&gt;=DATE(2019,5,1),"令和"&amp;(YEAR(C407)-2018),IF(C407&gt;=DATE(1989,1,8),"平成"&amp;(YEAR(C407)-1988),"昭和"&amp;(YEAR(C407)-1925)))&amp;"年"&amp;MONTH(C407)&amp;"月")</f>
        <v/>
      </c>
    </row>
    <row r="408">
      <c r="A408" t="n">
        <v>16</v>
      </c>
      <c r="B408" t="n">
        <v>16</v>
      </c>
      <c r="C408">
        <f>IFERROR(INDEX(資格取込!$S$6:$S$405,MATCH(16&amp;"_"&amp;10,資格取込!$Z$6:$Z$405,0)),"")</f>
        <v/>
      </c>
      <c r="D408">
        <f>IFERROR(INDEX(資格取込!$R$6:$R$405,MATCH(16&amp;"_"&amp;10,資格取込!$Z$6:$Z$405,0)),"")</f>
        <v/>
      </c>
      <c r="E408">
        <f>IF(D408="","",IFERROR(INDEX(資格マスタ!$B:$B,MATCH(ASC(SUBSTITUTE(SUBSTITUTE(D408," ",""),"　","")),資格マスタ!$D:$D,0)),D408))</f>
        <v/>
      </c>
      <c r="F408">
        <f>IF(E408="","",IF(C408="",DATE(9999,1,1),C408))</f>
        <v/>
      </c>
      <c r="G408">
        <f>IF(E408="","",COUNTIFS($F$393:$F$418,"&lt;"&amp;F408,$F$393:$F$418,"&lt;&gt;")+COUNTIFS($F$393:$F$418,F408,$B$393:$B$418,"&lt;"&amp;B408)+1)</f>
        <v/>
      </c>
      <c r="H408">
        <f>IF(OR(E408="",C408=""),"",IF(C408&gt;=DATE(2019,5,1),"令和"&amp;(YEAR(C408)-2018),IF(C408&gt;=DATE(1989,1,8),"平成"&amp;(YEAR(C408)-1988),"昭和"&amp;(YEAR(C408)-1925)))&amp;"年"&amp;MONTH(C408)&amp;"月")</f>
        <v/>
      </c>
    </row>
    <row r="409">
      <c r="A409" t="n">
        <v>16</v>
      </c>
      <c r="B409" t="n">
        <v>17</v>
      </c>
      <c r="C409">
        <f>IFERROR(INDEX(資格取込!$S$6:$S$405,MATCH(16&amp;"_"&amp;11,資格取込!$Z$6:$Z$405,0)),"")</f>
        <v/>
      </c>
      <c r="D409">
        <f>IFERROR(INDEX(資格取込!$R$6:$R$405,MATCH(16&amp;"_"&amp;11,資格取込!$Z$6:$Z$405,0)),"")</f>
        <v/>
      </c>
      <c r="E409">
        <f>IF(D409="","",IFERROR(INDEX(資格マスタ!$B:$B,MATCH(ASC(SUBSTITUTE(SUBSTITUTE(D409," ",""),"　","")),資格マスタ!$D:$D,0)),D409))</f>
        <v/>
      </c>
      <c r="F409">
        <f>IF(E409="","",IF(C409="",DATE(9999,1,1),C409))</f>
        <v/>
      </c>
      <c r="G409">
        <f>IF(E409="","",COUNTIFS($F$393:$F$418,"&lt;"&amp;F409,$F$393:$F$418,"&lt;&gt;")+COUNTIFS($F$393:$F$418,F409,$B$393:$B$418,"&lt;"&amp;B409)+1)</f>
        <v/>
      </c>
      <c r="H409">
        <f>IF(OR(E409="",C409=""),"",IF(C409&gt;=DATE(2019,5,1),"令和"&amp;(YEAR(C409)-2018),IF(C409&gt;=DATE(1989,1,8),"平成"&amp;(YEAR(C409)-1988),"昭和"&amp;(YEAR(C409)-1925)))&amp;"年"&amp;MONTH(C409)&amp;"月")</f>
        <v/>
      </c>
    </row>
    <row r="410">
      <c r="A410" t="n">
        <v>16</v>
      </c>
      <c r="B410" t="n">
        <v>18</v>
      </c>
      <c r="C410">
        <f>IFERROR(INDEX(資格取込!$S$6:$S$405,MATCH(16&amp;"_"&amp;12,資格取込!$Z$6:$Z$405,0)),"")</f>
        <v/>
      </c>
      <c r="D410">
        <f>IFERROR(INDEX(資格取込!$R$6:$R$405,MATCH(16&amp;"_"&amp;12,資格取込!$Z$6:$Z$405,0)),"")</f>
        <v/>
      </c>
      <c r="E410">
        <f>IF(D410="","",IFERROR(INDEX(資格マスタ!$B:$B,MATCH(ASC(SUBSTITUTE(SUBSTITUTE(D410," ",""),"　","")),資格マスタ!$D:$D,0)),D410))</f>
        <v/>
      </c>
      <c r="F410">
        <f>IF(E410="","",IF(C410="",DATE(9999,1,1),C410))</f>
        <v/>
      </c>
      <c r="G410">
        <f>IF(E410="","",COUNTIFS($F$393:$F$418,"&lt;"&amp;F410,$F$393:$F$418,"&lt;&gt;")+COUNTIFS($F$393:$F$418,F410,$B$393:$B$418,"&lt;"&amp;B410)+1)</f>
        <v/>
      </c>
      <c r="H410">
        <f>IF(OR(E410="",C410=""),"",IF(C410&gt;=DATE(2019,5,1),"令和"&amp;(YEAR(C410)-2018),IF(C410&gt;=DATE(1989,1,8),"平成"&amp;(YEAR(C410)-1988),"昭和"&amp;(YEAR(C410)-1925)))&amp;"年"&amp;MONTH(C410)&amp;"月")</f>
        <v/>
      </c>
    </row>
    <row r="411">
      <c r="A411" t="n">
        <v>16</v>
      </c>
      <c r="B411" t="n">
        <v>19</v>
      </c>
      <c r="C411">
        <f>IFERROR(INDEX(資格取込!$S$6:$S$405,MATCH(16&amp;"_"&amp;13,資格取込!$Z$6:$Z$405,0)),"")</f>
        <v/>
      </c>
      <c r="D411">
        <f>IFERROR(INDEX(資格取込!$R$6:$R$405,MATCH(16&amp;"_"&amp;13,資格取込!$Z$6:$Z$405,0)),"")</f>
        <v/>
      </c>
      <c r="E411">
        <f>IF(D411="","",IFERROR(INDEX(資格マスタ!$B:$B,MATCH(ASC(SUBSTITUTE(SUBSTITUTE(D411," ",""),"　","")),資格マスタ!$D:$D,0)),D411))</f>
        <v/>
      </c>
      <c r="F411">
        <f>IF(E411="","",IF(C411="",DATE(9999,1,1),C411))</f>
        <v/>
      </c>
      <c r="G411">
        <f>IF(E411="","",COUNTIFS($F$393:$F$418,"&lt;"&amp;F411,$F$393:$F$418,"&lt;&gt;")+COUNTIFS($F$393:$F$418,F411,$B$393:$B$418,"&lt;"&amp;B411)+1)</f>
        <v/>
      </c>
      <c r="H411">
        <f>IF(OR(E411="",C411=""),"",IF(C411&gt;=DATE(2019,5,1),"令和"&amp;(YEAR(C411)-2018),IF(C411&gt;=DATE(1989,1,8),"平成"&amp;(YEAR(C411)-1988),"昭和"&amp;(YEAR(C411)-1925)))&amp;"年"&amp;MONTH(C411)&amp;"月")</f>
        <v/>
      </c>
    </row>
    <row r="412">
      <c r="A412" t="n">
        <v>16</v>
      </c>
      <c r="B412" t="n">
        <v>20</v>
      </c>
      <c r="C412">
        <f>IFERROR(INDEX(資格取込!$S$6:$S$405,MATCH(16&amp;"_"&amp;14,資格取込!$Z$6:$Z$405,0)),"")</f>
        <v/>
      </c>
      <c r="D412">
        <f>IFERROR(INDEX(資格取込!$R$6:$R$405,MATCH(16&amp;"_"&amp;14,資格取込!$Z$6:$Z$405,0)),"")</f>
        <v/>
      </c>
      <c r="E412">
        <f>IF(D412="","",IFERROR(INDEX(資格マスタ!$B:$B,MATCH(ASC(SUBSTITUTE(SUBSTITUTE(D412," ",""),"　","")),資格マスタ!$D:$D,0)),D412))</f>
        <v/>
      </c>
      <c r="F412">
        <f>IF(E412="","",IF(C412="",DATE(9999,1,1),C412))</f>
        <v/>
      </c>
      <c r="G412">
        <f>IF(E412="","",COUNTIFS($F$393:$F$418,"&lt;"&amp;F412,$F$393:$F$418,"&lt;&gt;")+COUNTIFS($F$393:$F$418,F412,$B$393:$B$418,"&lt;"&amp;B412)+1)</f>
        <v/>
      </c>
      <c r="H412">
        <f>IF(OR(E412="",C412=""),"",IF(C412&gt;=DATE(2019,5,1),"令和"&amp;(YEAR(C412)-2018),IF(C412&gt;=DATE(1989,1,8),"平成"&amp;(YEAR(C412)-1988),"昭和"&amp;(YEAR(C412)-1925)))&amp;"年"&amp;MONTH(C412)&amp;"月")</f>
        <v/>
      </c>
    </row>
    <row r="413">
      <c r="A413" t="n">
        <v>16</v>
      </c>
      <c r="B413" t="n">
        <v>21</v>
      </c>
      <c r="C413">
        <f>IFERROR(INDEX(資格取込!$S$6:$S$405,MATCH(16&amp;"_"&amp;15,資格取込!$Z$6:$Z$405,0)),"")</f>
        <v/>
      </c>
      <c r="D413">
        <f>IFERROR(INDEX(資格取込!$R$6:$R$405,MATCH(16&amp;"_"&amp;15,資格取込!$Z$6:$Z$405,0)),"")</f>
        <v/>
      </c>
      <c r="E413">
        <f>IF(D413="","",IFERROR(INDEX(資格マスタ!$B:$B,MATCH(ASC(SUBSTITUTE(SUBSTITUTE(D413," ",""),"　","")),資格マスタ!$D:$D,0)),D413))</f>
        <v/>
      </c>
      <c r="F413">
        <f>IF(E413="","",IF(C413="",DATE(9999,1,1),C413))</f>
        <v/>
      </c>
      <c r="G413">
        <f>IF(E413="","",COUNTIFS($F$393:$F$418,"&lt;"&amp;F413,$F$393:$F$418,"&lt;&gt;")+COUNTIFS($F$393:$F$418,F413,$B$393:$B$418,"&lt;"&amp;B413)+1)</f>
        <v/>
      </c>
      <c r="H413">
        <f>IF(OR(E413="",C413=""),"",IF(C413&gt;=DATE(2019,5,1),"令和"&amp;(YEAR(C413)-2018),IF(C413&gt;=DATE(1989,1,8),"平成"&amp;(YEAR(C413)-1988),"昭和"&amp;(YEAR(C413)-1925)))&amp;"年"&amp;MONTH(C413)&amp;"月")</f>
        <v/>
      </c>
    </row>
    <row r="414">
      <c r="A414" t="n">
        <v>16</v>
      </c>
      <c r="B414" t="n">
        <v>22</v>
      </c>
      <c r="C414">
        <f>IFERROR(INDEX(資格取込!$S$6:$S$405,MATCH(16&amp;"_"&amp;16,資格取込!$Z$6:$Z$405,0)),"")</f>
        <v/>
      </c>
      <c r="D414">
        <f>IFERROR(INDEX(資格取込!$R$6:$R$405,MATCH(16&amp;"_"&amp;16,資格取込!$Z$6:$Z$405,0)),"")</f>
        <v/>
      </c>
      <c r="E414">
        <f>IF(D414="","",IFERROR(INDEX(資格マスタ!$B:$B,MATCH(ASC(SUBSTITUTE(SUBSTITUTE(D414," ",""),"　","")),資格マスタ!$D:$D,0)),D414))</f>
        <v/>
      </c>
      <c r="F414">
        <f>IF(E414="","",IF(C414="",DATE(9999,1,1),C414))</f>
        <v/>
      </c>
      <c r="G414">
        <f>IF(E414="","",COUNTIFS($F$393:$F$418,"&lt;"&amp;F414,$F$393:$F$418,"&lt;&gt;")+COUNTIFS($F$393:$F$418,F414,$B$393:$B$418,"&lt;"&amp;B414)+1)</f>
        <v/>
      </c>
      <c r="H414">
        <f>IF(OR(E414="",C414=""),"",IF(C414&gt;=DATE(2019,5,1),"令和"&amp;(YEAR(C414)-2018),IF(C414&gt;=DATE(1989,1,8),"平成"&amp;(YEAR(C414)-1988),"昭和"&amp;(YEAR(C414)-1925)))&amp;"年"&amp;MONTH(C414)&amp;"月")</f>
        <v/>
      </c>
    </row>
    <row r="415">
      <c r="A415" t="n">
        <v>16</v>
      </c>
      <c r="B415" t="n">
        <v>23</v>
      </c>
      <c r="C415">
        <f>IFERROR(INDEX(資格取込!$S$6:$S$405,MATCH(16&amp;"_"&amp;17,資格取込!$Z$6:$Z$405,0)),"")</f>
        <v/>
      </c>
      <c r="D415">
        <f>IFERROR(INDEX(資格取込!$R$6:$R$405,MATCH(16&amp;"_"&amp;17,資格取込!$Z$6:$Z$405,0)),"")</f>
        <v/>
      </c>
      <c r="E415">
        <f>IF(D415="","",IFERROR(INDEX(資格マスタ!$B:$B,MATCH(ASC(SUBSTITUTE(SUBSTITUTE(D415," ",""),"　","")),資格マスタ!$D:$D,0)),D415))</f>
        <v/>
      </c>
      <c r="F415">
        <f>IF(E415="","",IF(C415="",DATE(9999,1,1),C415))</f>
        <v/>
      </c>
      <c r="G415">
        <f>IF(E415="","",COUNTIFS($F$393:$F$418,"&lt;"&amp;F415,$F$393:$F$418,"&lt;&gt;")+COUNTIFS($F$393:$F$418,F415,$B$393:$B$418,"&lt;"&amp;B415)+1)</f>
        <v/>
      </c>
      <c r="H415">
        <f>IF(OR(E415="",C415=""),"",IF(C415&gt;=DATE(2019,5,1),"令和"&amp;(YEAR(C415)-2018),IF(C415&gt;=DATE(1989,1,8),"平成"&amp;(YEAR(C415)-1988),"昭和"&amp;(YEAR(C415)-1925)))&amp;"年"&amp;MONTH(C415)&amp;"月")</f>
        <v/>
      </c>
    </row>
    <row r="416">
      <c r="A416" t="n">
        <v>16</v>
      </c>
      <c r="B416" t="n">
        <v>24</v>
      </c>
      <c r="C416">
        <f>IFERROR(INDEX(資格取込!$S$6:$S$405,MATCH(16&amp;"_"&amp;18,資格取込!$Z$6:$Z$405,0)),"")</f>
        <v/>
      </c>
      <c r="D416">
        <f>IFERROR(INDEX(資格取込!$R$6:$R$405,MATCH(16&amp;"_"&amp;18,資格取込!$Z$6:$Z$405,0)),"")</f>
        <v/>
      </c>
      <c r="E416">
        <f>IF(D416="","",IFERROR(INDEX(資格マスタ!$B:$B,MATCH(ASC(SUBSTITUTE(SUBSTITUTE(D416," ",""),"　","")),資格マスタ!$D:$D,0)),D416))</f>
        <v/>
      </c>
      <c r="F416">
        <f>IF(E416="","",IF(C416="",DATE(9999,1,1),C416))</f>
        <v/>
      </c>
      <c r="G416">
        <f>IF(E416="","",COUNTIFS($F$393:$F$418,"&lt;"&amp;F416,$F$393:$F$418,"&lt;&gt;")+COUNTIFS($F$393:$F$418,F416,$B$393:$B$418,"&lt;"&amp;B416)+1)</f>
        <v/>
      </c>
      <c r="H416">
        <f>IF(OR(E416="",C416=""),"",IF(C416&gt;=DATE(2019,5,1),"令和"&amp;(YEAR(C416)-2018),IF(C416&gt;=DATE(1989,1,8),"平成"&amp;(YEAR(C416)-1988),"昭和"&amp;(YEAR(C416)-1925)))&amp;"年"&amp;MONTH(C416)&amp;"月")</f>
        <v/>
      </c>
    </row>
    <row r="417">
      <c r="A417" t="n">
        <v>16</v>
      </c>
      <c r="B417" t="n">
        <v>25</v>
      </c>
      <c r="C417">
        <f>IFERROR(INDEX(資格取込!$S$6:$S$405,MATCH(16&amp;"_"&amp;19,資格取込!$Z$6:$Z$405,0)),"")</f>
        <v/>
      </c>
      <c r="D417">
        <f>IFERROR(INDEX(資格取込!$R$6:$R$405,MATCH(16&amp;"_"&amp;19,資格取込!$Z$6:$Z$405,0)),"")</f>
        <v/>
      </c>
      <c r="E417">
        <f>IF(D417="","",IFERROR(INDEX(資格マスタ!$B:$B,MATCH(ASC(SUBSTITUTE(SUBSTITUTE(D417," ",""),"　","")),資格マスタ!$D:$D,0)),D417))</f>
        <v/>
      </c>
      <c r="F417">
        <f>IF(E417="","",IF(C417="",DATE(9999,1,1),C417))</f>
        <v/>
      </c>
      <c r="G417">
        <f>IF(E417="","",COUNTIFS($F$393:$F$418,"&lt;"&amp;F417,$F$393:$F$418,"&lt;&gt;")+COUNTIFS($F$393:$F$418,F417,$B$393:$B$418,"&lt;"&amp;B417)+1)</f>
        <v/>
      </c>
      <c r="H417">
        <f>IF(OR(E417="",C417=""),"",IF(C417&gt;=DATE(2019,5,1),"令和"&amp;(YEAR(C417)-2018),IF(C417&gt;=DATE(1989,1,8),"平成"&amp;(YEAR(C417)-1988),"昭和"&amp;(YEAR(C417)-1925)))&amp;"年"&amp;MONTH(C417)&amp;"月")</f>
        <v/>
      </c>
    </row>
    <row r="418">
      <c r="A418" t="n">
        <v>16</v>
      </c>
      <c r="B418" t="n">
        <v>26</v>
      </c>
      <c r="C418">
        <f>IFERROR(INDEX(資格取込!$S$6:$S$405,MATCH(16&amp;"_"&amp;20,資格取込!$Z$6:$Z$405,0)),"")</f>
        <v/>
      </c>
      <c r="D418">
        <f>IFERROR(INDEX(資格取込!$R$6:$R$405,MATCH(16&amp;"_"&amp;20,資格取込!$Z$6:$Z$405,0)),"")</f>
        <v/>
      </c>
      <c r="E418">
        <f>IF(D418="","",IFERROR(INDEX(資格マスタ!$B:$B,MATCH(ASC(SUBSTITUTE(SUBSTITUTE(D418," ",""),"　","")),資格マスタ!$D:$D,0)),D418))</f>
        <v/>
      </c>
      <c r="F418">
        <f>IF(E418="","",IF(C418="",DATE(9999,1,1),C418))</f>
        <v/>
      </c>
      <c r="G418">
        <f>IF(E418="","",COUNTIFS($F$393:$F$418,"&lt;"&amp;F418,$F$393:$F$418,"&lt;&gt;")+COUNTIFS($F$393:$F$418,F418,$B$393:$B$418,"&lt;"&amp;B418)+1)</f>
        <v/>
      </c>
      <c r="H418">
        <f>IF(OR(E418="",C418=""),"",IF(C418&gt;=DATE(2019,5,1),"令和"&amp;(YEAR(C418)-2018),IF(C418&gt;=DATE(1989,1,8),"平成"&amp;(YEAR(C418)-1988),"昭和"&amp;(YEAR(C418)-1925)))&amp;"年"&amp;MONTH(C418)&amp;"月")</f>
        <v/>
      </c>
    </row>
    <row r="419">
      <c r="A419" t="n">
        <v>17</v>
      </c>
      <c r="B419" t="n">
        <v>1</v>
      </c>
      <c r="C419"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419">
        <f>IF(入力!N21="","",入力!N21)</f>
        <v/>
      </c>
      <c r="E419">
        <f>IF(D419="","",IFERROR(INDEX(資格マスタ!$B:$B,MATCH(ASC(SUBSTITUTE(SUBSTITUTE(D419," ",""),"　","")),資格マスタ!$D:$D,0)),D419))</f>
        <v/>
      </c>
      <c r="F419">
        <f>IF(E419="","",IF(C419="",DATE(9999,1,1),C419))</f>
        <v/>
      </c>
      <c r="G419">
        <f>IF(E419="","",COUNTIFS($F$419:$F$444,"&lt;"&amp;F419,$F$419:$F$444,"&lt;&gt;")+COUNTIFS($F$419:$F$444,F419,$B$419:$B$444,"&lt;"&amp;B419)+1)</f>
        <v/>
      </c>
      <c r="H419">
        <f>IF(OR(E419="",C419=""),"",IF(C419&gt;=DATE(2019,5,1),"令和"&amp;(YEAR(C419)-2018),IF(C419&gt;=DATE(1989,1,8),"平成"&amp;(YEAR(C419)-1988),"昭和"&amp;(YEAR(C419)-1925)))&amp;"年"&amp;MONTH(C419)&amp;"月")</f>
        <v/>
      </c>
    </row>
    <row r="420">
      <c r="A420" t="n">
        <v>17</v>
      </c>
      <c r="B420" t="n">
        <v>2</v>
      </c>
      <c r="C420">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420">
        <f>IF(入力!P21="","",入力!P21)</f>
        <v/>
      </c>
      <c r="E420">
        <f>IF(D420="","",IFERROR(INDEX(資格マスタ!$B:$B,MATCH(ASC(SUBSTITUTE(SUBSTITUTE(D420," ",""),"　","")),資格マスタ!$D:$D,0)),D420))</f>
        <v/>
      </c>
      <c r="F420">
        <f>IF(E420="","",IF(C420="",DATE(9999,1,1),C420))</f>
        <v/>
      </c>
      <c r="G420">
        <f>IF(E420="","",COUNTIFS($F$419:$F$444,"&lt;"&amp;F420,$F$419:$F$444,"&lt;&gt;")+COUNTIFS($F$419:$F$444,F420,$B$419:$B$444,"&lt;"&amp;B420)+1)</f>
        <v/>
      </c>
      <c r="H420">
        <f>IF(OR(E420="",C420=""),"",IF(C420&gt;=DATE(2019,5,1),"令和"&amp;(YEAR(C420)-2018),IF(C420&gt;=DATE(1989,1,8),"平成"&amp;(YEAR(C420)-1988),"昭和"&amp;(YEAR(C420)-1925)))&amp;"年"&amp;MONTH(C420)&amp;"月")</f>
        <v/>
      </c>
    </row>
    <row r="421">
      <c r="A421" t="n">
        <v>17</v>
      </c>
      <c r="B421" t="n">
        <v>3</v>
      </c>
      <c r="C421">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421">
        <f>IF(入力!R21="","",入力!R21)</f>
        <v/>
      </c>
      <c r="E421">
        <f>IF(D421="","",IFERROR(INDEX(資格マスタ!$B:$B,MATCH(ASC(SUBSTITUTE(SUBSTITUTE(D421," ",""),"　","")),資格マスタ!$D:$D,0)),D421))</f>
        <v/>
      </c>
      <c r="F421">
        <f>IF(E421="","",IF(C421="",DATE(9999,1,1),C421))</f>
        <v/>
      </c>
      <c r="G421">
        <f>IF(E421="","",COUNTIFS($F$419:$F$444,"&lt;"&amp;F421,$F$419:$F$444,"&lt;&gt;")+COUNTIFS($F$419:$F$444,F421,$B$419:$B$444,"&lt;"&amp;B421)+1)</f>
        <v/>
      </c>
      <c r="H421">
        <f>IF(OR(E421="",C421=""),"",IF(C421&gt;=DATE(2019,5,1),"令和"&amp;(YEAR(C421)-2018),IF(C421&gt;=DATE(1989,1,8),"平成"&amp;(YEAR(C421)-1988),"昭和"&amp;(YEAR(C421)-1925)))&amp;"年"&amp;MONTH(C421)&amp;"月")</f>
        <v/>
      </c>
    </row>
    <row r="422">
      <c r="A422" t="n">
        <v>17</v>
      </c>
      <c r="B422" t="n">
        <v>4</v>
      </c>
      <c r="C422">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422">
        <f>IF(入力!T21="","",入力!T21)</f>
        <v/>
      </c>
      <c r="E422">
        <f>IF(D422="","",IFERROR(INDEX(資格マスタ!$B:$B,MATCH(ASC(SUBSTITUTE(SUBSTITUTE(D422," ",""),"　","")),資格マスタ!$D:$D,0)),D422))</f>
        <v/>
      </c>
      <c r="F422">
        <f>IF(E422="","",IF(C422="",DATE(9999,1,1),C422))</f>
        <v/>
      </c>
      <c r="G422">
        <f>IF(E422="","",COUNTIFS($F$419:$F$444,"&lt;"&amp;F422,$F$419:$F$444,"&lt;&gt;")+COUNTIFS($F$419:$F$444,F422,$B$419:$B$444,"&lt;"&amp;B422)+1)</f>
        <v/>
      </c>
      <c r="H422">
        <f>IF(OR(E422="",C422=""),"",IF(C422&gt;=DATE(2019,5,1),"令和"&amp;(YEAR(C422)-2018),IF(C422&gt;=DATE(1989,1,8),"平成"&amp;(YEAR(C422)-1988),"昭和"&amp;(YEAR(C422)-1925)))&amp;"年"&amp;MONTH(C422)&amp;"月")</f>
        <v/>
      </c>
    </row>
    <row r="423">
      <c r="A423" t="n">
        <v>17</v>
      </c>
      <c r="B423" t="n">
        <v>5</v>
      </c>
      <c r="C423">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423">
        <f>IF(入力!V21="","",入力!V21)</f>
        <v/>
      </c>
      <c r="E423">
        <f>IF(D423="","",IFERROR(INDEX(資格マスタ!$B:$B,MATCH(ASC(SUBSTITUTE(SUBSTITUTE(D423," ",""),"　","")),資格マスタ!$D:$D,0)),D423))</f>
        <v/>
      </c>
      <c r="F423">
        <f>IF(E423="","",IF(C423="",DATE(9999,1,1),C423))</f>
        <v/>
      </c>
      <c r="G423">
        <f>IF(E423="","",COUNTIFS($F$419:$F$444,"&lt;"&amp;F423,$F$419:$F$444,"&lt;&gt;")+COUNTIFS($F$419:$F$444,F423,$B$419:$B$444,"&lt;"&amp;B423)+1)</f>
        <v/>
      </c>
      <c r="H423">
        <f>IF(OR(E423="",C423=""),"",IF(C423&gt;=DATE(2019,5,1),"令和"&amp;(YEAR(C423)-2018),IF(C423&gt;=DATE(1989,1,8),"平成"&amp;(YEAR(C423)-1988),"昭和"&amp;(YEAR(C423)-1925)))&amp;"年"&amp;MONTH(C423)&amp;"月")</f>
        <v/>
      </c>
    </row>
    <row r="424">
      <c r="A424" t="n">
        <v>17</v>
      </c>
      <c r="B424" t="n">
        <v>6</v>
      </c>
      <c r="C424">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424">
        <f>IF(入力!X21="","",入力!X21)</f>
        <v/>
      </c>
      <c r="E424">
        <f>IF(D424="","",IFERROR(INDEX(資格マスタ!$B:$B,MATCH(ASC(SUBSTITUTE(SUBSTITUTE(D424," ",""),"　","")),資格マスタ!$D:$D,0)),D424))</f>
        <v/>
      </c>
      <c r="F424">
        <f>IF(E424="","",IF(C424="",DATE(9999,1,1),C424))</f>
        <v/>
      </c>
      <c r="G424">
        <f>IF(E424="","",COUNTIFS($F$419:$F$444,"&lt;"&amp;F424,$F$419:$F$444,"&lt;&gt;")+COUNTIFS($F$419:$F$444,F424,$B$419:$B$444,"&lt;"&amp;B424)+1)</f>
        <v/>
      </c>
      <c r="H424">
        <f>IF(OR(E424="",C424=""),"",IF(C424&gt;=DATE(2019,5,1),"令和"&amp;(YEAR(C424)-2018),IF(C424&gt;=DATE(1989,1,8),"平成"&amp;(YEAR(C424)-1988),"昭和"&amp;(YEAR(C424)-1925)))&amp;"年"&amp;MONTH(C424)&amp;"月")</f>
        <v/>
      </c>
    </row>
    <row r="425">
      <c r="A425" t="n">
        <v>17</v>
      </c>
      <c r="B425" t="n">
        <v>7</v>
      </c>
      <c r="C425">
        <f>IFERROR(INDEX(資格取込!$S$6:$S$405,MATCH(17&amp;"_"&amp;1,資格取込!$Z$6:$Z$405,0)),"")</f>
        <v/>
      </c>
      <c r="D425">
        <f>IFERROR(INDEX(資格取込!$R$6:$R$405,MATCH(17&amp;"_"&amp;1,資格取込!$Z$6:$Z$405,0)),"")</f>
        <v/>
      </c>
      <c r="E425">
        <f>IF(D425="","",IFERROR(INDEX(資格マスタ!$B:$B,MATCH(ASC(SUBSTITUTE(SUBSTITUTE(D425," ",""),"　","")),資格マスタ!$D:$D,0)),D425))</f>
        <v/>
      </c>
      <c r="F425">
        <f>IF(E425="","",IF(C425="",DATE(9999,1,1),C425))</f>
        <v/>
      </c>
      <c r="G425">
        <f>IF(E425="","",COUNTIFS($F$419:$F$444,"&lt;"&amp;F425,$F$419:$F$444,"&lt;&gt;")+COUNTIFS($F$419:$F$444,F425,$B$419:$B$444,"&lt;"&amp;B425)+1)</f>
        <v/>
      </c>
      <c r="H425">
        <f>IF(OR(E425="",C425=""),"",IF(C425&gt;=DATE(2019,5,1),"令和"&amp;(YEAR(C425)-2018),IF(C425&gt;=DATE(1989,1,8),"平成"&amp;(YEAR(C425)-1988),"昭和"&amp;(YEAR(C425)-1925)))&amp;"年"&amp;MONTH(C425)&amp;"月")</f>
        <v/>
      </c>
    </row>
    <row r="426">
      <c r="A426" t="n">
        <v>17</v>
      </c>
      <c r="B426" t="n">
        <v>8</v>
      </c>
      <c r="C426">
        <f>IFERROR(INDEX(資格取込!$S$6:$S$405,MATCH(17&amp;"_"&amp;2,資格取込!$Z$6:$Z$405,0)),"")</f>
        <v/>
      </c>
      <c r="D426">
        <f>IFERROR(INDEX(資格取込!$R$6:$R$405,MATCH(17&amp;"_"&amp;2,資格取込!$Z$6:$Z$405,0)),"")</f>
        <v/>
      </c>
      <c r="E426">
        <f>IF(D426="","",IFERROR(INDEX(資格マスタ!$B:$B,MATCH(ASC(SUBSTITUTE(SUBSTITUTE(D426," ",""),"　","")),資格マスタ!$D:$D,0)),D426))</f>
        <v/>
      </c>
      <c r="F426">
        <f>IF(E426="","",IF(C426="",DATE(9999,1,1),C426))</f>
        <v/>
      </c>
      <c r="G426">
        <f>IF(E426="","",COUNTIFS($F$419:$F$444,"&lt;"&amp;F426,$F$419:$F$444,"&lt;&gt;")+COUNTIFS($F$419:$F$444,F426,$B$419:$B$444,"&lt;"&amp;B426)+1)</f>
        <v/>
      </c>
      <c r="H426">
        <f>IF(OR(E426="",C426=""),"",IF(C426&gt;=DATE(2019,5,1),"令和"&amp;(YEAR(C426)-2018),IF(C426&gt;=DATE(1989,1,8),"平成"&amp;(YEAR(C426)-1988),"昭和"&amp;(YEAR(C426)-1925)))&amp;"年"&amp;MONTH(C426)&amp;"月")</f>
        <v/>
      </c>
    </row>
    <row r="427">
      <c r="A427" t="n">
        <v>17</v>
      </c>
      <c r="B427" t="n">
        <v>9</v>
      </c>
      <c r="C427">
        <f>IFERROR(INDEX(資格取込!$S$6:$S$405,MATCH(17&amp;"_"&amp;3,資格取込!$Z$6:$Z$405,0)),"")</f>
        <v/>
      </c>
      <c r="D427">
        <f>IFERROR(INDEX(資格取込!$R$6:$R$405,MATCH(17&amp;"_"&amp;3,資格取込!$Z$6:$Z$405,0)),"")</f>
        <v/>
      </c>
      <c r="E427">
        <f>IF(D427="","",IFERROR(INDEX(資格マスタ!$B:$B,MATCH(ASC(SUBSTITUTE(SUBSTITUTE(D427," ",""),"　","")),資格マスタ!$D:$D,0)),D427))</f>
        <v/>
      </c>
      <c r="F427">
        <f>IF(E427="","",IF(C427="",DATE(9999,1,1),C427))</f>
        <v/>
      </c>
      <c r="G427">
        <f>IF(E427="","",COUNTIFS($F$419:$F$444,"&lt;"&amp;F427,$F$419:$F$444,"&lt;&gt;")+COUNTIFS($F$419:$F$444,F427,$B$419:$B$444,"&lt;"&amp;B427)+1)</f>
        <v/>
      </c>
      <c r="H427">
        <f>IF(OR(E427="",C427=""),"",IF(C427&gt;=DATE(2019,5,1),"令和"&amp;(YEAR(C427)-2018),IF(C427&gt;=DATE(1989,1,8),"平成"&amp;(YEAR(C427)-1988),"昭和"&amp;(YEAR(C427)-1925)))&amp;"年"&amp;MONTH(C427)&amp;"月")</f>
        <v/>
      </c>
    </row>
    <row r="428">
      <c r="A428" t="n">
        <v>17</v>
      </c>
      <c r="B428" t="n">
        <v>10</v>
      </c>
      <c r="C428">
        <f>IFERROR(INDEX(資格取込!$S$6:$S$405,MATCH(17&amp;"_"&amp;4,資格取込!$Z$6:$Z$405,0)),"")</f>
        <v/>
      </c>
      <c r="D428">
        <f>IFERROR(INDEX(資格取込!$R$6:$R$405,MATCH(17&amp;"_"&amp;4,資格取込!$Z$6:$Z$405,0)),"")</f>
        <v/>
      </c>
      <c r="E428">
        <f>IF(D428="","",IFERROR(INDEX(資格マスタ!$B:$B,MATCH(ASC(SUBSTITUTE(SUBSTITUTE(D428," ",""),"　","")),資格マスタ!$D:$D,0)),D428))</f>
        <v/>
      </c>
      <c r="F428">
        <f>IF(E428="","",IF(C428="",DATE(9999,1,1),C428))</f>
        <v/>
      </c>
      <c r="G428">
        <f>IF(E428="","",COUNTIFS($F$419:$F$444,"&lt;"&amp;F428,$F$419:$F$444,"&lt;&gt;")+COUNTIFS($F$419:$F$444,F428,$B$419:$B$444,"&lt;"&amp;B428)+1)</f>
        <v/>
      </c>
      <c r="H428">
        <f>IF(OR(E428="",C428=""),"",IF(C428&gt;=DATE(2019,5,1),"令和"&amp;(YEAR(C428)-2018),IF(C428&gt;=DATE(1989,1,8),"平成"&amp;(YEAR(C428)-1988),"昭和"&amp;(YEAR(C428)-1925)))&amp;"年"&amp;MONTH(C428)&amp;"月")</f>
        <v/>
      </c>
    </row>
    <row r="429">
      <c r="A429" t="n">
        <v>17</v>
      </c>
      <c r="B429" t="n">
        <v>11</v>
      </c>
      <c r="C429">
        <f>IFERROR(INDEX(資格取込!$S$6:$S$405,MATCH(17&amp;"_"&amp;5,資格取込!$Z$6:$Z$405,0)),"")</f>
        <v/>
      </c>
      <c r="D429">
        <f>IFERROR(INDEX(資格取込!$R$6:$R$405,MATCH(17&amp;"_"&amp;5,資格取込!$Z$6:$Z$405,0)),"")</f>
        <v/>
      </c>
      <c r="E429">
        <f>IF(D429="","",IFERROR(INDEX(資格マスタ!$B:$B,MATCH(ASC(SUBSTITUTE(SUBSTITUTE(D429," ",""),"　","")),資格マスタ!$D:$D,0)),D429))</f>
        <v/>
      </c>
      <c r="F429">
        <f>IF(E429="","",IF(C429="",DATE(9999,1,1),C429))</f>
        <v/>
      </c>
      <c r="G429">
        <f>IF(E429="","",COUNTIFS($F$419:$F$444,"&lt;"&amp;F429,$F$419:$F$444,"&lt;&gt;")+COUNTIFS($F$419:$F$444,F429,$B$419:$B$444,"&lt;"&amp;B429)+1)</f>
        <v/>
      </c>
      <c r="H429">
        <f>IF(OR(E429="",C429=""),"",IF(C429&gt;=DATE(2019,5,1),"令和"&amp;(YEAR(C429)-2018),IF(C429&gt;=DATE(1989,1,8),"平成"&amp;(YEAR(C429)-1988),"昭和"&amp;(YEAR(C429)-1925)))&amp;"年"&amp;MONTH(C429)&amp;"月")</f>
        <v/>
      </c>
    </row>
    <row r="430">
      <c r="A430" t="n">
        <v>17</v>
      </c>
      <c r="B430" t="n">
        <v>12</v>
      </c>
      <c r="C430">
        <f>IFERROR(INDEX(資格取込!$S$6:$S$405,MATCH(17&amp;"_"&amp;6,資格取込!$Z$6:$Z$405,0)),"")</f>
        <v/>
      </c>
      <c r="D430">
        <f>IFERROR(INDEX(資格取込!$R$6:$R$405,MATCH(17&amp;"_"&amp;6,資格取込!$Z$6:$Z$405,0)),"")</f>
        <v/>
      </c>
      <c r="E430">
        <f>IF(D430="","",IFERROR(INDEX(資格マスタ!$B:$B,MATCH(ASC(SUBSTITUTE(SUBSTITUTE(D430," ",""),"　","")),資格マスタ!$D:$D,0)),D430))</f>
        <v/>
      </c>
      <c r="F430">
        <f>IF(E430="","",IF(C430="",DATE(9999,1,1),C430))</f>
        <v/>
      </c>
      <c r="G430">
        <f>IF(E430="","",COUNTIFS($F$419:$F$444,"&lt;"&amp;F430,$F$419:$F$444,"&lt;&gt;")+COUNTIFS($F$419:$F$444,F430,$B$419:$B$444,"&lt;"&amp;B430)+1)</f>
        <v/>
      </c>
      <c r="H430">
        <f>IF(OR(E430="",C430=""),"",IF(C430&gt;=DATE(2019,5,1),"令和"&amp;(YEAR(C430)-2018),IF(C430&gt;=DATE(1989,1,8),"平成"&amp;(YEAR(C430)-1988),"昭和"&amp;(YEAR(C430)-1925)))&amp;"年"&amp;MONTH(C430)&amp;"月")</f>
        <v/>
      </c>
    </row>
    <row r="431">
      <c r="A431" t="n">
        <v>17</v>
      </c>
      <c r="B431" t="n">
        <v>13</v>
      </c>
      <c r="C431">
        <f>IFERROR(INDEX(資格取込!$S$6:$S$405,MATCH(17&amp;"_"&amp;7,資格取込!$Z$6:$Z$405,0)),"")</f>
        <v/>
      </c>
      <c r="D431">
        <f>IFERROR(INDEX(資格取込!$R$6:$R$405,MATCH(17&amp;"_"&amp;7,資格取込!$Z$6:$Z$405,0)),"")</f>
        <v/>
      </c>
      <c r="E431">
        <f>IF(D431="","",IFERROR(INDEX(資格マスタ!$B:$B,MATCH(ASC(SUBSTITUTE(SUBSTITUTE(D431," ",""),"　","")),資格マスタ!$D:$D,0)),D431))</f>
        <v/>
      </c>
      <c r="F431">
        <f>IF(E431="","",IF(C431="",DATE(9999,1,1),C431))</f>
        <v/>
      </c>
      <c r="G431">
        <f>IF(E431="","",COUNTIFS($F$419:$F$444,"&lt;"&amp;F431,$F$419:$F$444,"&lt;&gt;")+COUNTIFS($F$419:$F$444,F431,$B$419:$B$444,"&lt;"&amp;B431)+1)</f>
        <v/>
      </c>
      <c r="H431">
        <f>IF(OR(E431="",C431=""),"",IF(C431&gt;=DATE(2019,5,1),"令和"&amp;(YEAR(C431)-2018),IF(C431&gt;=DATE(1989,1,8),"平成"&amp;(YEAR(C431)-1988),"昭和"&amp;(YEAR(C431)-1925)))&amp;"年"&amp;MONTH(C431)&amp;"月")</f>
        <v/>
      </c>
    </row>
    <row r="432">
      <c r="A432" t="n">
        <v>17</v>
      </c>
      <c r="B432" t="n">
        <v>14</v>
      </c>
      <c r="C432">
        <f>IFERROR(INDEX(資格取込!$S$6:$S$405,MATCH(17&amp;"_"&amp;8,資格取込!$Z$6:$Z$405,0)),"")</f>
        <v/>
      </c>
      <c r="D432">
        <f>IFERROR(INDEX(資格取込!$R$6:$R$405,MATCH(17&amp;"_"&amp;8,資格取込!$Z$6:$Z$405,0)),"")</f>
        <v/>
      </c>
      <c r="E432">
        <f>IF(D432="","",IFERROR(INDEX(資格マスタ!$B:$B,MATCH(ASC(SUBSTITUTE(SUBSTITUTE(D432," ",""),"　","")),資格マスタ!$D:$D,0)),D432))</f>
        <v/>
      </c>
      <c r="F432">
        <f>IF(E432="","",IF(C432="",DATE(9999,1,1),C432))</f>
        <v/>
      </c>
      <c r="G432">
        <f>IF(E432="","",COUNTIFS($F$419:$F$444,"&lt;"&amp;F432,$F$419:$F$444,"&lt;&gt;")+COUNTIFS($F$419:$F$444,F432,$B$419:$B$444,"&lt;"&amp;B432)+1)</f>
        <v/>
      </c>
      <c r="H432">
        <f>IF(OR(E432="",C432=""),"",IF(C432&gt;=DATE(2019,5,1),"令和"&amp;(YEAR(C432)-2018),IF(C432&gt;=DATE(1989,1,8),"平成"&amp;(YEAR(C432)-1988),"昭和"&amp;(YEAR(C432)-1925)))&amp;"年"&amp;MONTH(C432)&amp;"月")</f>
        <v/>
      </c>
    </row>
    <row r="433">
      <c r="A433" t="n">
        <v>17</v>
      </c>
      <c r="B433" t="n">
        <v>15</v>
      </c>
      <c r="C433">
        <f>IFERROR(INDEX(資格取込!$S$6:$S$405,MATCH(17&amp;"_"&amp;9,資格取込!$Z$6:$Z$405,0)),"")</f>
        <v/>
      </c>
      <c r="D433">
        <f>IFERROR(INDEX(資格取込!$R$6:$R$405,MATCH(17&amp;"_"&amp;9,資格取込!$Z$6:$Z$405,0)),"")</f>
        <v/>
      </c>
      <c r="E433">
        <f>IF(D433="","",IFERROR(INDEX(資格マスタ!$B:$B,MATCH(ASC(SUBSTITUTE(SUBSTITUTE(D433," ",""),"　","")),資格マスタ!$D:$D,0)),D433))</f>
        <v/>
      </c>
      <c r="F433">
        <f>IF(E433="","",IF(C433="",DATE(9999,1,1),C433))</f>
        <v/>
      </c>
      <c r="G433">
        <f>IF(E433="","",COUNTIFS($F$419:$F$444,"&lt;"&amp;F433,$F$419:$F$444,"&lt;&gt;")+COUNTIFS($F$419:$F$444,F433,$B$419:$B$444,"&lt;"&amp;B433)+1)</f>
        <v/>
      </c>
      <c r="H433">
        <f>IF(OR(E433="",C433=""),"",IF(C433&gt;=DATE(2019,5,1),"令和"&amp;(YEAR(C433)-2018),IF(C433&gt;=DATE(1989,1,8),"平成"&amp;(YEAR(C433)-1988),"昭和"&amp;(YEAR(C433)-1925)))&amp;"年"&amp;MONTH(C433)&amp;"月")</f>
        <v/>
      </c>
    </row>
    <row r="434">
      <c r="A434" t="n">
        <v>17</v>
      </c>
      <c r="B434" t="n">
        <v>16</v>
      </c>
      <c r="C434">
        <f>IFERROR(INDEX(資格取込!$S$6:$S$405,MATCH(17&amp;"_"&amp;10,資格取込!$Z$6:$Z$405,0)),"")</f>
        <v/>
      </c>
      <c r="D434">
        <f>IFERROR(INDEX(資格取込!$R$6:$R$405,MATCH(17&amp;"_"&amp;10,資格取込!$Z$6:$Z$405,0)),"")</f>
        <v/>
      </c>
      <c r="E434">
        <f>IF(D434="","",IFERROR(INDEX(資格マスタ!$B:$B,MATCH(ASC(SUBSTITUTE(SUBSTITUTE(D434," ",""),"　","")),資格マスタ!$D:$D,0)),D434))</f>
        <v/>
      </c>
      <c r="F434">
        <f>IF(E434="","",IF(C434="",DATE(9999,1,1),C434))</f>
        <v/>
      </c>
      <c r="G434">
        <f>IF(E434="","",COUNTIFS($F$419:$F$444,"&lt;"&amp;F434,$F$419:$F$444,"&lt;&gt;")+COUNTIFS($F$419:$F$444,F434,$B$419:$B$444,"&lt;"&amp;B434)+1)</f>
        <v/>
      </c>
      <c r="H434">
        <f>IF(OR(E434="",C434=""),"",IF(C434&gt;=DATE(2019,5,1),"令和"&amp;(YEAR(C434)-2018),IF(C434&gt;=DATE(1989,1,8),"平成"&amp;(YEAR(C434)-1988),"昭和"&amp;(YEAR(C434)-1925)))&amp;"年"&amp;MONTH(C434)&amp;"月")</f>
        <v/>
      </c>
    </row>
    <row r="435">
      <c r="A435" t="n">
        <v>17</v>
      </c>
      <c r="B435" t="n">
        <v>17</v>
      </c>
      <c r="C435">
        <f>IFERROR(INDEX(資格取込!$S$6:$S$405,MATCH(17&amp;"_"&amp;11,資格取込!$Z$6:$Z$405,0)),"")</f>
        <v/>
      </c>
      <c r="D435">
        <f>IFERROR(INDEX(資格取込!$R$6:$R$405,MATCH(17&amp;"_"&amp;11,資格取込!$Z$6:$Z$405,0)),"")</f>
        <v/>
      </c>
      <c r="E435">
        <f>IF(D435="","",IFERROR(INDEX(資格マスタ!$B:$B,MATCH(ASC(SUBSTITUTE(SUBSTITUTE(D435," ",""),"　","")),資格マスタ!$D:$D,0)),D435))</f>
        <v/>
      </c>
      <c r="F435">
        <f>IF(E435="","",IF(C435="",DATE(9999,1,1),C435))</f>
        <v/>
      </c>
      <c r="G435">
        <f>IF(E435="","",COUNTIFS($F$419:$F$444,"&lt;"&amp;F435,$F$419:$F$444,"&lt;&gt;")+COUNTIFS($F$419:$F$444,F435,$B$419:$B$444,"&lt;"&amp;B435)+1)</f>
        <v/>
      </c>
      <c r="H435">
        <f>IF(OR(E435="",C435=""),"",IF(C435&gt;=DATE(2019,5,1),"令和"&amp;(YEAR(C435)-2018),IF(C435&gt;=DATE(1989,1,8),"平成"&amp;(YEAR(C435)-1988),"昭和"&amp;(YEAR(C435)-1925)))&amp;"年"&amp;MONTH(C435)&amp;"月")</f>
        <v/>
      </c>
    </row>
    <row r="436">
      <c r="A436" t="n">
        <v>17</v>
      </c>
      <c r="B436" t="n">
        <v>18</v>
      </c>
      <c r="C436">
        <f>IFERROR(INDEX(資格取込!$S$6:$S$405,MATCH(17&amp;"_"&amp;12,資格取込!$Z$6:$Z$405,0)),"")</f>
        <v/>
      </c>
      <c r="D436">
        <f>IFERROR(INDEX(資格取込!$R$6:$R$405,MATCH(17&amp;"_"&amp;12,資格取込!$Z$6:$Z$405,0)),"")</f>
        <v/>
      </c>
      <c r="E436">
        <f>IF(D436="","",IFERROR(INDEX(資格マスタ!$B:$B,MATCH(ASC(SUBSTITUTE(SUBSTITUTE(D436," ",""),"　","")),資格マスタ!$D:$D,0)),D436))</f>
        <v/>
      </c>
      <c r="F436">
        <f>IF(E436="","",IF(C436="",DATE(9999,1,1),C436))</f>
        <v/>
      </c>
      <c r="G436">
        <f>IF(E436="","",COUNTIFS($F$419:$F$444,"&lt;"&amp;F436,$F$419:$F$444,"&lt;&gt;")+COUNTIFS($F$419:$F$444,F436,$B$419:$B$444,"&lt;"&amp;B436)+1)</f>
        <v/>
      </c>
      <c r="H436">
        <f>IF(OR(E436="",C436=""),"",IF(C436&gt;=DATE(2019,5,1),"令和"&amp;(YEAR(C436)-2018),IF(C436&gt;=DATE(1989,1,8),"平成"&amp;(YEAR(C436)-1988),"昭和"&amp;(YEAR(C436)-1925)))&amp;"年"&amp;MONTH(C436)&amp;"月")</f>
        <v/>
      </c>
    </row>
    <row r="437">
      <c r="A437" t="n">
        <v>17</v>
      </c>
      <c r="B437" t="n">
        <v>19</v>
      </c>
      <c r="C437">
        <f>IFERROR(INDEX(資格取込!$S$6:$S$405,MATCH(17&amp;"_"&amp;13,資格取込!$Z$6:$Z$405,0)),"")</f>
        <v/>
      </c>
      <c r="D437">
        <f>IFERROR(INDEX(資格取込!$R$6:$R$405,MATCH(17&amp;"_"&amp;13,資格取込!$Z$6:$Z$405,0)),"")</f>
        <v/>
      </c>
      <c r="E437">
        <f>IF(D437="","",IFERROR(INDEX(資格マスタ!$B:$B,MATCH(ASC(SUBSTITUTE(SUBSTITUTE(D437," ",""),"　","")),資格マスタ!$D:$D,0)),D437))</f>
        <v/>
      </c>
      <c r="F437">
        <f>IF(E437="","",IF(C437="",DATE(9999,1,1),C437))</f>
        <v/>
      </c>
      <c r="G437">
        <f>IF(E437="","",COUNTIFS($F$419:$F$444,"&lt;"&amp;F437,$F$419:$F$444,"&lt;&gt;")+COUNTIFS($F$419:$F$444,F437,$B$419:$B$444,"&lt;"&amp;B437)+1)</f>
        <v/>
      </c>
      <c r="H437">
        <f>IF(OR(E437="",C437=""),"",IF(C437&gt;=DATE(2019,5,1),"令和"&amp;(YEAR(C437)-2018),IF(C437&gt;=DATE(1989,1,8),"平成"&amp;(YEAR(C437)-1988),"昭和"&amp;(YEAR(C437)-1925)))&amp;"年"&amp;MONTH(C437)&amp;"月")</f>
        <v/>
      </c>
    </row>
    <row r="438">
      <c r="A438" t="n">
        <v>17</v>
      </c>
      <c r="B438" t="n">
        <v>20</v>
      </c>
      <c r="C438">
        <f>IFERROR(INDEX(資格取込!$S$6:$S$405,MATCH(17&amp;"_"&amp;14,資格取込!$Z$6:$Z$405,0)),"")</f>
        <v/>
      </c>
      <c r="D438">
        <f>IFERROR(INDEX(資格取込!$R$6:$R$405,MATCH(17&amp;"_"&amp;14,資格取込!$Z$6:$Z$405,0)),"")</f>
        <v/>
      </c>
      <c r="E438">
        <f>IF(D438="","",IFERROR(INDEX(資格マスタ!$B:$B,MATCH(ASC(SUBSTITUTE(SUBSTITUTE(D438," ",""),"　","")),資格マスタ!$D:$D,0)),D438))</f>
        <v/>
      </c>
      <c r="F438">
        <f>IF(E438="","",IF(C438="",DATE(9999,1,1),C438))</f>
        <v/>
      </c>
      <c r="G438">
        <f>IF(E438="","",COUNTIFS($F$419:$F$444,"&lt;"&amp;F438,$F$419:$F$444,"&lt;&gt;")+COUNTIFS($F$419:$F$444,F438,$B$419:$B$444,"&lt;"&amp;B438)+1)</f>
        <v/>
      </c>
      <c r="H438">
        <f>IF(OR(E438="",C438=""),"",IF(C438&gt;=DATE(2019,5,1),"令和"&amp;(YEAR(C438)-2018),IF(C438&gt;=DATE(1989,1,8),"平成"&amp;(YEAR(C438)-1988),"昭和"&amp;(YEAR(C438)-1925)))&amp;"年"&amp;MONTH(C438)&amp;"月")</f>
        <v/>
      </c>
    </row>
    <row r="439">
      <c r="A439" t="n">
        <v>17</v>
      </c>
      <c r="B439" t="n">
        <v>21</v>
      </c>
      <c r="C439">
        <f>IFERROR(INDEX(資格取込!$S$6:$S$405,MATCH(17&amp;"_"&amp;15,資格取込!$Z$6:$Z$405,0)),"")</f>
        <v/>
      </c>
      <c r="D439">
        <f>IFERROR(INDEX(資格取込!$R$6:$R$405,MATCH(17&amp;"_"&amp;15,資格取込!$Z$6:$Z$405,0)),"")</f>
        <v/>
      </c>
      <c r="E439">
        <f>IF(D439="","",IFERROR(INDEX(資格マスタ!$B:$B,MATCH(ASC(SUBSTITUTE(SUBSTITUTE(D439," ",""),"　","")),資格マスタ!$D:$D,0)),D439))</f>
        <v/>
      </c>
      <c r="F439">
        <f>IF(E439="","",IF(C439="",DATE(9999,1,1),C439))</f>
        <v/>
      </c>
      <c r="G439">
        <f>IF(E439="","",COUNTIFS($F$419:$F$444,"&lt;"&amp;F439,$F$419:$F$444,"&lt;&gt;")+COUNTIFS($F$419:$F$444,F439,$B$419:$B$444,"&lt;"&amp;B439)+1)</f>
        <v/>
      </c>
      <c r="H439">
        <f>IF(OR(E439="",C439=""),"",IF(C439&gt;=DATE(2019,5,1),"令和"&amp;(YEAR(C439)-2018),IF(C439&gt;=DATE(1989,1,8),"平成"&amp;(YEAR(C439)-1988),"昭和"&amp;(YEAR(C439)-1925)))&amp;"年"&amp;MONTH(C439)&amp;"月")</f>
        <v/>
      </c>
    </row>
    <row r="440">
      <c r="A440" t="n">
        <v>17</v>
      </c>
      <c r="B440" t="n">
        <v>22</v>
      </c>
      <c r="C440">
        <f>IFERROR(INDEX(資格取込!$S$6:$S$405,MATCH(17&amp;"_"&amp;16,資格取込!$Z$6:$Z$405,0)),"")</f>
        <v/>
      </c>
      <c r="D440">
        <f>IFERROR(INDEX(資格取込!$R$6:$R$405,MATCH(17&amp;"_"&amp;16,資格取込!$Z$6:$Z$405,0)),"")</f>
        <v/>
      </c>
      <c r="E440">
        <f>IF(D440="","",IFERROR(INDEX(資格マスタ!$B:$B,MATCH(ASC(SUBSTITUTE(SUBSTITUTE(D440," ",""),"　","")),資格マスタ!$D:$D,0)),D440))</f>
        <v/>
      </c>
      <c r="F440">
        <f>IF(E440="","",IF(C440="",DATE(9999,1,1),C440))</f>
        <v/>
      </c>
      <c r="G440">
        <f>IF(E440="","",COUNTIFS($F$419:$F$444,"&lt;"&amp;F440,$F$419:$F$444,"&lt;&gt;")+COUNTIFS($F$419:$F$444,F440,$B$419:$B$444,"&lt;"&amp;B440)+1)</f>
        <v/>
      </c>
      <c r="H440">
        <f>IF(OR(E440="",C440=""),"",IF(C440&gt;=DATE(2019,5,1),"令和"&amp;(YEAR(C440)-2018),IF(C440&gt;=DATE(1989,1,8),"平成"&amp;(YEAR(C440)-1988),"昭和"&amp;(YEAR(C440)-1925)))&amp;"年"&amp;MONTH(C440)&amp;"月")</f>
        <v/>
      </c>
    </row>
    <row r="441">
      <c r="A441" t="n">
        <v>17</v>
      </c>
      <c r="B441" t="n">
        <v>23</v>
      </c>
      <c r="C441">
        <f>IFERROR(INDEX(資格取込!$S$6:$S$405,MATCH(17&amp;"_"&amp;17,資格取込!$Z$6:$Z$405,0)),"")</f>
        <v/>
      </c>
      <c r="D441">
        <f>IFERROR(INDEX(資格取込!$R$6:$R$405,MATCH(17&amp;"_"&amp;17,資格取込!$Z$6:$Z$405,0)),"")</f>
        <v/>
      </c>
      <c r="E441">
        <f>IF(D441="","",IFERROR(INDEX(資格マスタ!$B:$B,MATCH(ASC(SUBSTITUTE(SUBSTITUTE(D441," ",""),"　","")),資格マスタ!$D:$D,0)),D441))</f>
        <v/>
      </c>
      <c r="F441">
        <f>IF(E441="","",IF(C441="",DATE(9999,1,1),C441))</f>
        <v/>
      </c>
      <c r="G441">
        <f>IF(E441="","",COUNTIFS($F$419:$F$444,"&lt;"&amp;F441,$F$419:$F$444,"&lt;&gt;")+COUNTIFS($F$419:$F$444,F441,$B$419:$B$444,"&lt;"&amp;B441)+1)</f>
        <v/>
      </c>
      <c r="H441">
        <f>IF(OR(E441="",C441=""),"",IF(C441&gt;=DATE(2019,5,1),"令和"&amp;(YEAR(C441)-2018),IF(C441&gt;=DATE(1989,1,8),"平成"&amp;(YEAR(C441)-1988),"昭和"&amp;(YEAR(C441)-1925)))&amp;"年"&amp;MONTH(C441)&amp;"月")</f>
        <v/>
      </c>
    </row>
    <row r="442">
      <c r="A442" t="n">
        <v>17</v>
      </c>
      <c r="B442" t="n">
        <v>24</v>
      </c>
      <c r="C442">
        <f>IFERROR(INDEX(資格取込!$S$6:$S$405,MATCH(17&amp;"_"&amp;18,資格取込!$Z$6:$Z$405,0)),"")</f>
        <v/>
      </c>
      <c r="D442">
        <f>IFERROR(INDEX(資格取込!$R$6:$R$405,MATCH(17&amp;"_"&amp;18,資格取込!$Z$6:$Z$405,0)),"")</f>
        <v/>
      </c>
      <c r="E442">
        <f>IF(D442="","",IFERROR(INDEX(資格マスタ!$B:$B,MATCH(ASC(SUBSTITUTE(SUBSTITUTE(D442," ",""),"　","")),資格マスタ!$D:$D,0)),D442))</f>
        <v/>
      </c>
      <c r="F442">
        <f>IF(E442="","",IF(C442="",DATE(9999,1,1),C442))</f>
        <v/>
      </c>
      <c r="G442">
        <f>IF(E442="","",COUNTIFS($F$419:$F$444,"&lt;"&amp;F442,$F$419:$F$444,"&lt;&gt;")+COUNTIFS($F$419:$F$444,F442,$B$419:$B$444,"&lt;"&amp;B442)+1)</f>
        <v/>
      </c>
      <c r="H442">
        <f>IF(OR(E442="",C442=""),"",IF(C442&gt;=DATE(2019,5,1),"令和"&amp;(YEAR(C442)-2018),IF(C442&gt;=DATE(1989,1,8),"平成"&amp;(YEAR(C442)-1988),"昭和"&amp;(YEAR(C442)-1925)))&amp;"年"&amp;MONTH(C442)&amp;"月")</f>
        <v/>
      </c>
    </row>
    <row r="443">
      <c r="A443" t="n">
        <v>17</v>
      </c>
      <c r="B443" t="n">
        <v>25</v>
      </c>
      <c r="C443">
        <f>IFERROR(INDEX(資格取込!$S$6:$S$405,MATCH(17&amp;"_"&amp;19,資格取込!$Z$6:$Z$405,0)),"")</f>
        <v/>
      </c>
      <c r="D443">
        <f>IFERROR(INDEX(資格取込!$R$6:$R$405,MATCH(17&amp;"_"&amp;19,資格取込!$Z$6:$Z$405,0)),"")</f>
        <v/>
      </c>
      <c r="E443">
        <f>IF(D443="","",IFERROR(INDEX(資格マスタ!$B:$B,MATCH(ASC(SUBSTITUTE(SUBSTITUTE(D443," ",""),"　","")),資格マスタ!$D:$D,0)),D443))</f>
        <v/>
      </c>
      <c r="F443">
        <f>IF(E443="","",IF(C443="",DATE(9999,1,1),C443))</f>
        <v/>
      </c>
      <c r="G443">
        <f>IF(E443="","",COUNTIFS($F$419:$F$444,"&lt;"&amp;F443,$F$419:$F$444,"&lt;&gt;")+COUNTIFS($F$419:$F$444,F443,$B$419:$B$444,"&lt;"&amp;B443)+1)</f>
        <v/>
      </c>
      <c r="H443">
        <f>IF(OR(E443="",C443=""),"",IF(C443&gt;=DATE(2019,5,1),"令和"&amp;(YEAR(C443)-2018),IF(C443&gt;=DATE(1989,1,8),"平成"&amp;(YEAR(C443)-1988),"昭和"&amp;(YEAR(C443)-1925)))&amp;"年"&amp;MONTH(C443)&amp;"月")</f>
        <v/>
      </c>
    </row>
    <row r="444">
      <c r="A444" t="n">
        <v>17</v>
      </c>
      <c r="B444" t="n">
        <v>26</v>
      </c>
      <c r="C444">
        <f>IFERROR(INDEX(資格取込!$S$6:$S$405,MATCH(17&amp;"_"&amp;20,資格取込!$Z$6:$Z$405,0)),"")</f>
        <v/>
      </c>
      <c r="D444">
        <f>IFERROR(INDEX(資格取込!$R$6:$R$405,MATCH(17&amp;"_"&amp;20,資格取込!$Z$6:$Z$405,0)),"")</f>
        <v/>
      </c>
      <c r="E444">
        <f>IF(D444="","",IFERROR(INDEX(資格マスタ!$B:$B,MATCH(ASC(SUBSTITUTE(SUBSTITUTE(D444," ",""),"　","")),資格マスタ!$D:$D,0)),D444))</f>
        <v/>
      </c>
      <c r="F444">
        <f>IF(E444="","",IF(C444="",DATE(9999,1,1),C444))</f>
        <v/>
      </c>
      <c r="G444">
        <f>IF(E444="","",COUNTIFS($F$419:$F$444,"&lt;"&amp;F444,$F$419:$F$444,"&lt;&gt;")+COUNTIFS($F$419:$F$444,F444,$B$419:$B$444,"&lt;"&amp;B444)+1)</f>
        <v/>
      </c>
      <c r="H444">
        <f>IF(OR(E444="",C444=""),"",IF(C444&gt;=DATE(2019,5,1),"令和"&amp;(YEAR(C444)-2018),IF(C444&gt;=DATE(1989,1,8),"平成"&amp;(YEAR(C444)-1988),"昭和"&amp;(YEAR(C444)-1925)))&amp;"年"&amp;MONTH(C444)&amp;"月")</f>
        <v/>
      </c>
    </row>
    <row r="445">
      <c r="A445" t="n">
        <v>18</v>
      </c>
      <c r="B445" t="n">
        <v>1</v>
      </c>
      <c r="C445"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445">
        <f>IF(入力!N22="","",入力!N22)</f>
        <v/>
      </c>
      <c r="E445">
        <f>IF(D445="","",IFERROR(INDEX(資格マスタ!$B:$B,MATCH(ASC(SUBSTITUTE(SUBSTITUTE(D445," ",""),"　","")),資格マスタ!$D:$D,0)),D445))</f>
        <v/>
      </c>
      <c r="F445">
        <f>IF(E445="","",IF(C445="",DATE(9999,1,1),C445))</f>
        <v/>
      </c>
      <c r="G445">
        <f>IF(E445="","",COUNTIFS($F$445:$F$470,"&lt;"&amp;F445,$F$445:$F$470,"&lt;&gt;")+COUNTIFS($F$445:$F$470,F445,$B$445:$B$470,"&lt;"&amp;B445)+1)</f>
        <v/>
      </c>
      <c r="H445">
        <f>IF(OR(E445="",C445=""),"",IF(C445&gt;=DATE(2019,5,1),"令和"&amp;(YEAR(C445)-2018),IF(C445&gt;=DATE(1989,1,8),"平成"&amp;(YEAR(C445)-1988),"昭和"&amp;(YEAR(C445)-1925)))&amp;"年"&amp;MONTH(C445)&amp;"月")</f>
        <v/>
      </c>
    </row>
    <row r="446">
      <c r="A446" t="n">
        <v>18</v>
      </c>
      <c r="B446" t="n">
        <v>2</v>
      </c>
      <c r="C446">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446">
        <f>IF(入力!P22="","",入力!P22)</f>
        <v/>
      </c>
      <c r="E446">
        <f>IF(D446="","",IFERROR(INDEX(資格マスタ!$B:$B,MATCH(ASC(SUBSTITUTE(SUBSTITUTE(D446," ",""),"　","")),資格マスタ!$D:$D,0)),D446))</f>
        <v/>
      </c>
      <c r="F446">
        <f>IF(E446="","",IF(C446="",DATE(9999,1,1),C446))</f>
        <v/>
      </c>
      <c r="G446">
        <f>IF(E446="","",COUNTIFS($F$445:$F$470,"&lt;"&amp;F446,$F$445:$F$470,"&lt;&gt;")+COUNTIFS($F$445:$F$470,F446,$B$445:$B$470,"&lt;"&amp;B446)+1)</f>
        <v/>
      </c>
      <c r="H446">
        <f>IF(OR(E446="",C446=""),"",IF(C446&gt;=DATE(2019,5,1),"令和"&amp;(YEAR(C446)-2018),IF(C446&gt;=DATE(1989,1,8),"平成"&amp;(YEAR(C446)-1988),"昭和"&amp;(YEAR(C446)-1925)))&amp;"年"&amp;MONTH(C446)&amp;"月")</f>
        <v/>
      </c>
    </row>
    <row r="447">
      <c r="A447" t="n">
        <v>18</v>
      </c>
      <c r="B447" t="n">
        <v>3</v>
      </c>
      <c r="C447">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447">
        <f>IF(入力!R22="","",入力!R22)</f>
        <v/>
      </c>
      <c r="E447">
        <f>IF(D447="","",IFERROR(INDEX(資格マスタ!$B:$B,MATCH(ASC(SUBSTITUTE(SUBSTITUTE(D447," ",""),"　","")),資格マスタ!$D:$D,0)),D447))</f>
        <v/>
      </c>
      <c r="F447">
        <f>IF(E447="","",IF(C447="",DATE(9999,1,1),C447))</f>
        <v/>
      </c>
      <c r="G447">
        <f>IF(E447="","",COUNTIFS($F$445:$F$470,"&lt;"&amp;F447,$F$445:$F$470,"&lt;&gt;")+COUNTIFS($F$445:$F$470,F447,$B$445:$B$470,"&lt;"&amp;B447)+1)</f>
        <v/>
      </c>
      <c r="H447">
        <f>IF(OR(E447="",C447=""),"",IF(C447&gt;=DATE(2019,5,1),"令和"&amp;(YEAR(C447)-2018),IF(C447&gt;=DATE(1989,1,8),"平成"&amp;(YEAR(C447)-1988),"昭和"&amp;(YEAR(C447)-1925)))&amp;"年"&amp;MONTH(C447)&amp;"月")</f>
        <v/>
      </c>
    </row>
    <row r="448">
      <c r="A448" t="n">
        <v>18</v>
      </c>
      <c r="B448" t="n">
        <v>4</v>
      </c>
      <c r="C448">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448">
        <f>IF(入力!T22="","",入力!T22)</f>
        <v/>
      </c>
      <c r="E448">
        <f>IF(D448="","",IFERROR(INDEX(資格マスタ!$B:$B,MATCH(ASC(SUBSTITUTE(SUBSTITUTE(D448," ",""),"　","")),資格マスタ!$D:$D,0)),D448))</f>
        <v/>
      </c>
      <c r="F448">
        <f>IF(E448="","",IF(C448="",DATE(9999,1,1),C448))</f>
        <v/>
      </c>
      <c r="G448">
        <f>IF(E448="","",COUNTIFS($F$445:$F$470,"&lt;"&amp;F448,$F$445:$F$470,"&lt;&gt;")+COUNTIFS($F$445:$F$470,F448,$B$445:$B$470,"&lt;"&amp;B448)+1)</f>
        <v/>
      </c>
      <c r="H448">
        <f>IF(OR(E448="",C448=""),"",IF(C448&gt;=DATE(2019,5,1),"令和"&amp;(YEAR(C448)-2018),IF(C448&gt;=DATE(1989,1,8),"平成"&amp;(YEAR(C448)-1988),"昭和"&amp;(YEAR(C448)-1925)))&amp;"年"&amp;MONTH(C448)&amp;"月")</f>
        <v/>
      </c>
    </row>
    <row r="449">
      <c r="A449" t="n">
        <v>18</v>
      </c>
      <c r="B449" t="n">
        <v>5</v>
      </c>
      <c r="C449">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449">
        <f>IF(入力!V22="","",入力!V22)</f>
        <v/>
      </c>
      <c r="E449">
        <f>IF(D449="","",IFERROR(INDEX(資格マスタ!$B:$B,MATCH(ASC(SUBSTITUTE(SUBSTITUTE(D449," ",""),"　","")),資格マスタ!$D:$D,0)),D449))</f>
        <v/>
      </c>
      <c r="F449">
        <f>IF(E449="","",IF(C449="",DATE(9999,1,1),C449))</f>
        <v/>
      </c>
      <c r="G449">
        <f>IF(E449="","",COUNTIFS($F$445:$F$470,"&lt;"&amp;F449,$F$445:$F$470,"&lt;&gt;")+COUNTIFS($F$445:$F$470,F449,$B$445:$B$470,"&lt;"&amp;B449)+1)</f>
        <v/>
      </c>
      <c r="H449">
        <f>IF(OR(E449="",C449=""),"",IF(C449&gt;=DATE(2019,5,1),"令和"&amp;(YEAR(C449)-2018),IF(C449&gt;=DATE(1989,1,8),"平成"&amp;(YEAR(C449)-1988),"昭和"&amp;(YEAR(C449)-1925)))&amp;"年"&amp;MONTH(C449)&amp;"月")</f>
        <v/>
      </c>
    </row>
    <row r="450">
      <c r="A450" t="n">
        <v>18</v>
      </c>
      <c r="B450" t="n">
        <v>6</v>
      </c>
      <c r="C450">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450">
        <f>IF(入力!X22="","",入力!X22)</f>
        <v/>
      </c>
      <c r="E450">
        <f>IF(D450="","",IFERROR(INDEX(資格マスタ!$B:$B,MATCH(ASC(SUBSTITUTE(SUBSTITUTE(D450," ",""),"　","")),資格マスタ!$D:$D,0)),D450))</f>
        <v/>
      </c>
      <c r="F450">
        <f>IF(E450="","",IF(C450="",DATE(9999,1,1),C450))</f>
        <v/>
      </c>
      <c r="G450">
        <f>IF(E450="","",COUNTIFS($F$445:$F$470,"&lt;"&amp;F450,$F$445:$F$470,"&lt;&gt;")+COUNTIFS($F$445:$F$470,F450,$B$445:$B$470,"&lt;"&amp;B450)+1)</f>
        <v/>
      </c>
      <c r="H450">
        <f>IF(OR(E450="",C450=""),"",IF(C450&gt;=DATE(2019,5,1),"令和"&amp;(YEAR(C450)-2018),IF(C450&gt;=DATE(1989,1,8),"平成"&amp;(YEAR(C450)-1988),"昭和"&amp;(YEAR(C450)-1925)))&amp;"年"&amp;MONTH(C450)&amp;"月")</f>
        <v/>
      </c>
    </row>
    <row r="451">
      <c r="A451" t="n">
        <v>18</v>
      </c>
      <c r="B451" t="n">
        <v>7</v>
      </c>
      <c r="C451">
        <f>IFERROR(INDEX(資格取込!$S$6:$S$405,MATCH(18&amp;"_"&amp;1,資格取込!$Z$6:$Z$405,0)),"")</f>
        <v/>
      </c>
      <c r="D451">
        <f>IFERROR(INDEX(資格取込!$R$6:$R$405,MATCH(18&amp;"_"&amp;1,資格取込!$Z$6:$Z$405,0)),"")</f>
        <v/>
      </c>
      <c r="E451">
        <f>IF(D451="","",IFERROR(INDEX(資格マスタ!$B:$B,MATCH(ASC(SUBSTITUTE(SUBSTITUTE(D451," ",""),"　","")),資格マスタ!$D:$D,0)),D451))</f>
        <v/>
      </c>
      <c r="F451">
        <f>IF(E451="","",IF(C451="",DATE(9999,1,1),C451))</f>
        <v/>
      </c>
      <c r="G451">
        <f>IF(E451="","",COUNTIFS($F$445:$F$470,"&lt;"&amp;F451,$F$445:$F$470,"&lt;&gt;")+COUNTIFS($F$445:$F$470,F451,$B$445:$B$470,"&lt;"&amp;B451)+1)</f>
        <v/>
      </c>
      <c r="H451">
        <f>IF(OR(E451="",C451=""),"",IF(C451&gt;=DATE(2019,5,1),"令和"&amp;(YEAR(C451)-2018),IF(C451&gt;=DATE(1989,1,8),"平成"&amp;(YEAR(C451)-1988),"昭和"&amp;(YEAR(C451)-1925)))&amp;"年"&amp;MONTH(C451)&amp;"月")</f>
        <v/>
      </c>
    </row>
    <row r="452">
      <c r="A452" t="n">
        <v>18</v>
      </c>
      <c r="B452" t="n">
        <v>8</v>
      </c>
      <c r="C452">
        <f>IFERROR(INDEX(資格取込!$S$6:$S$405,MATCH(18&amp;"_"&amp;2,資格取込!$Z$6:$Z$405,0)),"")</f>
        <v/>
      </c>
      <c r="D452">
        <f>IFERROR(INDEX(資格取込!$R$6:$R$405,MATCH(18&amp;"_"&amp;2,資格取込!$Z$6:$Z$405,0)),"")</f>
        <v/>
      </c>
      <c r="E452">
        <f>IF(D452="","",IFERROR(INDEX(資格マスタ!$B:$B,MATCH(ASC(SUBSTITUTE(SUBSTITUTE(D452," ",""),"　","")),資格マスタ!$D:$D,0)),D452))</f>
        <v/>
      </c>
      <c r="F452">
        <f>IF(E452="","",IF(C452="",DATE(9999,1,1),C452))</f>
        <v/>
      </c>
      <c r="G452">
        <f>IF(E452="","",COUNTIFS($F$445:$F$470,"&lt;"&amp;F452,$F$445:$F$470,"&lt;&gt;")+COUNTIFS($F$445:$F$470,F452,$B$445:$B$470,"&lt;"&amp;B452)+1)</f>
        <v/>
      </c>
      <c r="H452">
        <f>IF(OR(E452="",C452=""),"",IF(C452&gt;=DATE(2019,5,1),"令和"&amp;(YEAR(C452)-2018),IF(C452&gt;=DATE(1989,1,8),"平成"&amp;(YEAR(C452)-1988),"昭和"&amp;(YEAR(C452)-1925)))&amp;"年"&amp;MONTH(C452)&amp;"月")</f>
        <v/>
      </c>
    </row>
    <row r="453">
      <c r="A453" t="n">
        <v>18</v>
      </c>
      <c r="B453" t="n">
        <v>9</v>
      </c>
      <c r="C453">
        <f>IFERROR(INDEX(資格取込!$S$6:$S$405,MATCH(18&amp;"_"&amp;3,資格取込!$Z$6:$Z$405,0)),"")</f>
        <v/>
      </c>
      <c r="D453">
        <f>IFERROR(INDEX(資格取込!$R$6:$R$405,MATCH(18&amp;"_"&amp;3,資格取込!$Z$6:$Z$405,0)),"")</f>
        <v/>
      </c>
      <c r="E453">
        <f>IF(D453="","",IFERROR(INDEX(資格マスタ!$B:$B,MATCH(ASC(SUBSTITUTE(SUBSTITUTE(D453," ",""),"　","")),資格マスタ!$D:$D,0)),D453))</f>
        <v/>
      </c>
      <c r="F453">
        <f>IF(E453="","",IF(C453="",DATE(9999,1,1),C453))</f>
        <v/>
      </c>
      <c r="G453">
        <f>IF(E453="","",COUNTIFS($F$445:$F$470,"&lt;"&amp;F453,$F$445:$F$470,"&lt;&gt;")+COUNTIFS($F$445:$F$470,F453,$B$445:$B$470,"&lt;"&amp;B453)+1)</f>
        <v/>
      </c>
      <c r="H453">
        <f>IF(OR(E453="",C453=""),"",IF(C453&gt;=DATE(2019,5,1),"令和"&amp;(YEAR(C453)-2018),IF(C453&gt;=DATE(1989,1,8),"平成"&amp;(YEAR(C453)-1988),"昭和"&amp;(YEAR(C453)-1925)))&amp;"年"&amp;MONTH(C453)&amp;"月")</f>
        <v/>
      </c>
    </row>
    <row r="454">
      <c r="A454" t="n">
        <v>18</v>
      </c>
      <c r="B454" t="n">
        <v>10</v>
      </c>
      <c r="C454">
        <f>IFERROR(INDEX(資格取込!$S$6:$S$405,MATCH(18&amp;"_"&amp;4,資格取込!$Z$6:$Z$405,0)),"")</f>
        <v/>
      </c>
      <c r="D454">
        <f>IFERROR(INDEX(資格取込!$R$6:$R$405,MATCH(18&amp;"_"&amp;4,資格取込!$Z$6:$Z$405,0)),"")</f>
        <v/>
      </c>
      <c r="E454">
        <f>IF(D454="","",IFERROR(INDEX(資格マスタ!$B:$B,MATCH(ASC(SUBSTITUTE(SUBSTITUTE(D454," ",""),"　","")),資格マスタ!$D:$D,0)),D454))</f>
        <v/>
      </c>
      <c r="F454">
        <f>IF(E454="","",IF(C454="",DATE(9999,1,1),C454))</f>
        <v/>
      </c>
      <c r="G454">
        <f>IF(E454="","",COUNTIFS($F$445:$F$470,"&lt;"&amp;F454,$F$445:$F$470,"&lt;&gt;")+COUNTIFS($F$445:$F$470,F454,$B$445:$B$470,"&lt;"&amp;B454)+1)</f>
        <v/>
      </c>
      <c r="H454">
        <f>IF(OR(E454="",C454=""),"",IF(C454&gt;=DATE(2019,5,1),"令和"&amp;(YEAR(C454)-2018),IF(C454&gt;=DATE(1989,1,8),"平成"&amp;(YEAR(C454)-1988),"昭和"&amp;(YEAR(C454)-1925)))&amp;"年"&amp;MONTH(C454)&amp;"月")</f>
        <v/>
      </c>
    </row>
    <row r="455">
      <c r="A455" t="n">
        <v>18</v>
      </c>
      <c r="B455" t="n">
        <v>11</v>
      </c>
      <c r="C455">
        <f>IFERROR(INDEX(資格取込!$S$6:$S$405,MATCH(18&amp;"_"&amp;5,資格取込!$Z$6:$Z$405,0)),"")</f>
        <v/>
      </c>
      <c r="D455">
        <f>IFERROR(INDEX(資格取込!$R$6:$R$405,MATCH(18&amp;"_"&amp;5,資格取込!$Z$6:$Z$405,0)),"")</f>
        <v/>
      </c>
      <c r="E455">
        <f>IF(D455="","",IFERROR(INDEX(資格マスタ!$B:$B,MATCH(ASC(SUBSTITUTE(SUBSTITUTE(D455," ",""),"　","")),資格マスタ!$D:$D,0)),D455))</f>
        <v/>
      </c>
      <c r="F455">
        <f>IF(E455="","",IF(C455="",DATE(9999,1,1),C455))</f>
        <v/>
      </c>
      <c r="G455">
        <f>IF(E455="","",COUNTIFS($F$445:$F$470,"&lt;"&amp;F455,$F$445:$F$470,"&lt;&gt;")+COUNTIFS($F$445:$F$470,F455,$B$445:$B$470,"&lt;"&amp;B455)+1)</f>
        <v/>
      </c>
      <c r="H455">
        <f>IF(OR(E455="",C455=""),"",IF(C455&gt;=DATE(2019,5,1),"令和"&amp;(YEAR(C455)-2018),IF(C455&gt;=DATE(1989,1,8),"平成"&amp;(YEAR(C455)-1988),"昭和"&amp;(YEAR(C455)-1925)))&amp;"年"&amp;MONTH(C455)&amp;"月")</f>
        <v/>
      </c>
    </row>
    <row r="456">
      <c r="A456" t="n">
        <v>18</v>
      </c>
      <c r="B456" t="n">
        <v>12</v>
      </c>
      <c r="C456">
        <f>IFERROR(INDEX(資格取込!$S$6:$S$405,MATCH(18&amp;"_"&amp;6,資格取込!$Z$6:$Z$405,0)),"")</f>
        <v/>
      </c>
      <c r="D456">
        <f>IFERROR(INDEX(資格取込!$R$6:$R$405,MATCH(18&amp;"_"&amp;6,資格取込!$Z$6:$Z$405,0)),"")</f>
        <v/>
      </c>
      <c r="E456">
        <f>IF(D456="","",IFERROR(INDEX(資格マスタ!$B:$B,MATCH(ASC(SUBSTITUTE(SUBSTITUTE(D456," ",""),"　","")),資格マスタ!$D:$D,0)),D456))</f>
        <v/>
      </c>
      <c r="F456">
        <f>IF(E456="","",IF(C456="",DATE(9999,1,1),C456))</f>
        <v/>
      </c>
      <c r="G456">
        <f>IF(E456="","",COUNTIFS($F$445:$F$470,"&lt;"&amp;F456,$F$445:$F$470,"&lt;&gt;")+COUNTIFS($F$445:$F$470,F456,$B$445:$B$470,"&lt;"&amp;B456)+1)</f>
        <v/>
      </c>
      <c r="H456">
        <f>IF(OR(E456="",C456=""),"",IF(C456&gt;=DATE(2019,5,1),"令和"&amp;(YEAR(C456)-2018),IF(C456&gt;=DATE(1989,1,8),"平成"&amp;(YEAR(C456)-1988),"昭和"&amp;(YEAR(C456)-1925)))&amp;"年"&amp;MONTH(C456)&amp;"月")</f>
        <v/>
      </c>
    </row>
    <row r="457">
      <c r="A457" t="n">
        <v>18</v>
      </c>
      <c r="B457" t="n">
        <v>13</v>
      </c>
      <c r="C457">
        <f>IFERROR(INDEX(資格取込!$S$6:$S$405,MATCH(18&amp;"_"&amp;7,資格取込!$Z$6:$Z$405,0)),"")</f>
        <v/>
      </c>
      <c r="D457">
        <f>IFERROR(INDEX(資格取込!$R$6:$R$405,MATCH(18&amp;"_"&amp;7,資格取込!$Z$6:$Z$405,0)),"")</f>
        <v/>
      </c>
      <c r="E457">
        <f>IF(D457="","",IFERROR(INDEX(資格マスタ!$B:$B,MATCH(ASC(SUBSTITUTE(SUBSTITUTE(D457," ",""),"　","")),資格マスタ!$D:$D,0)),D457))</f>
        <v/>
      </c>
      <c r="F457">
        <f>IF(E457="","",IF(C457="",DATE(9999,1,1),C457))</f>
        <v/>
      </c>
      <c r="G457">
        <f>IF(E457="","",COUNTIFS($F$445:$F$470,"&lt;"&amp;F457,$F$445:$F$470,"&lt;&gt;")+COUNTIFS($F$445:$F$470,F457,$B$445:$B$470,"&lt;"&amp;B457)+1)</f>
        <v/>
      </c>
      <c r="H457">
        <f>IF(OR(E457="",C457=""),"",IF(C457&gt;=DATE(2019,5,1),"令和"&amp;(YEAR(C457)-2018),IF(C457&gt;=DATE(1989,1,8),"平成"&amp;(YEAR(C457)-1988),"昭和"&amp;(YEAR(C457)-1925)))&amp;"年"&amp;MONTH(C457)&amp;"月")</f>
        <v/>
      </c>
    </row>
    <row r="458">
      <c r="A458" t="n">
        <v>18</v>
      </c>
      <c r="B458" t="n">
        <v>14</v>
      </c>
      <c r="C458">
        <f>IFERROR(INDEX(資格取込!$S$6:$S$405,MATCH(18&amp;"_"&amp;8,資格取込!$Z$6:$Z$405,0)),"")</f>
        <v/>
      </c>
      <c r="D458">
        <f>IFERROR(INDEX(資格取込!$R$6:$R$405,MATCH(18&amp;"_"&amp;8,資格取込!$Z$6:$Z$405,0)),"")</f>
        <v/>
      </c>
      <c r="E458">
        <f>IF(D458="","",IFERROR(INDEX(資格マスタ!$B:$B,MATCH(ASC(SUBSTITUTE(SUBSTITUTE(D458," ",""),"　","")),資格マスタ!$D:$D,0)),D458))</f>
        <v/>
      </c>
      <c r="F458">
        <f>IF(E458="","",IF(C458="",DATE(9999,1,1),C458))</f>
        <v/>
      </c>
      <c r="G458">
        <f>IF(E458="","",COUNTIFS($F$445:$F$470,"&lt;"&amp;F458,$F$445:$F$470,"&lt;&gt;")+COUNTIFS($F$445:$F$470,F458,$B$445:$B$470,"&lt;"&amp;B458)+1)</f>
        <v/>
      </c>
      <c r="H458">
        <f>IF(OR(E458="",C458=""),"",IF(C458&gt;=DATE(2019,5,1),"令和"&amp;(YEAR(C458)-2018),IF(C458&gt;=DATE(1989,1,8),"平成"&amp;(YEAR(C458)-1988),"昭和"&amp;(YEAR(C458)-1925)))&amp;"年"&amp;MONTH(C458)&amp;"月")</f>
        <v/>
      </c>
    </row>
    <row r="459">
      <c r="A459" t="n">
        <v>18</v>
      </c>
      <c r="B459" t="n">
        <v>15</v>
      </c>
      <c r="C459">
        <f>IFERROR(INDEX(資格取込!$S$6:$S$405,MATCH(18&amp;"_"&amp;9,資格取込!$Z$6:$Z$405,0)),"")</f>
        <v/>
      </c>
      <c r="D459">
        <f>IFERROR(INDEX(資格取込!$R$6:$R$405,MATCH(18&amp;"_"&amp;9,資格取込!$Z$6:$Z$405,0)),"")</f>
        <v/>
      </c>
      <c r="E459">
        <f>IF(D459="","",IFERROR(INDEX(資格マスタ!$B:$B,MATCH(ASC(SUBSTITUTE(SUBSTITUTE(D459," ",""),"　","")),資格マスタ!$D:$D,0)),D459))</f>
        <v/>
      </c>
      <c r="F459">
        <f>IF(E459="","",IF(C459="",DATE(9999,1,1),C459))</f>
        <v/>
      </c>
      <c r="G459">
        <f>IF(E459="","",COUNTIFS($F$445:$F$470,"&lt;"&amp;F459,$F$445:$F$470,"&lt;&gt;")+COUNTIFS($F$445:$F$470,F459,$B$445:$B$470,"&lt;"&amp;B459)+1)</f>
        <v/>
      </c>
      <c r="H459">
        <f>IF(OR(E459="",C459=""),"",IF(C459&gt;=DATE(2019,5,1),"令和"&amp;(YEAR(C459)-2018),IF(C459&gt;=DATE(1989,1,8),"平成"&amp;(YEAR(C459)-1988),"昭和"&amp;(YEAR(C459)-1925)))&amp;"年"&amp;MONTH(C459)&amp;"月")</f>
        <v/>
      </c>
    </row>
    <row r="460">
      <c r="A460" t="n">
        <v>18</v>
      </c>
      <c r="B460" t="n">
        <v>16</v>
      </c>
      <c r="C460">
        <f>IFERROR(INDEX(資格取込!$S$6:$S$405,MATCH(18&amp;"_"&amp;10,資格取込!$Z$6:$Z$405,0)),"")</f>
        <v/>
      </c>
      <c r="D460">
        <f>IFERROR(INDEX(資格取込!$R$6:$R$405,MATCH(18&amp;"_"&amp;10,資格取込!$Z$6:$Z$405,0)),"")</f>
        <v/>
      </c>
      <c r="E460">
        <f>IF(D460="","",IFERROR(INDEX(資格マスタ!$B:$B,MATCH(ASC(SUBSTITUTE(SUBSTITUTE(D460," ",""),"　","")),資格マスタ!$D:$D,0)),D460))</f>
        <v/>
      </c>
      <c r="F460">
        <f>IF(E460="","",IF(C460="",DATE(9999,1,1),C460))</f>
        <v/>
      </c>
      <c r="G460">
        <f>IF(E460="","",COUNTIFS($F$445:$F$470,"&lt;"&amp;F460,$F$445:$F$470,"&lt;&gt;")+COUNTIFS($F$445:$F$470,F460,$B$445:$B$470,"&lt;"&amp;B460)+1)</f>
        <v/>
      </c>
      <c r="H460">
        <f>IF(OR(E460="",C460=""),"",IF(C460&gt;=DATE(2019,5,1),"令和"&amp;(YEAR(C460)-2018),IF(C460&gt;=DATE(1989,1,8),"平成"&amp;(YEAR(C460)-1988),"昭和"&amp;(YEAR(C460)-1925)))&amp;"年"&amp;MONTH(C460)&amp;"月")</f>
        <v/>
      </c>
    </row>
    <row r="461">
      <c r="A461" t="n">
        <v>18</v>
      </c>
      <c r="B461" t="n">
        <v>17</v>
      </c>
      <c r="C461">
        <f>IFERROR(INDEX(資格取込!$S$6:$S$405,MATCH(18&amp;"_"&amp;11,資格取込!$Z$6:$Z$405,0)),"")</f>
        <v/>
      </c>
      <c r="D461">
        <f>IFERROR(INDEX(資格取込!$R$6:$R$405,MATCH(18&amp;"_"&amp;11,資格取込!$Z$6:$Z$405,0)),"")</f>
        <v/>
      </c>
      <c r="E461">
        <f>IF(D461="","",IFERROR(INDEX(資格マスタ!$B:$B,MATCH(ASC(SUBSTITUTE(SUBSTITUTE(D461," ",""),"　","")),資格マスタ!$D:$D,0)),D461))</f>
        <v/>
      </c>
      <c r="F461">
        <f>IF(E461="","",IF(C461="",DATE(9999,1,1),C461))</f>
        <v/>
      </c>
      <c r="G461">
        <f>IF(E461="","",COUNTIFS($F$445:$F$470,"&lt;"&amp;F461,$F$445:$F$470,"&lt;&gt;")+COUNTIFS($F$445:$F$470,F461,$B$445:$B$470,"&lt;"&amp;B461)+1)</f>
        <v/>
      </c>
      <c r="H461">
        <f>IF(OR(E461="",C461=""),"",IF(C461&gt;=DATE(2019,5,1),"令和"&amp;(YEAR(C461)-2018),IF(C461&gt;=DATE(1989,1,8),"平成"&amp;(YEAR(C461)-1988),"昭和"&amp;(YEAR(C461)-1925)))&amp;"年"&amp;MONTH(C461)&amp;"月")</f>
        <v/>
      </c>
    </row>
    <row r="462">
      <c r="A462" t="n">
        <v>18</v>
      </c>
      <c r="B462" t="n">
        <v>18</v>
      </c>
      <c r="C462">
        <f>IFERROR(INDEX(資格取込!$S$6:$S$405,MATCH(18&amp;"_"&amp;12,資格取込!$Z$6:$Z$405,0)),"")</f>
        <v/>
      </c>
      <c r="D462">
        <f>IFERROR(INDEX(資格取込!$R$6:$R$405,MATCH(18&amp;"_"&amp;12,資格取込!$Z$6:$Z$405,0)),"")</f>
        <v/>
      </c>
      <c r="E462">
        <f>IF(D462="","",IFERROR(INDEX(資格マスタ!$B:$B,MATCH(ASC(SUBSTITUTE(SUBSTITUTE(D462," ",""),"　","")),資格マスタ!$D:$D,0)),D462))</f>
        <v/>
      </c>
      <c r="F462">
        <f>IF(E462="","",IF(C462="",DATE(9999,1,1),C462))</f>
        <v/>
      </c>
      <c r="G462">
        <f>IF(E462="","",COUNTIFS($F$445:$F$470,"&lt;"&amp;F462,$F$445:$F$470,"&lt;&gt;")+COUNTIFS($F$445:$F$470,F462,$B$445:$B$470,"&lt;"&amp;B462)+1)</f>
        <v/>
      </c>
      <c r="H462">
        <f>IF(OR(E462="",C462=""),"",IF(C462&gt;=DATE(2019,5,1),"令和"&amp;(YEAR(C462)-2018),IF(C462&gt;=DATE(1989,1,8),"平成"&amp;(YEAR(C462)-1988),"昭和"&amp;(YEAR(C462)-1925)))&amp;"年"&amp;MONTH(C462)&amp;"月")</f>
        <v/>
      </c>
    </row>
    <row r="463">
      <c r="A463" t="n">
        <v>18</v>
      </c>
      <c r="B463" t="n">
        <v>19</v>
      </c>
      <c r="C463">
        <f>IFERROR(INDEX(資格取込!$S$6:$S$405,MATCH(18&amp;"_"&amp;13,資格取込!$Z$6:$Z$405,0)),"")</f>
        <v/>
      </c>
      <c r="D463">
        <f>IFERROR(INDEX(資格取込!$R$6:$R$405,MATCH(18&amp;"_"&amp;13,資格取込!$Z$6:$Z$405,0)),"")</f>
        <v/>
      </c>
      <c r="E463">
        <f>IF(D463="","",IFERROR(INDEX(資格マスタ!$B:$B,MATCH(ASC(SUBSTITUTE(SUBSTITUTE(D463," ",""),"　","")),資格マスタ!$D:$D,0)),D463))</f>
        <v/>
      </c>
      <c r="F463">
        <f>IF(E463="","",IF(C463="",DATE(9999,1,1),C463))</f>
        <v/>
      </c>
      <c r="G463">
        <f>IF(E463="","",COUNTIFS($F$445:$F$470,"&lt;"&amp;F463,$F$445:$F$470,"&lt;&gt;")+COUNTIFS($F$445:$F$470,F463,$B$445:$B$470,"&lt;"&amp;B463)+1)</f>
        <v/>
      </c>
      <c r="H463">
        <f>IF(OR(E463="",C463=""),"",IF(C463&gt;=DATE(2019,5,1),"令和"&amp;(YEAR(C463)-2018),IF(C463&gt;=DATE(1989,1,8),"平成"&amp;(YEAR(C463)-1988),"昭和"&amp;(YEAR(C463)-1925)))&amp;"年"&amp;MONTH(C463)&amp;"月")</f>
        <v/>
      </c>
    </row>
    <row r="464">
      <c r="A464" t="n">
        <v>18</v>
      </c>
      <c r="B464" t="n">
        <v>20</v>
      </c>
      <c r="C464">
        <f>IFERROR(INDEX(資格取込!$S$6:$S$405,MATCH(18&amp;"_"&amp;14,資格取込!$Z$6:$Z$405,0)),"")</f>
        <v/>
      </c>
      <c r="D464">
        <f>IFERROR(INDEX(資格取込!$R$6:$R$405,MATCH(18&amp;"_"&amp;14,資格取込!$Z$6:$Z$405,0)),"")</f>
        <v/>
      </c>
      <c r="E464">
        <f>IF(D464="","",IFERROR(INDEX(資格マスタ!$B:$B,MATCH(ASC(SUBSTITUTE(SUBSTITUTE(D464," ",""),"　","")),資格マスタ!$D:$D,0)),D464))</f>
        <v/>
      </c>
      <c r="F464">
        <f>IF(E464="","",IF(C464="",DATE(9999,1,1),C464))</f>
        <v/>
      </c>
      <c r="G464">
        <f>IF(E464="","",COUNTIFS($F$445:$F$470,"&lt;"&amp;F464,$F$445:$F$470,"&lt;&gt;")+COUNTIFS($F$445:$F$470,F464,$B$445:$B$470,"&lt;"&amp;B464)+1)</f>
        <v/>
      </c>
      <c r="H464">
        <f>IF(OR(E464="",C464=""),"",IF(C464&gt;=DATE(2019,5,1),"令和"&amp;(YEAR(C464)-2018),IF(C464&gt;=DATE(1989,1,8),"平成"&amp;(YEAR(C464)-1988),"昭和"&amp;(YEAR(C464)-1925)))&amp;"年"&amp;MONTH(C464)&amp;"月")</f>
        <v/>
      </c>
    </row>
    <row r="465">
      <c r="A465" t="n">
        <v>18</v>
      </c>
      <c r="B465" t="n">
        <v>21</v>
      </c>
      <c r="C465">
        <f>IFERROR(INDEX(資格取込!$S$6:$S$405,MATCH(18&amp;"_"&amp;15,資格取込!$Z$6:$Z$405,0)),"")</f>
        <v/>
      </c>
      <c r="D465">
        <f>IFERROR(INDEX(資格取込!$R$6:$R$405,MATCH(18&amp;"_"&amp;15,資格取込!$Z$6:$Z$405,0)),"")</f>
        <v/>
      </c>
      <c r="E465">
        <f>IF(D465="","",IFERROR(INDEX(資格マスタ!$B:$B,MATCH(ASC(SUBSTITUTE(SUBSTITUTE(D465," ",""),"　","")),資格マスタ!$D:$D,0)),D465))</f>
        <v/>
      </c>
      <c r="F465">
        <f>IF(E465="","",IF(C465="",DATE(9999,1,1),C465))</f>
        <v/>
      </c>
      <c r="G465">
        <f>IF(E465="","",COUNTIFS($F$445:$F$470,"&lt;"&amp;F465,$F$445:$F$470,"&lt;&gt;")+COUNTIFS($F$445:$F$470,F465,$B$445:$B$470,"&lt;"&amp;B465)+1)</f>
        <v/>
      </c>
      <c r="H465">
        <f>IF(OR(E465="",C465=""),"",IF(C465&gt;=DATE(2019,5,1),"令和"&amp;(YEAR(C465)-2018),IF(C465&gt;=DATE(1989,1,8),"平成"&amp;(YEAR(C465)-1988),"昭和"&amp;(YEAR(C465)-1925)))&amp;"年"&amp;MONTH(C465)&amp;"月")</f>
        <v/>
      </c>
    </row>
    <row r="466">
      <c r="A466" t="n">
        <v>18</v>
      </c>
      <c r="B466" t="n">
        <v>22</v>
      </c>
      <c r="C466">
        <f>IFERROR(INDEX(資格取込!$S$6:$S$405,MATCH(18&amp;"_"&amp;16,資格取込!$Z$6:$Z$405,0)),"")</f>
        <v/>
      </c>
      <c r="D466">
        <f>IFERROR(INDEX(資格取込!$R$6:$R$405,MATCH(18&amp;"_"&amp;16,資格取込!$Z$6:$Z$405,0)),"")</f>
        <v/>
      </c>
      <c r="E466">
        <f>IF(D466="","",IFERROR(INDEX(資格マスタ!$B:$B,MATCH(ASC(SUBSTITUTE(SUBSTITUTE(D466," ",""),"　","")),資格マスタ!$D:$D,0)),D466))</f>
        <v/>
      </c>
      <c r="F466">
        <f>IF(E466="","",IF(C466="",DATE(9999,1,1),C466))</f>
        <v/>
      </c>
      <c r="G466">
        <f>IF(E466="","",COUNTIFS($F$445:$F$470,"&lt;"&amp;F466,$F$445:$F$470,"&lt;&gt;")+COUNTIFS($F$445:$F$470,F466,$B$445:$B$470,"&lt;"&amp;B466)+1)</f>
        <v/>
      </c>
      <c r="H466">
        <f>IF(OR(E466="",C466=""),"",IF(C466&gt;=DATE(2019,5,1),"令和"&amp;(YEAR(C466)-2018),IF(C466&gt;=DATE(1989,1,8),"平成"&amp;(YEAR(C466)-1988),"昭和"&amp;(YEAR(C466)-1925)))&amp;"年"&amp;MONTH(C466)&amp;"月")</f>
        <v/>
      </c>
    </row>
    <row r="467">
      <c r="A467" t="n">
        <v>18</v>
      </c>
      <c r="B467" t="n">
        <v>23</v>
      </c>
      <c r="C467">
        <f>IFERROR(INDEX(資格取込!$S$6:$S$405,MATCH(18&amp;"_"&amp;17,資格取込!$Z$6:$Z$405,0)),"")</f>
        <v/>
      </c>
      <c r="D467">
        <f>IFERROR(INDEX(資格取込!$R$6:$R$405,MATCH(18&amp;"_"&amp;17,資格取込!$Z$6:$Z$405,0)),"")</f>
        <v/>
      </c>
      <c r="E467">
        <f>IF(D467="","",IFERROR(INDEX(資格マスタ!$B:$B,MATCH(ASC(SUBSTITUTE(SUBSTITUTE(D467," ",""),"　","")),資格マスタ!$D:$D,0)),D467))</f>
        <v/>
      </c>
      <c r="F467">
        <f>IF(E467="","",IF(C467="",DATE(9999,1,1),C467))</f>
        <v/>
      </c>
      <c r="G467">
        <f>IF(E467="","",COUNTIFS($F$445:$F$470,"&lt;"&amp;F467,$F$445:$F$470,"&lt;&gt;")+COUNTIFS($F$445:$F$470,F467,$B$445:$B$470,"&lt;"&amp;B467)+1)</f>
        <v/>
      </c>
      <c r="H467">
        <f>IF(OR(E467="",C467=""),"",IF(C467&gt;=DATE(2019,5,1),"令和"&amp;(YEAR(C467)-2018),IF(C467&gt;=DATE(1989,1,8),"平成"&amp;(YEAR(C467)-1988),"昭和"&amp;(YEAR(C467)-1925)))&amp;"年"&amp;MONTH(C467)&amp;"月")</f>
        <v/>
      </c>
    </row>
    <row r="468">
      <c r="A468" t="n">
        <v>18</v>
      </c>
      <c r="B468" t="n">
        <v>24</v>
      </c>
      <c r="C468">
        <f>IFERROR(INDEX(資格取込!$S$6:$S$405,MATCH(18&amp;"_"&amp;18,資格取込!$Z$6:$Z$405,0)),"")</f>
        <v/>
      </c>
      <c r="D468">
        <f>IFERROR(INDEX(資格取込!$R$6:$R$405,MATCH(18&amp;"_"&amp;18,資格取込!$Z$6:$Z$405,0)),"")</f>
        <v/>
      </c>
      <c r="E468">
        <f>IF(D468="","",IFERROR(INDEX(資格マスタ!$B:$B,MATCH(ASC(SUBSTITUTE(SUBSTITUTE(D468," ",""),"　","")),資格マスタ!$D:$D,0)),D468))</f>
        <v/>
      </c>
      <c r="F468">
        <f>IF(E468="","",IF(C468="",DATE(9999,1,1),C468))</f>
        <v/>
      </c>
      <c r="G468">
        <f>IF(E468="","",COUNTIFS($F$445:$F$470,"&lt;"&amp;F468,$F$445:$F$470,"&lt;&gt;")+COUNTIFS($F$445:$F$470,F468,$B$445:$B$470,"&lt;"&amp;B468)+1)</f>
        <v/>
      </c>
      <c r="H468">
        <f>IF(OR(E468="",C468=""),"",IF(C468&gt;=DATE(2019,5,1),"令和"&amp;(YEAR(C468)-2018),IF(C468&gt;=DATE(1989,1,8),"平成"&amp;(YEAR(C468)-1988),"昭和"&amp;(YEAR(C468)-1925)))&amp;"年"&amp;MONTH(C468)&amp;"月")</f>
        <v/>
      </c>
    </row>
    <row r="469">
      <c r="A469" t="n">
        <v>18</v>
      </c>
      <c r="B469" t="n">
        <v>25</v>
      </c>
      <c r="C469">
        <f>IFERROR(INDEX(資格取込!$S$6:$S$405,MATCH(18&amp;"_"&amp;19,資格取込!$Z$6:$Z$405,0)),"")</f>
        <v/>
      </c>
      <c r="D469">
        <f>IFERROR(INDEX(資格取込!$R$6:$R$405,MATCH(18&amp;"_"&amp;19,資格取込!$Z$6:$Z$405,0)),"")</f>
        <v/>
      </c>
      <c r="E469">
        <f>IF(D469="","",IFERROR(INDEX(資格マスタ!$B:$B,MATCH(ASC(SUBSTITUTE(SUBSTITUTE(D469," ",""),"　","")),資格マスタ!$D:$D,0)),D469))</f>
        <v/>
      </c>
      <c r="F469">
        <f>IF(E469="","",IF(C469="",DATE(9999,1,1),C469))</f>
        <v/>
      </c>
      <c r="G469">
        <f>IF(E469="","",COUNTIFS($F$445:$F$470,"&lt;"&amp;F469,$F$445:$F$470,"&lt;&gt;")+COUNTIFS($F$445:$F$470,F469,$B$445:$B$470,"&lt;"&amp;B469)+1)</f>
        <v/>
      </c>
      <c r="H469">
        <f>IF(OR(E469="",C469=""),"",IF(C469&gt;=DATE(2019,5,1),"令和"&amp;(YEAR(C469)-2018),IF(C469&gt;=DATE(1989,1,8),"平成"&amp;(YEAR(C469)-1988),"昭和"&amp;(YEAR(C469)-1925)))&amp;"年"&amp;MONTH(C469)&amp;"月")</f>
        <v/>
      </c>
    </row>
    <row r="470">
      <c r="A470" t="n">
        <v>18</v>
      </c>
      <c r="B470" t="n">
        <v>26</v>
      </c>
      <c r="C470">
        <f>IFERROR(INDEX(資格取込!$S$6:$S$405,MATCH(18&amp;"_"&amp;20,資格取込!$Z$6:$Z$405,0)),"")</f>
        <v/>
      </c>
      <c r="D470">
        <f>IFERROR(INDEX(資格取込!$R$6:$R$405,MATCH(18&amp;"_"&amp;20,資格取込!$Z$6:$Z$405,0)),"")</f>
        <v/>
      </c>
      <c r="E470">
        <f>IF(D470="","",IFERROR(INDEX(資格マスタ!$B:$B,MATCH(ASC(SUBSTITUTE(SUBSTITUTE(D470," ",""),"　","")),資格マスタ!$D:$D,0)),D470))</f>
        <v/>
      </c>
      <c r="F470">
        <f>IF(E470="","",IF(C470="",DATE(9999,1,1),C470))</f>
        <v/>
      </c>
      <c r="G470">
        <f>IF(E470="","",COUNTIFS($F$445:$F$470,"&lt;"&amp;F470,$F$445:$F$470,"&lt;&gt;")+COUNTIFS($F$445:$F$470,F470,$B$445:$B$470,"&lt;"&amp;B470)+1)</f>
        <v/>
      </c>
      <c r="H470">
        <f>IF(OR(E470="",C470=""),"",IF(C470&gt;=DATE(2019,5,1),"令和"&amp;(YEAR(C470)-2018),IF(C470&gt;=DATE(1989,1,8),"平成"&amp;(YEAR(C470)-1988),"昭和"&amp;(YEAR(C470)-1925)))&amp;"年"&amp;MONTH(C470)&amp;"月")</f>
        <v/>
      </c>
    </row>
    <row r="471">
      <c r="A471" t="n">
        <v>19</v>
      </c>
      <c r="B471" t="n">
        <v>1</v>
      </c>
      <c r="C471"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471">
        <f>IF(入力!N23="","",入力!N23)</f>
        <v/>
      </c>
      <c r="E471">
        <f>IF(D471="","",IFERROR(INDEX(資格マスタ!$B:$B,MATCH(ASC(SUBSTITUTE(SUBSTITUTE(D471," ",""),"　","")),資格マスタ!$D:$D,0)),D471))</f>
        <v/>
      </c>
      <c r="F471">
        <f>IF(E471="","",IF(C471="",DATE(9999,1,1),C471))</f>
        <v/>
      </c>
      <c r="G471">
        <f>IF(E471="","",COUNTIFS($F$471:$F$496,"&lt;"&amp;F471,$F$471:$F$496,"&lt;&gt;")+COUNTIFS($F$471:$F$496,F471,$B$471:$B$496,"&lt;"&amp;B471)+1)</f>
        <v/>
      </c>
      <c r="H471">
        <f>IF(OR(E471="",C471=""),"",IF(C471&gt;=DATE(2019,5,1),"令和"&amp;(YEAR(C471)-2018),IF(C471&gt;=DATE(1989,1,8),"平成"&amp;(YEAR(C471)-1988),"昭和"&amp;(YEAR(C471)-1925)))&amp;"年"&amp;MONTH(C471)&amp;"月")</f>
        <v/>
      </c>
    </row>
    <row r="472">
      <c r="A472" t="n">
        <v>19</v>
      </c>
      <c r="B472" t="n">
        <v>2</v>
      </c>
      <c r="C472">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472">
        <f>IF(入力!P23="","",入力!P23)</f>
        <v/>
      </c>
      <c r="E472">
        <f>IF(D472="","",IFERROR(INDEX(資格マスタ!$B:$B,MATCH(ASC(SUBSTITUTE(SUBSTITUTE(D472," ",""),"　","")),資格マスタ!$D:$D,0)),D472))</f>
        <v/>
      </c>
      <c r="F472">
        <f>IF(E472="","",IF(C472="",DATE(9999,1,1),C472))</f>
        <v/>
      </c>
      <c r="G472">
        <f>IF(E472="","",COUNTIFS($F$471:$F$496,"&lt;"&amp;F472,$F$471:$F$496,"&lt;&gt;")+COUNTIFS($F$471:$F$496,F472,$B$471:$B$496,"&lt;"&amp;B472)+1)</f>
        <v/>
      </c>
      <c r="H472">
        <f>IF(OR(E472="",C472=""),"",IF(C472&gt;=DATE(2019,5,1),"令和"&amp;(YEAR(C472)-2018),IF(C472&gt;=DATE(1989,1,8),"平成"&amp;(YEAR(C472)-1988),"昭和"&amp;(YEAR(C472)-1925)))&amp;"年"&amp;MONTH(C472)&amp;"月")</f>
        <v/>
      </c>
    </row>
    <row r="473">
      <c r="A473" t="n">
        <v>19</v>
      </c>
      <c r="B473" t="n">
        <v>3</v>
      </c>
      <c r="C473">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473">
        <f>IF(入力!R23="","",入力!R23)</f>
        <v/>
      </c>
      <c r="E473">
        <f>IF(D473="","",IFERROR(INDEX(資格マスタ!$B:$B,MATCH(ASC(SUBSTITUTE(SUBSTITUTE(D473," ",""),"　","")),資格マスタ!$D:$D,0)),D473))</f>
        <v/>
      </c>
      <c r="F473">
        <f>IF(E473="","",IF(C473="",DATE(9999,1,1),C473))</f>
        <v/>
      </c>
      <c r="G473">
        <f>IF(E473="","",COUNTIFS($F$471:$F$496,"&lt;"&amp;F473,$F$471:$F$496,"&lt;&gt;")+COUNTIFS($F$471:$F$496,F473,$B$471:$B$496,"&lt;"&amp;B473)+1)</f>
        <v/>
      </c>
      <c r="H473">
        <f>IF(OR(E473="",C473=""),"",IF(C473&gt;=DATE(2019,5,1),"令和"&amp;(YEAR(C473)-2018),IF(C473&gt;=DATE(1989,1,8),"平成"&amp;(YEAR(C473)-1988),"昭和"&amp;(YEAR(C473)-1925)))&amp;"年"&amp;MONTH(C473)&amp;"月")</f>
        <v/>
      </c>
    </row>
    <row r="474">
      <c r="A474" t="n">
        <v>19</v>
      </c>
      <c r="B474" t="n">
        <v>4</v>
      </c>
      <c r="C474">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474">
        <f>IF(入力!T23="","",入力!T23)</f>
        <v/>
      </c>
      <c r="E474">
        <f>IF(D474="","",IFERROR(INDEX(資格マスタ!$B:$B,MATCH(ASC(SUBSTITUTE(SUBSTITUTE(D474," ",""),"　","")),資格マスタ!$D:$D,0)),D474))</f>
        <v/>
      </c>
      <c r="F474">
        <f>IF(E474="","",IF(C474="",DATE(9999,1,1),C474))</f>
        <v/>
      </c>
      <c r="G474">
        <f>IF(E474="","",COUNTIFS($F$471:$F$496,"&lt;"&amp;F474,$F$471:$F$496,"&lt;&gt;")+COUNTIFS($F$471:$F$496,F474,$B$471:$B$496,"&lt;"&amp;B474)+1)</f>
        <v/>
      </c>
      <c r="H474">
        <f>IF(OR(E474="",C474=""),"",IF(C474&gt;=DATE(2019,5,1),"令和"&amp;(YEAR(C474)-2018),IF(C474&gt;=DATE(1989,1,8),"平成"&amp;(YEAR(C474)-1988),"昭和"&amp;(YEAR(C474)-1925)))&amp;"年"&amp;MONTH(C474)&amp;"月")</f>
        <v/>
      </c>
    </row>
    <row r="475">
      <c r="A475" t="n">
        <v>19</v>
      </c>
      <c r="B475" t="n">
        <v>5</v>
      </c>
      <c r="C475">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475">
        <f>IF(入力!V23="","",入力!V23)</f>
        <v/>
      </c>
      <c r="E475">
        <f>IF(D475="","",IFERROR(INDEX(資格マスタ!$B:$B,MATCH(ASC(SUBSTITUTE(SUBSTITUTE(D475," ",""),"　","")),資格マスタ!$D:$D,0)),D475))</f>
        <v/>
      </c>
      <c r="F475">
        <f>IF(E475="","",IF(C475="",DATE(9999,1,1),C475))</f>
        <v/>
      </c>
      <c r="G475">
        <f>IF(E475="","",COUNTIFS($F$471:$F$496,"&lt;"&amp;F475,$F$471:$F$496,"&lt;&gt;")+COUNTIFS($F$471:$F$496,F475,$B$471:$B$496,"&lt;"&amp;B475)+1)</f>
        <v/>
      </c>
      <c r="H475">
        <f>IF(OR(E475="",C475=""),"",IF(C475&gt;=DATE(2019,5,1),"令和"&amp;(YEAR(C475)-2018),IF(C475&gt;=DATE(1989,1,8),"平成"&amp;(YEAR(C475)-1988),"昭和"&amp;(YEAR(C475)-1925)))&amp;"年"&amp;MONTH(C475)&amp;"月")</f>
        <v/>
      </c>
    </row>
    <row r="476">
      <c r="A476" t="n">
        <v>19</v>
      </c>
      <c r="B476" t="n">
        <v>6</v>
      </c>
      <c r="C476">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476">
        <f>IF(入力!X23="","",入力!X23)</f>
        <v/>
      </c>
      <c r="E476">
        <f>IF(D476="","",IFERROR(INDEX(資格マスタ!$B:$B,MATCH(ASC(SUBSTITUTE(SUBSTITUTE(D476," ",""),"　","")),資格マスタ!$D:$D,0)),D476))</f>
        <v/>
      </c>
      <c r="F476">
        <f>IF(E476="","",IF(C476="",DATE(9999,1,1),C476))</f>
        <v/>
      </c>
      <c r="G476">
        <f>IF(E476="","",COUNTIFS($F$471:$F$496,"&lt;"&amp;F476,$F$471:$F$496,"&lt;&gt;")+COUNTIFS($F$471:$F$496,F476,$B$471:$B$496,"&lt;"&amp;B476)+1)</f>
        <v/>
      </c>
      <c r="H476">
        <f>IF(OR(E476="",C476=""),"",IF(C476&gt;=DATE(2019,5,1),"令和"&amp;(YEAR(C476)-2018),IF(C476&gt;=DATE(1989,1,8),"平成"&amp;(YEAR(C476)-1988),"昭和"&amp;(YEAR(C476)-1925)))&amp;"年"&amp;MONTH(C476)&amp;"月")</f>
        <v/>
      </c>
    </row>
    <row r="477">
      <c r="A477" t="n">
        <v>19</v>
      </c>
      <c r="B477" t="n">
        <v>7</v>
      </c>
      <c r="C477">
        <f>IFERROR(INDEX(資格取込!$S$6:$S$405,MATCH(19&amp;"_"&amp;1,資格取込!$Z$6:$Z$405,0)),"")</f>
        <v/>
      </c>
      <c r="D477">
        <f>IFERROR(INDEX(資格取込!$R$6:$R$405,MATCH(19&amp;"_"&amp;1,資格取込!$Z$6:$Z$405,0)),"")</f>
        <v/>
      </c>
      <c r="E477">
        <f>IF(D477="","",IFERROR(INDEX(資格マスタ!$B:$B,MATCH(ASC(SUBSTITUTE(SUBSTITUTE(D477," ",""),"　","")),資格マスタ!$D:$D,0)),D477))</f>
        <v/>
      </c>
      <c r="F477">
        <f>IF(E477="","",IF(C477="",DATE(9999,1,1),C477))</f>
        <v/>
      </c>
      <c r="G477">
        <f>IF(E477="","",COUNTIFS($F$471:$F$496,"&lt;"&amp;F477,$F$471:$F$496,"&lt;&gt;")+COUNTIFS($F$471:$F$496,F477,$B$471:$B$496,"&lt;"&amp;B477)+1)</f>
        <v/>
      </c>
      <c r="H477">
        <f>IF(OR(E477="",C477=""),"",IF(C477&gt;=DATE(2019,5,1),"令和"&amp;(YEAR(C477)-2018),IF(C477&gt;=DATE(1989,1,8),"平成"&amp;(YEAR(C477)-1988),"昭和"&amp;(YEAR(C477)-1925)))&amp;"年"&amp;MONTH(C477)&amp;"月")</f>
        <v/>
      </c>
    </row>
    <row r="478">
      <c r="A478" t="n">
        <v>19</v>
      </c>
      <c r="B478" t="n">
        <v>8</v>
      </c>
      <c r="C478">
        <f>IFERROR(INDEX(資格取込!$S$6:$S$405,MATCH(19&amp;"_"&amp;2,資格取込!$Z$6:$Z$405,0)),"")</f>
        <v/>
      </c>
      <c r="D478">
        <f>IFERROR(INDEX(資格取込!$R$6:$R$405,MATCH(19&amp;"_"&amp;2,資格取込!$Z$6:$Z$405,0)),"")</f>
        <v/>
      </c>
      <c r="E478">
        <f>IF(D478="","",IFERROR(INDEX(資格マスタ!$B:$B,MATCH(ASC(SUBSTITUTE(SUBSTITUTE(D478," ",""),"　","")),資格マスタ!$D:$D,0)),D478))</f>
        <v/>
      </c>
      <c r="F478">
        <f>IF(E478="","",IF(C478="",DATE(9999,1,1),C478))</f>
        <v/>
      </c>
      <c r="G478">
        <f>IF(E478="","",COUNTIFS($F$471:$F$496,"&lt;"&amp;F478,$F$471:$F$496,"&lt;&gt;")+COUNTIFS($F$471:$F$496,F478,$B$471:$B$496,"&lt;"&amp;B478)+1)</f>
        <v/>
      </c>
      <c r="H478">
        <f>IF(OR(E478="",C478=""),"",IF(C478&gt;=DATE(2019,5,1),"令和"&amp;(YEAR(C478)-2018),IF(C478&gt;=DATE(1989,1,8),"平成"&amp;(YEAR(C478)-1988),"昭和"&amp;(YEAR(C478)-1925)))&amp;"年"&amp;MONTH(C478)&amp;"月")</f>
        <v/>
      </c>
    </row>
    <row r="479">
      <c r="A479" t="n">
        <v>19</v>
      </c>
      <c r="B479" t="n">
        <v>9</v>
      </c>
      <c r="C479">
        <f>IFERROR(INDEX(資格取込!$S$6:$S$405,MATCH(19&amp;"_"&amp;3,資格取込!$Z$6:$Z$405,0)),"")</f>
        <v/>
      </c>
      <c r="D479">
        <f>IFERROR(INDEX(資格取込!$R$6:$R$405,MATCH(19&amp;"_"&amp;3,資格取込!$Z$6:$Z$405,0)),"")</f>
        <v/>
      </c>
      <c r="E479">
        <f>IF(D479="","",IFERROR(INDEX(資格マスタ!$B:$B,MATCH(ASC(SUBSTITUTE(SUBSTITUTE(D479," ",""),"　","")),資格マスタ!$D:$D,0)),D479))</f>
        <v/>
      </c>
      <c r="F479">
        <f>IF(E479="","",IF(C479="",DATE(9999,1,1),C479))</f>
        <v/>
      </c>
      <c r="G479">
        <f>IF(E479="","",COUNTIFS($F$471:$F$496,"&lt;"&amp;F479,$F$471:$F$496,"&lt;&gt;")+COUNTIFS($F$471:$F$496,F479,$B$471:$B$496,"&lt;"&amp;B479)+1)</f>
        <v/>
      </c>
      <c r="H479">
        <f>IF(OR(E479="",C479=""),"",IF(C479&gt;=DATE(2019,5,1),"令和"&amp;(YEAR(C479)-2018),IF(C479&gt;=DATE(1989,1,8),"平成"&amp;(YEAR(C479)-1988),"昭和"&amp;(YEAR(C479)-1925)))&amp;"年"&amp;MONTH(C479)&amp;"月")</f>
        <v/>
      </c>
    </row>
    <row r="480">
      <c r="A480" t="n">
        <v>19</v>
      </c>
      <c r="B480" t="n">
        <v>10</v>
      </c>
      <c r="C480">
        <f>IFERROR(INDEX(資格取込!$S$6:$S$405,MATCH(19&amp;"_"&amp;4,資格取込!$Z$6:$Z$405,0)),"")</f>
        <v/>
      </c>
      <c r="D480">
        <f>IFERROR(INDEX(資格取込!$R$6:$R$405,MATCH(19&amp;"_"&amp;4,資格取込!$Z$6:$Z$405,0)),"")</f>
        <v/>
      </c>
      <c r="E480">
        <f>IF(D480="","",IFERROR(INDEX(資格マスタ!$B:$B,MATCH(ASC(SUBSTITUTE(SUBSTITUTE(D480," ",""),"　","")),資格マスタ!$D:$D,0)),D480))</f>
        <v/>
      </c>
      <c r="F480">
        <f>IF(E480="","",IF(C480="",DATE(9999,1,1),C480))</f>
        <v/>
      </c>
      <c r="G480">
        <f>IF(E480="","",COUNTIFS($F$471:$F$496,"&lt;"&amp;F480,$F$471:$F$496,"&lt;&gt;")+COUNTIFS($F$471:$F$496,F480,$B$471:$B$496,"&lt;"&amp;B480)+1)</f>
        <v/>
      </c>
      <c r="H480">
        <f>IF(OR(E480="",C480=""),"",IF(C480&gt;=DATE(2019,5,1),"令和"&amp;(YEAR(C480)-2018),IF(C480&gt;=DATE(1989,1,8),"平成"&amp;(YEAR(C480)-1988),"昭和"&amp;(YEAR(C480)-1925)))&amp;"年"&amp;MONTH(C480)&amp;"月")</f>
        <v/>
      </c>
    </row>
    <row r="481">
      <c r="A481" t="n">
        <v>19</v>
      </c>
      <c r="B481" t="n">
        <v>11</v>
      </c>
      <c r="C481">
        <f>IFERROR(INDEX(資格取込!$S$6:$S$405,MATCH(19&amp;"_"&amp;5,資格取込!$Z$6:$Z$405,0)),"")</f>
        <v/>
      </c>
      <c r="D481">
        <f>IFERROR(INDEX(資格取込!$R$6:$R$405,MATCH(19&amp;"_"&amp;5,資格取込!$Z$6:$Z$405,0)),"")</f>
        <v/>
      </c>
      <c r="E481">
        <f>IF(D481="","",IFERROR(INDEX(資格マスタ!$B:$B,MATCH(ASC(SUBSTITUTE(SUBSTITUTE(D481," ",""),"　","")),資格マスタ!$D:$D,0)),D481))</f>
        <v/>
      </c>
      <c r="F481">
        <f>IF(E481="","",IF(C481="",DATE(9999,1,1),C481))</f>
        <v/>
      </c>
      <c r="G481">
        <f>IF(E481="","",COUNTIFS($F$471:$F$496,"&lt;"&amp;F481,$F$471:$F$496,"&lt;&gt;")+COUNTIFS($F$471:$F$496,F481,$B$471:$B$496,"&lt;"&amp;B481)+1)</f>
        <v/>
      </c>
      <c r="H481">
        <f>IF(OR(E481="",C481=""),"",IF(C481&gt;=DATE(2019,5,1),"令和"&amp;(YEAR(C481)-2018),IF(C481&gt;=DATE(1989,1,8),"平成"&amp;(YEAR(C481)-1988),"昭和"&amp;(YEAR(C481)-1925)))&amp;"年"&amp;MONTH(C481)&amp;"月")</f>
        <v/>
      </c>
    </row>
    <row r="482">
      <c r="A482" t="n">
        <v>19</v>
      </c>
      <c r="B482" t="n">
        <v>12</v>
      </c>
      <c r="C482">
        <f>IFERROR(INDEX(資格取込!$S$6:$S$405,MATCH(19&amp;"_"&amp;6,資格取込!$Z$6:$Z$405,0)),"")</f>
        <v/>
      </c>
      <c r="D482">
        <f>IFERROR(INDEX(資格取込!$R$6:$R$405,MATCH(19&amp;"_"&amp;6,資格取込!$Z$6:$Z$405,0)),"")</f>
        <v/>
      </c>
      <c r="E482">
        <f>IF(D482="","",IFERROR(INDEX(資格マスタ!$B:$B,MATCH(ASC(SUBSTITUTE(SUBSTITUTE(D482," ",""),"　","")),資格マスタ!$D:$D,0)),D482))</f>
        <v/>
      </c>
      <c r="F482">
        <f>IF(E482="","",IF(C482="",DATE(9999,1,1),C482))</f>
        <v/>
      </c>
      <c r="G482">
        <f>IF(E482="","",COUNTIFS($F$471:$F$496,"&lt;"&amp;F482,$F$471:$F$496,"&lt;&gt;")+COUNTIFS($F$471:$F$496,F482,$B$471:$B$496,"&lt;"&amp;B482)+1)</f>
        <v/>
      </c>
      <c r="H482">
        <f>IF(OR(E482="",C482=""),"",IF(C482&gt;=DATE(2019,5,1),"令和"&amp;(YEAR(C482)-2018),IF(C482&gt;=DATE(1989,1,8),"平成"&amp;(YEAR(C482)-1988),"昭和"&amp;(YEAR(C482)-1925)))&amp;"年"&amp;MONTH(C482)&amp;"月")</f>
        <v/>
      </c>
    </row>
    <row r="483">
      <c r="A483" t="n">
        <v>19</v>
      </c>
      <c r="B483" t="n">
        <v>13</v>
      </c>
      <c r="C483">
        <f>IFERROR(INDEX(資格取込!$S$6:$S$405,MATCH(19&amp;"_"&amp;7,資格取込!$Z$6:$Z$405,0)),"")</f>
        <v/>
      </c>
      <c r="D483">
        <f>IFERROR(INDEX(資格取込!$R$6:$R$405,MATCH(19&amp;"_"&amp;7,資格取込!$Z$6:$Z$405,0)),"")</f>
        <v/>
      </c>
      <c r="E483">
        <f>IF(D483="","",IFERROR(INDEX(資格マスタ!$B:$B,MATCH(ASC(SUBSTITUTE(SUBSTITUTE(D483," ",""),"　","")),資格マスタ!$D:$D,0)),D483))</f>
        <v/>
      </c>
      <c r="F483">
        <f>IF(E483="","",IF(C483="",DATE(9999,1,1),C483))</f>
        <v/>
      </c>
      <c r="G483">
        <f>IF(E483="","",COUNTIFS($F$471:$F$496,"&lt;"&amp;F483,$F$471:$F$496,"&lt;&gt;")+COUNTIFS($F$471:$F$496,F483,$B$471:$B$496,"&lt;"&amp;B483)+1)</f>
        <v/>
      </c>
      <c r="H483">
        <f>IF(OR(E483="",C483=""),"",IF(C483&gt;=DATE(2019,5,1),"令和"&amp;(YEAR(C483)-2018),IF(C483&gt;=DATE(1989,1,8),"平成"&amp;(YEAR(C483)-1988),"昭和"&amp;(YEAR(C483)-1925)))&amp;"年"&amp;MONTH(C483)&amp;"月")</f>
        <v/>
      </c>
    </row>
    <row r="484">
      <c r="A484" t="n">
        <v>19</v>
      </c>
      <c r="B484" t="n">
        <v>14</v>
      </c>
      <c r="C484">
        <f>IFERROR(INDEX(資格取込!$S$6:$S$405,MATCH(19&amp;"_"&amp;8,資格取込!$Z$6:$Z$405,0)),"")</f>
        <v/>
      </c>
      <c r="D484">
        <f>IFERROR(INDEX(資格取込!$R$6:$R$405,MATCH(19&amp;"_"&amp;8,資格取込!$Z$6:$Z$405,0)),"")</f>
        <v/>
      </c>
      <c r="E484">
        <f>IF(D484="","",IFERROR(INDEX(資格マスタ!$B:$B,MATCH(ASC(SUBSTITUTE(SUBSTITUTE(D484," ",""),"　","")),資格マスタ!$D:$D,0)),D484))</f>
        <v/>
      </c>
      <c r="F484">
        <f>IF(E484="","",IF(C484="",DATE(9999,1,1),C484))</f>
        <v/>
      </c>
      <c r="G484">
        <f>IF(E484="","",COUNTIFS($F$471:$F$496,"&lt;"&amp;F484,$F$471:$F$496,"&lt;&gt;")+COUNTIFS($F$471:$F$496,F484,$B$471:$B$496,"&lt;"&amp;B484)+1)</f>
        <v/>
      </c>
      <c r="H484">
        <f>IF(OR(E484="",C484=""),"",IF(C484&gt;=DATE(2019,5,1),"令和"&amp;(YEAR(C484)-2018),IF(C484&gt;=DATE(1989,1,8),"平成"&amp;(YEAR(C484)-1988),"昭和"&amp;(YEAR(C484)-1925)))&amp;"年"&amp;MONTH(C484)&amp;"月")</f>
        <v/>
      </c>
    </row>
    <row r="485">
      <c r="A485" t="n">
        <v>19</v>
      </c>
      <c r="B485" t="n">
        <v>15</v>
      </c>
      <c r="C485">
        <f>IFERROR(INDEX(資格取込!$S$6:$S$405,MATCH(19&amp;"_"&amp;9,資格取込!$Z$6:$Z$405,0)),"")</f>
        <v/>
      </c>
      <c r="D485">
        <f>IFERROR(INDEX(資格取込!$R$6:$R$405,MATCH(19&amp;"_"&amp;9,資格取込!$Z$6:$Z$405,0)),"")</f>
        <v/>
      </c>
      <c r="E485">
        <f>IF(D485="","",IFERROR(INDEX(資格マスタ!$B:$B,MATCH(ASC(SUBSTITUTE(SUBSTITUTE(D485," ",""),"　","")),資格マスタ!$D:$D,0)),D485))</f>
        <v/>
      </c>
      <c r="F485">
        <f>IF(E485="","",IF(C485="",DATE(9999,1,1),C485))</f>
        <v/>
      </c>
      <c r="G485">
        <f>IF(E485="","",COUNTIFS($F$471:$F$496,"&lt;"&amp;F485,$F$471:$F$496,"&lt;&gt;")+COUNTIFS($F$471:$F$496,F485,$B$471:$B$496,"&lt;"&amp;B485)+1)</f>
        <v/>
      </c>
      <c r="H485">
        <f>IF(OR(E485="",C485=""),"",IF(C485&gt;=DATE(2019,5,1),"令和"&amp;(YEAR(C485)-2018),IF(C485&gt;=DATE(1989,1,8),"平成"&amp;(YEAR(C485)-1988),"昭和"&amp;(YEAR(C485)-1925)))&amp;"年"&amp;MONTH(C485)&amp;"月")</f>
        <v/>
      </c>
    </row>
    <row r="486">
      <c r="A486" t="n">
        <v>19</v>
      </c>
      <c r="B486" t="n">
        <v>16</v>
      </c>
      <c r="C486">
        <f>IFERROR(INDEX(資格取込!$S$6:$S$405,MATCH(19&amp;"_"&amp;10,資格取込!$Z$6:$Z$405,0)),"")</f>
        <v/>
      </c>
      <c r="D486">
        <f>IFERROR(INDEX(資格取込!$R$6:$R$405,MATCH(19&amp;"_"&amp;10,資格取込!$Z$6:$Z$405,0)),"")</f>
        <v/>
      </c>
      <c r="E486">
        <f>IF(D486="","",IFERROR(INDEX(資格マスタ!$B:$B,MATCH(ASC(SUBSTITUTE(SUBSTITUTE(D486," ",""),"　","")),資格マスタ!$D:$D,0)),D486))</f>
        <v/>
      </c>
      <c r="F486">
        <f>IF(E486="","",IF(C486="",DATE(9999,1,1),C486))</f>
        <v/>
      </c>
      <c r="G486">
        <f>IF(E486="","",COUNTIFS($F$471:$F$496,"&lt;"&amp;F486,$F$471:$F$496,"&lt;&gt;")+COUNTIFS($F$471:$F$496,F486,$B$471:$B$496,"&lt;"&amp;B486)+1)</f>
        <v/>
      </c>
      <c r="H486">
        <f>IF(OR(E486="",C486=""),"",IF(C486&gt;=DATE(2019,5,1),"令和"&amp;(YEAR(C486)-2018),IF(C486&gt;=DATE(1989,1,8),"平成"&amp;(YEAR(C486)-1988),"昭和"&amp;(YEAR(C486)-1925)))&amp;"年"&amp;MONTH(C486)&amp;"月")</f>
        <v/>
      </c>
    </row>
    <row r="487">
      <c r="A487" t="n">
        <v>19</v>
      </c>
      <c r="B487" t="n">
        <v>17</v>
      </c>
      <c r="C487">
        <f>IFERROR(INDEX(資格取込!$S$6:$S$405,MATCH(19&amp;"_"&amp;11,資格取込!$Z$6:$Z$405,0)),"")</f>
        <v/>
      </c>
      <c r="D487">
        <f>IFERROR(INDEX(資格取込!$R$6:$R$405,MATCH(19&amp;"_"&amp;11,資格取込!$Z$6:$Z$405,0)),"")</f>
        <v/>
      </c>
      <c r="E487">
        <f>IF(D487="","",IFERROR(INDEX(資格マスタ!$B:$B,MATCH(ASC(SUBSTITUTE(SUBSTITUTE(D487," ",""),"　","")),資格マスタ!$D:$D,0)),D487))</f>
        <v/>
      </c>
      <c r="F487">
        <f>IF(E487="","",IF(C487="",DATE(9999,1,1),C487))</f>
        <v/>
      </c>
      <c r="G487">
        <f>IF(E487="","",COUNTIFS($F$471:$F$496,"&lt;"&amp;F487,$F$471:$F$496,"&lt;&gt;")+COUNTIFS($F$471:$F$496,F487,$B$471:$B$496,"&lt;"&amp;B487)+1)</f>
        <v/>
      </c>
      <c r="H487">
        <f>IF(OR(E487="",C487=""),"",IF(C487&gt;=DATE(2019,5,1),"令和"&amp;(YEAR(C487)-2018),IF(C487&gt;=DATE(1989,1,8),"平成"&amp;(YEAR(C487)-1988),"昭和"&amp;(YEAR(C487)-1925)))&amp;"年"&amp;MONTH(C487)&amp;"月")</f>
        <v/>
      </c>
    </row>
    <row r="488">
      <c r="A488" t="n">
        <v>19</v>
      </c>
      <c r="B488" t="n">
        <v>18</v>
      </c>
      <c r="C488">
        <f>IFERROR(INDEX(資格取込!$S$6:$S$405,MATCH(19&amp;"_"&amp;12,資格取込!$Z$6:$Z$405,0)),"")</f>
        <v/>
      </c>
      <c r="D488">
        <f>IFERROR(INDEX(資格取込!$R$6:$R$405,MATCH(19&amp;"_"&amp;12,資格取込!$Z$6:$Z$405,0)),"")</f>
        <v/>
      </c>
      <c r="E488">
        <f>IF(D488="","",IFERROR(INDEX(資格マスタ!$B:$B,MATCH(ASC(SUBSTITUTE(SUBSTITUTE(D488," ",""),"　","")),資格マスタ!$D:$D,0)),D488))</f>
        <v/>
      </c>
      <c r="F488">
        <f>IF(E488="","",IF(C488="",DATE(9999,1,1),C488))</f>
        <v/>
      </c>
      <c r="G488">
        <f>IF(E488="","",COUNTIFS($F$471:$F$496,"&lt;"&amp;F488,$F$471:$F$496,"&lt;&gt;")+COUNTIFS($F$471:$F$496,F488,$B$471:$B$496,"&lt;"&amp;B488)+1)</f>
        <v/>
      </c>
      <c r="H488">
        <f>IF(OR(E488="",C488=""),"",IF(C488&gt;=DATE(2019,5,1),"令和"&amp;(YEAR(C488)-2018),IF(C488&gt;=DATE(1989,1,8),"平成"&amp;(YEAR(C488)-1988),"昭和"&amp;(YEAR(C488)-1925)))&amp;"年"&amp;MONTH(C488)&amp;"月")</f>
        <v/>
      </c>
    </row>
    <row r="489">
      <c r="A489" t="n">
        <v>19</v>
      </c>
      <c r="B489" t="n">
        <v>19</v>
      </c>
      <c r="C489">
        <f>IFERROR(INDEX(資格取込!$S$6:$S$405,MATCH(19&amp;"_"&amp;13,資格取込!$Z$6:$Z$405,0)),"")</f>
        <v/>
      </c>
      <c r="D489">
        <f>IFERROR(INDEX(資格取込!$R$6:$R$405,MATCH(19&amp;"_"&amp;13,資格取込!$Z$6:$Z$405,0)),"")</f>
        <v/>
      </c>
      <c r="E489">
        <f>IF(D489="","",IFERROR(INDEX(資格マスタ!$B:$B,MATCH(ASC(SUBSTITUTE(SUBSTITUTE(D489," ",""),"　","")),資格マスタ!$D:$D,0)),D489))</f>
        <v/>
      </c>
      <c r="F489">
        <f>IF(E489="","",IF(C489="",DATE(9999,1,1),C489))</f>
        <v/>
      </c>
      <c r="G489">
        <f>IF(E489="","",COUNTIFS($F$471:$F$496,"&lt;"&amp;F489,$F$471:$F$496,"&lt;&gt;")+COUNTIFS($F$471:$F$496,F489,$B$471:$B$496,"&lt;"&amp;B489)+1)</f>
        <v/>
      </c>
      <c r="H489">
        <f>IF(OR(E489="",C489=""),"",IF(C489&gt;=DATE(2019,5,1),"令和"&amp;(YEAR(C489)-2018),IF(C489&gt;=DATE(1989,1,8),"平成"&amp;(YEAR(C489)-1988),"昭和"&amp;(YEAR(C489)-1925)))&amp;"年"&amp;MONTH(C489)&amp;"月")</f>
        <v/>
      </c>
    </row>
    <row r="490">
      <c r="A490" t="n">
        <v>19</v>
      </c>
      <c r="B490" t="n">
        <v>20</v>
      </c>
      <c r="C490">
        <f>IFERROR(INDEX(資格取込!$S$6:$S$405,MATCH(19&amp;"_"&amp;14,資格取込!$Z$6:$Z$405,0)),"")</f>
        <v/>
      </c>
      <c r="D490">
        <f>IFERROR(INDEX(資格取込!$R$6:$R$405,MATCH(19&amp;"_"&amp;14,資格取込!$Z$6:$Z$405,0)),"")</f>
        <v/>
      </c>
      <c r="E490">
        <f>IF(D490="","",IFERROR(INDEX(資格マスタ!$B:$B,MATCH(ASC(SUBSTITUTE(SUBSTITUTE(D490," ",""),"　","")),資格マスタ!$D:$D,0)),D490))</f>
        <v/>
      </c>
      <c r="F490">
        <f>IF(E490="","",IF(C490="",DATE(9999,1,1),C490))</f>
        <v/>
      </c>
      <c r="G490">
        <f>IF(E490="","",COUNTIFS($F$471:$F$496,"&lt;"&amp;F490,$F$471:$F$496,"&lt;&gt;")+COUNTIFS($F$471:$F$496,F490,$B$471:$B$496,"&lt;"&amp;B490)+1)</f>
        <v/>
      </c>
      <c r="H490">
        <f>IF(OR(E490="",C490=""),"",IF(C490&gt;=DATE(2019,5,1),"令和"&amp;(YEAR(C490)-2018),IF(C490&gt;=DATE(1989,1,8),"平成"&amp;(YEAR(C490)-1988),"昭和"&amp;(YEAR(C490)-1925)))&amp;"年"&amp;MONTH(C490)&amp;"月")</f>
        <v/>
      </c>
    </row>
    <row r="491">
      <c r="A491" t="n">
        <v>19</v>
      </c>
      <c r="B491" t="n">
        <v>21</v>
      </c>
      <c r="C491">
        <f>IFERROR(INDEX(資格取込!$S$6:$S$405,MATCH(19&amp;"_"&amp;15,資格取込!$Z$6:$Z$405,0)),"")</f>
        <v/>
      </c>
      <c r="D491">
        <f>IFERROR(INDEX(資格取込!$R$6:$R$405,MATCH(19&amp;"_"&amp;15,資格取込!$Z$6:$Z$405,0)),"")</f>
        <v/>
      </c>
      <c r="E491">
        <f>IF(D491="","",IFERROR(INDEX(資格マスタ!$B:$B,MATCH(ASC(SUBSTITUTE(SUBSTITUTE(D491," ",""),"　","")),資格マスタ!$D:$D,0)),D491))</f>
        <v/>
      </c>
      <c r="F491">
        <f>IF(E491="","",IF(C491="",DATE(9999,1,1),C491))</f>
        <v/>
      </c>
      <c r="G491">
        <f>IF(E491="","",COUNTIFS($F$471:$F$496,"&lt;"&amp;F491,$F$471:$F$496,"&lt;&gt;")+COUNTIFS($F$471:$F$496,F491,$B$471:$B$496,"&lt;"&amp;B491)+1)</f>
        <v/>
      </c>
      <c r="H491">
        <f>IF(OR(E491="",C491=""),"",IF(C491&gt;=DATE(2019,5,1),"令和"&amp;(YEAR(C491)-2018),IF(C491&gt;=DATE(1989,1,8),"平成"&amp;(YEAR(C491)-1988),"昭和"&amp;(YEAR(C491)-1925)))&amp;"年"&amp;MONTH(C491)&amp;"月")</f>
        <v/>
      </c>
    </row>
    <row r="492">
      <c r="A492" t="n">
        <v>19</v>
      </c>
      <c r="B492" t="n">
        <v>22</v>
      </c>
      <c r="C492">
        <f>IFERROR(INDEX(資格取込!$S$6:$S$405,MATCH(19&amp;"_"&amp;16,資格取込!$Z$6:$Z$405,0)),"")</f>
        <v/>
      </c>
      <c r="D492">
        <f>IFERROR(INDEX(資格取込!$R$6:$R$405,MATCH(19&amp;"_"&amp;16,資格取込!$Z$6:$Z$405,0)),"")</f>
        <v/>
      </c>
      <c r="E492">
        <f>IF(D492="","",IFERROR(INDEX(資格マスタ!$B:$B,MATCH(ASC(SUBSTITUTE(SUBSTITUTE(D492," ",""),"　","")),資格マスタ!$D:$D,0)),D492))</f>
        <v/>
      </c>
      <c r="F492">
        <f>IF(E492="","",IF(C492="",DATE(9999,1,1),C492))</f>
        <v/>
      </c>
      <c r="G492">
        <f>IF(E492="","",COUNTIFS($F$471:$F$496,"&lt;"&amp;F492,$F$471:$F$496,"&lt;&gt;")+COUNTIFS($F$471:$F$496,F492,$B$471:$B$496,"&lt;"&amp;B492)+1)</f>
        <v/>
      </c>
      <c r="H492">
        <f>IF(OR(E492="",C492=""),"",IF(C492&gt;=DATE(2019,5,1),"令和"&amp;(YEAR(C492)-2018),IF(C492&gt;=DATE(1989,1,8),"平成"&amp;(YEAR(C492)-1988),"昭和"&amp;(YEAR(C492)-1925)))&amp;"年"&amp;MONTH(C492)&amp;"月")</f>
        <v/>
      </c>
    </row>
    <row r="493">
      <c r="A493" t="n">
        <v>19</v>
      </c>
      <c r="B493" t="n">
        <v>23</v>
      </c>
      <c r="C493">
        <f>IFERROR(INDEX(資格取込!$S$6:$S$405,MATCH(19&amp;"_"&amp;17,資格取込!$Z$6:$Z$405,0)),"")</f>
        <v/>
      </c>
      <c r="D493">
        <f>IFERROR(INDEX(資格取込!$R$6:$R$405,MATCH(19&amp;"_"&amp;17,資格取込!$Z$6:$Z$405,0)),"")</f>
        <v/>
      </c>
      <c r="E493">
        <f>IF(D493="","",IFERROR(INDEX(資格マスタ!$B:$B,MATCH(ASC(SUBSTITUTE(SUBSTITUTE(D493," ",""),"　","")),資格マスタ!$D:$D,0)),D493))</f>
        <v/>
      </c>
      <c r="F493">
        <f>IF(E493="","",IF(C493="",DATE(9999,1,1),C493))</f>
        <v/>
      </c>
      <c r="G493">
        <f>IF(E493="","",COUNTIFS($F$471:$F$496,"&lt;"&amp;F493,$F$471:$F$496,"&lt;&gt;")+COUNTIFS($F$471:$F$496,F493,$B$471:$B$496,"&lt;"&amp;B493)+1)</f>
        <v/>
      </c>
      <c r="H493">
        <f>IF(OR(E493="",C493=""),"",IF(C493&gt;=DATE(2019,5,1),"令和"&amp;(YEAR(C493)-2018),IF(C493&gt;=DATE(1989,1,8),"平成"&amp;(YEAR(C493)-1988),"昭和"&amp;(YEAR(C493)-1925)))&amp;"年"&amp;MONTH(C493)&amp;"月")</f>
        <v/>
      </c>
    </row>
    <row r="494">
      <c r="A494" t="n">
        <v>19</v>
      </c>
      <c r="B494" t="n">
        <v>24</v>
      </c>
      <c r="C494">
        <f>IFERROR(INDEX(資格取込!$S$6:$S$405,MATCH(19&amp;"_"&amp;18,資格取込!$Z$6:$Z$405,0)),"")</f>
        <v/>
      </c>
      <c r="D494">
        <f>IFERROR(INDEX(資格取込!$R$6:$R$405,MATCH(19&amp;"_"&amp;18,資格取込!$Z$6:$Z$405,0)),"")</f>
        <v/>
      </c>
      <c r="E494">
        <f>IF(D494="","",IFERROR(INDEX(資格マスタ!$B:$B,MATCH(ASC(SUBSTITUTE(SUBSTITUTE(D494," ",""),"　","")),資格マスタ!$D:$D,0)),D494))</f>
        <v/>
      </c>
      <c r="F494">
        <f>IF(E494="","",IF(C494="",DATE(9999,1,1),C494))</f>
        <v/>
      </c>
      <c r="G494">
        <f>IF(E494="","",COUNTIFS($F$471:$F$496,"&lt;"&amp;F494,$F$471:$F$496,"&lt;&gt;")+COUNTIFS($F$471:$F$496,F494,$B$471:$B$496,"&lt;"&amp;B494)+1)</f>
        <v/>
      </c>
      <c r="H494">
        <f>IF(OR(E494="",C494=""),"",IF(C494&gt;=DATE(2019,5,1),"令和"&amp;(YEAR(C494)-2018),IF(C494&gt;=DATE(1989,1,8),"平成"&amp;(YEAR(C494)-1988),"昭和"&amp;(YEAR(C494)-1925)))&amp;"年"&amp;MONTH(C494)&amp;"月")</f>
        <v/>
      </c>
    </row>
    <row r="495">
      <c r="A495" t="n">
        <v>19</v>
      </c>
      <c r="B495" t="n">
        <v>25</v>
      </c>
      <c r="C495">
        <f>IFERROR(INDEX(資格取込!$S$6:$S$405,MATCH(19&amp;"_"&amp;19,資格取込!$Z$6:$Z$405,0)),"")</f>
        <v/>
      </c>
      <c r="D495">
        <f>IFERROR(INDEX(資格取込!$R$6:$R$405,MATCH(19&amp;"_"&amp;19,資格取込!$Z$6:$Z$405,0)),"")</f>
        <v/>
      </c>
      <c r="E495">
        <f>IF(D495="","",IFERROR(INDEX(資格マスタ!$B:$B,MATCH(ASC(SUBSTITUTE(SUBSTITUTE(D495," ",""),"　","")),資格マスタ!$D:$D,0)),D495))</f>
        <v/>
      </c>
      <c r="F495">
        <f>IF(E495="","",IF(C495="",DATE(9999,1,1),C495))</f>
        <v/>
      </c>
      <c r="G495">
        <f>IF(E495="","",COUNTIFS($F$471:$F$496,"&lt;"&amp;F495,$F$471:$F$496,"&lt;&gt;")+COUNTIFS($F$471:$F$496,F495,$B$471:$B$496,"&lt;"&amp;B495)+1)</f>
        <v/>
      </c>
      <c r="H495">
        <f>IF(OR(E495="",C495=""),"",IF(C495&gt;=DATE(2019,5,1),"令和"&amp;(YEAR(C495)-2018),IF(C495&gt;=DATE(1989,1,8),"平成"&amp;(YEAR(C495)-1988),"昭和"&amp;(YEAR(C495)-1925)))&amp;"年"&amp;MONTH(C495)&amp;"月")</f>
        <v/>
      </c>
    </row>
    <row r="496">
      <c r="A496" t="n">
        <v>19</v>
      </c>
      <c r="B496" t="n">
        <v>26</v>
      </c>
      <c r="C496">
        <f>IFERROR(INDEX(資格取込!$S$6:$S$405,MATCH(19&amp;"_"&amp;20,資格取込!$Z$6:$Z$405,0)),"")</f>
        <v/>
      </c>
      <c r="D496">
        <f>IFERROR(INDEX(資格取込!$R$6:$R$405,MATCH(19&amp;"_"&amp;20,資格取込!$Z$6:$Z$405,0)),"")</f>
        <v/>
      </c>
      <c r="E496">
        <f>IF(D496="","",IFERROR(INDEX(資格マスタ!$B:$B,MATCH(ASC(SUBSTITUTE(SUBSTITUTE(D496," ",""),"　","")),資格マスタ!$D:$D,0)),D496))</f>
        <v/>
      </c>
      <c r="F496">
        <f>IF(E496="","",IF(C496="",DATE(9999,1,1),C496))</f>
        <v/>
      </c>
      <c r="G496">
        <f>IF(E496="","",COUNTIFS($F$471:$F$496,"&lt;"&amp;F496,$F$471:$F$496,"&lt;&gt;")+COUNTIFS($F$471:$F$496,F496,$B$471:$B$496,"&lt;"&amp;B496)+1)</f>
        <v/>
      </c>
      <c r="H496">
        <f>IF(OR(E496="",C496=""),"",IF(C496&gt;=DATE(2019,5,1),"令和"&amp;(YEAR(C496)-2018),IF(C496&gt;=DATE(1989,1,8),"平成"&amp;(YEAR(C496)-1988),"昭和"&amp;(YEAR(C496)-1925)))&amp;"年"&amp;MONTH(C496)&amp;"月")</f>
        <v/>
      </c>
    </row>
    <row r="497">
      <c r="A497" t="n">
        <v>20</v>
      </c>
      <c r="B497" t="n">
        <v>1</v>
      </c>
      <c r="C497"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497">
        <f>IF(入力!N24="","",入力!N24)</f>
        <v/>
      </c>
      <c r="E497">
        <f>IF(D497="","",IFERROR(INDEX(資格マスタ!$B:$B,MATCH(ASC(SUBSTITUTE(SUBSTITUTE(D497," ",""),"　","")),資格マスタ!$D:$D,0)),D497))</f>
        <v/>
      </c>
      <c r="F497">
        <f>IF(E497="","",IF(C497="",DATE(9999,1,1),C497))</f>
        <v/>
      </c>
      <c r="G497">
        <f>IF(E497="","",COUNTIFS($F$497:$F$522,"&lt;"&amp;F497,$F$497:$F$522,"&lt;&gt;")+COUNTIFS($F$497:$F$522,F497,$B$497:$B$522,"&lt;"&amp;B497)+1)</f>
        <v/>
      </c>
      <c r="H497">
        <f>IF(OR(E497="",C497=""),"",IF(C497&gt;=DATE(2019,5,1),"令和"&amp;(YEAR(C497)-2018),IF(C497&gt;=DATE(1989,1,8),"平成"&amp;(YEAR(C497)-1988),"昭和"&amp;(YEAR(C497)-1925)))&amp;"年"&amp;MONTH(C497)&amp;"月")</f>
        <v/>
      </c>
    </row>
    <row r="498">
      <c r="A498" t="n">
        <v>20</v>
      </c>
      <c r="B498" t="n">
        <v>2</v>
      </c>
      <c r="C498">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498">
        <f>IF(入力!P24="","",入力!P24)</f>
        <v/>
      </c>
      <c r="E498">
        <f>IF(D498="","",IFERROR(INDEX(資格マスタ!$B:$B,MATCH(ASC(SUBSTITUTE(SUBSTITUTE(D498," ",""),"　","")),資格マスタ!$D:$D,0)),D498))</f>
        <v/>
      </c>
      <c r="F498">
        <f>IF(E498="","",IF(C498="",DATE(9999,1,1),C498))</f>
        <v/>
      </c>
      <c r="G498">
        <f>IF(E498="","",COUNTIFS($F$497:$F$522,"&lt;"&amp;F498,$F$497:$F$522,"&lt;&gt;")+COUNTIFS($F$497:$F$522,F498,$B$497:$B$522,"&lt;"&amp;B498)+1)</f>
        <v/>
      </c>
      <c r="H498">
        <f>IF(OR(E498="",C498=""),"",IF(C498&gt;=DATE(2019,5,1),"令和"&amp;(YEAR(C498)-2018),IF(C498&gt;=DATE(1989,1,8),"平成"&amp;(YEAR(C498)-1988),"昭和"&amp;(YEAR(C498)-1925)))&amp;"年"&amp;MONTH(C498)&amp;"月")</f>
        <v/>
      </c>
    </row>
    <row r="499">
      <c r="A499" t="n">
        <v>20</v>
      </c>
      <c r="B499" t="n">
        <v>3</v>
      </c>
      <c r="C499">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499">
        <f>IF(入力!R24="","",入力!R24)</f>
        <v/>
      </c>
      <c r="E499">
        <f>IF(D499="","",IFERROR(INDEX(資格マスタ!$B:$B,MATCH(ASC(SUBSTITUTE(SUBSTITUTE(D499," ",""),"　","")),資格マスタ!$D:$D,0)),D499))</f>
        <v/>
      </c>
      <c r="F499">
        <f>IF(E499="","",IF(C499="",DATE(9999,1,1),C499))</f>
        <v/>
      </c>
      <c r="G499">
        <f>IF(E499="","",COUNTIFS($F$497:$F$522,"&lt;"&amp;F499,$F$497:$F$522,"&lt;&gt;")+COUNTIFS($F$497:$F$522,F499,$B$497:$B$522,"&lt;"&amp;B499)+1)</f>
        <v/>
      </c>
      <c r="H499">
        <f>IF(OR(E499="",C499=""),"",IF(C499&gt;=DATE(2019,5,1),"令和"&amp;(YEAR(C499)-2018),IF(C499&gt;=DATE(1989,1,8),"平成"&amp;(YEAR(C499)-1988),"昭和"&amp;(YEAR(C499)-1925)))&amp;"年"&amp;MONTH(C499)&amp;"月")</f>
        <v/>
      </c>
    </row>
    <row r="500">
      <c r="A500" t="n">
        <v>20</v>
      </c>
      <c r="B500" t="n">
        <v>4</v>
      </c>
      <c r="C500">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500">
        <f>IF(入力!T24="","",入力!T24)</f>
        <v/>
      </c>
      <c r="E500">
        <f>IF(D500="","",IFERROR(INDEX(資格マスタ!$B:$B,MATCH(ASC(SUBSTITUTE(SUBSTITUTE(D500," ",""),"　","")),資格マスタ!$D:$D,0)),D500))</f>
        <v/>
      </c>
      <c r="F500">
        <f>IF(E500="","",IF(C500="",DATE(9999,1,1),C500))</f>
        <v/>
      </c>
      <c r="G500">
        <f>IF(E500="","",COUNTIFS($F$497:$F$522,"&lt;"&amp;F500,$F$497:$F$522,"&lt;&gt;")+COUNTIFS($F$497:$F$522,F500,$B$497:$B$522,"&lt;"&amp;B500)+1)</f>
        <v/>
      </c>
      <c r="H500">
        <f>IF(OR(E500="",C500=""),"",IF(C500&gt;=DATE(2019,5,1),"令和"&amp;(YEAR(C500)-2018),IF(C500&gt;=DATE(1989,1,8),"平成"&amp;(YEAR(C500)-1988),"昭和"&amp;(YEAR(C500)-1925)))&amp;"年"&amp;MONTH(C500)&amp;"月")</f>
        <v/>
      </c>
    </row>
    <row r="501">
      <c r="A501" t="n">
        <v>20</v>
      </c>
      <c r="B501" t="n">
        <v>5</v>
      </c>
      <c r="C501">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501">
        <f>IF(入力!V24="","",入力!V24)</f>
        <v/>
      </c>
      <c r="E501">
        <f>IF(D501="","",IFERROR(INDEX(資格マスタ!$B:$B,MATCH(ASC(SUBSTITUTE(SUBSTITUTE(D501," ",""),"　","")),資格マスタ!$D:$D,0)),D501))</f>
        <v/>
      </c>
      <c r="F501">
        <f>IF(E501="","",IF(C501="",DATE(9999,1,1),C501))</f>
        <v/>
      </c>
      <c r="G501">
        <f>IF(E501="","",COUNTIFS($F$497:$F$522,"&lt;"&amp;F501,$F$497:$F$522,"&lt;&gt;")+COUNTIFS($F$497:$F$522,F501,$B$497:$B$522,"&lt;"&amp;B501)+1)</f>
        <v/>
      </c>
      <c r="H501">
        <f>IF(OR(E501="",C501=""),"",IF(C501&gt;=DATE(2019,5,1),"令和"&amp;(YEAR(C501)-2018),IF(C501&gt;=DATE(1989,1,8),"平成"&amp;(YEAR(C501)-1988),"昭和"&amp;(YEAR(C501)-1925)))&amp;"年"&amp;MONTH(C501)&amp;"月")</f>
        <v/>
      </c>
    </row>
    <row r="502">
      <c r="A502" t="n">
        <v>20</v>
      </c>
      <c r="B502" t="n">
        <v>6</v>
      </c>
      <c r="C502">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502">
        <f>IF(入力!X24="","",入力!X24)</f>
        <v/>
      </c>
      <c r="E502">
        <f>IF(D502="","",IFERROR(INDEX(資格マスタ!$B:$B,MATCH(ASC(SUBSTITUTE(SUBSTITUTE(D502," ",""),"　","")),資格マスタ!$D:$D,0)),D502))</f>
        <v/>
      </c>
      <c r="F502">
        <f>IF(E502="","",IF(C502="",DATE(9999,1,1),C502))</f>
        <v/>
      </c>
      <c r="G502">
        <f>IF(E502="","",COUNTIFS($F$497:$F$522,"&lt;"&amp;F502,$F$497:$F$522,"&lt;&gt;")+COUNTIFS($F$497:$F$522,F502,$B$497:$B$522,"&lt;"&amp;B502)+1)</f>
        <v/>
      </c>
      <c r="H502">
        <f>IF(OR(E502="",C502=""),"",IF(C502&gt;=DATE(2019,5,1),"令和"&amp;(YEAR(C502)-2018),IF(C502&gt;=DATE(1989,1,8),"平成"&amp;(YEAR(C502)-1988),"昭和"&amp;(YEAR(C502)-1925)))&amp;"年"&amp;MONTH(C502)&amp;"月")</f>
        <v/>
      </c>
    </row>
    <row r="503">
      <c r="A503" t="n">
        <v>20</v>
      </c>
      <c r="B503" t="n">
        <v>7</v>
      </c>
      <c r="C503">
        <f>IFERROR(INDEX(資格取込!$S$6:$S$405,MATCH(20&amp;"_"&amp;1,資格取込!$Z$6:$Z$405,0)),"")</f>
        <v/>
      </c>
      <c r="D503">
        <f>IFERROR(INDEX(資格取込!$R$6:$R$405,MATCH(20&amp;"_"&amp;1,資格取込!$Z$6:$Z$405,0)),"")</f>
        <v/>
      </c>
      <c r="E503">
        <f>IF(D503="","",IFERROR(INDEX(資格マスタ!$B:$B,MATCH(ASC(SUBSTITUTE(SUBSTITUTE(D503," ",""),"　","")),資格マスタ!$D:$D,0)),D503))</f>
        <v/>
      </c>
      <c r="F503">
        <f>IF(E503="","",IF(C503="",DATE(9999,1,1),C503))</f>
        <v/>
      </c>
      <c r="G503">
        <f>IF(E503="","",COUNTIFS($F$497:$F$522,"&lt;"&amp;F503,$F$497:$F$522,"&lt;&gt;")+COUNTIFS($F$497:$F$522,F503,$B$497:$B$522,"&lt;"&amp;B503)+1)</f>
        <v/>
      </c>
      <c r="H503">
        <f>IF(OR(E503="",C503=""),"",IF(C503&gt;=DATE(2019,5,1),"令和"&amp;(YEAR(C503)-2018),IF(C503&gt;=DATE(1989,1,8),"平成"&amp;(YEAR(C503)-1988),"昭和"&amp;(YEAR(C503)-1925)))&amp;"年"&amp;MONTH(C503)&amp;"月")</f>
        <v/>
      </c>
    </row>
    <row r="504">
      <c r="A504" t="n">
        <v>20</v>
      </c>
      <c r="B504" t="n">
        <v>8</v>
      </c>
      <c r="C504">
        <f>IFERROR(INDEX(資格取込!$S$6:$S$405,MATCH(20&amp;"_"&amp;2,資格取込!$Z$6:$Z$405,0)),"")</f>
        <v/>
      </c>
      <c r="D504">
        <f>IFERROR(INDEX(資格取込!$R$6:$R$405,MATCH(20&amp;"_"&amp;2,資格取込!$Z$6:$Z$405,0)),"")</f>
        <v/>
      </c>
      <c r="E504">
        <f>IF(D504="","",IFERROR(INDEX(資格マスタ!$B:$B,MATCH(ASC(SUBSTITUTE(SUBSTITUTE(D504," ",""),"　","")),資格マスタ!$D:$D,0)),D504))</f>
        <v/>
      </c>
      <c r="F504">
        <f>IF(E504="","",IF(C504="",DATE(9999,1,1),C504))</f>
        <v/>
      </c>
      <c r="G504">
        <f>IF(E504="","",COUNTIFS($F$497:$F$522,"&lt;"&amp;F504,$F$497:$F$522,"&lt;&gt;")+COUNTIFS($F$497:$F$522,F504,$B$497:$B$522,"&lt;"&amp;B504)+1)</f>
        <v/>
      </c>
      <c r="H504">
        <f>IF(OR(E504="",C504=""),"",IF(C504&gt;=DATE(2019,5,1),"令和"&amp;(YEAR(C504)-2018),IF(C504&gt;=DATE(1989,1,8),"平成"&amp;(YEAR(C504)-1988),"昭和"&amp;(YEAR(C504)-1925)))&amp;"年"&amp;MONTH(C504)&amp;"月")</f>
        <v/>
      </c>
    </row>
    <row r="505">
      <c r="A505" t="n">
        <v>20</v>
      </c>
      <c r="B505" t="n">
        <v>9</v>
      </c>
      <c r="C505">
        <f>IFERROR(INDEX(資格取込!$S$6:$S$405,MATCH(20&amp;"_"&amp;3,資格取込!$Z$6:$Z$405,0)),"")</f>
        <v/>
      </c>
      <c r="D505">
        <f>IFERROR(INDEX(資格取込!$R$6:$R$405,MATCH(20&amp;"_"&amp;3,資格取込!$Z$6:$Z$405,0)),"")</f>
        <v/>
      </c>
      <c r="E505">
        <f>IF(D505="","",IFERROR(INDEX(資格マスタ!$B:$B,MATCH(ASC(SUBSTITUTE(SUBSTITUTE(D505," ",""),"　","")),資格マスタ!$D:$D,0)),D505))</f>
        <v/>
      </c>
      <c r="F505">
        <f>IF(E505="","",IF(C505="",DATE(9999,1,1),C505))</f>
        <v/>
      </c>
      <c r="G505">
        <f>IF(E505="","",COUNTIFS($F$497:$F$522,"&lt;"&amp;F505,$F$497:$F$522,"&lt;&gt;")+COUNTIFS($F$497:$F$522,F505,$B$497:$B$522,"&lt;"&amp;B505)+1)</f>
        <v/>
      </c>
      <c r="H505">
        <f>IF(OR(E505="",C505=""),"",IF(C505&gt;=DATE(2019,5,1),"令和"&amp;(YEAR(C505)-2018),IF(C505&gt;=DATE(1989,1,8),"平成"&amp;(YEAR(C505)-1988),"昭和"&amp;(YEAR(C505)-1925)))&amp;"年"&amp;MONTH(C505)&amp;"月")</f>
        <v/>
      </c>
    </row>
    <row r="506">
      <c r="A506" t="n">
        <v>20</v>
      </c>
      <c r="B506" t="n">
        <v>10</v>
      </c>
      <c r="C506">
        <f>IFERROR(INDEX(資格取込!$S$6:$S$405,MATCH(20&amp;"_"&amp;4,資格取込!$Z$6:$Z$405,0)),"")</f>
        <v/>
      </c>
      <c r="D506">
        <f>IFERROR(INDEX(資格取込!$R$6:$R$405,MATCH(20&amp;"_"&amp;4,資格取込!$Z$6:$Z$405,0)),"")</f>
        <v/>
      </c>
      <c r="E506">
        <f>IF(D506="","",IFERROR(INDEX(資格マスタ!$B:$B,MATCH(ASC(SUBSTITUTE(SUBSTITUTE(D506," ",""),"　","")),資格マスタ!$D:$D,0)),D506))</f>
        <v/>
      </c>
      <c r="F506">
        <f>IF(E506="","",IF(C506="",DATE(9999,1,1),C506))</f>
        <v/>
      </c>
      <c r="G506">
        <f>IF(E506="","",COUNTIFS($F$497:$F$522,"&lt;"&amp;F506,$F$497:$F$522,"&lt;&gt;")+COUNTIFS($F$497:$F$522,F506,$B$497:$B$522,"&lt;"&amp;B506)+1)</f>
        <v/>
      </c>
      <c r="H506">
        <f>IF(OR(E506="",C506=""),"",IF(C506&gt;=DATE(2019,5,1),"令和"&amp;(YEAR(C506)-2018),IF(C506&gt;=DATE(1989,1,8),"平成"&amp;(YEAR(C506)-1988),"昭和"&amp;(YEAR(C506)-1925)))&amp;"年"&amp;MONTH(C506)&amp;"月")</f>
        <v/>
      </c>
    </row>
    <row r="507">
      <c r="A507" t="n">
        <v>20</v>
      </c>
      <c r="B507" t="n">
        <v>11</v>
      </c>
      <c r="C507">
        <f>IFERROR(INDEX(資格取込!$S$6:$S$405,MATCH(20&amp;"_"&amp;5,資格取込!$Z$6:$Z$405,0)),"")</f>
        <v/>
      </c>
      <c r="D507">
        <f>IFERROR(INDEX(資格取込!$R$6:$R$405,MATCH(20&amp;"_"&amp;5,資格取込!$Z$6:$Z$405,0)),"")</f>
        <v/>
      </c>
      <c r="E507">
        <f>IF(D507="","",IFERROR(INDEX(資格マスタ!$B:$B,MATCH(ASC(SUBSTITUTE(SUBSTITUTE(D507," ",""),"　","")),資格マスタ!$D:$D,0)),D507))</f>
        <v/>
      </c>
      <c r="F507">
        <f>IF(E507="","",IF(C507="",DATE(9999,1,1),C507))</f>
        <v/>
      </c>
      <c r="G507">
        <f>IF(E507="","",COUNTIFS($F$497:$F$522,"&lt;"&amp;F507,$F$497:$F$522,"&lt;&gt;")+COUNTIFS($F$497:$F$522,F507,$B$497:$B$522,"&lt;"&amp;B507)+1)</f>
        <v/>
      </c>
      <c r="H507">
        <f>IF(OR(E507="",C507=""),"",IF(C507&gt;=DATE(2019,5,1),"令和"&amp;(YEAR(C507)-2018),IF(C507&gt;=DATE(1989,1,8),"平成"&amp;(YEAR(C507)-1988),"昭和"&amp;(YEAR(C507)-1925)))&amp;"年"&amp;MONTH(C507)&amp;"月")</f>
        <v/>
      </c>
    </row>
    <row r="508">
      <c r="A508" t="n">
        <v>20</v>
      </c>
      <c r="B508" t="n">
        <v>12</v>
      </c>
      <c r="C508">
        <f>IFERROR(INDEX(資格取込!$S$6:$S$405,MATCH(20&amp;"_"&amp;6,資格取込!$Z$6:$Z$405,0)),"")</f>
        <v/>
      </c>
      <c r="D508">
        <f>IFERROR(INDEX(資格取込!$R$6:$R$405,MATCH(20&amp;"_"&amp;6,資格取込!$Z$6:$Z$405,0)),"")</f>
        <v/>
      </c>
      <c r="E508">
        <f>IF(D508="","",IFERROR(INDEX(資格マスタ!$B:$B,MATCH(ASC(SUBSTITUTE(SUBSTITUTE(D508," ",""),"　","")),資格マスタ!$D:$D,0)),D508))</f>
        <v/>
      </c>
      <c r="F508">
        <f>IF(E508="","",IF(C508="",DATE(9999,1,1),C508))</f>
        <v/>
      </c>
      <c r="G508">
        <f>IF(E508="","",COUNTIFS($F$497:$F$522,"&lt;"&amp;F508,$F$497:$F$522,"&lt;&gt;")+COUNTIFS($F$497:$F$522,F508,$B$497:$B$522,"&lt;"&amp;B508)+1)</f>
        <v/>
      </c>
      <c r="H508">
        <f>IF(OR(E508="",C508=""),"",IF(C508&gt;=DATE(2019,5,1),"令和"&amp;(YEAR(C508)-2018),IF(C508&gt;=DATE(1989,1,8),"平成"&amp;(YEAR(C508)-1988),"昭和"&amp;(YEAR(C508)-1925)))&amp;"年"&amp;MONTH(C508)&amp;"月")</f>
        <v/>
      </c>
    </row>
    <row r="509">
      <c r="A509" t="n">
        <v>20</v>
      </c>
      <c r="B509" t="n">
        <v>13</v>
      </c>
      <c r="C509">
        <f>IFERROR(INDEX(資格取込!$S$6:$S$405,MATCH(20&amp;"_"&amp;7,資格取込!$Z$6:$Z$405,0)),"")</f>
        <v/>
      </c>
      <c r="D509">
        <f>IFERROR(INDEX(資格取込!$R$6:$R$405,MATCH(20&amp;"_"&amp;7,資格取込!$Z$6:$Z$405,0)),"")</f>
        <v/>
      </c>
      <c r="E509">
        <f>IF(D509="","",IFERROR(INDEX(資格マスタ!$B:$B,MATCH(ASC(SUBSTITUTE(SUBSTITUTE(D509," ",""),"　","")),資格マスタ!$D:$D,0)),D509))</f>
        <v/>
      </c>
      <c r="F509">
        <f>IF(E509="","",IF(C509="",DATE(9999,1,1),C509))</f>
        <v/>
      </c>
      <c r="G509">
        <f>IF(E509="","",COUNTIFS($F$497:$F$522,"&lt;"&amp;F509,$F$497:$F$522,"&lt;&gt;")+COUNTIFS($F$497:$F$522,F509,$B$497:$B$522,"&lt;"&amp;B509)+1)</f>
        <v/>
      </c>
      <c r="H509">
        <f>IF(OR(E509="",C509=""),"",IF(C509&gt;=DATE(2019,5,1),"令和"&amp;(YEAR(C509)-2018),IF(C509&gt;=DATE(1989,1,8),"平成"&amp;(YEAR(C509)-1988),"昭和"&amp;(YEAR(C509)-1925)))&amp;"年"&amp;MONTH(C509)&amp;"月")</f>
        <v/>
      </c>
    </row>
    <row r="510">
      <c r="A510" t="n">
        <v>20</v>
      </c>
      <c r="B510" t="n">
        <v>14</v>
      </c>
      <c r="C510">
        <f>IFERROR(INDEX(資格取込!$S$6:$S$405,MATCH(20&amp;"_"&amp;8,資格取込!$Z$6:$Z$405,0)),"")</f>
        <v/>
      </c>
      <c r="D510">
        <f>IFERROR(INDEX(資格取込!$R$6:$R$405,MATCH(20&amp;"_"&amp;8,資格取込!$Z$6:$Z$405,0)),"")</f>
        <v/>
      </c>
      <c r="E510">
        <f>IF(D510="","",IFERROR(INDEX(資格マスタ!$B:$B,MATCH(ASC(SUBSTITUTE(SUBSTITUTE(D510," ",""),"　","")),資格マスタ!$D:$D,0)),D510))</f>
        <v/>
      </c>
      <c r="F510">
        <f>IF(E510="","",IF(C510="",DATE(9999,1,1),C510))</f>
        <v/>
      </c>
      <c r="G510">
        <f>IF(E510="","",COUNTIFS($F$497:$F$522,"&lt;"&amp;F510,$F$497:$F$522,"&lt;&gt;")+COUNTIFS($F$497:$F$522,F510,$B$497:$B$522,"&lt;"&amp;B510)+1)</f>
        <v/>
      </c>
      <c r="H510">
        <f>IF(OR(E510="",C510=""),"",IF(C510&gt;=DATE(2019,5,1),"令和"&amp;(YEAR(C510)-2018),IF(C510&gt;=DATE(1989,1,8),"平成"&amp;(YEAR(C510)-1988),"昭和"&amp;(YEAR(C510)-1925)))&amp;"年"&amp;MONTH(C510)&amp;"月")</f>
        <v/>
      </c>
    </row>
    <row r="511">
      <c r="A511" t="n">
        <v>20</v>
      </c>
      <c r="B511" t="n">
        <v>15</v>
      </c>
      <c r="C511">
        <f>IFERROR(INDEX(資格取込!$S$6:$S$405,MATCH(20&amp;"_"&amp;9,資格取込!$Z$6:$Z$405,0)),"")</f>
        <v/>
      </c>
      <c r="D511">
        <f>IFERROR(INDEX(資格取込!$R$6:$R$405,MATCH(20&amp;"_"&amp;9,資格取込!$Z$6:$Z$405,0)),"")</f>
        <v/>
      </c>
      <c r="E511">
        <f>IF(D511="","",IFERROR(INDEX(資格マスタ!$B:$B,MATCH(ASC(SUBSTITUTE(SUBSTITUTE(D511," ",""),"　","")),資格マスタ!$D:$D,0)),D511))</f>
        <v/>
      </c>
      <c r="F511">
        <f>IF(E511="","",IF(C511="",DATE(9999,1,1),C511))</f>
        <v/>
      </c>
      <c r="G511">
        <f>IF(E511="","",COUNTIFS($F$497:$F$522,"&lt;"&amp;F511,$F$497:$F$522,"&lt;&gt;")+COUNTIFS($F$497:$F$522,F511,$B$497:$B$522,"&lt;"&amp;B511)+1)</f>
        <v/>
      </c>
      <c r="H511">
        <f>IF(OR(E511="",C511=""),"",IF(C511&gt;=DATE(2019,5,1),"令和"&amp;(YEAR(C511)-2018),IF(C511&gt;=DATE(1989,1,8),"平成"&amp;(YEAR(C511)-1988),"昭和"&amp;(YEAR(C511)-1925)))&amp;"年"&amp;MONTH(C511)&amp;"月")</f>
        <v/>
      </c>
    </row>
    <row r="512">
      <c r="A512" t="n">
        <v>20</v>
      </c>
      <c r="B512" t="n">
        <v>16</v>
      </c>
      <c r="C512">
        <f>IFERROR(INDEX(資格取込!$S$6:$S$405,MATCH(20&amp;"_"&amp;10,資格取込!$Z$6:$Z$405,0)),"")</f>
        <v/>
      </c>
      <c r="D512">
        <f>IFERROR(INDEX(資格取込!$R$6:$R$405,MATCH(20&amp;"_"&amp;10,資格取込!$Z$6:$Z$405,0)),"")</f>
        <v/>
      </c>
      <c r="E512">
        <f>IF(D512="","",IFERROR(INDEX(資格マスタ!$B:$B,MATCH(ASC(SUBSTITUTE(SUBSTITUTE(D512," ",""),"　","")),資格マスタ!$D:$D,0)),D512))</f>
        <v/>
      </c>
      <c r="F512">
        <f>IF(E512="","",IF(C512="",DATE(9999,1,1),C512))</f>
        <v/>
      </c>
      <c r="G512">
        <f>IF(E512="","",COUNTIFS($F$497:$F$522,"&lt;"&amp;F512,$F$497:$F$522,"&lt;&gt;")+COUNTIFS($F$497:$F$522,F512,$B$497:$B$522,"&lt;"&amp;B512)+1)</f>
        <v/>
      </c>
      <c r="H512">
        <f>IF(OR(E512="",C512=""),"",IF(C512&gt;=DATE(2019,5,1),"令和"&amp;(YEAR(C512)-2018),IF(C512&gt;=DATE(1989,1,8),"平成"&amp;(YEAR(C512)-1988),"昭和"&amp;(YEAR(C512)-1925)))&amp;"年"&amp;MONTH(C512)&amp;"月")</f>
        <v/>
      </c>
    </row>
    <row r="513">
      <c r="A513" t="n">
        <v>20</v>
      </c>
      <c r="B513" t="n">
        <v>17</v>
      </c>
      <c r="C513">
        <f>IFERROR(INDEX(資格取込!$S$6:$S$405,MATCH(20&amp;"_"&amp;11,資格取込!$Z$6:$Z$405,0)),"")</f>
        <v/>
      </c>
      <c r="D513">
        <f>IFERROR(INDEX(資格取込!$R$6:$R$405,MATCH(20&amp;"_"&amp;11,資格取込!$Z$6:$Z$405,0)),"")</f>
        <v/>
      </c>
      <c r="E513">
        <f>IF(D513="","",IFERROR(INDEX(資格マスタ!$B:$B,MATCH(ASC(SUBSTITUTE(SUBSTITUTE(D513," ",""),"　","")),資格マスタ!$D:$D,0)),D513))</f>
        <v/>
      </c>
      <c r="F513">
        <f>IF(E513="","",IF(C513="",DATE(9999,1,1),C513))</f>
        <v/>
      </c>
      <c r="G513">
        <f>IF(E513="","",COUNTIFS($F$497:$F$522,"&lt;"&amp;F513,$F$497:$F$522,"&lt;&gt;")+COUNTIFS($F$497:$F$522,F513,$B$497:$B$522,"&lt;"&amp;B513)+1)</f>
        <v/>
      </c>
      <c r="H513">
        <f>IF(OR(E513="",C513=""),"",IF(C513&gt;=DATE(2019,5,1),"令和"&amp;(YEAR(C513)-2018),IF(C513&gt;=DATE(1989,1,8),"平成"&amp;(YEAR(C513)-1988),"昭和"&amp;(YEAR(C513)-1925)))&amp;"年"&amp;MONTH(C513)&amp;"月")</f>
        <v/>
      </c>
    </row>
    <row r="514">
      <c r="A514" t="n">
        <v>20</v>
      </c>
      <c r="B514" t="n">
        <v>18</v>
      </c>
      <c r="C514">
        <f>IFERROR(INDEX(資格取込!$S$6:$S$405,MATCH(20&amp;"_"&amp;12,資格取込!$Z$6:$Z$405,0)),"")</f>
        <v/>
      </c>
      <c r="D514">
        <f>IFERROR(INDEX(資格取込!$R$6:$R$405,MATCH(20&amp;"_"&amp;12,資格取込!$Z$6:$Z$405,0)),"")</f>
        <v/>
      </c>
      <c r="E514">
        <f>IF(D514="","",IFERROR(INDEX(資格マスタ!$B:$B,MATCH(ASC(SUBSTITUTE(SUBSTITUTE(D514," ",""),"　","")),資格マスタ!$D:$D,0)),D514))</f>
        <v/>
      </c>
      <c r="F514">
        <f>IF(E514="","",IF(C514="",DATE(9999,1,1),C514))</f>
        <v/>
      </c>
      <c r="G514">
        <f>IF(E514="","",COUNTIFS($F$497:$F$522,"&lt;"&amp;F514,$F$497:$F$522,"&lt;&gt;")+COUNTIFS($F$497:$F$522,F514,$B$497:$B$522,"&lt;"&amp;B514)+1)</f>
        <v/>
      </c>
      <c r="H514">
        <f>IF(OR(E514="",C514=""),"",IF(C514&gt;=DATE(2019,5,1),"令和"&amp;(YEAR(C514)-2018),IF(C514&gt;=DATE(1989,1,8),"平成"&amp;(YEAR(C514)-1988),"昭和"&amp;(YEAR(C514)-1925)))&amp;"年"&amp;MONTH(C514)&amp;"月")</f>
        <v/>
      </c>
    </row>
    <row r="515">
      <c r="A515" t="n">
        <v>20</v>
      </c>
      <c r="B515" t="n">
        <v>19</v>
      </c>
      <c r="C515">
        <f>IFERROR(INDEX(資格取込!$S$6:$S$405,MATCH(20&amp;"_"&amp;13,資格取込!$Z$6:$Z$405,0)),"")</f>
        <v/>
      </c>
      <c r="D515">
        <f>IFERROR(INDEX(資格取込!$R$6:$R$405,MATCH(20&amp;"_"&amp;13,資格取込!$Z$6:$Z$405,0)),"")</f>
        <v/>
      </c>
      <c r="E515">
        <f>IF(D515="","",IFERROR(INDEX(資格マスタ!$B:$B,MATCH(ASC(SUBSTITUTE(SUBSTITUTE(D515," ",""),"　","")),資格マスタ!$D:$D,0)),D515))</f>
        <v/>
      </c>
      <c r="F515">
        <f>IF(E515="","",IF(C515="",DATE(9999,1,1),C515))</f>
        <v/>
      </c>
      <c r="G515">
        <f>IF(E515="","",COUNTIFS($F$497:$F$522,"&lt;"&amp;F515,$F$497:$F$522,"&lt;&gt;")+COUNTIFS($F$497:$F$522,F515,$B$497:$B$522,"&lt;"&amp;B515)+1)</f>
        <v/>
      </c>
      <c r="H515">
        <f>IF(OR(E515="",C515=""),"",IF(C515&gt;=DATE(2019,5,1),"令和"&amp;(YEAR(C515)-2018),IF(C515&gt;=DATE(1989,1,8),"平成"&amp;(YEAR(C515)-1988),"昭和"&amp;(YEAR(C515)-1925)))&amp;"年"&amp;MONTH(C515)&amp;"月")</f>
        <v/>
      </c>
    </row>
    <row r="516">
      <c r="A516" t="n">
        <v>20</v>
      </c>
      <c r="B516" t="n">
        <v>20</v>
      </c>
      <c r="C516">
        <f>IFERROR(INDEX(資格取込!$S$6:$S$405,MATCH(20&amp;"_"&amp;14,資格取込!$Z$6:$Z$405,0)),"")</f>
        <v/>
      </c>
      <c r="D516">
        <f>IFERROR(INDEX(資格取込!$R$6:$R$405,MATCH(20&amp;"_"&amp;14,資格取込!$Z$6:$Z$405,0)),"")</f>
        <v/>
      </c>
      <c r="E516">
        <f>IF(D516="","",IFERROR(INDEX(資格マスタ!$B:$B,MATCH(ASC(SUBSTITUTE(SUBSTITUTE(D516," ",""),"　","")),資格マスタ!$D:$D,0)),D516))</f>
        <v/>
      </c>
      <c r="F516">
        <f>IF(E516="","",IF(C516="",DATE(9999,1,1),C516))</f>
        <v/>
      </c>
      <c r="G516">
        <f>IF(E516="","",COUNTIFS($F$497:$F$522,"&lt;"&amp;F516,$F$497:$F$522,"&lt;&gt;")+COUNTIFS($F$497:$F$522,F516,$B$497:$B$522,"&lt;"&amp;B516)+1)</f>
        <v/>
      </c>
      <c r="H516">
        <f>IF(OR(E516="",C516=""),"",IF(C516&gt;=DATE(2019,5,1),"令和"&amp;(YEAR(C516)-2018),IF(C516&gt;=DATE(1989,1,8),"平成"&amp;(YEAR(C516)-1988),"昭和"&amp;(YEAR(C516)-1925)))&amp;"年"&amp;MONTH(C516)&amp;"月")</f>
        <v/>
      </c>
    </row>
    <row r="517">
      <c r="A517" t="n">
        <v>20</v>
      </c>
      <c r="B517" t="n">
        <v>21</v>
      </c>
      <c r="C517">
        <f>IFERROR(INDEX(資格取込!$S$6:$S$405,MATCH(20&amp;"_"&amp;15,資格取込!$Z$6:$Z$405,0)),"")</f>
        <v/>
      </c>
      <c r="D517">
        <f>IFERROR(INDEX(資格取込!$R$6:$R$405,MATCH(20&amp;"_"&amp;15,資格取込!$Z$6:$Z$405,0)),"")</f>
        <v/>
      </c>
      <c r="E517">
        <f>IF(D517="","",IFERROR(INDEX(資格マスタ!$B:$B,MATCH(ASC(SUBSTITUTE(SUBSTITUTE(D517," ",""),"　","")),資格マスタ!$D:$D,0)),D517))</f>
        <v/>
      </c>
      <c r="F517">
        <f>IF(E517="","",IF(C517="",DATE(9999,1,1),C517))</f>
        <v/>
      </c>
      <c r="G517">
        <f>IF(E517="","",COUNTIFS($F$497:$F$522,"&lt;"&amp;F517,$F$497:$F$522,"&lt;&gt;")+COUNTIFS($F$497:$F$522,F517,$B$497:$B$522,"&lt;"&amp;B517)+1)</f>
        <v/>
      </c>
      <c r="H517">
        <f>IF(OR(E517="",C517=""),"",IF(C517&gt;=DATE(2019,5,1),"令和"&amp;(YEAR(C517)-2018),IF(C517&gt;=DATE(1989,1,8),"平成"&amp;(YEAR(C517)-1988),"昭和"&amp;(YEAR(C517)-1925)))&amp;"年"&amp;MONTH(C517)&amp;"月")</f>
        <v/>
      </c>
    </row>
    <row r="518">
      <c r="A518" t="n">
        <v>20</v>
      </c>
      <c r="B518" t="n">
        <v>22</v>
      </c>
      <c r="C518">
        <f>IFERROR(INDEX(資格取込!$S$6:$S$405,MATCH(20&amp;"_"&amp;16,資格取込!$Z$6:$Z$405,0)),"")</f>
        <v/>
      </c>
      <c r="D518">
        <f>IFERROR(INDEX(資格取込!$R$6:$R$405,MATCH(20&amp;"_"&amp;16,資格取込!$Z$6:$Z$405,0)),"")</f>
        <v/>
      </c>
      <c r="E518">
        <f>IF(D518="","",IFERROR(INDEX(資格マスタ!$B:$B,MATCH(ASC(SUBSTITUTE(SUBSTITUTE(D518," ",""),"　","")),資格マスタ!$D:$D,0)),D518))</f>
        <v/>
      </c>
      <c r="F518">
        <f>IF(E518="","",IF(C518="",DATE(9999,1,1),C518))</f>
        <v/>
      </c>
      <c r="G518">
        <f>IF(E518="","",COUNTIFS($F$497:$F$522,"&lt;"&amp;F518,$F$497:$F$522,"&lt;&gt;")+COUNTIFS($F$497:$F$522,F518,$B$497:$B$522,"&lt;"&amp;B518)+1)</f>
        <v/>
      </c>
      <c r="H518">
        <f>IF(OR(E518="",C518=""),"",IF(C518&gt;=DATE(2019,5,1),"令和"&amp;(YEAR(C518)-2018),IF(C518&gt;=DATE(1989,1,8),"平成"&amp;(YEAR(C518)-1988),"昭和"&amp;(YEAR(C518)-1925)))&amp;"年"&amp;MONTH(C518)&amp;"月")</f>
        <v/>
      </c>
    </row>
    <row r="519">
      <c r="A519" t="n">
        <v>20</v>
      </c>
      <c r="B519" t="n">
        <v>23</v>
      </c>
      <c r="C519">
        <f>IFERROR(INDEX(資格取込!$S$6:$S$405,MATCH(20&amp;"_"&amp;17,資格取込!$Z$6:$Z$405,0)),"")</f>
        <v/>
      </c>
      <c r="D519">
        <f>IFERROR(INDEX(資格取込!$R$6:$R$405,MATCH(20&amp;"_"&amp;17,資格取込!$Z$6:$Z$405,0)),"")</f>
        <v/>
      </c>
      <c r="E519">
        <f>IF(D519="","",IFERROR(INDEX(資格マスタ!$B:$B,MATCH(ASC(SUBSTITUTE(SUBSTITUTE(D519," ",""),"　","")),資格マスタ!$D:$D,0)),D519))</f>
        <v/>
      </c>
      <c r="F519">
        <f>IF(E519="","",IF(C519="",DATE(9999,1,1),C519))</f>
        <v/>
      </c>
      <c r="G519">
        <f>IF(E519="","",COUNTIFS($F$497:$F$522,"&lt;"&amp;F519,$F$497:$F$522,"&lt;&gt;")+COUNTIFS($F$497:$F$522,F519,$B$497:$B$522,"&lt;"&amp;B519)+1)</f>
        <v/>
      </c>
      <c r="H519">
        <f>IF(OR(E519="",C519=""),"",IF(C519&gt;=DATE(2019,5,1),"令和"&amp;(YEAR(C519)-2018),IF(C519&gt;=DATE(1989,1,8),"平成"&amp;(YEAR(C519)-1988),"昭和"&amp;(YEAR(C519)-1925)))&amp;"年"&amp;MONTH(C519)&amp;"月")</f>
        <v/>
      </c>
    </row>
    <row r="520">
      <c r="A520" t="n">
        <v>20</v>
      </c>
      <c r="B520" t="n">
        <v>24</v>
      </c>
      <c r="C520">
        <f>IFERROR(INDEX(資格取込!$S$6:$S$405,MATCH(20&amp;"_"&amp;18,資格取込!$Z$6:$Z$405,0)),"")</f>
        <v/>
      </c>
      <c r="D520">
        <f>IFERROR(INDEX(資格取込!$R$6:$R$405,MATCH(20&amp;"_"&amp;18,資格取込!$Z$6:$Z$405,0)),"")</f>
        <v/>
      </c>
      <c r="E520">
        <f>IF(D520="","",IFERROR(INDEX(資格マスタ!$B:$B,MATCH(ASC(SUBSTITUTE(SUBSTITUTE(D520," ",""),"　","")),資格マスタ!$D:$D,0)),D520))</f>
        <v/>
      </c>
      <c r="F520">
        <f>IF(E520="","",IF(C520="",DATE(9999,1,1),C520))</f>
        <v/>
      </c>
      <c r="G520">
        <f>IF(E520="","",COUNTIFS($F$497:$F$522,"&lt;"&amp;F520,$F$497:$F$522,"&lt;&gt;")+COUNTIFS($F$497:$F$522,F520,$B$497:$B$522,"&lt;"&amp;B520)+1)</f>
        <v/>
      </c>
      <c r="H520">
        <f>IF(OR(E520="",C520=""),"",IF(C520&gt;=DATE(2019,5,1),"令和"&amp;(YEAR(C520)-2018),IF(C520&gt;=DATE(1989,1,8),"平成"&amp;(YEAR(C520)-1988),"昭和"&amp;(YEAR(C520)-1925)))&amp;"年"&amp;MONTH(C520)&amp;"月")</f>
        <v/>
      </c>
    </row>
    <row r="521">
      <c r="A521" t="n">
        <v>20</v>
      </c>
      <c r="B521" t="n">
        <v>25</v>
      </c>
      <c r="C521">
        <f>IFERROR(INDEX(資格取込!$S$6:$S$405,MATCH(20&amp;"_"&amp;19,資格取込!$Z$6:$Z$405,0)),"")</f>
        <v/>
      </c>
      <c r="D521">
        <f>IFERROR(INDEX(資格取込!$R$6:$R$405,MATCH(20&amp;"_"&amp;19,資格取込!$Z$6:$Z$405,0)),"")</f>
        <v/>
      </c>
      <c r="E521">
        <f>IF(D521="","",IFERROR(INDEX(資格マスタ!$B:$B,MATCH(ASC(SUBSTITUTE(SUBSTITUTE(D521," ",""),"　","")),資格マスタ!$D:$D,0)),D521))</f>
        <v/>
      </c>
      <c r="F521">
        <f>IF(E521="","",IF(C521="",DATE(9999,1,1),C521))</f>
        <v/>
      </c>
      <c r="G521">
        <f>IF(E521="","",COUNTIFS($F$497:$F$522,"&lt;"&amp;F521,$F$497:$F$522,"&lt;&gt;")+COUNTIFS($F$497:$F$522,F521,$B$497:$B$522,"&lt;"&amp;B521)+1)</f>
        <v/>
      </c>
      <c r="H521">
        <f>IF(OR(E521="",C521=""),"",IF(C521&gt;=DATE(2019,5,1),"令和"&amp;(YEAR(C521)-2018),IF(C521&gt;=DATE(1989,1,8),"平成"&amp;(YEAR(C521)-1988),"昭和"&amp;(YEAR(C521)-1925)))&amp;"年"&amp;MONTH(C521)&amp;"月")</f>
        <v/>
      </c>
    </row>
    <row r="522">
      <c r="A522" t="n">
        <v>20</v>
      </c>
      <c r="B522" t="n">
        <v>26</v>
      </c>
      <c r="C522">
        <f>IFERROR(INDEX(資格取込!$S$6:$S$405,MATCH(20&amp;"_"&amp;20,資格取込!$Z$6:$Z$405,0)),"")</f>
        <v/>
      </c>
      <c r="D522">
        <f>IFERROR(INDEX(資格取込!$R$6:$R$405,MATCH(20&amp;"_"&amp;20,資格取込!$Z$6:$Z$405,0)),"")</f>
        <v/>
      </c>
      <c r="E522">
        <f>IF(D522="","",IFERROR(INDEX(資格マスタ!$B:$B,MATCH(ASC(SUBSTITUTE(SUBSTITUTE(D522," ",""),"　","")),資格マスタ!$D:$D,0)),D522))</f>
        <v/>
      </c>
      <c r="F522">
        <f>IF(E522="","",IF(C522="",DATE(9999,1,1),C522))</f>
        <v/>
      </c>
      <c r="G522">
        <f>IF(E522="","",COUNTIFS($F$497:$F$522,"&lt;"&amp;F522,$F$497:$F$522,"&lt;&gt;")+COUNTIFS($F$497:$F$522,F522,$B$497:$B$522,"&lt;"&amp;B522)+1)</f>
        <v/>
      </c>
      <c r="H522">
        <f>IF(OR(E522="",C522=""),"",IF(C522&gt;=DATE(2019,5,1),"令和"&amp;(YEAR(C522)-2018),IF(C522&gt;=DATE(1989,1,8),"平成"&amp;(YEAR(C522)-1988),"昭和"&amp;(YEAR(C522)-1925)))&amp;"年"&amp;MONTH(C522)&amp;"月")</f>
        <v/>
      </c>
    </row>
    <row r="523">
      <c r="A523" t="n">
        <v>21</v>
      </c>
      <c r="B523" t="n">
        <v>1</v>
      </c>
      <c r="C52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523">
        <f>IF(入力!N25="","",入力!N25)</f>
        <v/>
      </c>
      <c r="E523">
        <f>IF(D523="","",IFERROR(INDEX(資格マスタ!$B:$B,MATCH(ASC(SUBSTITUTE(SUBSTITUTE(D523," ",""),"　","")),資格マスタ!$D:$D,0)),D523))</f>
        <v/>
      </c>
      <c r="F523">
        <f>IF(E523="","",IF(C523="",DATE(9999,1,1),C523))</f>
        <v/>
      </c>
      <c r="G523">
        <f>IF(E523="","",COUNTIFS($F$523:$F$548,"&lt;"&amp;F523,$F$523:$F$548,"&lt;&gt;")+COUNTIFS($F$523:$F$548,F523,$B$523:$B$548,"&lt;"&amp;B523)+1)</f>
        <v/>
      </c>
      <c r="H523">
        <f>IF(OR(E523="",C523=""),"",IF(C523&gt;=DATE(2019,5,1),"令和"&amp;(YEAR(C523)-2018),IF(C523&gt;=DATE(1989,1,8),"平成"&amp;(YEAR(C523)-1988),"昭和"&amp;(YEAR(C523)-1925)))&amp;"年"&amp;MONTH(C523)&amp;"月")</f>
        <v/>
      </c>
    </row>
    <row r="524">
      <c r="A524" t="n">
        <v>21</v>
      </c>
      <c r="B524" t="n">
        <v>2</v>
      </c>
      <c r="C52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524">
        <f>IF(入力!P25="","",入力!P25)</f>
        <v/>
      </c>
      <c r="E524">
        <f>IF(D524="","",IFERROR(INDEX(資格マスタ!$B:$B,MATCH(ASC(SUBSTITUTE(SUBSTITUTE(D524," ",""),"　","")),資格マスタ!$D:$D,0)),D524))</f>
        <v/>
      </c>
      <c r="F524">
        <f>IF(E524="","",IF(C524="",DATE(9999,1,1),C524))</f>
        <v/>
      </c>
      <c r="G524">
        <f>IF(E524="","",COUNTIFS($F$523:$F$548,"&lt;"&amp;F524,$F$523:$F$548,"&lt;&gt;")+COUNTIFS($F$523:$F$548,F524,$B$523:$B$548,"&lt;"&amp;B524)+1)</f>
        <v/>
      </c>
      <c r="H524">
        <f>IF(OR(E524="",C524=""),"",IF(C524&gt;=DATE(2019,5,1),"令和"&amp;(YEAR(C524)-2018),IF(C524&gt;=DATE(1989,1,8),"平成"&amp;(YEAR(C524)-1988),"昭和"&amp;(YEAR(C524)-1925)))&amp;"年"&amp;MONTH(C524)&amp;"月")</f>
        <v/>
      </c>
    </row>
    <row r="525">
      <c r="A525" t="n">
        <v>21</v>
      </c>
      <c r="B525" t="n">
        <v>3</v>
      </c>
      <c r="C52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525">
        <f>IF(入力!R25="","",入力!R25)</f>
        <v/>
      </c>
      <c r="E525">
        <f>IF(D525="","",IFERROR(INDEX(資格マスタ!$B:$B,MATCH(ASC(SUBSTITUTE(SUBSTITUTE(D525," ",""),"　","")),資格マスタ!$D:$D,0)),D525))</f>
        <v/>
      </c>
      <c r="F525">
        <f>IF(E525="","",IF(C525="",DATE(9999,1,1),C525))</f>
        <v/>
      </c>
      <c r="G525">
        <f>IF(E525="","",COUNTIFS($F$523:$F$548,"&lt;"&amp;F525,$F$523:$F$548,"&lt;&gt;")+COUNTIFS($F$523:$F$548,F525,$B$523:$B$548,"&lt;"&amp;B525)+1)</f>
        <v/>
      </c>
      <c r="H525">
        <f>IF(OR(E525="",C525=""),"",IF(C525&gt;=DATE(2019,5,1),"令和"&amp;(YEAR(C525)-2018),IF(C525&gt;=DATE(1989,1,8),"平成"&amp;(YEAR(C525)-1988),"昭和"&amp;(YEAR(C525)-1925)))&amp;"年"&amp;MONTH(C525)&amp;"月")</f>
        <v/>
      </c>
    </row>
    <row r="526">
      <c r="A526" t="n">
        <v>21</v>
      </c>
      <c r="B526" t="n">
        <v>4</v>
      </c>
      <c r="C52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526">
        <f>IF(入力!T25="","",入力!T25)</f>
        <v/>
      </c>
      <c r="E526">
        <f>IF(D526="","",IFERROR(INDEX(資格マスタ!$B:$B,MATCH(ASC(SUBSTITUTE(SUBSTITUTE(D526," ",""),"　","")),資格マスタ!$D:$D,0)),D526))</f>
        <v/>
      </c>
      <c r="F526">
        <f>IF(E526="","",IF(C526="",DATE(9999,1,1),C526))</f>
        <v/>
      </c>
      <c r="G526">
        <f>IF(E526="","",COUNTIFS($F$523:$F$548,"&lt;"&amp;F526,$F$523:$F$548,"&lt;&gt;")+COUNTIFS($F$523:$F$548,F526,$B$523:$B$548,"&lt;"&amp;B526)+1)</f>
        <v/>
      </c>
      <c r="H526">
        <f>IF(OR(E526="",C526=""),"",IF(C526&gt;=DATE(2019,5,1),"令和"&amp;(YEAR(C526)-2018),IF(C526&gt;=DATE(1989,1,8),"平成"&amp;(YEAR(C526)-1988),"昭和"&amp;(YEAR(C526)-1925)))&amp;"年"&amp;MONTH(C526)&amp;"月")</f>
        <v/>
      </c>
    </row>
    <row r="527">
      <c r="A527" t="n">
        <v>21</v>
      </c>
      <c r="B527" t="n">
        <v>5</v>
      </c>
      <c r="C52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527">
        <f>IF(入力!V25="","",入力!V25)</f>
        <v/>
      </c>
      <c r="E527">
        <f>IF(D527="","",IFERROR(INDEX(資格マスタ!$B:$B,MATCH(ASC(SUBSTITUTE(SUBSTITUTE(D527," ",""),"　","")),資格マスタ!$D:$D,0)),D527))</f>
        <v/>
      </c>
      <c r="F527">
        <f>IF(E527="","",IF(C527="",DATE(9999,1,1),C527))</f>
        <v/>
      </c>
      <c r="G527">
        <f>IF(E527="","",COUNTIFS($F$523:$F$548,"&lt;"&amp;F527,$F$523:$F$548,"&lt;&gt;")+COUNTIFS($F$523:$F$548,F527,$B$523:$B$548,"&lt;"&amp;B527)+1)</f>
        <v/>
      </c>
      <c r="H527">
        <f>IF(OR(E527="",C527=""),"",IF(C527&gt;=DATE(2019,5,1),"令和"&amp;(YEAR(C527)-2018),IF(C527&gt;=DATE(1989,1,8),"平成"&amp;(YEAR(C527)-1988),"昭和"&amp;(YEAR(C527)-1925)))&amp;"年"&amp;MONTH(C527)&amp;"月")</f>
        <v/>
      </c>
    </row>
    <row r="528">
      <c r="A528" t="n">
        <v>21</v>
      </c>
      <c r="B528" t="n">
        <v>6</v>
      </c>
      <c r="C52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528">
        <f>IF(入力!X25="","",入力!X25)</f>
        <v/>
      </c>
      <c r="E528">
        <f>IF(D528="","",IFERROR(INDEX(資格マスタ!$B:$B,MATCH(ASC(SUBSTITUTE(SUBSTITUTE(D528," ",""),"　","")),資格マスタ!$D:$D,0)),D528))</f>
        <v/>
      </c>
      <c r="F528">
        <f>IF(E528="","",IF(C528="",DATE(9999,1,1),C528))</f>
        <v/>
      </c>
      <c r="G528">
        <f>IF(E528="","",COUNTIFS($F$523:$F$548,"&lt;"&amp;F528,$F$523:$F$548,"&lt;&gt;")+COUNTIFS($F$523:$F$548,F528,$B$523:$B$548,"&lt;"&amp;B528)+1)</f>
        <v/>
      </c>
      <c r="H528">
        <f>IF(OR(E528="",C528=""),"",IF(C528&gt;=DATE(2019,5,1),"令和"&amp;(YEAR(C528)-2018),IF(C528&gt;=DATE(1989,1,8),"平成"&amp;(YEAR(C528)-1988),"昭和"&amp;(YEAR(C528)-1925)))&amp;"年"&amp;MONTH(C528)&amp;"月")</f>
        <v/>
      </c>
    </row>
    <row r="529">
      <c r="A529" t="n">
        <v>21</v>
      </c>
      <c r="B529" t="n">
        <v>7</v>
      </c>
      <c r="C529">
        <f>IFERROR(INDEX(資格取込!$S$6:$S$405,MATCH(21&amp;"_"&amp;1,資格取込!$Z$6:$Z$405,0)),"")</f>
        <v/>
      </c>
      <c r="D529">
        <f>IFERROR(INDEX(資格取込!$R$6:$R$405,MATCH(21&amp;"_"&amp;1,資格取込!$Z$6:$Z$405,0)),"")</f>
        <v/>
      </c>
      <c r="E529">
        <f>IF(D529="","",IFERROR(INDEX(資格マスタ!$B:$B,MATCH(ASC(SUBSTITUTE(SUBSTITUTE(D529," ",""),"　","")),資格マスタ!$D:$D,0)),D529))</f>
        <v/>
      </c>
      <c r="F529">
        <f>IF(E529="","",IF(C529="",DATE(9999,1,1),C529))</f>
        <v/>
      </c>
      <c r="G529">
        <f>IF(E529="","",COUNTIFS($F$523:$F$548,"&lt;"&amp;F529,$F$523:$F$548,"&lt;&gt;")+COUNTIFS($F$523:$F$548,F529,$B$523:$B$548,"&lt;"&amp;B529)+1)</f>
        <v/>
      </c>
      <c r="H529">
        <f>IF(OR(E529="",C529=""),"",IF(C529&gt;=DATE(2019,5,1),"令和"&amp;(YEAR(C529)-2018),IF(C529&gt;=DATE(1989,1,8),"平成"&amp;(YEAR(C529)-1988),"昭和"&amp;(YEAR(C529)-1925)))&amp;"年"&amp;MONTH(C529)&amp;"月")</f>
        <v/>
      </c>
    </row>
    <row r="530">
      <c r="A530" t="n">
        <v>21</v>
      </c>
      <c r="B530" t="n">
        <v>8</v>
      </c>
      <c r="C530">
        <f>IFERROR(INDEX(資格取込!$S$6:$S$405,MATCH(21&amp;"_"&amp;2,資格取込!$Z$6:$Z$405,0)),"")</f>
        <v/>
      </c>
      <c r="D530">
        <f>IFERROR(INDEX(資格取込!$R$6:$R$405,MATCH(21&amp;"_"&amp;2,資格取込!$Z$6:$Z$405,0)),"")</f>
        <v/>
      </c>
      <c r="E530">
        <f>IF(D530="","",IFERROR(INDEX(資格マスタ!$B:$B,MATCH(ASC(SUBSTITUTE(SUBSTITUTE(D530," ",""),"　","")),資格マスタ!$D:$D,0)),D530))</f>
        <v/>
      </c>
      <c r="F530">
        <f>IF(E530="","",IF(C530="",DATE(9999,1,1),C530))</f>
        <v/>
      </c>
      <c r="G530">
        <f>IF(E530="","",COUNTIFS($F$523:$F$548,"&lt;"&amp;F530,$F$523:$F$548,"&lt;&gt;")+COUNTIFS($F$523:$F$548,F530,$B$523:$B$548,"&lt;"&amp;B530)+1)</f>
        <v/>
      </c>
      <c r="H530">
        <f>IF(OR(E530="",C530=""),"",IF(C530&gt;=DATE(2019,5,1),"令和"&amp;(YEAR(C530)-2018),IF(C530&gt;=DATE(1989,1,8),"平成"&amp;(YEAR(C530)-1988),"昭和"&amp;(YEAR(C530)-1925)))&amp;"年"&amp;MONTH(C530)&amp;"月")</f>
        <v/>
      </c>
    </row>
    <row r="531">
      <c r="A531" t="n">
        <v>21</v>
      </c>
      <c r="B531" t="n">
        <v>9</v>
      </c>
      <c r="C531">
        <f>IFERROR(INDEX(資格取込!$S$6:$S$405,MATCH(21&amp;"_"&amp;3,資格取込!$Z$6:$Z$405,0)),"")</f>
        <v/>
      </c>
      <c r="D531">
        <f>IFERROR(INDEX(資格取込!$R$6:$R$405,MATCH(21&amp;"_"&amp;3,資格取込!$Z$6:$Z$405,0)),"")</f>
        <v/>
      </c>
      <c r="E531">
        <f>IF(D531="","",IFERROR(INDEX(資格マスタ!$B:$B,MATCH(ASC(SUBSTITUTE(SUBSTITUTE(D531," ",""),"　","")),資格マスタ!$D:$D,0)),D531))</f>
        <v/>
      </c>
      <c r="F531">
        <f>IF(E531="","",IF(C531="",DATE(9999,1,1),C531))</f>
        <v/>
      </c>
      <c r="G531">
        <f>IF(E531="","",COUNTIFS($F$523:$F$548,"&lt;"&amp;F531,$F$523:$F$548,"&lt;&gt;")+COUNTIFS($F$523:$F$548,F531,$B$523:$B$548,"&lt;"&amp;B531)+1)</f>
        <v/>
      </c>
      <c r="H531">
        <f>IF(OR(E531="",C531=""),"",IF(C531&gt;=DATE(2019,5,1),"令和"&amp;(YEAR(C531)-2018),IF(C531&gt;=DATE(1989,1,8),"平成"&amp;(YEAR(C531)-1988),"昭和"&amp;(YEAR(C531)-1925)))&amp;"年"&amp;MONTH(C531)&amp;"月")</f>
        <v/>
      </c>
    </row>
    <row r="532">
      <c r="A532" t="n">
        <v>21</v>
      </c>
      <c r="B532" t="n">
        <v>10</v>
      </c>
      <c r="C532">
        <f>IFERROR(INDEX(資格取込!$S$6:$S$405,MATCH(21&amp;"_"&amp;4,資格取込!$Z$6:$Z$405,0)),"")</f>
        <v/>
      </c>
      <c r="D532">
        <f>IFERROR(INDEX(資格取込!$R$6:$R$405,MATCH(21&amp;"_"&amp;4,資格取込!$Z$6:$Z$405,0)),"")</f>
        <v/>
      </c>
      <c r="E532">
        <f>IF(D532="","",IFERROR(INDEX(資格マスタ!$B:$B,MATCH(ASC(SUBSTITUTE(SUBSTITUTE(D532," ",""),"　","")),資格マスタ!$D:$D,0)),D532))</f>
        <v/>
      </c>
      <c r="F532">
        <f>IF(E532="","",IF(C532="",DATE(9999,1,1),C532))</f>
        <v/>
      </c>
      <c r="G532">
        <f>IF(E532="","",COUNTIFS($F$523:$F$548,"&lt;"&amp;F532,$F$523:$F$548,"&lt;&gt;")+COUNTIFS($F$523:$F$548,F532,$B$523:$B$548,"&lt;"&amp;B532)+1)</f>
        <v/>
      </c>
      <c r="H532">
        <f>IF(OR(E532="",C532=""),"",IF(C532&gt;=DATE(2019,5,1),"令和"&amp;(YEAR(C532)-2018),IF(C532&gt;=DATE(1989,1,8),"平成"&amp;(YEAR(C532)-1988),"昭和"&amp;(YEAR(C532)-1925)))&amp;"年"&amp;MONTH(C532)&amp;"月")</f>
        <v/>
      </c>
    </row>
    <row r="533">
      <c r="A533" t="n">
        <v>21</v>
      </c>
      <c r="B533" t="n">
        <v>11</v>
      </c>
      <c r="C533">
        <f>IFERROR(INDEX(資格取込!$S$6:$S$405,MATCH(21&amp;"_"&amp;5,資格取込!$Z$6:$Z$405,0)),"")</f>
        <v/>
      </c>
      <c r="D533">
        <f>IFERROR(INDEX(資格取込!$R$6:$R$405,MATCH(21&amp;"_"&amp;5,資格取込!$Z$6:$Z$405,0)),"")</f>
        <v/>
      </c>
      <c r="E533">
        <f>IF(D533="","",IFERROR(INDEX(資格マスタ!$B:$B,MATCH(ASC(SUBSTITUTE(SUBSTITUTE(D533," ",""),"　","")),資格マスタ!$D:$D,0)),D533))</f>
        <v/>
      </c>
      <c r="F533">
        <f>IF(E533="","",IF(C533="",DATE(9999,1,1),C533))</f>
        <v/>
      </c>
      <c r="G533">
        <f>IF(E533="","",COUNTIFS($F$523:$F$548,"&lt;"&amp;F533,$F$523:$F$548,"&lt;&gt;")+COUNTIFS($F$523:$F$548,F533,$B$523:$B$548,"&lt;"&amp;B533)+1)</f>
        <v/>
      </c>
      <c r="H533">
        <f>IF(OR(E533="",C533=""),"",IF(C533&gt;=DATE(2019,5,1),"令和"&amp;(YEAR(C533)-2018),IF(C533&gt;=DATE(1989,1,8),"平成"&amp;(YEAR(C533)-1988),"昭和"&amp;(YEAR(C533)-1925)))&amp;"年"&amp;MONTH(C533)&amp;"月")</f>
        <v/>
      </c>
    </row>
    <row r="534">
      <c r="A534" t="n">
        <v>21</v>
      </c>
      <c r="B534" t="n">
        <v>12</v>
      </c>
      <c r="C534">
        <f>IFERROR(INDEX(資格取込!$S$6:$S$405,MATCH(21&amp;"_"&amp;6,資格取込!$Z$6:$Z$405,0)),"")</f>
        <v/>
      </c>
      <c r="D534">
        <f>IFERROR(INDEX(資格取込!$R$6:$R$405,MATCH(21&amp;"_"&amp;6,資格取込!$Z$6:$Z$405,0)),"")</f>
        <v/>
      </c>
      <c r="E534">
        <f>IF(D534="","",IFERROR(INDEX(資格マスタ!$B:$B,MATCH(ASC(SUBSTITUTE(SUBSTITUTE(D534," ",""),"　","")),資格マスタ!$D:$D,0)),D534))</f>
        <v/>
      </c>
      <c r="F534">
        <f>IF(E534="","",IF(C534="",DATE(9999,1,1),C534))</f>
        <v/>
      </c>
      <c r="G534">
        <f>IF(E534="","",COUNTIFS($F$523:$F$548,"&lt;"&amp;F534,$F$523:$F$548,"&lt;&gt;")+COUNTIFS($F$523:$F$548,F534,$B$523:$B$548,"&lt;"&amp;B534)+1)</f>
        <v/>
      </c>
      <c r="H534">
        <f>IF(OR(E534="",C534=""),"",IF(C534&gt;=DATE(2019,5,1),"令和"&amp;(YEAR(C534)-2018),IF(C534&gt;=DATE(1989,1,8),"平成"&amp;(YEAR(C534)-1988),"昭和"&amp;(YEAR(C534)-1925)))&amp;"年"&amp;MONTH(C534)&amp;"月")</f>
        <v/>
      </c>
    </row>
    <row r="535">
      <c r="A535" t="n">
        <v>21</v>
      </c>
      <c r="B535" t="n">
        <v>13</v>
      </c>
      <c r="C535">
        <f>IFERROR(INDEX(資格取込!$S$6:$S$405,MATCH(21&amp;"_"&amp;7,資格取込!$Z$6:$Z$405,0)),"")</f>
        <v/>
      </c>
      <c r="D535">
        <f>IFERROR(INDEX(資格取込!$R$6:$R$405,MATCH(21&amp;"_"&amp;7,資格取込!$Z$6:$Z$405,0)),"")</f>
        <v/>
      </c>
      <c r="E535">
        <f>IF(D535="","",IFERROR(INDEX(資格マスタ!$B:$B,MATCH(ASC(SUBSTITUTE(SUBSTITUTE(D535," ",""),"　","")),資格マスタ!$D:$D,0)),D535))</f>
        <v/>
      </c>
      <c r="F535">
        <f>IF(E535="","",IF(C535="",DATE(9999,1,1),C535))</f>
        <v/>
      </c>
      <c r="G535">
        <f>IF(E535="","",COUNTIFS($F$523:$F$548,"&lt;"&amp;F535,$F$523:$F$548,"&lt;&gt;")+COUNTIFS($F$523:$F$548,F535,$B$523:$B$548,"&lt;"&amp;B535)+1)</f>
        <v/>
      </c>
      <c r="H535">
        <f>IF(OR(E535="",C535=""),"",IF(C535&gt;=DATE(2019,5,1),"令和"&amp;(YEAR(C535)-2018),IF(C535&gt;=DATE(1989,1,8),"平成"&amp;(YEAR(C535)-1988),"昭和"&amp;(YEAR(C535)-1925)))&amp;"年"&amp;MONTH(C535)&amp;"月")</f>
        <v/>
      </c>
    </row>
    <row r="536">
      <c r="A536" t="n">
        <v>21</v>
      </c>
      <c r="B536" t="n">
        <v>14</v>
      </c>
      <c r="C536">
        <f>IFERROR(INDEX(資格取込!$S$6:$S$405,MATCH(21&amp;"_"&amp;8,資格取込!$Z$6:$Z$405,0)),"")</f>
        <v/>
      </c>
      <c r="D536">
        <f>IFERROR(INDEX(資格取込!$R$6:$R$405,MATCH(21&amp;"_"&amp;8,資格取込!$Z$6:$Z$405,0)),"")</f>
        <v/>
      </c>
      <c r="E536">
        <f>IF(D536="","",IFERROR(INDEX(資格マスタ!$B:$B,MATCH(ASC(SUBSTITUTE(SUBSTITUTE(D536," ",""),"　","")),資格マスタ!$D:$D,0)),D536))</f>
        <v/>
      </c>
      <c r="F536">
        <f>IF(E536="","",IF(C536="",DATE(9999,1,1),C536))</f>
        <v/>
      </c>
      <c r="G536">
        <f>IF(E536="","",COUNTIFS($F$523:$F$548,"&lt;"&amp;F536,$F$523:$F$548,"&lt;&gt;")+COUNTIFS($F$523:$F$548,F536,$B$523:$B$548,"&lt;"&amp;B536)+1)</f>
        <v/>
      </c>
      <c r="H536">
        <f>IF(OR(E536="",C536=""),"",IF(C536&gt;=DATE(2019,5,1),"令和"&amp;(YEAR(C536)-2018),IF(C536&gt;=DATE(1989,1,8),"平成"&amp;(YEAR(C536)-1988),"昭和"&amp;(YEAR(C536)-1925)))&amp;"年"&amp;MONTH(C536)&amp;"月")</f>
        <v/>
      </c>
    </row>
    <row r="537">
      <c r="A537" t="n">
        <v>21</v>
      </c>
      <c r="B537" t="n">
        <v>15</v>
      </c>
      <c r="C537">
        <f>IFERROR(INDEX(資格取込!$S$6:$S$405,MATCH(21&amp;"_"&amp;9,資格取込!$Z$6:$Z$405,0)),"")</f>
        <v/>
      </c>
      <c r="D537">
        <f>IFERROR(INDEX(資格取込!$R$6:$R$405,MATCH(21&amp;"_"&amp;9,資格取込!$Z$6:$Z$405,0)),"")</f>
        <v/>
      </c>
      <c r="E537">
        <f>IF(D537="","",IFERROR(INDEX(資格マスタ!$B:$B,MATCH(ASC(SUBSTITUTE(SUBSTITUTE(D537," ",""),"　","")),資格マスタ!$D:$D,0)),D537))</f>
        <v/>
      </c>
      <c r="F537">
        <f>IF(E537="","",IF(C537="",DATE(9999,1,1),C537))</f>
        <v/>
      </c>
      <c r="G537">
        <f>IF(E537="","",COUNTIFS($F$523:$F$548,"&lt;"&amp;F537,$F$523:$F$548,"&lt;&gt;")+COUNTIFS($F$523:$F$548,F537,$B$523:$B$548,"&lt;"&amp;B537)+1)</f>
        <v/>
      </c>
      <c r="H537">
        <f>IF(OR(E537="",C537=""),"",IF(C537&gt;=DATE(2019,5,1),"令和"&amp;(YEAR(C537)-2018),IF(C537&gt;=DATE(1989,1,8),"平成"&amp;(YEAR(C537)-1988),"昭和"&amp;(YEAR(C537)-1925)))&amp;"年"&amp;MONTH(C537)&amp;"月")</f>
        <v/>
      </c>
    </row>
    <row r="538">
      <c r="A538" t="n">
        <v>21</v>
      </c>
      <c r="B538" t="n">
        <v>16</v>
      </c>
      <c r="C538">
        <f>IFERROR(INDEX(資格取込!$S$6:$S$405,MATCH(21&amp;"_"&amp;10,資格取込!$Z$6:$Z$405,0)),"")</f>
        <v/>
      </c>
      <c r="D538">
        <f>IFERROR(INDEX(資格取込!$R$6:$R$405,MATCH(21&amp;"_"&amp;10,資格取込!$Z$6:$Z$405,0)),"")</f>
        <v/>
      </c>
      <c r="E538">
        <f>IF(D538="","",IFERROR(INDEX(資格マスタ!$B:$B,MATCH(ASC(SUBSTITUTE(SUBSTITUTE(D538," ",""),"　","")),資格マスタ!$D:$D,0)),D538))</f>
        <v/>
      </c>
      <c r="F538">
        <f>IF(E538="","",IF(C538="",DATE(9999,1,1),C538))</f>
        <v/>
      </c>
      <c r="G538">
        <f>IF(E538="","",COUNTIFS($F$523:$F$548,"&lt;"&amp;F538,$F$523:$F$548,"&lt;&gt;")+COUNTIFS($F$523:$F$548,F538,$B$523:$B$548,"&lt;"&amp;B538)+1)</f>
        <v/>
      </c>
      <c r="H538">
        <f>IF(OR(E538="",C538=""),"",IF(C538&gt;=DATE(2019,5,1),"令和"&amp;(YEAR(C538)-2018),IF(C538&gt;=DATE(1989,1,8),"平成"&amp;(YEAR(C538)-1988),"昭和"&amp;(YEAR(C538)-1925)))&amp;"年"&amp;MONTH(C538)&amp;"月")</f>
        <v/>
      </c>
    </row>
    <row r="539">
      <c r="A539" t="n">
        <v>21</v>
      </c>
      <c r="B539" t="n">
        <v>17</v>
      </c>
      <c r="C539">
        <f>IFERROR(INDEX(資格取込!$S$6:$S$405,MATCH(21&amp;"_"&amp;11,資格取込!$Z$6:$Z$405,0)),"")</f>
        <v/>
      </c>
      <c r="D539">
        <f>IFERROR(INDEX(資格取込!$R$6:$R$405,MATCH(21&amp;"_"&amp;11,資格取込!$Z$6:$Z$405,0)),"")</f>
        <v/>
      </c>
      <c r="E539">
        <f>IF(D539="","",IFERROR(INDEX(資格マスタ!$B:$B,MATCH(ASC(SUBSTITUTE(SUBSTITUTE(D539," ",""),"　","")),資格マスタ!$D:$D,0)),D539))</f>
        <v/>
      </c>
      <c r="F539">
        <f>IF(E539="","",IF(C539="",DATE(9999,1,1),C539))</f>
        <v/>
      </c>
      <c r="G539">
        <f>IF(E539="","",COUNTIFS($F$523:$F$548,"&lt;"&amp;F539,$F$523:$F$548,"&lt;&gt;")+COUNTIFS($F$523:$F$548,F539,$B$523:$B$548,"&lt;"&amp;B539)+1)</f>
        <v/>
      </c>
      <c r="H539">
        <f>IF(OR(E539="",C539=""),"",IF(C539&gt;=DATE(2019,5,1),"令和"&amp;(YEAR(C539)-2018),IF(C539&gt;=DATE(1989,1,8),"平成"&amp;(YEAR(C539)-1988),"昭和"&amp;(YEAR(C539)-1925)))&amp;"年"&amp;MONTH(C539)&amp;"月")</f>
        <v/>
      </c>
    </row>
    <row r="540">
      <c r="A540" t="n">
        <v>21</v>
      </c>
      <c r="B540" t="n">
        <v>18</v>
      </c>
      <c r="C540">
        <f>IFERROR(INDEX(資格取込!$S$6:$S$405,MATCH(21&amp;"_"&amp;12,資格取込!$Z$6:$Z$405,0)),"")</f>
        <v/>
      </c>
      <c r="D540">
        <f>IFERROR(INDEX(資格取込!$R$6:$R$405,MATCH(21&amp;"_"&amp;12,資格取込!$Z$6:$Z$405,0)),"")</f>
        <v/>
      </c>
      <c r="E540">
        <f>IF(D540="","",IFERROR(INDEX(資格マスタ!$B:$B,MATCH(ASC(SUBSTITUTE(SUBSTITUTE(D540," ",""),"　","")),資格マスタ!$D:$D,0)),D540))</f>
        <v/>
      </c>
      <c r="F540">
        <f>IF(E540="","",IF(C540="",DATE(9999,1,1),C540))</f>
        <v/>
      </c>
      <c r="G540">
        <f>IF(E540="","",COUNTIFS($F$523:$F$548,"&lt;"&amp;F540,$F$523:$F$548,"&lt;&gt;")+COUNTIFS($F$523:$F$548,F540,$B$523:$B$548,"&lt;"&amp;B540)+1)</f>
        <v/>
      </c>
      <c r="H540">
        <f>IF(OR(E540="",C540=""),"",IF(C540&gt;=DATE(2019,5,1),"令和"&amp;(YEAR(C540)-2018),IF(C540&gt;=DATE(1989,1,8),"平成"&amp;(YEAR(C540)-1988),"昭和"&amp;(YEAR(C540)-1925)))&amp;"年"&amp;MONTH(C540)&amp;"月")</f>
        <v/>
      </c>
    </row>
    <row r="541">
      <c r="A541" t="n">
        <v>21</v>
      </c>
      <c r="B541" t="n">
        <v>19</v>
      </c>
      <c r="C541">
        <f>IFERROR(INDEX(資格取込!$S$6:$S$405,MATCH(21&amp;"_"&amp;13,資格取込!$Z$6:$Z$405,0)),"")</f>
        <v/>
      </c>
      <c r="D541">
        <f>IFERROR(INDEX(資格取込!$R$6:$R$405,MATCH(21&amp;"_"&amp;13,資格取込!$Z$6:$Z$405,0)),"")</f>
        <v/>
      </c>
      <c r="E541">
        <f>IF(D541="","",IFERROR(INDEX(資格マスタ!$B:$B,MATCH(ASC(SUBSTITUTE(SUBSTITUTE(D541," ",""),"　","")),資格マスタ!$D:$D,0)),D541))</f>
        <v/>
      </c>
      <c r="F541">
        <f>IF(E541="","",IF(C541="",DATE(9999,1,1),C541))</f>
        <v/>
      </c>
      <c r="G541">
        <f>IF(E541="","",COUNTIFS($F$523:$F$548,"&lt;"&amp;F541,$F$523:$F$548,"&lt;&gt;")+COUNTIFS($F$523:$F$548,F541,$B$523:$B$548,"&lt;"&amp;B541)+1)</f>
        <v/>
      </c>
      <c r="H541">
        <f>IF(OR(E541="",C541=""),"",IF(C541&gt;=DATE(2019,5,1),"令和"&amp;(YEAR(C541)-2018),IF(C541&gt;=DATE(1989,1,8),"平成"&amp;(YEAR(C541)-1988),"昭和"&amp;(YEAR(C541)-1925)))&amp;"年"&amp;MONTH(C541)&amp;"月")</f>
        <v/>
      </c>
    </row>
    <row r="542">
      <c r="A542" t="n">
        <v>21</v>
      </c>
      <c r="B542" t="n">
        <v>20</v>
      </c>
      <c r="C542">
        <f>IFERROR(INDEX(資格取込!$S$6:$S$405,MATCH(21&amp;"_"&amp;14,資格取込!$Z$6:$Z$405,0)),"")</f>
        <v/>
      </c>
      <c r="D542">
        <f>IFERROR(INDEX(資格取込!$R$6:$R$405,MATCH(21&amp;"_"&amp;14,資格取込!$Z$6:$Z$405,0)),"")</f>
        <v/>
      </c>
      <c r="E542">
        <f>IF(D542="","",IFERROR(INDEX(資格マスタ!$B:$B,MATCH(ASC(SUBSTITUTE(SUBSTITUTE(D542," ",""),"　","")),資格マスタ!$D:$D,0)),D542))</f>
        <v/>
      </c>
      <c r="F542">
        <f>IF(E542="","",IF(C542="",DATE(9999,1,1),C542))</f>
        <v/>
      </c>
      <c r="G542">
        <f>IF(E542="","",COUNTIFS($F$523:$F$548,"&lt;"&amp;F542,$F$523:$F$548,"&lt;&gt;")+COUNTIFS($F$523:$F$548,F542,$B$523:$B$548,"&lt;"&amp;B542)+1)</f>
        <v/>
      </c>
      <c r="H542">
        <f>IF(OR(E542="",C542=""),"",IF(C542&gt;=DATE(2019,5,1),"令和"&amp;(YEAR(C542)-2018),IF(C542&gt;=DATE(1989,1,8),"平成"&amp;(YEAR(C542)-1988),"昭和"&amp;(YEAR(C542)-1925)))&amp;"年"&amp;MONTH(C542)&amp;"月")</f>
        <v/>
      </c>
    </row>
    <row r="543">
      <c r="A543" t="n">
        <v>21</v>
      </c>
      <c r="B543" t="n">
        <v>21</v>
      </c>
      <c r="C543">
        <f>IFERROR(INDEX(資格取込!$S$6:$S$405,MATCH(21&amp;"_"&amp;15,資格取込!$Z$6:$Z$405,0)),"")</f>
        <v/>
      </c>
      <c r="D543">
        <f>IFERROR(INDEX(資格取込!$R$6:$R$405,MATCH(21&amp;"_"&amp;15,資格取込!$Z$6:$Z$405,0)),"")</f>
        <v/>
      </c>
      <c r="E543">
        <f>IF(D543="","",IFERROR(INDEX(資格マスタ!$B:$B,MATCH(ASC(SUBSTITUTE(SUBSTITUTE(D543," ",""),"　","")),資格マスタ!$D:$D,0)),D543))</f>
        <v/>
      </c>
      <c r="F543">
        <f>IF(E543="","",IF(C543="",DATE(9999,1,1),C543))</f>
        <v/>
      </c>
      <c r="G543">
        <f>IF(E543="","",COUNTIFS($F$523:$F$548,"&lt;"&amp;F543,$F$523:$F$548,"&lt;&gt;")+COUNTIFS($F$523:$F$548,F543,$B$523:$B$548,"&lt;"&amp;B543)+1)</f>
        <v/>
      </c>
      <c r="H543">
        <f>IF(OR(E543="",C543=""),"",IF(C543&gt;=DATE(2019,5,1),"令和"&amp;(YEAR(C543)-2018),IF(C543&gt;=DATE(1989,1,8),"平成"&amp;(YEAR(C543)-1988),"昭和"&amp;(YEAR(C543)-1925)))&amp;"年"&amp;MONTH(C543)&amp;"月")</f>
        <v/>
      </c>
    </row>
    <row r="544">
      <c r="A544" t="n">
        <v>21</v>
      </c>
      <c r="B544" t="n">
        <v>22</v>
      </c>
      <c r="C544">
        <f>IFERROR(INDEX(資格取込!$S$6:$S$405,MATCH(21&amp;"_"&amp;16,資格取込!$Z$6:$Z$405,0)),"")</f>
        <v/>
      </c>
      <c r="D544">
        <f>IFERROR(INDEX(資格取込!$R$6:$R$405,MATCH(21&amp;"_"&amp;16,資格取込!$Z$6:$Z$405,0)),"")</f>
        <v/>
      </c>
      <c r="E544">
        <f>IF(D544="","",IFERROR(INDEX(資格マスタ!$B:$B,MATCH(ASC(SUBSTITUTE(SUBSTITUTE(D544," ",""),"　","")),資格マスタ!$D:$D,0)),D544))</f>
        <v/>
      </c>
      <c r="F544">
        <f>IF(E544="","",IF(C544="",DATE(9999,1,1),C544))</f>
        <v/>
      </c>
      <c r="G544">
        <f>IF(E544="","",COUNTIFS($F$523:$F$548,"&lt;"&amp;F544,$F$523:$F$548,"&lt;&gt;")+COUNTIFS($F$523:$F$548,F544,$B$523:$B$548,"&lt;"&amp;B544)+1)</f>
        <v/>
      </c>
      <c r="H544">
        <f>IF(OR(E544="",C544=""),"",IF(C544&gt;=DATE(2019,5,1),"令和"&amp;(YEAR(C544)-2018),IF(C544&gt;=DATE(1989,1,8),"平成"&amp;(YEAR(C544)-1988),"昭和"&amp;(YEAR(C544)-1925)))&amp;"年"&amp;MONTH(C544)&amp;"月")</f>
        <v/>
      </c>
    </row>
    <row r="545">
      <c r="A545" t="n">
        <v>21</v>
      </c>
      <c r="B545" t="n">
        <v>23</v>
      </c>
      <c r="C545">
        <f>IFERROR(INDEX(資格取込!$S$6:$S$405,MATCH(21&amp;"_"&amp;17,資格取込!$Z$6:$Z$405,0)),"")</f>
        <v/>
      </c>
      <c r="D545">
        <f>IFERROR(INDEX(資格取込!$R$6:$R$405,MATCH(21&amp;"_"&amp;17,資格取込!$Z$6:$Z$405,0)),"")</f>
        <v/>
      </c>
      <c r="E545">
        <f>IF(D545="","",IFERROR(INDEX(資格マスタ!$B:$B,MATCH(ASC(SUBSTITUTE(SUBSTITUTE(D545," ",""),"　","")),資格マスタ!$D:$D,0)),D545))</f>
        <v/>
      </c>
      <c r="F545">
        <f>IF(E545="","",IF(C545="",DATE(9999,1,1),C545))</f>
        <v/>
      </c>
      <c r="G545">
        <f>IF(E545="","",COUNTIFS($F$523:$F$548,"&lt;"&amp;F545,$F$523:$F$548,"&lt;&gt;")+COUNTIFS($F$523:$F$548,F545,$B$523:$B$548,"&lt;"&amp;B545)+1)</f>
        <v/>
      </c>
      <c r="H545">
        <f>IF(OR(E545="",C545=""),"",IF(C545&gt;=DATE(2019,5,1),"令和"&amp;(YEAR(C545)-2018),IF(C545&gt;=DATE(1989,1,8),"平成"&amp;(YEAR(C545)-1988),"昭和"&amp;(YEAR(C545)-1925)))&amp;"年"&amp;MONTH(C545)&amp;"月")</f>
        <v/>
      </c>
    </row>
    <row r="546">
      <c r="A546" t="n">
        <v>21</v>
      </c>
      <c r="B546" t="n">
        <v>24</v>
      </c>
      <c r="C546">
        <f>IFERROR(INDEX(資格取込!$S$6:$S$405,MATCH(21&amp;"_"&amp;18,資格取込!$Z$6:$Z$405,0)),"")</f>
        <v/>
      </c>
      <c r="D546">
        <f>IFERROR(INDEX(資格取込!$R$6:$R$405,MATCH(21&amp;"_"&amp;18,資格取込!$Z$6:$Z$405,0)),"")</f>
        <v/>
      </c>
      <c r="E546">
        <f>IF(D546="","",IFERROR(INDEX(資格マスタ!$B:$B,MATCH(ASC(SUBSTITUTE(SUBSTITUTE(D546," ",""),"　","")),資格マスタ!$D:$D,0)),D546))</f>
        <v/>
      </c>
      <c r="F546">
        <f>IF(E546="","",IF(C546="",DATE(9999,1,1),C546))</f>
        <v/>
      </c>
      <c r="G546">
        <f>IF(E546="","",COUNTIFS($F$523:$F$548,"&lt;"&amp;F546,$F$523:$F$548,"&lt;&gt;")+COUNTIFS($F$523:$F$548,F546,$B$523:$B$548,"&lt;"&amp;B546)+1)</f>
        <v/>
      </c>
      <c r="H546">
        <f>IF(OR(E546="",C546=""),"",IF(C546&gt;=DATE(2019,5,1),"令和"&amp;(YEAR(C546)-2018),IF(C546&gt;=DATE(1989,1,8),"平成"&amp;(YEAR(C546)-1988),"昭和"&amp;(YEAR(C546)-1925)))&amp;"年"&amp;MONTH(C546)&amp;"月")</f>
        <v/>
      </c>
    </row>
    <row r="547">
      <c r="A547" t="n">
        <v>21</v>
      </c>
      <c r="B547" t="n">
        <v>25</v>
      </c>
      <c r="C547">
        <f>IFERROR(INDEX(資格取込!$S$6:$S$405,MATCH(21&amp;"_"&amp;19,資格取込!$Z$6:$Z$405,0)),"")</f>
        <v/>
      </c>
      <c r="D547">
        <f>IFERROR(INDEX(資格取込!$R$6:$R$405,MATCH(21&amp;"_"&amp;19,資格取込!$Z$6:$Z$405,0)),"")</f>
        <v/>
      </c>
      <c r="E547">
        <f>IF(D547="","",IFERROR(INDEX(資格マスタ!$B:$B,MATCH(ASC(SUBSTITUTE(SUBSTITUTE(D547," ",""),"　","")),資格マスタ!$D:$D,0)),D547))</f>
        <v/>
      </c>
      <c r="F547">
        <f>IF(E547="","",IF(C547="",DATE(9999,1,1),C547))</f>
        <v/>
      </c>
      <c r="G547">
        <f>IF(E547="","",COUNTIFS($F$523:$F$548,"&lt;"&amp;F547,$F$523:$F$548,"&lt;&gt;")+COUNTIFS($F$523:$F$548,F547,$B$523:$B$548,"&lt;"&amp;B547)+1)</f>
        <v/>
      </c>
      <c r="H547">
        <f>IF(OR(E547="",C547=""),"",IF(C547&gt;=DATE(2019,5,1),"令和"&amp;(YEAR(C547)-2018),IF(C547&gt;=DATE(1989,1,8),"平成"&amp;(YEAR(C547)-1988),"昭和"&amp;(YEAR(C547)-1925)))&amp;"年"&amp;MONTH(C547)&amp;"月")</f>
        <v/>
      </c>
    </row>
    <row r="548">
      <c r="A548" t="n">
        <v>21</v>
      </c>
      <c r="B548" t="n">
        <v>26</v>
      </c>
      <c r="C548">
        <f>IFERROR(INDEX(資格取込!$S$6:$S$405,MATCH(21&amp;"_"&amp;20,資格取込!$Z$6:$Z$405,0)),"")</f>
        <v/>
      </c>
      <c r="D548">
        <f>IFERROR(INDEX(資格取込!$R$6:$R$405,MATCH(21&amp;"_"&amp;20,資格取込!$Z$6:$Z$405,0)),"")</f>
        <v/>
      </c>
      <c r="E548">
        <f>IF(D548="","",IFERROR(INDEX(資格マスタ!$B:$B,MATCH(ASC(SUBSTITUTE(SUBSTITUTE(D548," ",""),"　","")),資格マスタ!$D:$D,0)),D548))</f>
        <v/>
      </c>
      <c r="F548">
        <f>IF(E548="","",IF(C548="",DATE(9999,1,1),C548))</f>
        <v/>
      </c>
      <c r="G548">
        <f>IF(E548="","",COUNTIFS($F$523:$F$548,"&lt;"&amp;F548,$F$523:$F$548,"&lt;&gt;")+COUNTIFS($F$523:$F$548,F548,$B$523:$B$548,"&lt;"&amp;B548)+1)</f>
        <v/>
      </c>
      <c r="H548">
        <f>IF(OR(E548="",C548=""),"",IF(C548&gt;=DATE(2019,5,1),"令和"&amp;(YEAR(C548)-2018),IF(C548&gt;=DATE(1989,1,8),"平成"&amp;(YEAR(C548)-1988),"昭和"&amp;(YEAR(C548)-1925)))&amp;"年"&amp;MONTH(C548)&amp;"月")</f>
        <v/>
      </c>
    </row>
    <row r="549">
      <c r="A549" t="n">
        <v>22</v>
      </c>
      <c r="B549" t="n">
        <v>1</v>
      </c>
      <c r="C549"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549">
        <f>IF(入力!N26="","",入力!N26)</f>
        <v/>
      </c>
      <c r="E549">
        <f>IF(D549="","",IFERROR(INDEX(資格マスタ!$B:$B,MATCH(ASC(SUBSTITUTE(SUBSTITUTE(D549," ",""),"　","")),資格マスタ!$D:$D,0)),D549))</f>
        <v/>
      </c>
      <c r="F549">
        <f>IF(E549="","",IF(C549="",DATE(9999,1,1),C549))</f>
        <v/>
      </c>
      <c r="G549">
        <f>IF(E549="","",COUNTIFS($F$549:$F$574,"&lt;"&amp;F549,$F$549:$F$574,"&lt;&gt;")+COUNTIFS($F$549:$F$574,F549,$B$549:$B$574,"&lt;"&amp;B549)+1)</f>
        <v/>
      </c>
      <c r="H549">
        <f>IF(OR(E549="",C549=""),"",IF(C549&gt;=DATE(2019,5,1),"令和"&amp;(YEAR(C549)-2018),IF(C549&gt;=DATE(1989,1,8),"平成"&amp;(YEAR(C549)-1988),"昭和"&amp;(YEAR(C549)-1925)))&amp;"年"&amp;MONTH(C549)&amp;"月")</f>
        <v/>
      </c>
    </row>
    <row r="550">
      <c r="A550" t="n">
        <v>22</v>
      </c>
      <c r="B550" t="n">
        <v>2</v>
      </c>
      <c r="C550">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550">
        <f>IF(入力!P26="","",入力!P26)</f>
        <v/>
      </c>
      <c r="E550">
        <f>IF(D550="","",IFERROR(INDEX(資格マスタ!$B:$B,MATCH(ASC(SUBSTITUTE(SUBSTITUTE(D550," ",""),"　","")),資格マスタ!$D:$D,0)),D550))</f>
        <v/>
      </c>
      <c r="F550">
        <f>IF(E550="","",IF(C550="",DATE(9999,1,1),C550))</f>
        <v/>
      </c>
      <c r="G550">
        <f>IF(E550="","",COUNTIFS($F$549:$F$574,"&lt;"&amp;F550,$F$549:$F$574,"&lt;&gt;")+COUNTIFS($F$549:$F$574,F550,$B$549:$B$574,"&lt;"&amp;B550)+1)</f>
        <v/>
      </c>
      <c r="H550">
        <f>IF(OR(E550="",C550=""),"",IF(C550&gt;=DATE(2019,5,1),"令和"&amp;(YEAR(C550)-2018),IF(C550&gt;=DATE(1989,1,8),"平成"&amp;(YEAR(C550)-1988),"昭和"&amp;(YEAR(C550)-1925)))&amp;"年"&amp;MONTH(C550)&amp;"月")</f>
        <v/>
      </c>
    </row>
    <row r="551">
      <c r="A551" t="n">
        <v>22</v>
      </c>
      <c r="B551" t="n">
        <v>3</v>
      </c>
      <c r="C551">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551">
        <f>IF(入力!R26="","",入力!R26)</f>
        <v/>
      </c>
      <c r="E551">
        <f>IF(D551="","",IFERROR(INDEX(資格マスタ!$B:$B,MATCH(ASC(SUBSTITUTE(SUBSTITUTE(D551," ",""),"　","")),資格マスタ!$D:$D,0)),D551))</f>
        <v/>
      </c>
      <c r="F551">
        <f>IF(E551="","",IF(C551="",DATE(9999,1,1),C551))</f>
        <v/>
      </c>
      <c r="G551">
        <f>IF(E551="","",COUNTIFS($F$549:$F$574,"&lt;"&amp;F551,$F$549:$F$574,"&lt;&gt;")+COUNTIFS($F$549:$F$574,F551,$B$549:$B$574,"&lt;"&amp;B551)+1)</f>
        <v/>
      </c>
      <c r="H551">
        <f>IF(OR(E551="",C551=""),"",IF(C551&gt;=DATE(2019,5,1),"令和"&amp;(YEAR(C551)-2018),IF(C551&gt;=DATE(1989,1,8),"平成"&amp;(YEAR(C551)-1988),"昭和"&amp;(YEAR(C551)-1925)))&amp;"年"&amp;MONTH(C551)&amp;"月")</f>
        <v/>
      </c>
    </row>
    <row r="552">
      <c r="A552" t="n">
        <v>22</v>
      </c>
      <c r="B552" t="n">
        <v>4</v>
      </c>
      <c r="C552">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552">
        <f>IF(入力!T26="","",入力!T26)</f>
        <v/>
      </c>
      <c r="E552">
        <f>IF(D552="","",IFERROR(INDEX(資格マスタ!$B:$B,MATCH(ASC(SUBSTITUTE(SUBSTITUTE(D552," ",""),"　","")),資格マスタ!$D:$D,0)),D552))</f>
        <v/>
      </c>
      <c r="F552">
        <f>IF(E552="","",IF(C552="",DATE(9999,1,1),C552))</f>
        <v/>
      </c>
      <c r="G552">
        <f>IF(E552="","",COUNTIFS($F$549:$F$574,"&lt;"&amp;F552,$F$549:$F$574,"&lt;&gt;")+COUNTIFS($F$549:$F$574,F552,$B$549:$B$574,"&lt;"&amp;B552)+1)</f>
        <v/>
      </c>
      <c r="H552">
        <f>IF(OR(E552="",C552=""),"",IF(C552&gt;=DATE(2019,5,1),"令和"&amp;(YEAR(C552)-2018),IF(C552&gt;=DATE(1989,1,8),"平成"&amp;(YEAR(C552)-1988),"昭和"&amp;(YEAR(C552)-1925)))&amp;"年"&amp;MONTH(C552)&amp;"月")</f>
        <v/>
      </c>
    </row>
    <row r="553">
      <c r="A553" t="n">
        <v>22</v>
      </c>
      <c r="B553" t="n">
        <v>5</v>
      </c>
      <c r="C553">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553">
        <f>IF(入力!V26="","",入力!V26)</f>
        <v/>
      </c>
      <c r="E553">
        <f>IF(D553="","",IFERROR(INDEX(資格マスタ!$B:$B,MATCH(ASC(SUBSTITUTE(SUBSTITUTE(D553," ",""),"　","")),資格マスタ!$D:$D,0)),D553))</f>
        <v/>
      </c>
      <c r="F553">
        <f>IF(E553="","",IF(C553="",DATE(9999,1,1),C553))</f>
        <v/>
      </c>
      <c r="G553">
        <f>IF(E553="","",COUNTIFS($F$549:$F$574,"&lt;"&amp;F553,$F$549:$F$574,"&lt;&gt;")+COUNTIFS($F$549:$F$574,F553,$B$549:$B$574,"&lt;"&amp;B553)+1)</f>
        <v/>
      </c>
      <c r="H553">
        <f>IF(OR(E553="",C553=""),"",IF(C553&gt;=DATE(2019,5,1),"令和"&amp;(YEAR(C553)-2018),IF(C553&gt;=DATE(1989,1,8),"平成"&amp;(YEAR(C553)-1988),"昭和"&amp;(YEAR(C553)-1925)))&amp;"年"&amp;MONTH(C553)&amp;"月")</f>
        <v/>
      </c>
    </row>
    <row r="554">
      <c r="A554" t="n">
        <v>22</v>
      </c>
      <c r="B554" t="n">
        <v>6</v>
      </c>
      <c r="C554">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554">
        <f>IF(入力!X26="","",入力!X26)</f>
        <v/>
      </c>
      <c r="E554">
        <f>IF(D554="","",IFERROR(INDEX(資格マスタ!$B:$B,MATCH(ASC(SUBSTITUTE(SUBSTITUTE(D554," ",""),"　","")),資格マスタ!$D:$D,0)),D554))</f>
        <v/>
      </c>
      <c r="F554">
        <f>IF(E554="","",IF(C554="",DATE(9999,1,1),C554))</f>
        <v/>
      </c>
      <c r="G554">
        <f>IF(E554="","",COUNTIFS($F$549:$F$574,"&lt;"&amp;F554,$F$549:$F$574,"&lt;&gt;")+COUNTIFS($F$549:$F$574,F554,$B$549:$B$574,"&lt;"&amp;B554)+1)</f>
        <v/>
      </c>
      <c r="H554">
        <f>IF(OR(E554="",C554=""),"",IF(C554&gt;=DATE(2019,5,1),"令和"&amp;(YEAR(C554)-2018),IF(C554&gt;=DATE(1989,1,8),"平成"&amp;(YEAR(C554)-1988),"昭和"&amp;(YEAR(C554)-1925)))&amp;"年"&amp;MONTH(C554)&amp;"月")</f>
        <v/>
      </c>
    </row>
    <row r="555">
      <c r="A555" t="n">
        <v>22</v>
      </c>
      <c r="B555" t="n">
        <v>7</v>
      </c>
      <c r="C555">
        <f>IFERROR(INDEX(資格取込!$S$6:$S$405,MATCH(22&amp;"_"&amp;1,資格取込!$Z$6:$Z$405,0)),"")</f>
        <v/>
      </c>
      <c r="D555">
        <f>IFERROR(INDEX(資格取込!$R$6:$R$405,MATCH(22&amp;"_"&amp;1,資格取込!$Z$6:$Z$405,0)),"")</f>
        <v/>
      </c>
      <c r="E555">
        <f>IF(D555="","",IFERROR(INDEX(資格マスタ!$B:$B,MATCH(ASC(SUBSTITUTE(SUBSTITUTE(D555," ",""),"　","")),資格マスタ!$D:$D,0)),D555))</f>
        <v/>
      </c>
      <c r="F555">
        <f>IF(E555="","",IF(C555="",DATE(9999,1,1),C555))</f>
        <v/>
      </c>
      <c r="G555">
        <f>IF(E555="","",COUNTIFS($F$549:$F$574,"&lt;"&amp;F555,$F$549:$F$574,"&lt;&gt;")+COUNTIFS($F$549:$F$574,F555,$B$549:$B$574,"&lt;"&amp;B555)+1)</f>
        <v/>
      </c>
      <c r="H555">
        <f>IF(OR(E555="",C555=""),"",IF(C555&gt;=DATE(2019,5,1),"令和"&amp;(YEAR(C555)-2018),IF(C555&gt;=DATE(1989,1,8),"平成"&amp;(YEAR(C555)-1988),"昭和"&amp;(YEAR(C555)-1925)))&amp;"年"&amp;MONTH(C555)&amp;"月")</f>
        <v/>
      </c>
    </row>
    <row r="556">
      <c r="A556" t="n">
        <v>22</v>
      </c>
      <c r="B556" t="n">
        <v>8</v>
      </c>
      <c r="C556">
        <f>IFERROR(INDEX(資格取込!$S$6:$S$405,MATCH(22&amp;"_"&amp;2,資格取込!$Z$6:$Z$405,0)),"")</f>
        <v/>
      </c>
      <c r="D556">
        <f>IFERROR(INDEX(資格取込!$R$6:$R$405,MATCH(22&amp;"_"&amp;2,資格取込!$Z$6:$Z$405,0)),"")</f>
        <v/>
      </c>
      <c r="E556">
        <f>IF(D556="","",IFERROR(INDEX(資格マスタ!$B:$B,MATCH(ASC(SUBSTITUTE(SUBSTITUTE(D556," ",""),"　","")),資格マスタ!$D:$D,0)),D556))</f>
        <v/>
      </c>
      <c r="F556">
        <f>IF(E556="","",IF(C556="",DATE(9999,1,1),C556))</f>
        <v/>
      </c>
      <c r="G556">
        <f>IF(E556="","",COUNTIFS($F$549:$F$574,"&lt;"&amp;F556,$F$549:$F$574,"&lt;&gt;")+COUNTIFS($F$549:$F$574,F556,$B$549:$B$574,"&lt;"&amp;B556)+1)</f>
        <v/>
      </c>
      <c r="H556">
        <f>IF(OR(E556="",C556=""),"",IF(C556&gt;=DATE(2019,5,1),"令和"&amp;(YEAR(C556)-2018),IF(C556&gt;=DATE(1989,1,8),"平成"&amp;(YEAR(C556)-1988),"昭和"&amp;(YEAR(C556)-1925)))&amp;"年"&amp;MONTH(C556)&amp;"月")</f>
        <v/>
      </c>
    </row>
    <row r="557">
      <c r="A557" t="n">
        <v>22</v>
      </c>
      <c r="B557" t="n">
        <v>9</v>
      </c>
      <c r="C557">
        <f>IFERROR(INDEX(資格取込!$S$6:$S$405,MATCH(22&amp;"_"&amp;3,資格取込!$Z$6:$Z$405,0)),"")</f>
        <v/>
      </c>
      <c r="D557">
        <f>IFERROR(INDEX(資格取込!$R$6:$R$405,MATCH(22&amp;"_"&amp;3,資格取込!$Z$6:$Z$405,0)),"")</f>
        <v/>
      </c>
      <c r="E557">
        <f>IF(D557="","",IFERROR(INDEX(資格マスタ!$B:$B,MATCH(ASC(SUBSTITUTE(SUBSTITUTE(D557," ",""),"　","")),資格マスタ!$D:$D,0)),D557))</f>
        <v/>
      </c>
      <c r="F557">
        <f>IF(E557="","",IF(C557="",DATE(9999,1,1),C557))</f>
        <v/>
      </c>
      <c r="G557">
        <f>IF(E557="","",COUNTIFS($F$549:$F$574,"&lt;"&amp;F557,$F$549:$F$574,"&lt;&gt;")+COUNTIFS($F$549:$F$574,F557,$B$549:$B$574,"&lt;"&amp;B557)+1)</f>
        <v/>
      </c>
      <c r="H557">
        <f>IF(OR(E557="",C557=""),"",IF(C557&gt;=DATE(2019,5,1),"令和"&amp;(YEAR(C557)-2018),IF(C557&gt;=DATE(1989,1,8),"平成"&amp;(YEAR(C557)-1988),"昭和"&amp;(YEAR(C557)-1925)))&amp;"年"&amp;MONTH(C557)&amp;"月")</f>
        <v/>
      </c>
    </row>
    <row r="558">
      <c r="A558" t="n">
        <v>22</v>
      </c>
      <c r="B558" t="n">
        <v>10</v>
      </c>
      <c r="C558">
        <f>IFERROR(INDEX(資格取込!$S$6:$S$405,MATCH(22&amp;"_"&amp;4,資格取込!$Z$6:$Z$405,0)),"")</f>
        <v/>
      </c>
      <c r="D558">
        <f>IFERROR(INDEX(資格取込!$R$6:$R$405,MATCH(22&amp;"_"&amp;4,資格取込!$Z$6:$Z$405,0)),"")</f>
        <v/>
      </c>
      <c r="E558">
        <f>IF(D558="","",IFERROR(INDEX(資格マスタ!$B:$B,MATCH(ASC(SUBSTITUTE(SUBSTITUTE(D558," ",""),"　","")),資格マスタ!$D:$D,0)),D558))</f>
        <v/>
      </c>
      <c r="F558">
        <f>IF(E558="","",IF(C558="",DATE(9999,1,1),C558))</f>
        <v/>
      </c>
      <c r="G558">
        <f>IF(E558="","",COUNTIFS($F$549:$F$574,"&lt;"&amp;F558,$F$549:$F$574,"&lt;&gt;")+COUNTIFS($F$549:$F$574,F558,$B$549:$B$574,"&lt;"&amp;B558)+1)</f>
        <v/>
      </c>
      <c r="H558">
        <f>IF(OR(E558="",C558=""),"",IF(C558&gt;=DATE(2019,5,1),"令和"&amp;(YEAR(C558)-2018),IF(C558&gt;=DATE(1989,1,8),"平成"&amp;(YEAR(C558)-1988),"昭和"&amp;(YEAR(C558)-1925)))&amp;"年"&amp;MONTH(C558)&amp;"月")</f>
        <v/>
      </c>
    </row>
    <row r="559">
      <c r="A559" t="n">
        <v>22</v>
      </c>
      <c r="B559" t="n">
        <v>11</v>
      </c>
      <c r="C559">
        <f>IFERROR(INDEX(資格取込!$S$6:$S$405,MATCH(22&amp;"_"&amp;5,資格取込!$Z$6:$Z$405,0)),"")</f>
        <v/>
      </c>
      <c r="D559">
        <f>IFERROR(INDEX(資格取込!$R$6:$R$405,MATCH(22&amp;"_"&amp;5,資格取込!$Z$6:$Z$405,0)),"")</f>
        <v/>
      </c>
      <c r="E559">
        <f>IF(D559="","",IFERROR(INDEX(資格マスタ!$B:$B,MATCH(ASC(SUBSTITUTE(SUBSTITUTE(D559," ",""),"　","")),資格マスタ!$D:$D,0)),D559))</f>
        <v/>
      </c>
      <c r="F559">
        <f>IF(E559="","",IF(C559="",DATE(9999,1,1),C559))</f>
        <v/>
      </c>
      <c r="G559">
        <f>IF(E559="","",COUNTIFS($F$549:$F$574,"&lt;"&amp;F559,$F$549:$F$574,"&lt;&gt;")+COUNTIFS($F$549:$F$574,F559,$B$549:$B$574,"&lt;"&amp;B559)+1)</f>
        <v/>
      </c>
      <c r="H559">
        <f>IF(OR(E559="",C559=""),"",IF(C559&gt;=DATE(2019,5,1),"令和"&amp;(YEAR(C559)-2018),IF(C559&gt;=DATE(1989,1,8),"平成"&amp;(YEAR(C559)-1988),"昭和"&amp;(YEAR(C559)-1925)))&amp;"年"&amp;MONTH(C559)&amp;"月")</f>
        <v/>
      </c>
    </row>
    <row r="560">
      <c r="A560" t="n">
        <v>22</v>
      </c>
      <c r="B560" t="n">
        <v>12</v>
      </c>
      <c r="C560">
        <f>IFERROR(INDEX(資格取込!$S$6:$S$405,MATCH(22&amp;"_"&amp;6,資格取込!$Z$6:$Z$405,0)),"")</f>
        <v/>
      </c>
      <c r="D560">
        <f>IFERROR(INDEX(資格取込!$R$6:$R$405,MATCH(22&amp;"_"&amp;6,資格取込!$Z$6:$Z$405,0)),"")</f>
        <v/>
      </c>
      <c r="E560">
        <f>IF(D560="","",IFERROR(INDEX(資格マスタ!$B:$B,MATCH(ASC(SUBSTITUTE(SUBSTITUTE(D560," ",""),"　","")),資格マスタ!$D:$D,0)),D560))</f>
        <v/>
      </c>
      <c r="F560">
        <f>IF(E560="","",IF(C560="",DATE(9999,1,1),C560))</f>
        <v/>
      </c>
      <c r="G560">
        <f>IF(E560="","",COUNTIFS($F$549:$F$574,"&lt;"&amp;F560,$F$549:$F$574,"&lt;&gt;")+COUNTIFS($F$549:$F$574,F560,$B$549:$B$574,"&lt;"&amp;B560)+1)</f>
        <v/>
      </c>
      <c r="H560">
        <f>IF(OR(E560="",C560=""),"",IF(C560&gt;=DATE(2019,5,1),"令和"&amp;(YEAR(C560)-2018),IF(C560&gt;=DATE(1989,1,8),"平成"&amp;(YEAR(C560)-1988),"昭和"&amp;(YEAR(C560)-1925)))&amp;"年"&amp;MONTH(C560)&amp;"月")</f>
        <v/>
      </c>
    </row>
    <row r="561">
      <c r="A561" t="n">
        <v>22</v>
      </c>
      <c r="B561" t="n">
        <v>13</v>
      </c>
      <c r="C561">
        <f>IFERROR(INDEX(資格取込!$S$6:$S$405,MATCH(22&amp;"_"&amp;7,資格取込!$Z$6:$Z$405,0)),"")</f>
        <v/>
      </c>
      <c r="D561">
        <f>IFERROR(INDEX(資格取込!$R$6:$R$405,MATCH(22&amp;"_"&amp;7,資格取込!$Z$6:$Z$405,0)),"")</f>
        <v/>
      </c>
      <c r="E561">
        <f>IF(D561="","",IFERROR(INDEX(資格マスタ!$B:$B,MATCH(ASC(SUBSTITUTE(SUBSTITUTE(D561," ",""),"　","")),資格マスタ!$D:$D,0)),D561))</f>
        <v/>
      </c>
      <c r="F561">
        <f>IF(E561="","",IF(C561="",DATE(9999,1,1),C561))</f>
        <v/>
      </c>
      <c r="G561">
        <f>IF(E561="","",COUNTIFS($F$549:$F$574,"&lt;"&amp;F561,$F$549:$F$574,"&lt;&gt;")+COUNTIFS($F$549:$F$574,F561,$B$549:$B$574,"&lt;"&amp;B561)+1)</f>
        <v/>
      </c>
      <c r="H561">
        <f>IF(OR(E561="",C561=""),"",IF(C561&gt;=DATE(2019,5,1),"令和"&amp;(YEAR(C561)-2018),IF(C561&gt;=DATE(1989,1,8),"平成"&amp;(YEAR(C561)-1988),"昭和"&amp;(YEAR(C561)-1925)))&amp;"年"&amp;MONTH(C561)&amp;"月")</f>
        <v/>
      </c>
    </row>
    <row r="562">
      <c r="A562" t="n">
        <v>22</v>
      </c>
      <c r="B562" t="n">
        <v>14</v>
      </c>
      <c r="C562">
        <f>IFERROR(INDEX(資格取込!$S$6:$S$405,MATCH(22&amp;"_"&amp;8,資格取込!$Z$6:$Z$405,0)),"")</f>
        <v/>
      </c>
      <c r="D562">
        <f>IFERROR(INDEX(資格取込!$R$6:$R$405,MATCH(22&amp;"_"&amp;8,資格取込!$Z$6:$Z$405,0)),"")</f>
        <v/>
      </c>
      <c r="E562">
        <f>IF(D562="","",IFERROR(INDEX(資格マスタ!$B:$B,MATCH(ASC(SUBSTITUTE(SUBSTITUTE(D562," ",""),"　","")),資格マスタ!$D:$D,0)),D562))</f>
        <v/>
      </c>
      <c r="F562">
        <f>IF(E562="","",IF(C562="",DATE(9999,1,1),C562))</f>
        <v/>
      </c>
      <c r="G562">
        <f>IF(E562="","",COUNTIFS($F$549:$F$574,"&lt;"&amp;F562,$F$549:$F$574,"&lt;&gt;")+COUNTIFS($F$549:$F$574,F562,$B$549:$B$574,"&lt;"&amp;B562)+1)</f>
        <v/>
      </c>
      <c r="H562">
        <f>IF(OR(E562="",C562=""),"",IF(C562&gt;=DATE(2019,5,1),"令和"&amp;(YEAR(C562)-2018),IF(C562&gt;=DATE(1989,1,8),"平成"&amp;(YEAR(C562)-1988),"昭和"&amp;(YEAR(C562)-1925)))&amp;"年"&amp;MONTH(C562)&amp;"月")</f>
        <v/>
      </c>
    </row>
    <row r="563">
      <c r="A563" t="n">
        <v>22</v>
      </c>
      <c r="B563" t="n">
        <v>15</v>
      </c>
      <c r="C563">
        <f>IFERROR(INDEX(資格取込!$S$6:$S$405,MATCH(22&amp;"_"&amp;9,資格取込!$Z$6:$Z$405,0)),"")</f>
        <v/>
      </c>
      <c r="D563">
        <f>IFERROR(INDEX(資格取込!$R$6:$R$405,MATCH(22&amp;"_"&amp;9,資格取込!$Z$6:$Z$405,0)),"")</f>
        <v/>
      </c>
      <c r="E563">
        <f>IF(D563="","",IFERROR(INDEX(資格マスタ!$B:$B,MATCH(ASC(SUBSTITUTE(SUBSTITUTE(D563," ",""),"　","")),資格マスタ!$D:$D,0)),D563))</f>
        <v/>
      </c>
      <c r="F563">
        <f>IF(E563="","",IF(C563="",DATE(9999,1,1),C563))</f>
        <v/>
      </c>
      <c r="G563">
        <f>IF(E563="","",COUNTIFS($F$549:$F$574,"&lt;"&amp;F563,$F$549:$F$574,"&lt;&gt;")+COUNTIFS($F$549:$F$574,F563,$B$549:$B$574,"&lt;"&amp;B563)+1)</f>
        <v/>
      </c>
      <c r="H563">
        <f>IF(OR(E563="",C563=""),"",IF(C563&gt;=DATE(2019,5,1),"令和"&amp;(YEAR(C563)-2018),IF(C563&gt;=DATE(1989,1,8),"平成"&amp;(YEAR(C563)-1988),"昭和"&amp;(YEAR(C563)-1925)))&amp;"年"&amp;MONTH(C563)&amp;"月")</f>
        <v/>
      </c>
    </row>
    <row r="564">
      <c r="A564" t="n">
        <v>22</v>
      </c>
      <c r="B564" t="n">
        <v>16</v>
      </c>
      <c r="C564">
        <f>IFERROR(INDEX(資格取込!$S$6:$S$405,MATCH(22&amp;"_"&amp;10,資格取込!$Z$6:$Z$405,0)),"")</f>
        <v/>
      </c>
      <c r="D564">
        <f>IFERROR(INDEX(資格取込!$R$6:$R$405,MATCH(22&amp;"_"&amp;10,資格取込!$Z$6:$Z$405,0)),"")</f>
        <v/>
      </c>
      <c r="E564">
        <f>IF(D564="","",IFERROR(INDEX(資格マスタ!$B:$B,MATCH(ASC(SUBSTITUTE(SUBSTITUTE(D564," ",""),"　","")),資格マスタ!$D:$D,0)),D564))</f>
        <v/>
      </c>
      <c r="F564">
        <f>IF(E564="","",IF(C564="",DATE(9999,1,1),C564))</f>
        <v/>
      </c>
      <c r="G564">
        <f>IF(E564="","",COUNTIFS($F$549:$F$574,"&lt;"&amp;F564,$F$549:$F$574,"&lt;&gt;")+COUNTIFS($F$549:$F$574,F564,$B$549:$B$574,"&lt;"&amp;B564)+1)</f>
        <v/>
      </c>
      <c r="H564">
        <f>IF(OR(E564="",C564=""),"",IF(C564&gt;=DATE(2019,5,1),"令和"&amp;(YEAR(C564)-2018),IF(C564&gt;=DATE(1989,1,8),"平成"&amp;(YEAR(C564)-1988),"昭和"&amp;(YEAR(C564)-1925)))&amp;"年"&amp;MONTH(C564)&amp;"月")</f>
        <v/>
      </c>
    </row>
    <row r="565">
      <c r="A565" t="n">
        <v>22</v>
      </c>
      <c r="B565" t="n">
        <v>17</v>
      </c>
      <c r="C565">
        <f>IFERROR(INDEX(資格取込!$S$6:$S$405,MATCH(22&amp;"_"&amp;11,資格取込!$Z$6:$Z$405,0)),"")</f>
        <v/>
      </c>
      <c r="D565">
        <f>IFERROR(INDEX(資格取込!$R$6:$R$405,MATCH(22&amp;"_"&amp;11,資格取込!$Z$6:$Z$405,0)),"")</f>
        <v/>
      </c>
      <c r="E565">
        <f>IF(D565="","",IFERROR(INDEX(資格マスタ!$B:$B,MATCH(ASC(SUBSTITUTE(SUBSTITUTE(D565," ",""),"　","")),資格マスタ!$D:$D,0)),D565))</f>
        <v/>
      </c>
      <c r="F565">
        <f>IF(E565="","",IF(C565="",DATE(9999,1,1),C565))</f>
        <v/>
      </c>
      <c r="G565">
        <f>IF(E565="","",COUNTIFS($F$549:$F$574,"&lt;"&amp;F565,$F$549:$F$574,"&lt;&gt;")+COUNTIFS($F$549:$F$574,F565,$B$549:$B$574,"&lt;"&amp;B565)+1)</f>
        <v/>
      </c>
      <c r="H565">
        <f>IF(OR(E565="",C565=""),"",IF(C565&gt;=DATE(2019,5,1),"令和"&amp;(YEAR(C565)-2018),IF(C565&gt;=DATE(1989,1,8),"平成"&amp;(YEAR(C565)-1988),"昭和"&amp;(YEAR(C565)-1925)))&amp;"年"&amp;MONTH(C565)&amp;"月")</f>
        <v/>
      </c>
    </row>
    <row r="566">
      <c r="A566" t="n">
        <v>22</v>
      </c>
      <c r="B566" t="n">
        <v>18</v>
      </c>
      <c r="C566">
        <f>IFERROR(INDEX(資格取込!$S$6:$S$405,MATCH(22&amp;"_"&amp;12,資格取込!$Z$6:$Z$405,0)),"")</f>
        <v/>
      </c>
      <c r="D566">
        <f>IFERROR(INDEX(資格取込!$R$6:$R$405,MATCH(22&amp;"_"&amp;12,資格取込!$Z$6:$Z$405,0)),"")</f>
        <v/>
      </c>
      <c r="E566">
        <f>IF(D566="","",IFERROR(INDEX(資格マスタ!$B:$B,MATCH(ASC(SUBSTITUTE(SUBSTITUTE(D566," ",""),"　","")),資格マスタ!$D:$D,0)),D566))</f>
        <v/>
      </c>
      <c r="F566">
        <f>IF(E566="","",IF(C566="",DATE(9999,1,1),C566))</f>
        <v/>
      </c>
      <c r="G566">
        <f>IF(E566="","",COUNTIFS($F$549:$F$574,"&lt;"&amp;F566,$F$549:$F$574,"&lt;&gt;")+COUNTIFS($F$549:$F$574,F566,$B$549:$B$574,"&lt;"&amp;B566)+1)</f>
        <v/>
      </c>
      <c r="H566">
        <f>IF(OR(E566="",C566=""),"",IF(C566&gt;=DATE(2019,5,1),"令和"&amp;(YEAR(C566)-2018),IF(C566&gt;=DATE(1989,1,8),"平成"&amp;(YEAR(C566)-1988),"昭和"&amp;(YEAR(C566)-1925)))&amp;"年"&amp;MONTH(C566)&amp;"月")</f>
        <v/>
      </c>
    </row>
    <row r="567">
      <c r="A567" t="n">
        <v>22</v>
      </c>
      <c r="B567" t="n">
        <v>19</v>
      </c>
      <c r="C567">
        <f>IFERROR(INDEX(資格取込!$S$6:$S$405,MATCH(22&amp;"_"&amp;13,資格取込!$Z$6:$Z$405,0)),"")</f>
        <v/>
      </c>
      <c r="D567">
        <f>IFERROR(INDEX(資格取込!$R$6:$R$405,MATCH(22&amp;"_"&amp;13,資格取込!$Z$6:$Z$405,0)),"")</f>
        <v/>
      </c>
      <c r="E567">
        <f>IF(D567="","",IFERROR(INDEX(資格マスタ!$B:$B,MATCH(ASC(SUBSTITUTE(SUBSTITUTE(D567," ",""),"　","")),資格マスタ!$D:$D,0)),D567))</f>
        <v/>
      </c>
      <c r="F567">
        <f>IF(E567="","",IF(C567="",DATE(9999,1,1),C567))</f>
        <v/>
      </c>
      <c r="G567">
        <f>IF(E567="","",COUNTIFS($F$549:$F$574,"&lt;"&amp;F567,$F$549:$F$574,"&lt;&gt;")+COUNTIFS($F$549:$F$574,F567,$B$549:$B$574,"&lt;"&amp;B567)+1)</f>
        <v/>
      </c>
      <c r="H567">
        <f>IF(OR(E567="",C567=""),"",IF(C567&gt;=DATE(2019,5,1),"令和"&amp;(YEAR(C567)-2018),IF(C567&gt;=DATE(1989,1,8),"平成"&amp;(YEAR(C567)-1988),"昭和"&amp;(YEAR(C567)-1925)))&amp;"年"&amp;MONTH(C567)&amp;"月")</f>
        <v/>
      </c>
    </row>
    <row r="568">
      <c r="A568" t="n">
        <v>22</v>
      </c>
      <c r="B568" t="n">
        <v>20</v>
      </c>
      <c r="C568">
        <f>IFERROR(INDEX(資格取込!$S$6:$S$405,MATCH(22&amp;"_"&amp;14,資格取込!$Z$6:$Z$405,0)),"")</f>
        <v/>
      </c>
      <c r="D568">
        <f>IFERROR(INDEX(資格取込!$R$6:$R$405,MATCH(22&amp;"_"&amp;14,資格取込!$Z$6:$Z$405,0)),"")</f>
        <v/>
      </c>
      <c r="E568">
        <f>IF(D568="","",IFERROR(INDEX(資格マスタ!$B:$B,MATCH(ASC(SUBSTITUTE(SUBSTITUTE(D568," ",""),"　","")),資格マスタ!$D:$D,0)),D568))</f>
        <v/>
      </c>
      <c r="F568">
        <f>IF(E568="","",IF(C568="",DATE(9999,1,1),C568))</f>
        <v/>
      </c>
      <c r="G568">
        <f>IF(E568="","",COUNTIFS($F$549:$F$574,"&lt;"&amp;F568,$F$549:$F$574,"&lt;&gt;")+COUNTIFS($F$549:$F$574,F568,$B$549:$B$574,"&lt;"&amp;B568)+1)</f>
        <v/>
      </c>
      <c r="H568">
        <f>IF(OR(E568="",C568=""),"",IF(C568&gt;=DATE(2019,5,1),"令和"&amp;(YEAR(C568)-2018),IF(C568&gt;=DATE(1989,1,8),"平成"&amp;(YEAR(C568)-1988),"昭和"&amp;(YEAR(C568)-1925)))&amp;"年"&amp;MONTH(C568)&amp;"月")</f>
        <v/>
      </c>
    </row>
    <row r="569">
      <c r="A569" t="n">
        <v>22</v>
      </c>
      <c r="B569" t="n">
        <v>21</v>
      </c>
      <c r="C569">
        <f>IFERROR(INDEX(資格取込!$S$6:$S$405,MATCH(22&amp;"_"&amp;15,資格取込!$Z$6:$Z$405,0)),"")</f>
        <v/>
      </c>
      <c r="D569">
        <f>IFERROR(INDEX(資格取込!$R$6:$R$405,MATCH(22&amp;"_"&amp;15,資格取込!$Z$6:$Z$405,0)),"")</f>
        <v/>
      </c>
      <c r="E569">
        <f>IF(D569="","",IFERROR(INDEX(資格マスタ!$B:$B,MATCH(ASC(SUBSTITUTE(SUBSTITUTE(D569," ",""),"　","")),資格マスタ!$D:$D,0)),D569))</f>
        <v/>
      </c>
      <c r="F569">
        <f>IF(E569="","",IF(C569="",DATE(9999,1,1),C569))</f>
        <v/>
      </c>
      <c r="G569">
        <f>IF(E569="","",COUNTIFS($F$549:$F$574,"&lt;"&amp;F569,$F$549:$F$574,"&lt;&gt;")+COUNTIFS($F$549:$F$574,F569,$B$549:$B$574,"&lt;"&amp;B569)+1)</f>
        <v/>
      </c>
      <c r="H569">
        <f>IF(OR(E569="",C569=""),"",IF(C569&gt;=DATE(2019,5,1),"令和"&amp;(YEAR(C569)-2018),IF(C569&gt;=DATE(1989,1,8),"平成"&amp;(YEAR(C569)-1988),"昭和"&amp;(YEAR(C569)-1925)))&amp;"年"&amp;MONTH(C569)&amp;"月")</f>
        <v/>
      </c>
    </row>
    <row r="570">
      <c r="A570" t="n">
        <v>22</v>
      </c>
      <c r="B570" t="n">
        <v>22</v>
      </c>
      <c r="C570">
        <f>IFERROR(INDEX(資格取込!$S$6:$S$405,MATCH(22&amp;"_"&amp;16,資格取込!$Z$6:$Z$405,0)),"")</f>
        <v/>
      </c>
      <c r="D570">
        <f>IFERROR(INDEX(資格取込!$R$6:$R$405,MATCH(22&amp;"_"&amp;16,資格取込!$Z$6:$Z$405,0)),"")</f>
        <v/>
      </c>
      <c r="E570">
        <f>IF(D570="","",IFERROR(INDEX(資格マスタ!$B:$B,MATCH(ASC(SUBSTITUTE(SUBSTITUTE(D570," ",""),"　","")),資格マスタ!$D:$D,0)),D570))</f>
        <v/>
      </c>
      <c r="F570">
        <f>IF(E570="","",IF(C570="",DATE(9999,1,1),C570))</f>
        <v/>
      </c>
      <c r="G570">
        <f>IF(E570="","",COUNTIFS($F$549:$F$574,"&lt;"&amp;F570,$F$549:$F$574,"&lt;&gt;")+COUNTIFS($F$549:$F$574,F570,$B$549:$B$574,"&lt;"&amp;B570)+1)</f>
        <v/>
      </c>
      <c r="H570">
        <f>IF(OR(E570="",C570=""),"",IF(C570&gt;=DATE(2019,5,1),"令和"&amp;(YEAR(C570)-2018),IF(C570&gt;=DATE(1989,1,8),"平成"&amp;(YEAR(C570)-1988),"昭和"&amp;(YEAR(C570)-1925)))&amp;"年"&amp;MONTH(C570)&amp;"月")</f>
        <v/>
      </c>
    </row>
    <row r="571">
      <c r="A571" t="n">
        <v>22</v>
      </c>
      <c r="B571" t="n">
        <v>23</v>
      </c>
      <c r="C571">
        <f>IFERROR(INDEX(資格取込!$S$6:$S$405,MATCH(22&amp;"_"&amp;17,資格取込!$Z$6:$Z$405,0)),"")</f>
        <v/>
      </c>
      <c r="D571">
        <f>IFERROR(INDEX(資格取込!$R$6:$R$405,MATCH(22&amp;"_"&amp;17,資格取込!$Z$6:$Z$405,0)),"")</f>
        <v/>
      </c>
      <c r="E571">
        <f>IF(D571="","",IFERROR(INDEX(資格マスタ!$B:$B,MATCH(ASC(SUBSTITUTE(SUBSTITUTE(D571," ",""),"　","")),資格マスタ!$D:$D,0)),D571))</f>
        <v/>
      </c>
      <c r="F571">
        <f>IF(E571="","",IF(C571="",DATE(9999,1,1),C571))</f>
        <v/>
      </c>
      <c r="G571">
        <f>IF(E571="","",COUNTIFS($F$549:$F$574,"&lt;"&amp;F571,$F$549:$F$574,"&lt;&gt;")+COUNTIFS($F$549:$F$574,F571,$B$549:$B$574,"&lt;"&amp;B571)+1)</f>
        <v/>
      </c>
      <c r="H571">
        <f>IF(OR(E571="",C571=""),"",IF(C571&gt;=DATE(2019,5,1),"令和"&amp;(YEAR(C571)-2018),IF(C571&gt;=DATE(1989,1,8),"平成"&amp;(YEAR(C571)-1988),"昭和"&amp;(YEAR(C571)-1925)))&amp;"年"&amp;MONTH(C571)&amp;"月")</f>
        <v/>
      </c>
    </row>
    <row r="572">
      <c r="A572" t="n">
        <v>22</v>
      </c>
      <c r="B572" t="n">
        <v>24</v>
      </c>
      <c r="C572">
        <f>IFERROR(INDEX(資格取込!$S$6:$S$405,MATCH(22&amp;"_"&amp;18,資格取込!$Z$6:$Z$405,0)),"")</f>
        <v/>
      </c>
      <c r="D572">
        <f>IFERROR(INDEX(資格取込!$R$6:$R$405,MATCH(22&amp;"_"&amp;18,資格取込!$Z$6:$Z$405,0)),"")</f>
        <v/>
      </c>
      <c r="E572">
        <f>IF(D572="","",IFERROR(INDEX(資格マスタ!$B:$B,MATCH(ASC(SUBSTITUTE(SUBSTITUTE(D572," ",""),"　","")),資格マスタ!$D:$D,0)),D572))</f>
        <v/>
      </c>
      <c r="F572">
        <f>IF(E572="","",IF(C572="",DATE(9999,1,1),C572))</f>
        <v/>
      </c>
      <c r="G572">
        <f>IF(E572="","",COUNTIFS($F$549:$F$574,"&lt;"&amp;F572,$F$549:$F$574,"&lt;&gt;")+COUNTIFS($F$549:$F$574,F572,$B$549:$B$574,"&lt;"&amp;B572)+1)</f>
        <v/>
      </c>
      <c r="H572">
        <f>IF(OR(E572="",C572=""),"",IF(C572&gt;=DATE(2019,5,1),"令和"&amp;(YEAR(C572)-2018),IF(C572&gt;=DATE(1989,1,8),"平成"&amp;(YEAR(C572)-1988),"昭和"&amp;(YEAR(C572)-1925)))&amp;"年"&amp;MONTH(C572)&amp;"月")</f>
        <v/>
      </c>
    </row>
    <row r="573">
      <c r="A573" t="n">
        <v>22</v>
      </c>
      <c r="B573" t="n">
        <v>25</v>
      </c>
      <c r="C573">
        <f>IFERROR(INDEX(資格取込!$S$6:$S$405,MATCH(22&amp;"_"&amp;19,資格取込!$Z$6:$Z$405,0)),"")</f>
        <v/>
      </c>
      <c r="D573">
        <f>IFERROR(INDEX(資格取込!$R$6:$R$405,MATCH(22&amp;"_"&amp;19,資格取込!$Z$6:$Z$405,0)),"")</f>
        <v/>
      </c>
      <c r="E573">
        <f>IF(D573="","",IFERROR(INDEX(資格マスタ!$B:$B,MATCH(ASC(SUBSTITUTE(SUBSTITUTE(D573," ",""),"　","")),資格マスタ!$D:$D,0)),D573))</f>
        <v/>
      </c>
      <c r="F573">
        <f>IF(E573="","",IF(C573="",DATE(9999,1,1),C573))</f>
        <v/>
      </c>
      <c r="G573">
        <f>IF(E573="","",COUNTIFS($F$549:$F$574,"&lt;"&amp;F573,$F$549:$F$574,"&lt;&gt;")+COUNTIFS($F$549:$F$574,F573,$B$549:$B$574,"&lt;"&amp;B573)+1)</f>
        <v/>
      </c>
      <c r="H573">
        <f>IF(OR(E573="",C573=""),"",IF(C573&gt;=DATE(2019,5,1),"令和"&amp;(YEAR(C573)-2018),IF(C573&gt;=DATE(1989,1,8),"平成"&amp;(YEAR(C573)-1988),"昭和"&amp;(YEAR(C573)-1925)))&amp;"年"&amp;MONTH(C573)&amp;"月")</f>
        <v/>
      </c>
    </row>
    <row r="574">
      <c r="A574" t="n">
        <v>22</v>
      </c>
      <c r="B574" t="n">
        <v>26</v>
      </c>
      <c r="C574">
        <f>IFERROR(INDEX(資格取込!$S$6:$S$405,MATCH(22&amp;"_"&amp;20,資格取込!$Z$6:$Z$405,0)),"")</f>
        <v/>
      </c>
      <c r="D574">
        <f>IFERROR(INDEX(資格取込!$R$6:$R$405,MATCH(22&amp;"_"&amp;20,資格取込!$Z$6:$Z$405,0)),"")</f>
        <v/>
      </c>
      <c r="E574">
        <f>IF(D574="","",IFERROR(INDEX(資格マスタ!$B:$B,MATCH(ASC(SUBSTITUTE(SUBSTITUTE(D574," ",""),"　","")),資格マスタ!$D:$D,0)),D574))</f>
        <v/>
      </c>
      <c r="F574">
        <f>IF(E574="","",IF(C574="",DATE(9999,1,1),C574))</f>
        <v/>
      </c>
      <c r="G574">
        <f>IF(E574="","",COUNTIFS($F$549:$F$574,"&lt;"&amp;F574,$F$549:$F$574,"&lt;&gt;")+COUNTIFS($F$549:$F$574,F574,$B$549:$B$574,"&lt;"&amp;B574)+1)</f>
        <v/>
      </c>
      <c r="H574">
        <f>IF(OR(E574="",C574=""),"",IF(C574&gt;=DATE(2019,5,1),"令和"&amp;(YEAR(C574)-2018),IF(C574&gt;=DATE(1989,1,8),"平成"&amp;(YEAR(C574)-1988),"昭和"&amp;(YEAR(C574)-1925)))&amp;"年"&amp;MONTH(C574)&amp;"月")</f>
        <v/>
      </c>
    </row>
    <row r="575">
      <c r="A575" t="n">
        <v>23</v>
      </c>
      <c r="B575" t="n">
        <v>1</v>
      </c>
      <c r="C575"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575">
        <f>IF(入力!N27="","",入力!N27)</f>
        <v/>
      </c>
      <c r="E575">
        <f>IF(D575="","",IFERROR(INDEX(資格マスタ!$B:$B,MATCH(ASC(SUBSTITUTE(SUBSTITUTE(D575," ",""),"　","")),資格マスタ!$D:$D,0)),D575))</f>
        <v/>
      </c>
      <c r="F575">
        <f>IF(E575="","",IF(C575="",DATE(9999,1,1),C575))</f>
        <v/>
      </c>
      <c r="G575">
        <f>IF(E575="","",COUNTIFS($F$575:$F$600,"&lt;"&amp;F575,$F$575:$F$600,"&lt;&gt;")+COUNTIFS($F$575:$F$600,F575,$B$575:$B$600,"&lt;"&amp;B575)+1)</f>
        <v/>
      </c>
      <c r="H575">
        <f>IF(OR(E575="",C575=""),"",IF(C575&gt;=DATE(2019,5,1),"令和"&amp;(YEAR(C575)-2018),IF(C575&gt;=DATE(1989,1,8),"平成"&amp;(YEAR(C575)-1988),"昭和"&amp;(YEAR(C575)-1925)))&amp;"年"&amp;MONTH(C575)&amp;"月")</f>
        <v/>
      </c>
    </row>
    <row r="576">
      <c r="A576" t="n">
        <v>23</v>
      </c>
      <c r="B576" t="n">
        <v>2</v>
      </c>
      <c r="C576">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576">
        <f>IF(入力!P27="","",入力!P27)</f>
        <v/>
      </c>
      <c r="E576">
        <f>IF(D576="","",IFERROR(INDEX(資格マスタ!$B:$B,MATCH(ASC(SUBSTITUTE(SUBSTITUTE(D576," ",""),"　","")),資格マスタ!$D:$D,0)),D576))</f>
        <v/>
      </c>
      <c r="F576">
        <f>IF(E576="","",IF(C576="",DATE(9999,1,1),C576))</f>
        <v/>
      </c>
      <c r="G576">
        <f>IF(E576="","",COUNTIFS($F$575:$F$600,"&lt;"&amp;F576,$F$575:$F$600,"&lt;&gt;")+COUNTIFS($F$575:$F$600,F576,$B$575:$B$600,"&lt;"&amp;B576)+1)</f>
        <v/>
      </c>
      <c r="H576">
        <f>IF(OR(E576="",C576=""),"",IF(C576&gt;=DATE(2019,5,1),"令和"&amp;(YEAR(C576)-2018),IF(C576&gt;=DATE(1989,1,8),"平成"&amp;(YEAR(C576)-1988),"昭和"&amp;(YEAR(C576)-1925)))&amp;"年"&amp;MONTH(C576)&amp;"月")</f>
        <v/>
      </c>
    </row>
    <row r="577">
      <c r="A577" t="n">
        <v>23</v>
      </c>
      <c r="B577" t="n">
        <v>3</v>
      </c>
      <c r="C577">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577">
        <f>IF(入力!R27="","",入力!R27)</f>
        <v/>
      </c>
      <c r="E577">
        <f>IF(D577="","",IFERROR(INDEX(資格マスタ!$B:$B,MATCH(ASC(SUBSTITUTE(SUBSTITUTE(D577," ",""),"　","")),資格マスタ!$D:$D,0)),D577))</f>
        <v/>
      </c>
      <c r="F577">
        <f>IF(E577="","",IF(C577="",DATE(9999,1,1),C577))</f>
        <v/>
      </c>
      <c r="G577">
        <f>IF(E577="","",COUNTIFS($F$575:$F$600,"&lt;"&amp;F577,$F$575:$F$600,"&lt;&gt;")+COUNTIFS($F$575:$F$600,F577,$B$575:$B$600,"&lt;"&amp;B577)+1)</f>
        <v/>
      </c>
      <c r="H577">
        <f>IF(OR(E577="",C577=""),"",IF(C577&gt;=DATE(2019,5,1),"令和"&amp;(YEAR(C577)-2018),IF(C577&gt;=DATE(1989,1,8),"平成"&amp;(YEAR(C577)-1988),"昭和"&amp;(YEAR(C577)-1925)))&amp;"年"&amp;MONTH(C577)&amp;"月")</f>
        <v/>
      </c>
    </row>
    <row r="578">
      <c r="A578" t="n">
        <v>23</v>
      </c>
      <c r="B578" t="n">
        <v>4</v>
      </c>
      <c r="C578">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578">
        <f>IF(入力!T27="","",入力!T27)</f>
        <v/>
      </c>
      <c r="E578">
        <f>IF(D578="","",IFERROR(INDEX(資格マスタ!$B:$B,MATCH(ASC(SUBSTITUTE(SUBSTITUTE(D578," ",""),"　","")),資格マスタ!$D:$D,0)),D578))</f>
        <v/>
      </c>
      <c r="F578">
        <f>IF(E578="","",IF(C578="",DATE(9999,1,1),C578))</f>
        <v/>
      </c>
      <c r="G578">
        <f>IF(E578="","",COUNTIFS($F$575:$F$600,"&lt;"&amp;F578,$F$575:$F$600,"&lt;&gt;")+COUNTIFS($F$575:$F$600,F578,$B$575:$B$600,"&lt;"&amp;B578)+1)</f>
        <v/>
      </c>
      <c r="H578">
        <f>IF(OR(E578="",C578=""),"",IF(C578&gt;=DATE(2019,5,1),"令和"&amp;(YEAR(C578)-2018),IF(C578&gt;=DATE(1989,1,8),"平成"&amp;(YEAR(C578)-1988),"昭和"&amp;(YEAR(C578)-1925)))&amp;"年"&amp;MONTH(C578)&amp;"月")</f>
        <v/>
      </c>
    </row>
    <row r="579">
      <c r="A579" t="n">
        <v>23</v>
      </c>
      <c r="B579" t="n">
        <v>5</v>
      </c>
      <c r="C579">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579">
        <f>IF(入力!V27="","",入力!V27)</f>
        <v/>
      </c>
      <c r="E579">
        <f>IF(D579="","",IFERROR(INDEX(資格マスタ!$B:$B,MATCH(ASC(SUBSTITUTE(SUBSTITUTE(D579," ",""),"　","")),資格マスタ!$D:$D,0)),D579))</f>
        <v/>
      </c>
      <c r="F579">
        <f>IF(E579="","",IF(C579="",DATE(9999,1,1),C579))</f>
        <v/>
      </c>
      <c r="G579">
        <f>IF(E579="","",COUNTIFS($F$575:$F$600,"&lt;"&amp;F579,$F$575:$F$600,"&lt;&gt;")+COUNTIFS($F$575:$F$600,F579,$B$575:$B$600,"&lt;"&amp;B579)+1)</f>
        <v/>
      </c>
      <c r="H579">
        <f>IF(OR(E579="",C579=""),"",IF(C579&gt;=DATE(2019,5,1),"令和"&amp;(YEAR(C579)-2018),IF(C579&gt;=DATE(1989,1,8),"平成"&amp;(YEAR(C579)-1988),"昭和"&amp;(YEAR(C579)-1925)))&amp;"年"&amp;MONTH(C579)&amp;"月")</f>
        <v/>
      </c>
    </row>
    <row r="580">
      <c r="A580" t="n">
        <v>23</v>
      </c>
      <c r="B580" t="n">
        <v>6</v>
      </c>
      <c r="C580">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580">
        <f>IF(入力!X27="","",入力!X27)</f>
        <v/>
      </c>
      <c r="E580">
        <f>IF(D580="","",IFERROR(INDEX(資格マスタ!$B:$B,MATCH(ASC(SUBSTITUTE(SUBSTITUTE(D580," ",""),"　","")),資格マスタ!$D:$D,0)),D580))</f>
        <v/>
      </c>
      <c r="F580">
        <f>IF(E580="","",IF(C580="",DATE(9999,1,1),C580))</f>
        <v/>
      </c>
      <c r="G580">
        <f>IF(E580="","",COUNTIFS($F$575:$F$600,"&lt;"&amp;F580,$F$575:$F$600,"&lt;&gt;")+COUNTIFS($F$575:$F$600,F580,$B$575:$B$600,"&lt;"&amp;B580)+1)</f>
        <v/>
      </c>
      <c r="H580">
        <f>IF(OR(E580="",C580=""),"",IF(C580&gt;=DATE(2019,5,1),"令和"&amp;(YEAR(C580)-2018),IF(C580&gt;=DATE(1989,1,8),"平成"&amp;(YEAR(C580)-1988),"昭和"&amp;(YEAR(C580)-1925)))&amp;"年"&amp;MONTH(C580)&amp;"月")</f>
        <v/>
      </c>
    </row>
    <row r="581">
      <c r="A581" t="n">
        <v>23</v>
      </c>
      <c r="B581" t="n">
        <v>7</v>
      </c>
      <c r="C581">
        <f>IFERROR(INDEX(資格取込!$S$6:$S$405,MATCH(23&amp;"_"&amp;1,資格取込!$Z$6:$Z$405,0)),"")</f>
        <v/>
      </c>
      <c r="D581">
        <f>IFERROR(INDEX(資格取込!$R$6:$R$405,MATCH(23&amp;"_"&amp;1,資格取込!$Z$6:$Z$405,0)),"")</f>
        <v/>
      </c>
      <c r="E581">
        <f>IF(D581="","",IFERROR(INDEX(資格マスタ!$B:$B,MATCH(ASC(SUBSTITUTE(SUBSTITUTE(D581," ",""),"　","")),資格マスタ!$D:$D,0)),D581))</f>
        <v/>
      </c>
      <c r="F581">
        <f>IF(E581="","",IF(C581="",DATE(9999,1,1),C581))</f>
        <v/>
      </c>
      <c r="G581">
        <f>IF(E581="","",COUNTIFS($F$575:$F$600,"&lt;"&amp;F581,$F$575:$F$600,"&lt;&gt;")+COUNTIFS($F$575:$F$600,F581,$B$575:$B$600,"&lt;"&amp;B581)+1)</f>
        <v/>
      </c>
      <c r="H581">
        <f>IF(OR(E581="",C581=""),"",IF(C581&gt;=DATE(2019,5,1),"令和"&amp;(YEAR(C581)-2018),IF(C581&gt;=DATE(1989,1,8),"平成"&amp;(YEAR(C581)-1988),"昭和"&amp;(YEAR(C581)-1925)))&amp;"年"&amp;MONTH(C581)&amp;"月")</f>
        <v/>
      </c>
    </row>
    <row r="582">
      <c r="A582" t="n">
        <v>23</v>
      </c>
      <c r="B582" t="n">
        <v>8</v>
      </c>
      <c r="C582">
        <f>IFERROR(INDEX(資格取込!$S$6:$S$405,MATCH(23&amp;"_"&amp;2,資格取込!$Z$6:$Z$405,0)),"")</f>
        <v/>
      </c>
      <c r="D582">
        <f>IFERROR(INDEX(資格取込!$R$6:$R$405,MATCH(23&amp;"_"&amp;2,資格取込!$Z$6:$Z$405,0)),"")</f>
        <v/>
      </c>
      <c r="E582">
        <f>IF(D582="","",IFERROR(INDEX(資格マスタ!$B:$B,MATCH(ASC(SUBSTITUTE(SUBSTITUTE(D582," ",""),"　","")),資格マスタ!$D:$D,0)),D582))</f>
        <v/>
      </c>
      <c r="F582">
        <f>IF(E582="","",IF(C582="",DATE(9999,1,1),C582))</f>
        <v/>
      </c>
      <c r="G582">
        <f>IF(E582="","",COUNTIFS($F$575:$F$600,"&lt;"&amp;F582,$F$575:$F$600,"&lt;&gt;")+COUNTIFS($F$575:$F$600,F582,$B$575:$B$600,"&lt;"&amp;B582)+1)</f>
        <v/>
      </c>
      <c r="H582">
        <f>IF(OR(E582="",C582=""),"",IF(C582&gt;=DATE(2019,5,1),"令和"&amp;(YEAR(C582)-2018),IF(C582&gt;=DATE(1989,1,8),"平成"&amp;(YEAR(C582)-1988),"昭和"&amp;(YEAR(C582)-1925)))&amp;"年"&amp;MONTH(C582)&amp;"月")</f>
        <v/>
      </c>
    </row>
    <row r="583">
      <c r="A583" t="n">
        <v>23</v>
      </c>
      <c r="B583" t="n">
        <v>9</v>
      </c>
      <c r="C583">
        <f>IFERROR(INDEX(資格取込!$S$6:$S$405,MATCH(23&amp;"_"&amp;3,資格取込!$Z$6:$Z$405,0)),"")</f>
        <v/>
      </c>
      <c r="D583">
        <f>IFERROR(INDEX(資格取込!$R$6:$R$405,MATCH(23&amp;"_"&amp;3,資格取込!$Z$6:$Z$405,0)),"")</f>
        <v/>
      </c>
      <c r="E583">
        <f>IF(D583="","",IFERROR(INDEX(資格マスタ!$B:$B,MATCH(ASC(SUBSTITUTE(SUBSTITUTE(D583," ",""),"　","")),資格マスタ!$D:$D,0)),D583))</f>
        <v/>
      </c>
      <c r="F583">
        <f>IF(E583="","",IF(C583="",DATE(9999,1,1),C583))</f>
        <v/>
      </c>
      <c r="G583">
        <f>IF(E583="","",COUNTIFS($F$575:$F$600,"&lt;"&amp;F583,$F$575:$F$600,"&lt;&gt;")+COUNTIFS($F$575:$F$600,F583,$B$575:$B$600,"&lt;"&amp;B583)+1)</f>
        <v/>
      </c>
      <c r="H583">
        <f>IF(OR(E583="",C583=""),"",IF(C583&gt;=DATE(2019,5,1),"令和"&amp;(YEAR(C583)-2018),IF(C583&gt;=DATE(1989,1,8),"平成"&amp;(YEAR(C583)-1988),"昭和"&amp;(YEAR(C583)-1925)))&amp;"年"&amp;MONTH(C583)&amp;"月")</f>
        <v/>
      </c>
    </row>
    <row r="584">
      <c r="A584" t="n">
        <v>23</v>
      </c>
      <c r="B584" t="n">
        <v>10</v>
      </c>
      <c r="C584">
        <f>IFERROR(INDEX(資格取込!$S$6:$S$405,MATCH(23&amp;"_"&amp;4,資格取込!$Z$6:$Z$405,0)),"")</f>
        <v/>
      </c>
      <c r="D584">
        <f>IFERROR(INDEX(資格取込!$R$6:$R$405,MATCH(23&amp;"_"&amp;4,資格取込!$Z$6:$Z$405,0)),"")</f>
        <v/>
      </c>
      <c r="E584">
        <f>IF(D584="","",IFERROR(INDEX(資格マスタ!$B:$B,MATCH(ASC(SUBSTITUTE(SUBSTITUTE(D584," ",""),"　","")),資格マスタ!$D:$D,0)),D584))</f>
        <v/>
      </c>
      <c r="F584">
        <f>IF(E584="","",IF(C584="",DATE(9999,1,1),C584))</f>
        <v/>
      </c>
      <c r="G584">
        <f>IF(E584="","",COUNTIFS($F$575:$F$600,"&lt;"&amp;F584,$F$575:$F$600,"&lt;&gt;")+COUNTIFS($F$575:$F$600,F584,$B$575:$B$600,"&lt;"&amp;B584)+1)</f>
        <v/>
      </c>
      <c r="H584">
        <f>IF(OR(E584="",C584=""),"",IF(C584&gt;=DATE(2019,5,1),"令和"&amp;(YEAR(C584)-2018),IF(C584&gt;=DATE(1989,1,8),"平成"&amp;(YEAR(C584)-1988),"昭和"&amp;(YEAR(C584)-1925)))&amp;"年"&amp;MONTH(C584)&amp;"月")</f>
        <v/>
      </c>
    </row>
    <row r="585">
      <c r="A585" t="n">
        <v>23</v>
      </c>
      <c r="B585" t="n">
        <v>11</v>
      </c>
      <c r="C585">
        <f>IFERROR(INDEX(資格取込!$S$6:$S$405,MATCH(23&amp;"_"&amp;5,資格取込!$Z$6:$Z$405,0)),"")</f>
        <v/>
      </c>
      <c r="D585">
        <f>IFERROR(INDEX(資格取込!$R$6:$R$405,MATCH(23&amp;"_"&amp;5,資格取込!$Z$6:$Z$405,0)),"")</f>
        <v/>
      </c>
      <c r="E585">
        <f>IF(D585="","",IFERROR(INDEX(資格マスタ!$B:$B,MATCH(ASC(SUBSTITUTE(SUBSTITUTE(D585," ",""),"　","")),資格マスタ!$D:$D,0)),D585))</f>
        <v/>
      </c>
      <c r="F585">
        <f>IF(E585="","",IF(C585="",DATE(9999,1,1),C585))</f>
        <v/>
      </c>
      <c r="G585">
        <f>IF(E585="","",COUNTIFS($F$575:$F$600,"&lt;"&amp;F585,$F$575:$F$600,"&lt;&gt;")+COUNTIFS($F$575:$F$600,F585,$B$575:$B$600,"&lt;"&amp;B585)+1)</f>
        <v/>
      </c>
      <c r="H585">
        <f>IF(OR(E585="",C585=""),"",IF(C585&gt;=DATE(2019,5,1),"令和"&amp;(YEAR(C585)-2018),IF(C585&gt;=DATE(1989,1,8),"平成"&amp;(YEAR(C585)-1988),"昭和"&amp;(YEAR(C585)-1925)))&amp;"年"&amp;MONTH(C585)&amp;"月")</f>
        <v/>
      </c>
    </row>
    <row r="586">
      <c r="A586" t="n">
        <v>23</v>
      </c>
      <c r="B586" t="n">
        <v>12</v>
      </c>
      <c r="C586">
        <f>IFERROR(INDEX(資格取込!$S$6:$S$405,MATCH(23&amp;"_"&amp;6,資格取込!$Z$6:$Z$405,0)),"")</f>
        <v/>
      </c>
      <c r="D586">
        <f>IFERROR(INDEX(資格取込!$R$6:$R$405,MATCH(23&amp;"_"&amp;6,資格取込!$Z$6:$Z$405,0)),"")</f>
        <v/>
      </c>
      <c r="E586">
        <f>IF(D586="","",IFERROR(INDEX(資格マスタ!$B:$B,MATCH(ASC(SUBSTITUTE(SUBSTITUTE(D586," ",""),"　","")),資格マスタ!$D:$D,0)),D586))</f>
        <v/>
      </c>
      <c r="F586">
        <f>IF(E586="","",IF(C586="",DATE(9999,1,1),C586))</f>
        <v/>
      </c>
      <c r="G586">
        <f>IF(E586="","",COUNTIFS($F$575:$F$600,"&lt;"&amp;F586,$F$575:$F$600,"&lt;&gt;")+COUNTIFS($F$575:$F$600,F586,$B$575:$B$600,"&lt;"&amp;B586)+1)</f>
        <v/>
      </c>
      <c r="H586">
        <f>IF(OR(E586="",C586=""),"",IF(C586&gt;=DATE(2019,5,1),"令和"&amp;(YEAR(C586)-2018),IF(C586&gt;=DATE(1989,1,8),"平成"&amp;(YEAR(C586)-1988),"昭和"&amp;(YEAR(C586)-1925)))&amp;"年"&amp;MONTH(C586)&amp;"月")</f>
        <v/>
      </c>
    </row>
    <row r="587">
      <c r="A587" t="n">
        <v>23</v>
      </c>
      <c r="B587" t="n">
        <v>13</v>
      </c>
      <c r="C587">
        <f>IFERROR(INDEX(資格取込!$S$6:$S$405,MATCH(23&amp;"_"&amp;7,資格取込!$Z$6:$Z$405,0)),"")</f>
        <v/>
      </c>
      <c r="D587">
        <f>IFERROR(INDEX(資格取込!$R$6:$R$405,MATCH(23&amp;"_"&amp;7,資格取込!$Z$6:$Z$405,0)),"")</f>
        <v/>
      </c>
      <c r="E587">
        <f>IF(D587="","",IFERROR(INDEX(資格マスタ!$B:$B,MATCH(ASC(SUBSTITUTE(SUBSTITUTE(D587," ",""),"　","")),資格マスタ!$D:$D,0)),D587))</f>
        <v/>
      </c>
      <c r="F587">
        <f>IF(E587="","",IF(C587="",DATE(9999,1,1),C587))</f>
        <v/>
      </c>
      <c r="G587">
        <f>IF(E587="","",COUNTIFS($F$575:$F$600,"&lt;"&amp;F587,$F$575:$F$600,"&lt;&gt;")+COUNTIFS($F$575:$F$600,F587,$B$575:$B$600,"&lt;"&amp;B587)+1)</f>
        <v/>
      </c>
      <c r="H587">
        <f>IF(OR(E587="",C587=""),"",IF(C587&gt;=DATE(2019,5,1),"令和"&amp;(YEAR(C587)-2018),IF(C587&gt;=DATE(1989,1,8),"平成"&amp;(YEAR(C587)-1988),"昭和"&amp;(YEAR(C587)-1925)))&amp;"年"&amp;MONTH(C587)&amp;"月")</f>
        <v/>
      </c>
    </row>
    <row r="588">
      <c r="A588" t="n">
        <v>23</v>
      </c>
      <c r="B588" t="n">
        <v>14</v>
      </c>
      <c r="C588">
        <f>IFERROR(INDEX(資格取込!$S$6:$S$405,MATCH(23&amp;"_"&amp;8,資格取込!$Z$6:$Z$405,0)),"")</f>
        <v/>
      </c>
      <c r="D588">
        <f>IFERROR(INDEX(資格取込!$R$6:$R$405,MATCH(23&amp;"_"&amp;8,資格取込!$Z$6:$Z$405,0)),"")</f>
        <v/>
      </c>
      <c r="E588">
        <f>IF(D588="","",IFERROR(INDEX(資格マスタ!$B:$B,MATCH(ASC(SUBSTITUTE(SUBSTITUTE(D588," ",""),"　","")),資格マスタ!$D:$D,0)),D588))</f>
        <v/>
      </c>
      <c r="F588">
        <f>IF(E588="","",IF(C588="",DATE(9999,1,1),C588))</f>
        <v/>
      </c>
      <c r="G588">
        <f>IF(E588="","",COUNTIFS($F$575:$F$600,"&lt;"&amp;F588,$F$575:$F$600,"&lt;&gt;")+COUNTIFS($F$575:$F$600,F588,$B$575:$B$600,"&lt;"&amp;B588)+1)</f>
        <v/>
      </c>
      <c r="H588">
        <f>IF(OR(E588="",C588=""),"",IF(C588&gt;=DATE(2019,5,1),"令和"&amp;(YEAR(C588)-2018),IF(C588&gt;=DATE(1989,1,8),"平成"&amp;(YEAR(C588)-1988),"昭和"&amp;(YEAR(C588)-1925)))&amp;"年"&amp;MONTH(C588)&amp;"月")</f>
        <v/>
      </c>
    </row>
    <row r="589">
      <c r="A589" t="n">
        <v>23</v>
      </c>
      <c r="B589" t="n">
        <v>15</v>
      </c>
      <c r="C589">
        <f>IFERROR(INDEX(資格取込!$S$6:$S$405,MATCH(23&amp;"_"&amp;9,資格取込!$Z$6:$Z$405,0)),"")</f>
        <v/>
      </c>
      <c r="D589">
        <f>IFERROR(INDEX(資格取込!$R$6:$R$405,MATCH(23&amp;"_"&amp;9,資格取込!$Z$6:$Z$405,0)),"")</f>
        <v/>
      </c>
      <c r="E589">
        <f>IF(D589="","",IFERROR(INDEX(資格マスタ!$B:$B,MATCH(ASC(SUBSTITUTE(SUBSTITUTE(D589," ",""),"　","")),資格マスタ!$D:$D,0)),D589))</f>
        <v/>
      </c>
      <c r="F589">
        <f>IF(E589="","",IF(C589="",DATE(9999,1,1),C589))</f>
        <v/>
      </c>
      <c r="G589">
        <f>IF(E589="","",COUNTIFS($F$575:$F$600,"&lt;"&amp;F589,$F$575:$F$600,"&lt;&gt;")+COUNTIFS($F$575:$F$600,F589,$B$575:$B$600,"&lt;"&amp;B589)+1)</f>
        <v/>
      </c>
      <c r="H589">
        <f>IF(OR(E589="",C589=""),"",IF(C589&gt;=DATE(2019,5,1),"令和"&amp;(YEAR(C589)-2018),IF(C589&gt;=DATE(1989,1,8),"平成"&amp;(YEAR(C589)-1988),"昭和"&amp;(YEAR(C589)-1925)))&amp;"年"&amp;MONTH(C589)&amp;"月")</f>
        <v/>
      </c>
    </row>
    <row r="590">
      <c r="A590" t="n">
        <v>23</v>
      </c>
      <c r="B590" t="n">
        <v>16</v>
      </c>
      <c r="C590">
        <f>IFERROR(INDEX(資格取込!$S$6:$S$405,MATCH(23&amp;"_"&amp;10,資格取込!$Z$6:$Z$405,0)),"")</f>
        <v/>
      </c>
      <c r="D590">
        <f>IFERROR(INDEX(資格取込!$R$6:$R$405,MATCH(23&amp;"_"&amp;10,資格取込!$Z$6:$Z$405,0)),"")</f>
        <v/>
      </c>
      <c r="E590">
        <f>IF(D590="","",IFERROR(INDEX(資格マスタ!$B:$B,MATCH(ASC(SUBSTITUTE(SUBSTITUTE(D590," ",""),"　","")),資格マスタ!$D:$D,0)),D590))</f>
        <v/>
      </c>
      <c r="F590">
        <f>IF(E590="","",IF(C590="",DATE(9999,1,1),C590))</f>
        <v/>
      </c>
      <c r="G590">
        <f>IF(E590="","",COUNTIFS($F$575:$F$600,"&lt;"&amp;F590,$F$575:$F$600,"&lt;&gt;")+COUNTIFS($F$575:$F$600,F590,$B$575:$B$600,"&lt;"&amp;B590)+1)</f>
        <v/>
      </c>
      <c r="H590">
        <f>IF(OR(E590="",C590=""),"",IF(C590&gt;=DATE(2019,5,1),"令和"&amp;(YEAR(C590)-2018),IF(C590&gt;=DATE(1989,1,8),"平成"&amp;(YEAR(C590)-1988),"昭和"&amp;(YEAR(C590)-1925)))&amp;"年"&amp;MONTH(C590)&amp;"月")</f>
        <v/>
      </c>
    </row>
    <row r="591">
      <c r="A591" t="n">
        <v>23</v>
      </c>
      <c r="B591" t="n">
        <v>17</v>
      </c>
      <c r="C591">
        <f>IFERROR(INDEX(資格取込!$S$6:$S$405,MATCH(23&amp;"_"&amp;11,資格取込!$Z$6:$Z$405,0)),"")</f>
        <v/>
      </c>
      <c r="D591">
        <f>IFERROR(INDEX(資格取込!$R$6:$R$405,MATCH(23&amp;"_"&amp;11,資格取込!$Z$6:$Z$405,0)),"")</f>
        <v/>
      </c>
      <c r="E591">
        <f>IF(D591="","",IFERROR(INDEX(資格マスタ!$B:$B,MATCH(ASC(SUBSTITUTE(SUBSTITUTE(D591," ",""),"　","")),資格マスタ!$D:$D,0)),D591))</f>
        <v/>
      </c>
      <c r="F591">
        <f>IF(E591="","",IF(C591="",DATE(9999,1,1),C591))</f>
        <v/>
      </c>
      <c r="G591">
        <f>IF(E591="","",COUNTIFS($F$575:$F$600,"&lt;"&amp;F591,$F$575:$F$600,"&lt;&gt;")+COUNTIFS($F$575:$F$600,F591,$B$575:$B$600,"&lt;"&amp;B591)+1)</f>
        <v/>
      </c>
      <c r="H591">
        <f>IF(OR(E591="",C591=""),"",IF(C591&gt;=DATE(2019,5,1),"令和"&amp;(YEAR(C591)-2018),IF(C591&gt;=DATE(1989,1,8),"平成"&amp;(YEAR(C591)-1988),"昭和"&amp;(YEAR(C591)-1925)))&amp;"年"&amp;MONTH(C591)&amp;"月")</f>
        <v/>
      </c>
    </row>
    <row r="592">
      <c r="A592" t="n">
        <v>23</v>
      </c>
      <c r="B592" t="n">
        <v>18</v>
      </c>
      <c r="C592">
        <f>IFERROR(INDEX(資格取込!$S$6:$S$405,MATCH(23&amp;"_"&amp;12,資格取込!$Z$6:$Z$405,0)),"")</f>
        <v/>
      </c>
      <c r="D592">
        <f>IFERROR(INDEX(資格取込!$R$6:$R$405,MATCH(23&amp;"_"&amp;12,資格取込!$Z$6:$Z$405,0)),"")</f>
        <v/>
      </c>
      <c r="E592">
        <f>IF(D592="","",IFERROR(INDEX(資格マスタ!$B:$B,MATCH(ASC(SUBSTITUTE(SUBSTITUTE(D592," ",""),"　","")),資格マスタ!$D:$D,0)),D592))</f>
        <v/>
      </c>
      <c r="F592">
        <f>IF(E592="","",IF(C592="",DATE(9999,1,1),C592))</f>
        <v/>
      </c>
      <c r="G592">
        <f>IF(E592="","",COUNTIFS($F$575:$F$600,"&lt;"&amp;F592,$F$575:$F$600,"&lt;&gt;")+COUNTIFS($F$575:$F$600,F592,$B$575:$B$600,"&lt;"&amp;B592)+1)</f>
        <v/>
      </c>
      <c r="H592">
        <f>IF(OR(E592="",C592=""),"",IF(C592&gt;=DATE(2019,5,1),"令和"&amp;(YEAR(C592)-2018),IF(C592&gt;=DATE(1989,1,8),"平成"&amp;(YEAR(C592)-1988),"昭和"&amp;(YEAR(C592)-1925)))&amp;"年"&amp;MONTH(C592)&amp;"月")</f>
        <v/>
      </c>
    </row>
    <row r="593">
      <c r="A593" t="n">
        <v>23</v>
      </c>
      <c r="B593" t="n">
        <v>19</v>
      </c>
      <c r="C593">
        <f>IFERROR(INDEX(資格取込!$S$6:$S$405,MATCH(23&amp;"_"&amp;13,資格取込!$Z$6:$Z$405,0)),"")</f>
        <v/>
      </c>
      <c r="D593">
        <f>IFERROR(INDEX(資格取込!$R$6:$R$405,MATCH(23&amp;"_"&amp;13,資格取込!$Z$6:$Z$405,0)),"")</f>
        <v/>
      </c>
      <c r="E593">
        <f>IF(D593="","",IFERROR(INDEX(資格マスタ!$B:$B,MATCH(ASC(SUBSTITUTE(SUBSTITUTE(D593," ",""),"　","")),資格マスタ!$D:$D,0)),D593))</f>
        <v/>
      </c>
      <c r="F593">
        <f>IF(E593="","",IF(C593="",DATE(9999,1,1),C593))</f>
        <v/>
      </c>
      <c r="G593">
        <f>IF(E593="","",COUNTIFS($F$575:$F$600,"&lt;"&amp;F593,$F$575:$F$600,"&lt;&gt;")+COUNTIFS($F$575:$F$600,F593,$B$575:$B$600,"&lt;"&amp;B593)+1)</f>
        <v/>
      </c>
      <c r="H593">
        <f>IF(OR(E593="",C593=""),"",IF(C593&gt;=DATE(2019,5,1),"令和"&amp;(YEAR(C593)-2018),IF(C593&gt;=DATE(1989,1,8),"平成"&amp;(YEAR(C593)-1988),"昭和"&amp;(YEAR(C593)-1925)))&amp;"年"&amp;MONTH(C593)&amp;"月")</f>
        <v/>
      </c>
    </row>
    <row r="594">
      <c r="A594" t="n">
        <v>23</v>
      </c>
      <c r="B594" t="n">
        <v>20</v>
      </c>
      <c r="C594">
        <f>IFERROR(INDEX(資格取込!$S$6:$S$405,MATCH(23&amp;"_"&amp;14,資格取込!$Z$6:$Z$405,0)),"")</f>
        <v/>
      </c>
      <c r="D594">
        <f>IFERROR(INDEX(資格取込!$R$6:$R$405,MATCH(23&amp;"_"&amp;14,資格取込!$Z$6:$Z$405,0)),"")</f>
        <v/>
      </c>
      <c r="E594">
        <f>IF(D594="","",IFERROR(INDEX(資格マスタ!$B:$B,MATCH(ASC(SUBSTITUTE(SUBSTITUTE(D594," ",""),"　","")),資格マスタ!$D:$D,0)),D594))</f>
        <v/>
      </c>
      <c r="F594">
        <f>IF(E594="","",IF(C594="",DATE(9999,1,1),C594))</f>
        <v/>
      </c>
      <c r="G594">
        <f>IF(E594="","",COUNTIFS($F$575:$F$600,"&lt;"&amp;F594,$F$575:$F$600,"&lt;&gt;")+COUNTIFS($F$575:$F$600,F594,$B$575:$B$600,"&lt;"&amp;B594)+1)</f>
        <v/>
      </c>
      <c r="H594">
        <f>IF(OR(E594="",C594=""),"",IF(C594&gt;=DATE(2019,5,1),"令和"&amp;(YEAR(C594)-2018),IF(C594&gt;=DATE(1989,1,8),"平成"&amp;(YEAR(C594)-1988),"昭和"&amp;(YEAR(C594)-1925)))&amp;"年"&amp;MONTH(C594)&amp;"月")</f>
        <v/>
      </c>
    </row>
    <row r="595">
      <c r="A595" t="n">
        <v>23</v>
      </c>
      <c r="B595" t="n">
        <v>21</v>
      </c>
      <c r="C595">
        <f>IFERROR(INDEX(資格取込!$S$6:$S$405,MATCH(23&amp;"_"&amp;15,資格取込!$Z$6:$Z$405,0)),"")</f>
        <v/>
      </c>
      <c r="D595">
        <f>IFERROR(INDEX(資格取込!$R$6:$R$405,MATCH(23&amp;"_"&amp;15,資格取込!$Z$6:$Z$405,0)),"")</f>
        <v/>
      </c>
      <c r="E595">
        <f>IF(D595="","",IFERROR(INDEX(資格マスタ!$B:$B,MATCH(ASC(SUBSTITUTE(SUBSTITUTE(D595," ",""),"　","")),資格マスタ!$D:$D,0)),D595))</f>
        <v/>
      </c>
      <c r="F595">
        <f>IF(E595="","",IF(C595="",DATE(9999,1,1),C595))</f>
        <v/>
      </c>
      <c r="G595">
        <f>IF(E595="","",COUNTIFS($F$575:$F$600,"&lt;"&amp;F595,$F$575:$F$600,"&lt;&gt;")+COUNTIFS($F$575:$F$600,F595,$B$575:$B$600,"&lt;"&amp;B595)+1)</f>
        <v/>
      </c>
      <c r="H595">
        <f>IF(OR(E595="",C595=""),"",IF(C595&gt;=DATE(2019,5,1),"令和"&amp;(YEAR(C595)-2018),IF(C595&gt;=DATE(1989,1,8),"平成"&amp;(YEAR(C595)-1988),"昭和"&amp;(YEAR(C595)-1925)))&amp;"年"&amp;MONTH(C595)&amp;"月")</f>
        <v/>
      </c>
    </row>
    <row r="596">
      <c r="A596" t="n">
        <v>23</v>
      </c>
      <c r="B596" t="n">
        <v>22</v>
      </c>
      <c r="C596">
        <f>IFERROR(INDEX(資格取込!$S$6:$S$405,MATCH(23&amp;"_"&amp;16,資格取込!$Z$6:$Z$405,0)),"")</f>
        <v/>
      </c>
      <c r="D596">
        <f>IFERROR(INDEX(資格取込!$R$6:$R$405,MATCH(23&amp;"_"&amp;16,資格取込!$Z$6:$Z$405,0)),"")</f>
        <v/>
      </c>
      <c r="E596">
        <f>IF(D596="","",IFERROR(INDEX(資格マスタ!$B:$B,MATCH(ASC(SUBSTITUTE(SUBSTITUTE(D596," ",""),"　","")),資格マスタ!$D:$D,0)),D596))</f>
        <v/>
      </c>
      <c r="F596">
        <f>IF(E596="","",IF(C596="",DATE(9999,1,1),C596))</f>
        <v/>
      </c>
      <c r="G596">
        <f>IF(E596="","",COUNTIFS($F$575:$F$600,"&lt;"&amp;F596,$F$575:$F$600,"&lt;&gt;")+COUNTIFS($F$575:$F$600,F596,$B$575:$B$600,"&lt;"&amp;B596)+1)</f>
        <v/>
      </c>
      <c r="H596">
        <f>IF(OR(E596="",C596=""),"",IF(C596&gt;=DATE(2019,5,1),"令和"&amp;(YEAR(C596)-2018),IF(C596&gt;=DATE(1989,1,8),"平成"&amp;(YEAR(C596)-1988),"昭和"&amp;(YEAR(C596)-1925)))&amp;"年"&amp;MONTH(C596)&amp;"月")</f>
        <v/>
      </c>
    </row>
    <row r="597">
      <c r="A597" t="n">
        <v>23</v>
      </c>
      <c r="B597" t="n">
        <v>23</v>
      </c>
      <c r="C597">
        <f>IFERROR(INDEX(資格取込!$S$6:$S$405,MATCH(23&amp;"_"&amp;17,資格取込!$Z$6:$Z$405,0)),"")</f>
        <v/>
      </c>
      <c r="D597">
        <f>IFERROR(INDEX(資格取込!$R$6:$R$405,MATCH(23&amp;"_"&amp;17,資格取込!$Z$6:$Z$405,0)),"")</f>
        <v/>
      </c>
      <c r="E597">
        <f>IF(D597="","",IFERROR(INDEX(資格マスタ!$B:$B,MATCH(ASC(SUBSTITUTE(SUBSTITUTE(D597," ",""),"　","")),資格マスタ!$D:$D,0)),D597))</f>
        <v/>
      </c>
      <c r="F597">
        <f>IF(E597="","",IF(C597="",DATE(9999,1,1),C597))</f>
        <v/>
      </c>
      <c r="G597">
        <f>IF(E597="","",COUNTIFS($F$575:$F$600,"&lt;"&amp;F597,$F$575:$F$600,"&lt;&gt;")+COUNTIFS($F$575:$F$600,F597,$B$575:$B$600,"&lt;"&amp;B597)+1)</f>
        <v/>
      </c>
      <c r="H597">
        <f>IF(OR(E597="",C597=""),"",IF(C597&gt;=DATE(2019,5,1),"令和"&amp;(YEAR(C597)-2018),IF(C597&gt;=DATE(1989,1,8),"平成"&amp;(YEAR(C597)-1988),"昭和"&amp;(YEAR(C597)-1925)))&amp;"年"&amp;MONTH(C597)&amp;"月")</f>
        <v/>
      </c>
    </row>
    <row r="598">
      <c r="A598" t="n">
        <v>23</v>
      </c>
      <c r="B598" t="n">
        <v>24</v>
      </c>
      <c r="C598">
        <f>IFERROR(INDEX(資格取込!$S$6:$S$405,MATCH(23&amp;"_"&amp;18,資格取込!$Z$6:$Z$405,0)),"")</f>
        <v/>
      </c>
      <c r="D598">
        <f>IFERROR(INDEX(資格取込!$R$6:$R$405,MATCH(23&amp;"_"&amp;18,資格取込!$Z$6:$Z$405,0)),"")</f>
        <v/>
      </c>
      <c r="E598">
        <f>IF(D598="","",IFERROR(INDEX(資格マスタ!$B:$B,MATCH(ASC(SUBSTITUTE(SUBSTITUTE(D598," ",""),"　","")),資格マスタ!$D:$D,0)),D598))</f>
        <v/>
      </c>
      <c r="F598">
        <f>IF(E598="","",IF(C598="",DATE(9999,1,1),C598))</f>
        <v/>
      </c>
      <c r="G598">
        <f>IF(E598="","",COUNTIFS($F$575:$F$600,"&lt;"&amp;F598,$F$575:$F$600,"&lt;&gt;")+COUNTIFS($F$575:$F$600,F598,$B$575:$B$600,"&lt;"&amp;B598)+1)</f>
        <v/>
      </c>
      <c r="H598">
        <f>IF(OR(E598="",C598=""),"",IF(C598&gt;=DATE(2019,5,1),"令和"&amp;(YEAR(C598)-2018),IF(C598&gt;=DATE(1989,1,8),"平成"&amp;(YEAR(C598)-1988),"昭和"&amp;(YEAR(C598)-1925)))&amp;"年"&amp;MONTH(C598)&amp;"月")</f>
        <v/>
      </c>
    </row>
    <row r="599">
      <c r="A599" t="n">
        <v>23</v>
      </c>
      <c r="B599" t="n">
        <v>25</v>
      </c>
      <c r="C599">
        <f>IFERROR(INDEX(資格取込!$S$6:$S$405,MATCH(23&amp;"_"&amp;19,資格取込!$Z$6:$Z$405,0)),"")</f>
        <v/>
      </c>
      <c r="D599">
        <f>IFERROR(INDEX(資格取込!$R$6:$R$405,MATCH(23&amp;"_"&amp;19,資格取込!$Z$6:$Z$405,0)),"")</f>
        <v/>
      </c>
      <c r="E599">
        <f>IF(D599="","",IFERROR(INDEX(資格マスタ!$B:$B,MATCH(ASC(SUBSTITUTE(SUBSTITUTE(D599," ",""),"　","")),資格マスタ!$D:$D,0)),D599))</f>
        <v/>
      </c>
      <c r="F599">
        <f>IF(E599="","",IF(C599="",DATE(9999,1,1),C599))</f>
        <v/>
      </c>
      <c r="G599">
        <f>IF(E599="","",COUNTIFS($F$575:$F$600,"&lt;"&amp;F599,$F$575:$F$600,"&lt;&gt;")+COUNTIFS($F$575:$F$600,F599,$B$575:$B$600,"&lt;"&amp;B599)+1)</f>
        <v/>
      </c>
      <c r="H599">
        <f>IF(OR(E599="",C599=""),"",IF(C599&gt;=DATE(2019,5,1),"令和"&amp;(YEAR(C599)-2018),IF(C599&gt;=DATE(1989,1,8),"平成"&amp;(YEAR(C599)-1988),"昭和"&amp;(YEAR(C599)-1925)))&amp;"年"&amp;MONTH(C599)&amp;"月")</f>
        <v/>
      </c>
    </row>
    <row r="600">
      <c r="A600" t="n">
        <v>23</v>
      </c>
      <c r="B600" t="n">
        <v>26</v>
      </c>
      <c r="C600">
        <f>IFERROR(INDEX(資格取込!$S$6:$S$405,MATCH(23&amp;"_"&amp;20,資格取込!$Z$6:$Z$405,0)),"")</f>
        <v/>
      </c>
      <c r="D600">
        <f>IFERROR(INDEX(資格取込!$R$6:$R$405,MATCH(23&amp;"_"&amp;20,資格取込!$Z$6:$Z$405,0)),"")</f>
        <v/>
      </c>
      <c r="E600">
        <f>IF(D600="","",IFERROR(INDEX(資格マスタ!$B:$B,MATCH(ASC(SUBSTITUTE(SUBSTITUTE(D600," ",""),"　","")),資格マスタ!$D:$D,0)),D600))</f>
        <v/>
      </c>
      <c r="F600">
        <f>IF(E600="","",IF(C600="",DATE(9999,1,1),C600))</f>
        <v/>
      </c>
      <c r="G600">
        <f>IF(E600="","",COUNTIFS($F$575:$F$600,"&lt;"&amp;F600,$F$575:$F$600,"&lt;&gt;")+COUNTIFS($F$575:$F$600,F600,$B$575:$B$600,"&lt;"&amp;B600)+1)</f>
        <v/>
      </c>
      <c r="H600">
        <f>IF(OR(E600="",C600=""),"",IF(C600&gt;=DATE(2019,5,1),"令和"&amp;(YEAR(C600)-2018),IF(C600&gt;=DATE(1989,1,8),"平成"&amp;(YEAR(C600)-1988),"昭和"&amp;(YEAR(C600)-1925)))&amp;"年"&amp;MONTH(C600)&amp;"月")</f>
        <v/>
      </c>
    </row>
    <row r="601">
      <c r="A601" t="n">
        <v>24</v>
      </c>
      <c r="B601" t="n">
        <v>1</v>
      </c>
      <c r="C601"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601">
        <f>IF(入力!N28="","",入力!N28)</f>
        <v/>
      </c>
      <c r="E601">
        <f>IF(D601="","",IFERROR(INDEX(資格マスタ!$B:$B,MATCH(ASC(SUBSTITUTE(SUBSTITUTE(D601," ",""),"　","")),資格マスタ!$D:$D,0)),D601))</f>
        <v/>
      </c>
      <c r="F601">
        <f>IF(E601="","",IF(C601="",DATE(9999,1,1),C601))</f>
        <v/>
      </c>
      <c r="G601">
        <f>IF(E601="","",COUNTIFS($F$601:$F$626,"&lt;"&amp;F601,$F$601:$F$626,"&lt;&gt;")+COUNTIFS($F$601:$F$626,F601,$B$601:$B$626,"&lt;"&amp;B601)+1)</f>
        <v/>
      </c>
      <c r="H601">
        <f>IF(OR(E601="",C601=""),"",IF(C601&gt;=DATE(2019,5,1),"令和"&amp;(YEAR(C601)-2018),IF(C601&gt;=DATE(1989,1,8),"平成"&amp;(YEAR(C601)-1988),"昭和"&amp;(YEAR(C601)-1925)))&amp;"年"&amp;MONTH(C601)&amp;"月")</f>
        <v/>
      </c>
    </row>
    <row r="602">
      <c r="A602" t="n">
        <v>24</v>
      </c>
      <c r="B602" t="n">
        <v>2</v>
      </c>
      <c r="C602">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602">
        <f>IF(入力!P28="","",入力!P28)</f>
        <v/>
      </c>
      <c r="E602">
        <f>IF(D602="","",IFERROR(INDEX(資格マスタ!$B:$B,MATCH(ASC(SUBSTITUTE(SUBSTITUTE(D602," ",""),"　","")),資格マスタ!$D:$D,0)),D602))</f>
        <v/>
      </c>
      <c r="F602">
        <f>IF(E602="","",IF(C602="",DATE(9999,1,1),C602))</f>
        <v/>
      </c>
      <c r="G602">
        <f>IF(E602="","",COUNTIFS($F$601:$F$626,"&lt;"&amp;F602,$F$601:$F$626,"&lt;&gt;")+COUNTIFS($F$601:$F$626,F602,$B$601:$B$626,"&lt;"&amp;B602)+1)</f>
        <v/>
      </c>
      <c r="H602">
        <f>IF(OR(E602="",C602=""),"",IF(C602&gt;=DATE(2019,5,1),"令和"&amp;(YEAR(C602)-2018),IF(C602&gt;=DATE(1989,1,8),"平成"&amp;(YEAR(C602)-1988),"昭和"&amp;(YEAR(C602)-1925)))&amp;"年"&amp;MONTH(C602)&amp;"月")</f>
        <v/>
      </c>
    </row>
    <row r="603">
      <c r="A603" t="n">
        <v>24</v>
      </c>
      <c r="B603" t="n">
        <v>3</v>
      </c>
      <c r="C603">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603">
        <f>IF(入力!R28="","",入力!R28)</f>
        <v/>
      </c>
      <c r="E603">
        <f>IF(D603="","",IFERROR(INDEX(資格マスタ!$B:$B,MATCH(ASC(SUBSTITUTE(SUBSTITUTE(D603," ",""),"　","")),資格マスタ!$D:$D,0)),D603))</f>
        <v/>
      </c>
      <c r="F603">
        <f>IF(E603="","",IF(C603="",DATE(9999,1,1),C603))</f>
        <v/>
      </c>
      <c r="G603">
        <f>IF(E603="","",COUNTIFS($F$601:$F$626,"&lt;"&amp;F603,$F$601:$F$626,"&lt;&gt;")+COUNTIFS($F$601:$F$626,F603,$B$601:$B$626,"&lt;"&amp;B603)+1)</f>
        <v/>
      </c>
      <c r="H603">
        <f>IF(OR(E603="",C603=""),"",IF(C603&gt;=DATE(2019,5,1),"令和"&amp;(YEAR(C603)-2018),IF(C603&gt;=DATE(1989,1,8),"平成"&amp;(YEAR(C603)-1988),"昭和"&amp;(YEAR(C603)-1925)))&amp;"年"&amp;MONTH(C603)&amp;"月")</f>
        <v/>
      </c>
    </row>
    <row r="604">
      <c r="A604" t="n">
        <v>24</v>
      </c>
      <c r="B604" t="n">
        <v>4</v>
      </c>
      <c r="C604">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604">
        <f>IF(入力!T28="","",入力!T28)</f>
        <v/>
      </c>
      <c r="E604">
        <f>IF(D604="","",IFERROR(INDEX(資格マスタ!$B:$B,MATCH(ASC(SUBSTITUTE(SUBSTITUTE(D604," ",""),"　","")),資格マスタ!$D:$D,0)),D604))</f>
        <v/>
      </c>
      <c r="F604">
        <f>IF(E604="","",IF(C604="",DATE(9999,1,1),C604))</f>
        <v/>
      </c>
      <c r="G604">
        <f>IF(E604="","",COUNTIFS($F$601:$F$626,"&lt;"&amp;F604,$F$601:$F$626,"&lt;&gt;")+COUNTIFS($F$601:$F$626,F604,$B$601:$B$626,"&lt;"&amp;B604)+1)</f>
        <v/>
      </c>
      <c r="H604">
        <f>IF(OR(E604="",C604=""),"",IF(C604&gt;=DATE(2019,5,1),"令和"&amp;(YEAR(C604)-2018),IF(C604&gt;=DATE(1989,1,8),"平成"&amp;(YEAR(C604)-1988),"昭和"&amp;(YEAR(C604)-1925)))&amp;"年"&amp;MONTH(C604)&amp;"月")</f>
        <v/>
      </c>
    </row>
    <row r="605">
      <c r="A605" t="n">
        <v>24</v>
      </c>
      <c r="B605" t="n">
        <v>5</v>
      </c>
      <c r="C605">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605">
        <f>IF(入力!V28="","",入力!V28)</f>
        <v/>
      </c>
      <c r="E605">
        <f>IF(D605="","",IFERROR(INDEX(資格マスタ!$B:$B,MATCH(ASC(SUBSTITUTE(SUBSTITUTE(D605," ",""),"　","")),資格マスタ!$D:$D,0)),D605))</f>
        <v/>
      </c>
      <c r="F605">
        <f>IF(E605="","",IF(C605="",DATE(9999,1,1),C605))</f>
        <v/>
      </c>
      <c r="G605">
        <f>IF(E605="","",COUNTIFS($F$601:$F$626,"&lt;"&amp;F605,$F$601:$F$626,"&lt;&gt;")+COUNTIFS($F$601:$F$626,F605,$B$601:$B$626,"&lt;"&amp;B605)+1)</f>
        <v/>
      </c>
      <c r="H605">
        <f>IF(OR(E605="",C605=""),"",IF(C605&gt;=DATE(2019,5,1),"令和"&amp;(YEAR(C605)-2018),IF(C605&gt;=DATE(1989,1,8),"平成"&amp;(YEAR(C605)-1988),"昭和"&amp;(YEAR(C605)-1925)))&amp;"年"&amp;MONTH(C605)&amp;"月")</f>
        <v/>
      </c>
    </row>
    <row r="606">
      <c r="A606" t="n">
        <v>24</v>
      </c>
      <c r="B606" t="n">
        <v>6</v>
      </c>
      <c r="C606">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606">
        <f>IF(入力!X28="","",入力!X28)</f>
        <v/>
      </c>
      <c r="E606">
        <f>IF(D606="","",IFERROR(INDEX(資格マスタ!$B:$B,MATCH(ASC(SUBSTITUTE(SUBSTITUTE(D606," ",""),"　","")),資格マスタ!$D:$D,0)),D606))</f>
        <v/>
      </c>
      <c r="F606">
        <f>IF(E606="","",IF(C606="",DATE(9999,1,1),C606))</f>
        <v/>
      </c>
      <c r="G606">
        <f>IF(E606="","",COUNTIFS($F$601:$F$626,"&lt;"&amp;F606,$F$601:$F$626,"&lt;&gt;")+COUNTIFS($F$601:$F$626,F606,$B$601:$B$626,"&lt;"&amp;B606)+1)</f>
        <v/>
      </c>
      <c r="H606">
        <f>IF(OR(E606="",C606=""),"",IF(C606&gt;=DATE(2019,5,1),"令和"&amp;(YEAR(C606)-2018),IF(C606&gt;=DATE(1989,1,8),"平成"&amp;(YEAR(C606)-1988),"昭和"&amp;(YEAR(C606)-1925)))&amp;"年"&amp;MONTH(C606)&amp;"月")</f>
        <v/>
      </c>
    </row>
    <row r="607">
      <c r="A607" t="n">
        <v>24</v>
      </c>
      <c r="B607" t="n">
        <v>7</v>
      </c>
      <c r="C607">
        <f>IFERROR(INDEX(資格取込!$S$6:$S$405,MATCH(24&amp;"_"&amp;1,資格取込!$Z$6:$Z$405,0)),"")</f>
        <v/>
      </c>
      <c r="D607">
        <f>IFERROR(INDEX(資格取込!$R$6:$R$405,MATCH(24&amp;"_"&amp;1,資格取込!$Z$6:$Z$405,0)),"")</f>
        <v/>
      </c>
      <c r="E607">
        <f>IF(D607="","",IFERROR(INDEX(資格マスタ!$B:$B,MATCH(ASC(SUBSTITUTE(SUBSTITUTE(D607," ",""),"　","")),資格マスタ!$D:$D,0)),D607))</f>
        <v/>
      </c>
      <c r="F607">
        <f>IF(E607="","",IF(C607="",DATE(9999,1,1),C607))</f>
        <v/>
      </c>
      <c r="G607">
        <f>IF(E607="","",COUNTIFS($F$601:$F$626,"&lt;"&amp;F607,$F$601:$F$626,"&lt;&gt;")+COUNTIFS($F$601:$F$626,F607,$B$601:$B$626,"&lt;"&amp;B607)+1)</f>
        <v/>
      </c>
      <c r="H607">
        <f>IF(OR(E607="",C607=""),"",IF(C607&gt;=DATE(2019,5,1),"令和"&amp;(YEAR(C607)-2018),IF(C607&gt;=DATE(1989,1,8),"平成"&amp;(YEAR(C607)-1988),"昭和"&amp;(YEAR(C607)-1925)))&amp;"年"&amp;MONTH(C607)&amp;"月")</f>
        <v/>
      </c>
    </row>
    <row r="608">
      <c r="A608" t="n">
        <v>24</v>
      </c>
      <c r="B608" t="n">
        <v>8</v>
      </c>
      <c r="C608">
        <f>IFERROR(INDEX(資格取込!$S$6:$S$405,MATCH(24&amp;"_"&amp;2,資格取込!$Z$6:$Z$405,0)),"")</f>
        <v/>
      </c>
      <c r="D608">
        <f>IFERROR(INDEX(資格取込!$R$6:$R$405,MATCH(24&amp;"_"&amp;2,資格取込!$Z$6:$Z$405,0)),"")</f>
        <v/>
      </c>
      <c r="E608">
        <f>IF(D608="","",IFERROR(INDEX(資格マスタ!$B:$B,MATCH(ASC(SUBSTITUTE(SUBSTITUTE(D608," ",""),"　","")),資格マスタ!$D:$D,0)),D608))</f>
        <v/>
      </c>
      <c r="F608">
        <f>IF(E608="","",IF(C608="",DATE(9999,1,1),C608))</f>
        <v/>
      </c>
      <c r="G608">
        <f>IF(E608="","",COUNTIFS($F$601:$F$626,"&lt;"&amp;F608,$F$601:$F$626,"&lt;&gt;")+COUNTIFS($F$601:$F$626,F608,$B$601:$B$626,"&lt;"&amp;B608)+1)</f>
        <v/>
      </c>
      <c r="H608">
        <f>IF(OR(E608="",C608=""),"",IF(C608&gt;=DATE(2019,5,1),"令和"&amp;(YEAR(C608)-2018),IF(C608&gt;=DATE(1989,1,8),"平成"&amp;(YEAR(C608)-1988),"昭和"&amp;(YEAR(C608)-1925)))&amp;"年"&amp;MONTH(C608)&amp;"月")</f>
        <v/>
      </c>
    </row>
    <row r="609">
      <c r="A609" t="n">
        <v>24</v>
      </c>
      <c r="B609" t="n">
        <v>9</v>
      </c>
      <c r="C609">
        <f>IFERROR(INDEX(資格取込!$S$6:$S$405,MATCH(24&amp;"_"&amp;3,資格取込!$Z$6:$Z$405,0)),"")</f>
        <v/>
      </c>
      <c r="D609">
        <f>IFERROR(INDEX(資格取込!$R$6:$R$405,MATCH(24&amp;"_"&amp;3,資格取込!$Z$6:$Z$405,0)),"")</f>
        <v/>
      </c>
      <c r="E609">
        <f>IF(D609="","",IFERROR(INDEX(資格マスタ!$B:$B,MATCH(ASC(SUBSTITUTE(SUBSTITUTE(D609," ",""),"　","")),資格マスタ!$D:$D,0)),D609))</f>
        <v/>
      </c>
      <c r="F609">
        <f>IF(E609="","",IF(C609="",DATE(9999,1,1),C609))</f>
        <v/>
      </c>
      <c r="G609">
        <f>IF(E609="","",COUNTIFS($F$601:$F$626,"&lt;"&amp;F609,$F$601:$F$626,"&lt;&gt;")+COUNTIFS($F$601:$F$626,F609,$B$601:$B$626,"&lt;"&amp;B609)+1)</f>
        <v/>
      </c>
      <c r="H609">
        <f>IF(OR(E609="",C609=""),"",IF(C609&gt;=DATE(2019,5,1),"令和"&amp;(YEAR(C609)-2018),IF(C609&gt;=DATE(1989,1,8),"平成"&amp;(YEAR(C609)-1988),"昭和"&amp;(YEAR(C609)-1925)))&amp;"年"&amp;MONTH(C609)&amp;"月")</f>
        <v/>
      </c>
    </row>
    <row r="610">
      <c r="A610" t="n">
        <v>24</v>
      </c>
      <c r="B610" t="n">
        <v>10</v>
      </c>
      <c r="C610">
        <f>IFERROR(INDEX(資格取込!$S$6:$S$405,MATCH(24&amp;"_"&amp;4,資格取込!$Z$6:$Z$405,0)),"")</f>
        <v/>
      </c>
      <c r="D610">
        <f>IFERROR(INDEX(資格取込!$R$6:$R$405,MATCH(24&amp;"_"&amp;4,資格取込!$Z$6:$Z$405,0)),"")</f>
        <v/>
      </c>
      <c r="E610">
        <f>IF(D610="","",IFERROR(INDEX(資格マスタ!$B:$B,MATCH(ASC(SUBSTITUTE(SUBSTITUTE(D610," ",""),"　","")),資格マスタ!$D:$D,0)),D610))</f>
        <v/>
      </c>
      <c r="F610">
        <f>IF(E610="","",IF(C610="",DATE(9999,1,1),C610))</f>
        <v/>
      </c>
      <c r="G610">
        <f>IF(E610="","",COUNTIFS($F$601:$F$626,"&lt;"&amp;F610,$F$601:$F$626,"&lt;&gt;")+COUNTIFS($F$601:$F$626,F610,$B$601:$B$626,"&lt;"&amp;B610)+1)</f>
        <v/>
      </c>
      <c r="H610">
        <f>IF(OR(E610="",C610=""),"",IF(C610&gt;=DATE(2019,5,1),"令和"&amp;(YEAR(C610)-2018),IF(C610&gt;=DATE(1989,1,8),"平成"&amp;(YEAR(C610)-1988),"昭和"&amp;(YEAR(C610)-1925)))&amp;"年"&amp;MONTH(C610)&amp;"月")</f>
        <v/>
      </c>
    </row>
    <row r="611">
      <c r="A611" t="n">
        <v>24</v>
      </c>
      <c r="B611" t="n">
        <v>11</v>
      </c>
      <c r="C611">
        <f>IFERROR(INDEX(資格取込!$S$6:$S$405,MATCH(24&amp;"_"&amp;5,資格取込!$Z$6:$Z$405,0)),"")</f>
        <v/>
      </c>
      <c r="D611">
        <f>IFERROR(INDEX(資格取込!$R$6:$R$405,MATCH(24&amp;"_"&amp;5,資格取込!$Z$6:$Z$405,0)),"")</f>
        <v/>
      </c>
      <c r="E611">
        <f>IF(D611="","",IFERROR(INDEX(資格マスタ!$B:$B,MATCH(ASC(SUBSTITUTE(SUBSTITUTE(D611," ",""),"　","")),資格マスタ!$D:$D,0)),D611))</f>
        <v/>
      </c>
      <c r="F611">
        <f>IF(E611="","",IF(C611="",DATE(9999,1,1),C611))</f>
        <v/>
      </c>
      <c r="G611">
        <f>IF(E611="","",COUNTIFS($F$601:$F$626,"&lt;"&amp;F611,$F$601:$F$626,"&lt;&gt;")+COUNTIFS($F$601:$F$626,F611,$B$601:$B$626,"&lt;"&amp;B611)+1)</f>
        <v/>
      </c>
      <c r="H611">
        <f>IF(OR(E611="",C611=""),"",IF(C611&gt;=DATE(2019,5,1),"令和"&amp;(YEAR(C611)-2018),IF(C611&gt;=DATE(1989,1,8),"平成"&amp;(YEAR(C611)-1988),"昭和"&amp;(YEAR(C611)-1925)))&amp;"年"&amp;MONTH(C611)&amp;"月")</f>
        <v/>
      </c>
    </row>
    <row r="612">
      <c r="A612" t="n">
        <v>24</v>
      </c>
      <c r="B612" t="n">
        <v>12</v>
      </c>
      <c r="C612">
        <f>IFERROR(INDEX(資格取込!$S$6:$S$405,MATCH(24&amp;"_"&amp;6,資格取込!$Z$6:$Z$405,0)),"")</f>
        <v/>
      </c>
      <c r="D612">
        <f>IFERROR(INDEX(資格取込!$R$6:$R$405,MATCH(24&amp;"_"&amp;6,資格取込!$Z$6:$Z$405,0)),"")</f>
        <v/>
      </c>
      <c r="E612">
        <f>IF(D612="","",IFERROR(INDEX(資格マスタ!$B:$B,MATCH(ASC(SUBSTITUTE(SUBSTITUTE(D612," ",""),"　","")),資格マスタ!$D:$D,0)),D612))</f>
        <v/>
      </c>
      <c r="F612">
        <f>IF(E612="","",IF(C612="",DATE(9999,1,1),C612))</f>
        <v/>
      </c>
      <c r="G612">
        <f>IF(E612="","",COUNTIFS($F$601:$F$626,"&lt;"&amp;F612,$F$601:$F$626,"&lt;&gt;")+COUNTIFS($F$601:$F$626,F612,$B$601:$B$626,"&lt;"&amp;B612)+1)</f>
        <v/>
      </c>
      <c r="H612">
        <f>IF(OR(E612="",C612=""),"",IF(C612&gt;=DATE(2019,5,1),"令和"&amp;(YEAR(C612)-2018),IF(C612&gt;=DATE(1989,1,8),"平成"&amp;(YEAR(C612)-1988),"昭和"&amp;(YEAR(C612)-1925)))&amp;"年"&amp;MONTH(C612)&amp;"月")</f>
        <v/>
      </c>
    </row>
    <row r="613">
      <c r="A613" t="n">
        <v>24</v>
      </c>
      <c r="B613" t="n">
        <v>13</v>
      </c>
      <c r="C613">
        <f>IFERROR(INDEX(資格取込!$S$6:$S$405,MATCH(24&amp;"_"&amp;7,資格取込!$Z$6:$Z$405,0)),"")</f>
        <v/>
      </c>
      <c r="D613">
        <f>IFERROR(INDEX(資格取込!$R$6:$R$405,MATCH(24&amp;"_"&amp;7,資格取込!$Z$6:$Z$405,0)),"")</f>
        <v/>
      </c>
      <c r="E613">
        <f>IF(D613="","",IFERROR(INDEX(資格マスタ!$B:$B,MATCH(ASC(SUBSTITUTE(SUBSTITUTE(D613," ",""),"　","")),資格マスタ!$D:$D,0)),D613))</f>
        <v/>
      </c>
      <c r="F613">
        <f>IF(E613="","",IF(C613="",DATE(9999,1,1),C613))</f>
        <v/>
      </c>
      <c r="G613">
        <f>IF(E613="","",COUNTIFS($F$601:$F$626,"&lt;"&amp;F613,$F$601:$F$626,"&lt;&gt;")+COUNTIFS($F$601:$F$626,F613,$B$601:$B$626,"&lt;"&amp;B613)+1)</f>
        <v/>
      </c>
      <c r="H613">
        <f>IF(OR(E613="",C613=""),"",IF(C613&gt;=DATE(2019,5,1),"令和"&amp;(YEAR(C613)-2018),IF(C613&gt;=DATE(1989,1,8),"平成"&amp;(YEAR(C613)-1988),"昭和"&amp;(YEAR(C613)-1925)))&amp;"年"&amp;MONTH(C613)&amp;"月")</f>
        <v/>
      </c>
    </row>
    <row r="614">
      <c r="A614" t="n">
        <v>24</v>
      </c>
      <c r="B614" t="n">
        <v>14</v>
      </c>
      <c r="C614">
        <f>IFERROR(INDEX(資格取込!$S$6:$S$405,MATCH(24&amp;"_"&amp;8,資格取込!$Z$6:$Z$405,0)),"")</f>
        <v/>
      </c>
      <c r="D614">
        <f>IFERROR(INDEX(資格取込!$R$6:$R$405,MATCH(24&amp;"_"&amp;8,資格取込!$Z$6:$Z$405,0)),"")</f>
        <v/>
      </c>
      <c r="E614">
        <f>IF(D614="","",IFERROR(INDEX(資格マスタ!$B:$B,MATCH(ASC(SUBSTITUTE(SUBSTITUTE(D614," ",""),"　","")),資格マスタ!$D:$D,0)),D614))</f>
        <v/>
      </c>
      <c r="F614">
        <f>IF(E614="","",IF(C614="",DATE(9999,1,1),C614))</f>
        <v/>
      </c>
      <c r="G614">
        <f>IF(E614="","",COUNTIFS($F$601:$F$626,"&lt;"&amp;F614,$F$601:$F$626,"&lt;&gt;")+COUNTIFS($F$601:$F$626,F614,$B$601:$B$626,"&lt;"&amp;B614)+1)</f>
        <v/>
      </c>
      <c r="H614">
        <f>IF(OR(E614="",C614=""),"",IF(C614&gt;=DATE(2019,5,1),"令和"&amp;(YEAR(C614)-2018),IF(C614&gt;=DATE(1989,1,8),"平成"&amp;(YEAR(C614)-1988),"昭和"&amp;(YEAR(C614)-1925)))&amp;"年"&amp;MONTH(C614)&amp;"月")</f>
        <v/>
      </c>
    </row>
    <row r="615">
      <c r="A615" t="n">
        <v>24</v>
      </c>
      <c r="B615" t="n">
        <v>15</v>
      </c>
      <c r="C615">
        <f>IFERROR(INDEX(資格取込!$S$6:$S$405,MATCH(24&amp;"_"&amp;9,資格取込!$Z$6:$Z$405,0)),"")</f>
        <v/>
      </c>
      <c r="D615">
        <f>IFERROR(INDEX(資格取込!$R$6:$R$405,MATCH(24&amp;"_"&amp;9,資格取込!$Z$6:$Z$405,0)),"")</f>
        <v/>
      </c>
      <c r="E615">
        <f>IF(D615="","",IFERROR(INDEX(資格マスタ!$B:$B,MATCH(ASC(SUBSTITUTE(SUBSTITUTE(D615," ",""),"　","")),資格マスタ!$D:$D,0)),D615))</f>
        <v/>
      </c>
      <c r="F615">
        <f>IF(E615="","",IF(C615="",DATE(9999,1,1),C615))</f>
        <v/>
      </c>
      <c r="G615">
        <f>IF(E615="","",COUNTIFS($F$601:$F$626,"&lt;"&amp;F615,$F$601:$F$626,"&lt;&gt;")+COUNTIFS($F$601:$F$626,F615,$B$601:$B$626,"&lt;"&amp;B615)+1)</f>
        <v/>
      </c>
      <c r="H615">
        <f>IF(OR(E615="",C615=""),"",IF(C615&gt;=DATE(2019,5,1),"令和"&amp;(YEAR(C615)-2018),IF(C615&gt;=DATE(1989,1,8),"平成"&amp;(YEAR(C615)-1988),"昭和"&amp;(YEAR(C615)-1925)))&amp;"年"&amp;MONTH(C615)&amp;"月")</f>
        <v/>
      </c>
    </row>
    <row r="616">
      <c r="A616" t="n">
        <v>24</v>
      </c>
      <c r="B616" t="n">
        <v>16</v>
      </c>
      <c r="C616">
        <f>IFERROR(INDEX(資格取込!$S$6:$S$405,MATCH(24&amp;"_"&amp;10,資格取込!$Z$6:$Z$405,0)),"")</f>
        <v/>
      </c>
      <c r="D616">
        <f>IFERROR(INDEX(資格取込!$R$6:$R$405,MATCH(24&amp;"_"&amp;10,資格取込!$Z$6:$Z$405,0)),"")</f>
        <v/>
      </c>
      <c r="E616">
        <f>IF(D616="","",IFERROR(INDEX(資格マスタ!$B:$B,MATCH(ASC(SUBSTITUTE(SUBSTITUTE(D616," ",""),"　","")),資格マスタ!$D:$D,0)),D616))</f>
        <v/>
      </c>
      <c r="F616">
        <f>IF(E616="","",IF(C616="",DATE(9999,1,1),C616))</f>
        <v/>
      </c>
      <c r="G616">
        <f>IF(E616="","",COUNTIFS($F$601:$F$626,"&lt;"&amp;F616,$F$601:$F$626,"&lt;&gt;")+COUNTIFS($F$601:$F$626,F616,$B$601:$B$626,"&lt;"&amp;B616)+1)</f>
        <v/>
      </c>
      <c r="H616">
        <f>IF(OR(E616="",C616=""),"",IF(C616&gt;=DATE(2019,5,1),"令和"&amp;(YEAR(C616)-2018),IF(C616&gt;=DATE(1989,1,8),"平成"&amp;(YEAR(C616)-1988),"昭和"&amp;(YEAR(C616)-1925)))&amp;"年"&amp;MONTH(C616)&amp;"月")</f>
        <v/>
      </c>
    </row>
    <row r="617">
      <c r="A617" t="n">
        <v>24</v>
      </c>
      <c r="B617" t="n">
        <v>17</v>
      </c>
      <c r="C617">
        <f>IFERROR(INDEX(資格取込!$S$6:$S$405,MATCH(24&amp;"_"&amp;11,資格取込!$Z$6:$Z$405,0)),"")</f>
        <v/>
      </c>
      <c r="D617">
        <f>IFERROR(INDEX(資格取込!$R$6:$R$405,MATCH(24&amp;"_"&amp;11,資格取込!$Z$6:$Z$405,0)),"")</f>
        <v/>
      </c>
      <c r="E617">
        <f>IF(D617="","",IFERROR(INDEX(資格マスタ!$B:$B,MATCH(ASC(SUBSTITUTE(SUBSTITUTE(D617," ",""),"　","")),資格マスタ!$D:$D,0)),D617))</f>
        <v/>
      </c>
      <c r="F617">
        <f>IF(E617="","",IF(C617="",DATE(9999,1,1),C617))</f>
        <v/>
      </c>
      <c r="G617">
        <f>IF(E617="","",COUNTIFS($F$601:$F$626,"&lt;"&amp;F617,$F$601:$F$626,"&lt;&gt;")+COUNTIFS($F$601:$F$626,F617,$B$601:$B$626,"&lt;"&amp;B617)+1)</f>
        <v/>
      </c>
      <c r="H617">
        <f>IF(OR(E617="",C617=""),"",IF(C617&gt;=DATE(2019,5,1),"令和"&amp;(YEAR(C617)-2018),IF(C617&gt;=DATE(1989,1,8),"平成"&amp;(YEAR(C617)-1988),"昭和"&amp;(YEAR(C617)-1925)))&amp;"年"&amp;MONTH(C617)&amp;"月")</f>
        <v/>
      </c>
    </row>
    <row r="618">
      <c r="A618" t="n">
        <v>24</v>
      </c>
      <c r="B618" t="n">
        <v>18</v>
      </c>
      <c r="C618">
        <f>IFERROR(INDEX(資格取込!$S$6:$S$405,MATCH(24&amp;"_"&amp;12,資格取込!$Z$6:$Z$405,0)),"")</f>
        <v/>
      </c>
      <c r="D618">
        <f>IFERROR(INDEX(資格取込!$R$6:$R$405,MATCH(24&amp;"_"&amp;12,資格取込!$Z$6:$Z$405,0)),"")</f>
        <v/>
      </c>
      <c r="E618">
        <f>IF(D618="","",IFERROR(INDEX(資格マスタ!$B:$B,MATCH(ASC(SUBSTITUTE(SUBSTITUTE(D618," ",""),"　","")),資格マスタ!$D:$D,0)),D618))</f>
        <v/>
      </c>
      <c r="F618">
        <f>IF(E618="","",IF(C618="",DATE(9999,1,1),C618))</f>
        <v/>
      </c>
      <c r="G618">
        <f>IF(E618="","",COUNTIFS($F$601:$F$626,"&lt;"&amp;F618,$F$601:$F$626,"&lt;&gt;")+COUNTIFS($F$601:$F$626,F618,$B$601:$B$626,"&lt;"&amp;B618)+1)</f>
        <v/>
      </c>
      <c r="H618">
        <f>IF(OR(E618="",C618=""),"",IF(C618&gt;=DATE(2019,5,1),"令和"&amp;(YEAR(C618)-2018),IF(C618&gt;=DATE(1989,1,8),"平成"&amp;(YEAR(C618)-1988),"昭和"&amp;(YEAR(C618)-1925)))&amp;"年"&amp;MONTH(C618)&amp;"月")</f>
        <v/>
      </c>
    </row>
    <row r="619">
      <c r="A619" t="n">
        <v>24</v>
      </c>
      <c r="B619" t="n">
        <v>19</v>
      </c>
      <c r="C619">
        <f>IFERROR(INDEX(資格取込!$S$6:$S$405,MATCH(24&amp;"_"&amp;13,資格取込!$Z$6:$Z$405,0)),"")</f>
        <v/>
      </c>
      <c r="D619">
        <f>IFERROR(INDEX(資格取込!$R$6:$R$405,MATCH(24&amp;"_"&amp;13,資格取込!$Z$6:$Z$405,0)),"")</f>
        <v/>
      </c>
      <c r="E619">
        <f>IF(D619="","",IFERROR(INDEX(資格マスタ!$B:$B,MATCH(ASC(SUBSTITUTE(SUBSTITUTE(D619," ",""),"　","")),資格マスタ!$D:$D,0)),D619))</f>
        <v/>
      </c>
      <c r="F619">
        <f>IF(E619="","",IF(C619="",DATE(9999,1,1),C619))</f>
        <v/>
      </c>
      <c r="G619">
        <f>IF(E619="","",COUNTIFS($F$601:$F$626,"&lt;"&amp;F619,$F$601:$F$626,"&lt;&gt;")+COUNTIFS($F$601:$F$626,F619,$B$601:$B$626,"&lt;"&amp;B619)+1)</f>
        <v/>
      </c>
      <c r="H619">
        <f>IF(OR(E619="",C619=""),"",IF(C619&gt;=DATE(2019,5,1),"令和"&amp;(YEAR(C619)-2018),IF(C619&gt;=DATE(1989,1,8),"平成"&amp;(YEAR(C619)-1988),"昭和"&amp;(YEAR(C619)-1925)))&amp;"年"&amp;MONTH(C619)&amp;"月")</f>
        <v/>
      </c>
    </row>
    <row r="620">
      <c r="A620" t="n">
        <v>24</v>
      </c>
      <c r="B620" t="n">
        <v>20</v>
      </c>
      <c r="C620">
        <f>IFERROR(INDEX(資格取込!$S$6:$S$405,MATCH(24&amp;"_"&amp;14,資格取込!$Z$6:$Z$405,0)),"")</f>
        <v/>
      </c>
      <c r="D620">
        <f>IFERROR(INDEX(資格取込!$R$6:$R$405,MATCH(24&amp;"_"&amp;14,資格取込!$Z$6:$Z$405,0)),"")</f>
        <v/>
      </c>
      <c r="E620">
        <f>IF(D620="","",IFERROR(INDEX(資格マスタ!$B:$B,MATCH(ASC(SUBSTITUTE(SUBSTITUTE(D620," ",""),"　","")),資格マスタ!$D:$D,0)),D620))</f>
        <v/>
      </c>
      <c r="F620">
        <f>IF(E620="","",IF(C620="",DATE(9999,1,1),C620))</f>
        <v/>
      </c>
      <c r="G620">
        <f>IF(E620="","",COUNTIFS($F$601:$F$626,"&lt;"&amp;F620,$F$601:$F$626,"&lt;&gt;")+COUNTIFS($F$601:$F$626,F620,$B$601:$B$626,"&lt;"&amp;B620)+1)</f>
        <v/>
      </c>
      <c r="H620">
        <f>IF(OR(E620="",C620=""),"",IF(C620&gt;=DATE(2019,5,1),"令和"&amp;(YEAR(C620)-2018),IF(C620&gt;=DATE(1989,1,8),"平成"&amp;(YEAR(C620)-1988),"昭和"&amp;(YEAR(C620)-1925)))&amp;"年"&amp;MONTH(C620)&amp;"月")</f>
        <v/>
      </c>
    </row>
    <row r="621">
      <c r="A621" t="n">
        <v>24</v>
      </c>
      <c r="B621" t="n">
        <v>21</v>
      </c>
      <c r="C621">
        <f>IFERROR(INDEX(資格取込!$S$6:$S$405,MATCH(24&amp;"_"&amp;15,資格取込!$Z$6:$Z$405,0)),"")</f>
        <v/>
      </c>
      <c r="D621">
        <f>IFERROR(INDEX(資格取込!$R$6:$R$405,MATCH(24&amp;"_"&amp;15,資格取込!$Z$6:$Z$405,0)),"")</f>
        <v/>
      </c>
      <c r="E621">
        <f>IF(D621="","",IFERROR(INDEX(資格マスタ!$B:$B,MATCH(ASC(SUBSTITUTE(SUBSTITUTE(D621," ",""),"　","")),資格マスタ!$D:$D,0)),D621))</f>
        <v/>
      </c>
      <c r="F621">
        <f>IF(E621="","",IF(C621="",DATE(9999,1,1),C621))</f>
        <v/>
      </c>
      <c r="G621">
        <f>IF(E621="","",COUNTIFS($F$601:$F$626,"&lt;"&amp;F621,$F$601:$F$626,"&lt;&gt;")+COUNTIFS($F$601:$F$626,F621,$B$601:$B$626,"&lt;"&amp;B621)+1)</f>
        <v/>
      </c>
      <c r="H621">
        <f>IF(OR(E621="",C621=""),"",IF(C621&gt;=DATE(2019,5,1),"令和"&amp;(YEAR(C621)-2018),IF(C621&gt;=DATE(1989,1,8),"平成"&amp;(YEAR(C621)-1988),"昭和"&amp;(YEAR(C621)-1925)))&amp;"年"&amp;MONTH(C621)&amp;"月")</f>
        <v/>
      </c>
    </row>
    <row r="622">
      <c r="A622" t="n">
        <v>24</v>
      </c>
      <c r="B622" t="n">
        <v>22</v>
      </c>
      <c r="C622">
        <f>IFERROR(INDEX(資格取込!$S$6:$S$405,MATCH(24&amp;"_"&amp;16,資格取込!$Z$6:$Z$405,0)),"")</f>
        <v/>
      </c>
      <c r="D622">
        <f>IFERROR(INDEX(資格取込!$R$6:$R$405,MATCH(24&amp;"_"&amp;16,資格取込!$Z$6:$Z$405,0)),"")</f>
        <v/>
      </c>
      <c r="E622">
        <f>IF(D622="","",IFERROR(INDEX(資格マスタ!$B:$B,MATCH(ASC(SUBSTITUTE(SUBSTITUTE(D622," ",""),"　","")),資格マスタ!$D:$D,0)),D622))</f>
        <v/>
      </c>
      <c r="F622">
        <f>IF(E622="","",IF(C622="",DATE(9999,1,1),C622))</f>
        <v/>
      </c>
      <c r="G622">
        <f>IF(E622="","",COUNTIFS($F$601:$F$626,"&lt;"&amp;F622,$F$601:$F$626,"&lt;&gt;")+COUNTIFS($F$601:$F$626,F622,$B$601:$B$626,"&lt;"&amp;B622)+1)</f>
        <v/>
      </c>
      <c r="H622">
        <f>IF(OR(E622="",C622=""),"",IF(C622&gt;=DATE(2019,5,1),"令和"&amp;(YEAR(C622)-2018),IF(C622&gt;=DATE(1989,1,8),"平成"&amp;(YEAR(C622)-1988),"昭和"&amp;(YEAR(C622)-1925)))&amp;"年"&amp;MONTH(C622)&amp;"月")</f>
        <v/>
      </c>
    </row>
    <row r="623">
      <c r="A623" t="n">
        <v>24</v>
      </c>
      <c r="B623" t="n">
        <v>23</v>
      </c>
      <c r="C623">
        <f>IFERROR(INDEX(資格取込!$S$6:$S$405,MATCH(24&amp;"_"&amp;17,資格取込!$Z$6:$Z$405,0)),"")</f>
        <v/>
      </c>
      <c r="D623">
        <f>IFERROR(INDEX(資格取込!$R$6:$R$405,MATCH(24&amp;"_"&amp;17,資格取込!$Z$6:$Z$405,0)),"")</f>
        <v/>
      </c>
      <c r="E623">
        <f>IF(D623="","",IFERROR(INDEX(資格マスタ!$B:$B,MATCH(ASC(SUBSTITUTE(SUBSTITUTE(D623," ",""),"　","")),資格マスタ!$D:$D,0)),D623))</f>
        <v/>
      </c>
      <c r="F623">
        <f>IF(E623="","",IF(C623="",DATE(9999,1,1),C623))</f>
        <v/>
      </c>
      <c r="G623">
        <f>IF(E623="","",COUNTIFS($F$601:$F$626,"&lt;"&amp;F623,$F$601:$F$626,"&lt;&gt;")+COUNTIFS($F$601:$F$626,F623,$B$601:$B$626,"&lt;"&amp;B623)+1)</f>
        <v/>
      </c>
      <c r="H623">
        <f>IF(OR(E623="",C623=""),"",IF(C623&gt;=DATE(2019,5,1),"令和"&amp;(YEAR(C623)-2018),IF(C623&gt;=DATE(1989,1,8),"平成"&amp;(YEAR(C623)-1988),"昭和"&amp;(YEAR(C623)-1925)))&amp;"年"&amp;MONTH(C623)&amp;"月")</f>
        <v/>
      </c>
    </row>
    <row r="624">
      <c r="A624" t="n">
        <v>24</v>
      </c>
      <c r="B624" t="n">
        <v>24</v>
      </c>
      <c r="C624">
        <f>IFERROR(INDEX(資格取込!$S$6:$S$405,MATCH(24&amp;"_"&amp;18,資格取込!$Z$6:$Z$405,0)),"")</f>
        <v/>
      </c>
      <c r="D624">
        <f>IFERROR(INDEX(資格取込!$R$6:$R$405,MATCH(24&amp;"_"&amp;18,資格取込!$Z$6:$Z$405,0)),"")</f>
        <v/>
      </c>
      <c r="E624">
        <f>IF(D624="","",IFERROR(INDEX(資格マスタ!$B:$B,MATCH(ASC(SUBSTITUTE(SUBSTITUTE(D624," ",""),"　","")),資格マスタ!$D:$D,0)),D624))</f>
        <v/>
      </c>
      <c r="F624">
        <f>IF(E624="","",IF(C624="",DATE(9999,1,1),C624))</f>
        <v/>
      </c>
      <c r="G624">
        <f>IF(E624="","",COUNTIFS($F$601:$F$626,"&lt;"&amp;F624,$F$601:$F$626,"&lt;&gt;")+COUNTIFS($F$601:$F$626,F624,$B$601:$B$626,"&lt;"&amp;B624)+1)</f>
        <v/>
      </c>
      <c r="H624">
        <f>IF(OR(E624="",C624=""),"",IF(C624&gt;=DATE(2019,5,1),"令和"&amp;(YEAR(C624)-2018),IF(C624&gt;=DATE(1989,1,8),"平成"&amp;(YEAR(C624)-1988),"昭和"&amp;(YEAR(C624)-1925)))&amp;"年"&amp;MONTH(C624)&amp;"月")</f>
        <v/>
      </c>
    </row>
    <row r="625">
      <c r="A625" t="n">
        <v>24</v>
      </c>
      <c r="B625" t="n">
        <v>25</v>
      </c>
      <c r="C625">
        <f>IFERROR(INDEX(資格取込!$S$6:$S$405,MATCH(24&amp;"_"&amp;19,資格取込!$Z$6:$Z$405,0)),"")</f>
        <v/>
      </c>
      <c r="D625">
        <f>IFERROR(INDEX(資格取込!$R$6:$R$405,MATCH(24&amp;"_"&amp;19,資格取込!$Z$6:$Z$405,0)),"")</f>
        <v/>
      </c>
      <c r="E625">
        <f>IF(D625="","",IFERROR(INDEX(資格マスタ!$B:$B,MATCH(ASC(SUBSTITUTE(SUBSTITUTE(D625," ",""),"　","")),資格マスタ!$D:$D,0)),D625))</f>
        <v/>
      </c>
      <c r="F625">
        <f>IF(E625="","",IF(C625="",DATE(9999,1,1),C625))</f>
        <v/>
      </c>
      <c r="G625">
        <f>IF(E625="","",COUNTIFS($F$601:$F$626,"&lt;"&amp;F625,$F$601:$F$626,"&lt;&gt;")+COUNTIFS($F$601:$F$626,F625,$B$601:$B$626,"&lt;"&amp;B625)+1)</f>
        <v/>
      </c>
      <c r="H625">
        <f>IF(OR(E625="",C625=""),"",IF(C625&gt;=DATE(2019,5,1),"令和"&amp;(YEAR(C625)-2018),IF(C625&gt;=DATE(1989,1,8),"平成"&amp;(YEAR(C625)-1988),"昭和"&amp;(YEAR(C625)-1925)))&amp;"年"&amp;MONTH(C625)&amp;"月")</f>
        <v/>
      </c>
    </row>
    <row r="626">
      <c r="A626" t="n">
        <v>24</v>
      </c>
      <c r="B626" t="n">
        <v>26</v>
      </c>
      <c r="C626">
        <f>IFERROR(INDEX(資格取込!$S$6:$S$405,MATCH(24&amp;"_"&amp;20,資格取込!$Z$6:$Z$405,0)),"")</f>
        <v/>
      </c>
      <c r="D626">
        <f>IFERROR(INDEX(資格取込!$R$6:$R$405,MATCH(24&amp;"_"&amp;20,資格取込!$Z$6:$Z$405,0)),"")</f>
        <v/>
      </c>
      <c r="E626">
        <f>IF(D626="","",IFERROR(INDEX(資格マスタ!$B:$B,MATCH(ASC(SUBSTITUTE(SUBSTITUTE(D626," ",""),"　","")),資格マスタ!$D:$D,0)),D626))</f>
        <v/>
      </c>
      <c r="F626">
        <f>IF(E626="","",IF(C626="",DATE(9999,1,1),C626))</f>
        <v/>
      </c>
      <c r="G626">
        <f>IF(E626="","",COUNTIFS($F$601:$F$626,"&lt;"&amp;F626,$F$601:$F$626,"&lt;&gt;")+COUNTIFS($F$601:$F$626,F626,$B$601:$B$626,"&lt;"&amp;B626)+1)</f>
        <v/>
      </c>
      <c r="H626">
        <f>IF(OR(E626="",C626=""),"",IF(C626&gt;=DATE(2019,5,1),"令和"&amp;(YEAR(C626)-2018),IF(C626&gt;=DATE(1989,1,8),"平成"&amp;(YEAR(C626)-1988),"昭和"&amp;(YEAR(C626)-1925)))&amp;"年"&amp;MONTH(C626)&amp;"月")</f>
        <v/>
      </c>
    </row>
    <row r="627">
      <c r="A627" t="n">
        <v>25</v>
      </c>
      <c r="B627" t="n">
        <v>1</v>
      </c>
      <c r="C627"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627">
        <f>IF(入力!N29="","",入力!N29)</f>
        <v/>
      </c>
      <c r="E627">
        <f>IF(D627="","",IFERROR(INDEX(資格マスタ!$B:$B,MATCH(ASC(SUBSTITUTE(SUBSTITUTE(D627," ",""),"　","")),資格マスタ!$D:$D,0)),D627))</f>
        <v/>
      </c>
      <c r="F627">
        <f>IF(E627="","",IF(C627="",DATE(9999,1,1),C627))</f>
        <v/>
      </c>
      <c r="G627">
        <f>IF(E627="","",COUNTIFS($F$627:$F$652,"&lt;"&amp;F627,$F$627:$F$652,"&lt;&gt;")+COUNTIFS($F$627:$F$652,F627,$B$627:$B$652,"&lt;"&amp;B627)+1)</f>
        <v/>
      </c>
      <c r="H627">
        <f>IF(OR(E627="",C627=""),"",IF(C627&gt;=DATE(2019,5,1),"令和"&amp;(YEAR(C627)-2018),IF(C627&gt;=DATE(1989,1,8),"平成"&amp;(YEAR(C627)-1988),"昭和"&amp;(YEAR(C627)-1925)))&amp;"年"&amp;MONTH(C627)&amp;"月")</f>
        <v/>
      </c>
    </row>
    <row r="628">
      <c r="A628" t="n">
        <v>25</v>
      </c>
      <c r="B628" t="n">
        <v>2</v>
      </c>
      <c r="C628">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628">
        <f>IF(入力!P29="","",入力!P29)</f>
        <v/>
      </c>
      <c r="E628">
        <f>IF(D628="","",IFERROR(INDEX(資格マスタ!$B:$B,MATCH(ASC(SUBSTITUTE(SUBSTITUTE(D628," ",""),"　","")),資格マスタ!$D:$D,0)),D628))</f>
        <v/>
      </c>
      <c r="F628">
        <f>IF(E628="","",IF(C628="",DATE(9999,1,1),C628))</f>
        <v/>
      </c>
      <c r="G628">
        <f>IF(E628="","",COUNTIFS($F$627:$F$652,"&lt;"&amp;F628,$F$627:$F$652,"&lt;&gt;")+COUNTIFS($F$627:$F$652,F628,$B$627:$B$652,"&lt;"&amp;B628)+1)</f>
        <v/>
      </c>
      <c r="H628">
        <f>IF(OR(E628="",C628=""),"",IF(C628&gt;=DATE(2019,5,1),"令和"&amp;(YEAR(C628)-2018),IF(C628&gt;=DATE(1989,1,8),"平成"&amp;(YEAR(C628)-1988),"昭和"&amp;(YEAR(C628)-1925)))&amp;"年"&amp;MONTH(C628)&amp;"月")</f>
        <v/>
      </c>
    </row>
    <row r="629">
      <c r="A629" t="n">
        <v>25</v>
      </c>
      <c r="B629" t="n">
        <v>3</v>
      </c>
      <c r="C629">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629">
        <f>IF(入力!R29="","",入力!R29)</f>
        <v/>
      </c>
      <c r="E629">
        <f>IF(D629="","",IFERROR(INDEX(資格マスタ!$B:$B,MATCH(ASC(SUBSTITUTE(SUBSTITUTE(D629," ",""),"　","")),資格マスタ!$D:$D,0)),D629))</f>
        <v/>
      </c>
      <c r="F629">
        <f>IF(E629="","",IF(C629="",DATE(9999,1,1),C629))</f>
        <v/>
      </c>
      <c r="G629">
        <f>IF(E629="","",COUNTIFS($F$627:$F$652,"&lt;"&amp;F629,$F$627:$F$652,"&lt;&gt;")+COUNTIFS($F$627:$F$652,F629,$B$627:$B$652,"&lt;"&amp;B629)+1)</f>
        <v/>
      </c>
      <c r="H629">
        <f>IF(OR(E629="",C629=""),"",IF(C629&gt;=DATE(2019,5,1),"令和"&amp;(YEAR(C629)-2018),IF(C629&gt;=DATE(1989,1,8),"平成"&amp;(YEAR(C629)-1988),"昭和"&amp;(YEAR(C629)-1925)))&amp;"年"&amp;MONTH(C629)&amp;"月")</f>
        <v/>
      </c>
    </row>
    <row r="630">
      <c r="A630" t="n">
        <v>25</v>
      </c>
      <c r="B630" t="n">
        <v>4</v>
      </c>
      <c r="C630">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630">
        <f>IF(入力!T29="","",入力!T29)</f>
        <v/>
      </c>
      <c r="E630">
        <f>IF(D630="","",IFERROR(INDEX(資格マスタ!$B:$B,MATCH(ASC(SUBSTITUTE(SUBSTITUTE(D630," ",""),"　","")),資格マスタ!$D:$D,0)),D630))</f>
        <v/>
      </c>
      <c r="F630">
        <f>IF(E630="","",IF(C630="",DATE(9999,1,1),C630))</f>
        <v/>
      </c>
      <c r="G630">
        <f>IF(E630="","",COUNTIFS($F$627:$F$652,"&lt;"&amp;F630,$F$627:$F$652,"&lt;&gt;")+COUNTIFS($F$627:$F$652,F630,$B$627:$B$652,"&lt;"&amp;B630)+1)</f>
        <v/>
      </c>
      <c r="H630">
        <f>IF(OR(E630="",C630=""),"",IF(C630&gt;=DATE(2019,5,1),"令和"&amp;(YEAR(C630)-2018),IF(C630&gt;=DATE(1989,1,8),"平成"&amp;(YEAR(C630)-1988),"昭和"&amp;(YEAR(C630)-1925)))&amp;"年"&amp;MONTH(C630)&amp;"月")</f>
        <v/>
      </c>
    </row>
    <row r="631">
      <c r="A631" t="n">
        <v>25</v>
      </c>
      <c r="B631" t="n">
        <v>5</v>
      </c>
      <c r="C631">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631">
        <f>IF(入力!V29="","",入力!V29)</f>
        <v/>
      </c>
      <c r="E631">
        <f>IF(D631="","",IFERROR(INDEX(資格マスタ!$B:$B,MATCH(ASC(SUBSTITUTE(SUBSTITUTE(D631," ",""),"　","")),資格マスタ!$D:$D,0)),D631))</f>
        <v/>
      </c>
      <c r="F631">
        <f>IF(E631="","",IF(C631="",DATE(9999,1,1),C631))</f>
        <v/>
      </c>
      <c r="G631">
        <f>IF(E631="","",COUNTIFS($F$627:$F$652,"&lt;"&amp;F631,$F$627:$F$652,"&lt;&gt;")+COUNTIFS($F$627:$F$652,F631,$B$627:$B$652,"&lt;"&amp;B631)+1)</f>
        <v/>
      </c>
      <c r="H631">
        <f>IF(OR(E631="",C631=""),"",IF(C631&gt;=DATE(2019,5,1),"令和"&amp;(YEAR(C631)-2018),IF(C631&gt;=DATE(1989,1,8),"平成"&amp;(YEAR(C631)-1988),"昭和"&amp;(YEAR(C631)-1925)))&amp;"年"&amp;MONTH(C631)&amp;"月")</f>
        <v/>
      </c>
    </row>
    <row r="632">
      <c r="A632" t="n">
        <v>25</v>
      </c>
      <c r="B632" t="n">
        <v>6</v>
      </c>
      <c r="C632">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632">
        <f>IF(入力!X29="","",入力!X29)</f>
        <v/>
      </c>
      <c r="E632">
        <f>IF(D632="","",IFERROR(INDEX(資格マスタ!$B:$B,MATCH(ASC(SUBSTITUTE(SUBSTITUTE(D632," ",""),"　","")),資格マスタ!$D:$D,0)),D632))</f>
        <v/>
      </c>
      <c r="F632">
        <f>IF(E632="","",IF(C632="",DATE(9999,1,1),C632))</f>
        <v/>
      </c>
      <c r="G632">
        <f>IF(E632="","",COUNTIFS($F$627:$F$652,"&lt;"&amp;F632,$F$627:$F$652,"&lt;&gt;")+COUNTIFS($F$627:$F$652,F632,$B$627:$B$652,"&lt;"&amp;B632)+1)</f>
        <v/>
      </c>
      <c r="H632">
        <f>IF(OR(E632="",C632=""),"",IF(C632&gt;=DATE(2019,5,1),"令和"&amp;(YEAR(C632)-2018),IF(C632&gt;=DATE(1989,1,8),"平成"&amp;(YEAR(C632)-1988),"昭和"&amp;(YEAR(C632)-1925)))&amp;"年"&amp;MONTH(C632)&amp;"月")</f>
        <v/>
      </c>
    </row>
    <row r="633">
      <c r="A633" t="n">
        <v>25</v>
      </c>
      <c r="B633" t="n">
        <v>7</v>
      </c>
      <c r="C633">
        <f>IFERROR(INDEX(資格取込!$S$6:$S$405,MATCH(25&amp;"_"&amp;1,資格取込!$Z$6:$Z$405,0)),"")</f>
        <v/>
      </c>
      <c r="D633">
        <f>IFERROR(INDEX(資格取込!$R$6:$R$405,MATCH(25&amp;"_"&amp;1,資格取込!$Z$6:$Z$405,0)),"")</f>
        <v/>
      </c>
      <c r="E633">
        <f>IF(D633="","",IFERROR(INDEX(資格マスタ!$B:$B,MATCH(ASC(SUBSTITUTE(SUBSTITUTE(D633," ",""),"　","")),資格マスタ!$D:$D,0)),D633))</f>
        <v/>
      </c>
      <c r="F633">
        <f>IF(E633="","",IF(C633="",DATE(9999,1,1),C633))</f>
        <v/>
      </c>
      <c r="G633">
        <f>IF(E633="","",COUNTIFS($F$627:$F$652,"&lt;"&amp;F633,$F$627:$F$652,"&lt;&gt;")+COUNTIFS($F$627:$F$652,F633,$B$627:$B$652,"&lt;"&amp;B633)+1)</f>
        <v/>
      </c>
      <c r="H633">
        <f>IF(OR(E633="",C633=""),"",IF(C633&gt;=DATE(2019,5,1),"令和"&amp;(YEAR(C633)-2018),IF(C633&gt;=DATE(1989,1,8),"平成"&amp;(YEAR(C633)-1988),"昭和"&amp;(YEAR(C633)-1925)))&amp;"年"&amp;MONTH(C633)&amp;"月")</f>
        <v/>
      </c>
    </row>
    <row r="634">
      <c r="A634" t="n">
        <v>25</v>
      </c>
      <c r="B634" t="n">
        <v>8</v>
      </c>
      <c r="C634">
        <f>IFERROR(INDEX(資格取込!$S$6:$S$405,MATCH(25&amp;"_"&amp;2,資格取込!$Z$6:$Z$405,0)),"")</f>
        <v/>
      </c>
      <c r="D634">
        <f>IFERROR(INDEX(資格取込!$R$6:$R$405,MATCH(25&amp;"_"&amp;2,資格取込!$Z$6:$Z$405,0)),"")</f>
        <v/>
      </c>
      <c r="E634">
        <f>IF(D634="","",IFERROR(INDEX(資格マスタ!$B:$B,MATCH(ASC(SUBSTITUTE(SUBSTITUTE(D634," ",""),"　","")),資格マスタ!$D:$D,0)),D634))</f>
        <v/>
      </c>
      <c r="F634">
        <f>IF(E634="","",IF(C634="",DATE(9999,1,1),C634))</f>
        <v/>
      </c>
      <c r="G634">
        <f>IF(E634="","",COUNTIFS($F$627:$F$652,"&lt;"&amp;F634,$F$627:$F$652,"&lt;&gt;")+COUNTIFS($F$627:$F$652,F634,$B$627:$B$652,"&lt;"&amp;B634)+1)</f>
        <v/>
      </c>
      <c r="H634">
        <f>IF(OR(E634="",C634=""),"",IF(C634&gt;=DATE(2019,5,1),"令和"&amp;(YEAR(C634)-2018),IF(C634&gt;=DATE(1989,1,8),"平成"&amp;(YEAR(C634)-1988),"昭和"&amp;(YEAR(C634)-1925)))&amp;"年"&amp;MONTH(C634)&amp;"月")</f>
        <v/>
      </c>
    </row>
    <row r="635">
      <c r="A635" t="n">
        <v>25</v>
      </c>
      <c r="B635" t="n">
        <v>9</v>
      </c>
      <c r="C635">
        <f>IFERROR(INDEX(資格取込!$S$6:$S$405,MATCH(25&amp;"_"&amp;3,資格取込!$Z$6:$Z$405,0)),"")</f>
        <v/>
      </c>
      <c r="D635">
        <f>IFERROR(INDEX(資格取込!$R$6:$R$405,MATCH(25&amp;"_"&amp;3,資格取込!$Z$6:$Z$405,0)),"")</f>
        <v/>
      </c>
      <c r="E635">
        <f>IF(D635="","",IFERROR(INDEX(資格マスタ!$B:$B,MATCH(ASC(SUBSTITUTE(SUBSTITUTE(D635," ",""),"　","")),資格マスタ!$D:$D,0)),D635))</f>
        <v/>
      </c>
      <c r="F635">
        <f>IF(E635="","",IF(C635="",DATE(9999,1,1),C635))</f>
        <v/>
      </c>
      <c r="G635">
        <f>IF(E635="","",COUNTIFS($F$627:$F$652,"&lt;"&amp;F635,$F$627:$F$652,"&lt;&gt;")+COUNTIFS($F$627:$F$652,F635,$B$627:$B$652,"&lt;"&amp;B635)+1)</f>
        <v/>
      </c>
      <c r="H635">
        <f>IF(OR(E635="",C635=""),"",IF(C635&gt;=DATE(2019,5,1),"令和"&amp;(YEAR(C635)-2018),IF(C635&gt;=DATE(1989,1,8),"平成"&amp;(YEAR(C635)-1988),"昭和"&amp;(YEAR(C635)-1925)))&amp;"年"&amp;MONTH(C635)&amp;"月")</f>
        <v/>
      </c>
    </row>
    <row r="636">
      <c r="A636" t="n">
        <v>25</v>
      </c>
      <c r="B636" t="n">
        <v>10</v>
      </c>
      <c r="C636">
        <f>IFERROR(INDEX(資格取込!$S$6:$S$405,MATCH(25&amp;"_"&amp;4,資格取込!$Z$6:$Z$405,0)),"")</f>
        <v/>
      </c>
      <c r="D636">
        <f>IFERROR(INDEX(資格取込!$R$6:$R$405,MATCH(25&amp;"_"&amp;4,資格取込!$Z$6:$Z$405,0)),"")</f>
        <v/>
      </c>
      <c r="E636">
        <f>IF(D636="","",IFERROR(INDEX(資格マスタ!$B:$B,MATCH(ASC(SUBSTITUTE(SUBSTITUTE(D636," ",""),"　","")),資格マスタ!$D:$D,0)),D636))</f>
        <v/>
      </c>
      <c r="F636">
        <f>IF(E636="","",IF(C636="",DATE(9999,1,1),C636))</f>
        <v/>
      </c>
      <c r="G636">
        <f>IF(E636="","",COUNTIFS($F$627:$F$652,"&lt;"&amp;F636,$F$627:$F$652,"&lt;&gt;")+COUNTIFS($F$627:$F$652,F636,$B$627:$B$652,"&lt;"&amp;B636)+1)</f>
        <v/>
      </c>
      <c r="H636">
        <f>IF(OR(E636="",C636=""),"",IF(C636&gt;=DATE(2019,5,1),"令和"&amp;(YEAR(C636)-2018),IF(C636&gt;=DATE(1989,1,8),"平成"&amp;(YEAR(C636)-1988),"昭和"&amp;(YEAR(C636)-1925)))&amp;"年"&amp;MONTH(C636)&amp;"月")</f>
        <v/>
      </c>
    </row>
    <row r="637">
      <c r="A637" t="n">
        <v>25</v>
      </c>
      <c r="B637" t="n">
        <v>11</v>
      </c>
      <c r="C637">
        <f>IFERROR(INDEX(資格取込!$S$6:$S$405,MATCH(25&amp;"_"&amp;5,資格取込!$Z$6:$Z$405,0)),"")</f>
        <v/>
      </c>
      <c r="D637">
        <f>IFERROR(INDEX(資格取込!$R$6:$R$405,MATCH(25&amp;"_"&amp;5,資格取込!$Z$6:$Z$405,0)),"")</f>
        <v/>
      </c>
      <c r="E637">
        <f>IF(D637="","",IFERROR(INDEX(資格マスタ!$B:$B,MATCH(ASC(SUBSTITUTE(SUBSTITUTE(D637," ",""),"　","")),資格マスタ!$D:$D,0)),D637))</f>
        <v/>
      </c>
      <c r="F637">
        <f>IF(E637="","",IF(C637="",DATE(9999,1,1),C637))</f>
        <v/>
      </c>
      <c r="G637">
        <f>IF(E637="","",COUNTIFS($F$627:$F$652,"&lt;"&amp;F637,$F$627:$F$652,"&lt;&gt;")+COUNTIFS($F$627:$F$652,F637,$B$627:$B$652,"&lt;"&amp;B637)+1)</f>
        <v/>
      </c>
      <c r="H637">
        <f>IF(OR(E637="",C637=""),"",IF(C637&gt;=DATE(2019,5,1),"令和"&amp;(YEAR(C637)-2018),IF(C637&gt;=DATE(1989,1,8),"平成"&amp;(YEAR(C637)-1988),"昭和"&amp;(YEAR(C637)-1925)))&amp;"年"&amp;MONTH(C637)&amp;"月")</f>
        <v/>
      </c>
    </row>
    <row r="638">
      <c r="A638" t="n">
        <v>25</v>
      </c>
      <c r="B638" t="n">
        <v>12</v>
      </c>
      <c r="C638">
        <f>IFERROR(INDEX(資格取込!$S$6:$S$405,MATCH(25&amp;"_"&amp;6,資格取込!$Z$6:$Z$405,0)),"")</f>
        <v/>
      </c>
      <c r="D638">
        <f>IFERROR(INDEX(資格取込!$R$6:$R$405,MATCH(25&amp;"_"&amp;6,資格取込!$Z$6:$Z$405,0)),"")</f>
        <v/>
      </c>
      <c r="E638">
        <f>IF(D638="","",IFERROR(INDEX(資格マスタ!$B:$B,MATCH(ASC(SUBSTITUTE(SUBSTITUTE(D638," ",""),"　","")),資格マスタ!$D:$D,0)),D638))</f>
        <v/>
      </c>
      <c r="F638">
        <f>IF(E638="","",IF(C638="",DATE(9999,1,1),C638))</f>
        <v/>
      </c>
      <c r="G638">
        <f>IF(E638="","",COUNTIFS($F$627:$F$652,"&lt;"&amp;F638,$F$627:$F$652,"&lt;&gt;")+COUNTIFS($F$627:$F$652,F638,$B$627:$B$652,"&lt;"&amp;B638)+1)</f>
        <v/>
      </c>
      <c r="H638">
        <f>IF(OR(E638="",C638=""),"",IF(C638&gt;=DATE(2019,5,1),"令和"&amp;(YEAR(C638)-2018),IF(C638&gt;=DATE(1989,1,8),"平成"&amp;(YEAR(C638)-1988),"昭和"&amp;(YEAR(C638)-1925)))&amp;"年"&amp;MONTH(C638)&amp;"月")</f>
        <v/>
      </c>
    </row>
    <row r="639">
      <c r="A639" t="n">
        <v>25</v>
      </c>
      <c r="B639" t="n">
        <v>13</v>
      </c>
      <c r="C639">
        <f>IFERROR(INDEX(資格取込!$S$6:$S$405,MATCH(25&amp;"_"&amp;7,資格取込!$Z$6:$Z$405,0)),"")</f>
        <v/>
      </c>
      <c r="D639">
        <f>IFERROR(INDEX(資格取込!$R$6:$R$405,MATCH(25&amp;"_"&amp;7,資格取込!$Z$6:$Z$405,0)),"")</f>
        <v/>
      </c>
      <c r="E639">
        <f>IF(D639="","",IFERROR(INDEX(資格マスタ!$B:$B,MATCH(ASC(SUBSTITUTE(SUBSTITUTE(D639," ",""),"　","")),資格マスタ!$D:$D,0)),D639))</f>
        <v/>
      </c>
      <c r="F639">
        <f>IF(E639="","",IF(C639="",DATE(9999,1,1),C639))</f>
        <v/>
      </c>
      <c r="G639">
        <f>IF(E639="","",COUNTIFS($F$627:$F$652,"&lt;"&amp;F639,$F$627:$F$652,"&lt;&gt;")+COUNTIFS($F$627:$F$652,F639,$B$627:$B$652,"&lt;"&amp;B639)+1)</f>
        <v/>
      </c>
      <c r="H639">
        <f>IF(OR(E639="",C639=""),"",IF(C639&gt;=DATE(2019,5,1),"令和"&amp;(YEAR(C639)-2018),IF(C639&gt;=DATE(1989,1,8),"平成"&amp;(YEAR(C639)-1988),"昭和"&amp;(YEAR(C639)-1925)))&amp;"年"&amp;MONTH(C639)&amp;"月")</f>
        <v/>
      </c>
    </row>
    <row r="640">
      <c r="A640" t="n">
        <v>25</v>
      </c>
      <c r="B640" t="n">
        <v>14</v>
      </c>
      <c r="C640">
        <f>IFERROR(INDEX(資格取込!$S$6:$S$405,MATCH(25&amp;"_"&amp;8,資格取込!$Z$6:$Z$405,0)),"")</f>
        <v/>
      </c>
      <c r="D640">
        <f>IFERROR(INDEX(資格取込!$R$6:$R$405,MATCH(25&amp;"_"&amp;8,資格取込!$Z$6:$Z$405,0)),"")</f>
        <v/>
      </c>
      <c r="E640">
        <f>IF(D640="","",IFERROR(INDEX(資格マスタ!$B:$B,MATCH(ASC(SUBSTITUTE(SUBSTITUTE(D640," ",""),"　","")),資格マスタ!$D:$D,0)),D640))</f>
        <v/>
      </c>
      <c r="F640">
        <f>IF(E640="","",IF(C640="",DATE(9999,1,1),C640))</f>
        <v/>
      </c>
      <c r="G640">
        <f>IF(E640="","",COUNTIFS($F$627:$F$652,"&lt;"&amp;F640,$F$627:$F$652,"&lt;&gt;")+COUNTIFS($F$627:$F$652,F640,$B$627:$B$652,"&lt;"&amp;B640)+1)</f>
        <v/>
      </c>
      <c r="H640">
        <f>IF(OR(E640="",C640=""),"",IF(C640&gt;=DATE(2019,5,1),"令和"&amp;(YEAR(C640)-2018),IF(C640&gt;=DATE(1989,1,8),"平成"&amp;(YEAR(C640)-1988),"昭和"&amp;(YEAR(C640)-1925)))&amp;"年"&amp;MONTH(C640)&amp;"月")</f>
        <v/>
      </c>
    </row>
    <row r="641">
      <c r="A641" t="n">
        <v>25</v>
      </c>
      <c r="B641" t="n">
        <v>15</v>
      </c>
      <c r="C641">
        <f>IFERROR(INDEX(資格取込!$S$6:$S$405,MATCH(25&amp;"_"&amp;9,資格取込!$Z$6:$Z$405,0)),"")</f>
        <v/>
      </c>
      <c r="D641">
        <f>IFERROR(INDEX(資格取込!$R$6:$R$405,MATCH(25&amp;"_"&amp;9,資格取込!$Z$6:$Z$405,0)),"")</f>
        <v/>
      </c>
      <c r="E641">
        <f>IF(D641="","",IFERROR(INDEX(資格マスタ!$B:$B,MATCH(ASC(SUBSTITUTE(SUBSTITUTE(D641," ",""),"　","")),資格マスタ!$D:$D,0)),D641))</f>
        <v/>
      </c>
      <c r="F641">
        <f>IF(E641="","",IF(C641="",DATE(9999,1,1),C641))</f>
        <v/>
      </c>
      <c r="G641">
        <f>IF(E641="","",COUNTIFS($F$627:$F$652,"&lt;"&amp;F641,$F$627:$F$652,"&lt;&gt;")+COUNTIFS($F$627:$F$652,F641,$B$627:$B$652,"&lt;"&amp;B641)+1)</f>
        <v/>
      </c>
      <c r="H641">
        <f>IF(OR(E641="",C641=""),"",IF(C641&gt;=DATE(2019,5,1),"令和"&amp;(YEAR(C641)-2018),IF(C641&gt;=DATE(1989,1,8),"平成"&amp;(YEAR(C641)-1988),"昭和"&amp;(YEAR(C641)-1925)))&amp;"年"&amp;MONTH(C641)&amp;"月")</f>
        <v/>
      </c>
    </row>
    <row r="642">
      <c r="A642" t="n">
        <v>25</v>
      </c>
      <c r="B642" t="n">
        <v>16</v>
      </c>
      <c r="C642">
        <f>IFERROR(INDEX(資格取込!$S$6:$S$405,MATCH(25&amp;"_"&amp;10,資格取込!$Z$6:$Z$405,0)),"")</f>
        <v/>
      </c>
      <c r="D642">
        <f>IFERROR(INDEX(資格取込!$R$6:$R$405,MATCH(25&amp;"_"&amp;10,資格取込!$Z$6:$Z$405,0)),"")</f>
        <v/>
      </c>
      <c r="E642">
        <f>IF(D642="","",IFERROR(INDEX(資格マスタ!$B:$B,MATCH(ASC(SUBSTITUTE(SUBSTITUTE(D642," ",""),"　","")),資格マスタ!$D:$D,0)),D642))</f>
        <v/>
      </c>
      <c r="F642">
        <f>IF(E642="","",IF(C642="",DATE(9999,1,1),C642))</f>
        <v/>
      </c>
      <c r="G642">
        <f>IF(E642="","",COUNTIFS($F$627:$F$652,"&lt;"&amp;F642,$F$627:$F$652,"&lt;&gt;")+COUNTIFS($F$627:$F$652,F642,$B$627:$B$652,"&lt;"&amp;B642)+1)</f>
        <v/>
      </c>
      <c r="H642">
        <f>IF(OR(E642="",C642=""),"",IF(C642&gt;=DATE(2019,5,1),"令和"&amp;(YEAR(C642)-2018),IF(C642&gt;=DATE(1989,1,8),"平成"&amp;(YEAR(C642)-1988),"昭和"&amp;(YEAR(C642)-1925)))&amp;"年"&amp;MONTH(C642)&amp;"月")</f>
        <v/>
      </c>
    </row>
    <row r="643">
      <c r="A643" t="n">
        <v>25</v>
      </c>
      <c r="B643" t="n">
        <v>17</v>
      </c>
      <c r="C643">
        <f>IFERROR(INDEX(資格取込!$S$6:$S$405,MATCH(25&amp;"_"&amp;11,資格取込!$Z$6:$Z$405,0)),"")</f>
        <v/>
      </c>
      <c r="D643">
        <f>IFERROR(INDEX(資格取込!$R$6:$R$405,MATCH(25&amp;"_"&amp;11,資格取込!$Z$6:$Z$405,0)),"")</f>
        <v/>
      </c>
      <c r="E643">
        <f>IF(D643="","",IFERROR(INDEX(資格マスタ!$B:$B,MATCH(ASC(SUBSTITUTE(SUBSTITUTE(D643," ",""),"　","")),資格マスタ!$D:$D,0)),D643))</f>
        <v/>
      </c>
      <c r="F643">
        <f>IF(E643="","",IF(C643="",DATE(9999,1,1),C643))</f>
        <v/>
      </c>
      <c r="G643">
        <f>IF(E643="","",COUNTIFS($F$627:$F$652,"&lt;"&amp;F643,$F$627:$F$652,"&lt;&gt;")+COUNTIFS($F$627:$F$652,F643,$B$627:$B$652,"&lt;"&amp;B643)+1)</f>
        <v/>
      </c>
      <c r="H643">
        <f>IF(OR(E643="",C643=""),"",IF(C643&gt;=DATE(2019,5,1),"令和"&amp;(YEAR(C643)-2018),IF(C643&gt;=DATE(1989,1,8),"平成"&amp;(YEAR(C643)-1988),"昭和"&amp;(YEAR(C643)-1925)))&amp;"年"&amp;MONTH(C643)&amp;"月")</f>
        <v/>
      </c>
    </row>
    <row r="644">
      <c r="A644" t="n">
        <v>25</v>
      </c>
      <c r="B644" t="n">
        <v>18</v>
      </c>
      <c r="C644">
        <f>IFERROR(INDEX(資格取込!$S$6:$S$405,MATCH(25&amp;"_"&amp;12,資格取込!$Z$6:$Z$405,0)),"")</f>
        <v/>
      </c>
      <c r="D644">
        <f>IFERROR(INDEX(資格取込!$R$6:$R$405,MATCH(25&amp;"_"&amp;12,資格取込!$Z$6:$Z$405,0)),"")</f>
        <v/>
      </c>
      <c r="E644">
        <f>IF(D644="","",IFERROR(INDEX(資格マスタ!$B:$B,MATCH(ASC(SUBSTITUTE(SUBSTITUTE(D644," ",""),"　","")),資格マスタ!$D:$D,0)),D644))</f>
        <v/>
      </c>
      <c r="F644">
        <f>IF(E644="","",IF(C644="",DATE(9999,1,1),C644))</f>
        <v/>
      </c>
      <c r="G644">
        <f>IF(E644="","",COUNTIFS($F$627:$F$652,"&lt;"&amp;F644,$F$627:$F$652,"&lt;&gt;")+COUNTIFS($F$627:$F$652,F644,$B$627:$B$652,"&lt;"&amp;B644)+1)</f>
        <v/>
      </c>
      <c r="H644">
        <f>IF(OR(E644="",C644=""),"",IF(C644&gt;=DATE(2019,5,1),"令和"&amp;(YEAR(C644)-2018),IF(C644&gt;=DATE(1989,1,8),"平成"&amp;(YEAR(C644)-1988),"昭和"&amp;(YEAR(C644)-1925)))&amp;"年"&amp;MONTH(C644)&amp;"月")</f>
        <v/>
      </c>
    </row>
    <row r="645">
      <c r="A645" t="n">
        <v>25</v>
      </c>
      <c r="B645" t="n">
        <v>19</v>
      </c>
      <c r="C645">
        <f>IFERROR(INDEX(資格取込!$S$6:$S$405,MATCH(25&amp;"_"&amp;13,資格取込!$Z$6:$Z$405,0)),"")</f>
        <v/>
      </c>
      <c r="D645">
        <f>IFERROR(INDEX(資格取込!$R$6:$R$405,MATCH(25&amp;"_"&amp;13,資格取込!$Z$6:$Z$405,0)),"")</f>
        <v/>
      </c>
      <c r="E645">
        <f>IF(D645="","",IFERROR(INDEX(資格マスタ!$B:$B,MATCH(ASC(SUBSTITUTE(SUBSTITUTE(D645," ",""),"　","")),資格マスタ!$D:$D,0)),D645))</f>
        <v/>
      </c>
      <c r="F645">
        <f>IF(E645="","",IF(C645="",DATE(9999,1,1),C645))</f>
        <v/>
      </c>
      <c r="G645">
        <f>IF(E645="","",COUNTIFS($F$627:$F$652,"&lt;"&amp;F645,$F$627:$F$652,"&lt;&gt;")+COUNTIFS($F$627:$F$652,F645,$B$627:$B$652,"&lt;"&amp;B645)+1)</f>
        <v/>
      </c>
      <c r="H645">
        <f>IF(OR(E645="",C645=""),"",IF(C645&gt;=DATE(2019,5,1),"令和"&amp;(YEAR(C645)-2018),IF(C645&gt;=DATE(1989,1,8),"平成"&amp;(YEAR(C645)-1988),"昭和"&amp;(YEAR(C645)-1925)))&amp;"年"&amp;MONTH(C645)&amp;"月")</f>
        <v/>
      </c>
    </row>
    <row r="646">
      <c r="A646" t="n">
        <v>25</v>
      </c>
      <c r="B646" t="n">
        <v>20</v>
      </c>
      <c r="C646">
        <f>IFERROR(INDEX(資格取込!$S$6:$S$405,MATCH(25&amp;"_"&amp;14,資格取込!$Z$6:$Z$405,0)),"")</f>
        <v/>
      </c>
      <c r="D646">
        <f>IFERROR(INDEX(資格取込!$R$6:$R$405,MATCH(25&amp;"_"&amp;14,資格取込!$Z$6:$Z$405,0)),"")</f>
        <v/>
      </c>
      <c r="E646">
        <f>IF(D646="","",IFERROR(INDEX(資格マスタ!$B:$B,MATCH(ASC(SUBSTITUTE(SUBSTITUTE(D646," ",""),"　","")),資格マスタ!$D:$D,0)),D646))</f>
        <v/>
      </c>
      <c r="F646">
        <f>IF(E646="","",IF(C646="",DATE(9999,1,1),C646))</f>
        <v/>
      </c>
      <c r="G646">
        <f>IF(E646="","",COUNTIFS($F$627:$F$652,"&lt;"&amp;F646,$F$627:$F$652,"&lt;&gt;")+COUNTIFS($F$627:$F$652,F646,$B$627:$B$652,"&lt;"&amp;B646)+1)</f>
        <v/>
      </c>
      <c r="H646">
        <f>IF(OR(E646="",C646=""),"",IF(C646&gt;=DATE(2019,5,1),"令和"&amp;(YEAR(C646)-2018),IF(C646&gt;=DATE(1989,1,8),"平成"&amp;(YEAR(C646)-1988),"昭和"&amp;(YEAR(C646)-1925)))&amp;"年"&amp;MONTH(C646)&amp;"月")</f>
        <v/>
      </c>
    </row>
    <row r="647">
      <c r="A647" t="n">
        <v>25</v>
      </c>
      <c r="B647" t="n">
        <v>21</v>
      </c>
      <c r="C647">
        <f>IFERROR(INDEX(資格取込!$S$6:$S$405,MATCH(25&amp;"_"&amp;15,資格取込!$Z$6:$Z$405,0)),"")</f>
        <v/>
      </c>
      <c r="D647">
        <f>IFERROR(INDEX(資格取込!$R$6:$R$405,MATCH(25&amp;"_"&amp;15,資格取込!$Z$6:$Z$405,0)),"")</f>
        <v/>
      </c>
      <c r="E647">
        <f>IF(D647="","",IFERROR(INDEX(資格マスタ!$B:$B,MATCH(ASC(SUBSTITUTE(SUBSTITUTE(D647," ",""),"　","")),資格マスタ!$D:$D,0)),D647))</f>
        <v/>
      </c>
      <c r="F647">
        <f>IF(E647="","",IF(C647="",DATE(9999,1,1),C647))</f>
        <v/>
      </c>
      <c r="G647">
        <f>IF(E647="","",COUNTIFS($F$627:$F$652,"&lt;"&amp;F647,$F$627:$F$652,"&lt;&gt;")+COUNTIFS($F$627:$F$652,F647,$B$627:$B$652,"&lt;"&amp;B647)+1)</f>
        <v/>
      </c>
      <c r="H647">
        <f>IF(OR(E647="",C647=""),"",IF(C647&gt;=DATE(2019,5,1),"令和"&amp;(YEAR(C647)-2018),IF(C647&gt;=DATE(1989,1,8),"平成"&amp;(YEAR(C647)-1988),"昭和"&amp;(YEAR(C647)-1925)))&amp;"年"&amp;MONTH(C647)&amp;"月")</f>
        <v/>
      </c>
    </row>
    <row r="648">
      <c r="A648" t="n">
        <v>25</v>
      </c>
      <c r="B648" t="n">
        <v>22</v>
      </c>
      <c r="C648">
        <f>IFERROR(INDEX(資格取込!$S$6:$S$405,MATCH(25&amp;"_"&amp;16,資格取込!$Z$6:$Z$405,0)),"")</f>
        <v/>
      </c>
      <c r="D648">
        <f>IFERROR(INDEX(資格取込!$R$6:$R$405,MATCH(25&amp;"_"&amp;16,資格取込!$Z$6:$Z$405,0)),"")</f>
        <v/>
      </c>
      <c r="E648">
        <f>IF(D648="","",IFERROR(INDEX(資格マスタ!$B:$B,MATCH(ASC(SUBSTITUTE(SUBSTITUTE(D648," ",""),"　","")),資格マスタ!$D:$D,0)),D648))</f>
        <v/>
      </c>
      <c r="F648">
        <f>IF(E648="","",IF(C648="",DATE(9999,1,1),C648))</f>
        <v/>
      </c>
      <c r="G648">
        <f>IF(E648="","",COUNTIFS($F$627:$F$652,"&lt;"&amp;F648,$F$627:$F$652,"&lt;&gt;")+COUNTIFS($F$627:$F$652,F648,$B$627:$B$652,"&lt;"&amp;B648)+1)</f>
        <v/>
      </c>
      <c r="H648">
        <f>IF(OR(E648="",C648=""),"",IF(C648&gt;=DATE(2019,5,1),"令和"&amp;(YEAR(C648)-2018),IF(C648&gt;=DATE(1989,1,8),"平成"&amp;(YEAR(C648)-1988),"昭和"&amp;(YEAR(C648)-1925)))&amp;"年"&amp;MONTH(C648)&amp;"月")</f>
        <v/>
      </c>
    </row>
    <row r="649">
      <c r="A649" t="n">
        <v>25</v>
      </c>
      <c r="B649" t="n">
        <v>23</v>
      </c>
      <c r="C649">
        <f>IFERROR(INDEX(資格取込!$S$6:$S$405,MATCH(25&amp;"_"&amp;17,資格取込!$Z$6:$Z$405,0)),"")</f>
        <v/>
      </c>
      <c r="D649">
        <f>IFERROR(INDEX(資格取込!$R$6:$R$405,MATCH(25&amp;"_"&amp;17,資格取込!$Z$6:$Z$405,0)),"")</f>
        <v/>
      </c>
      <c r="E649">
        <f>IF(D649="","",IFERROR(INDEX(資格マスタ!$B:$B,MATCH(ASC(SUBSTITUTE(SUBSTITUTE(D649," ",""),"　","")),資格マスタ!$D:$D,0)),D649))</f>
        <v/>
      </c>
      <c r="F649">
        <f>IF(E649="","",IF(C649="",DATE(9999,1,1),C649))</f>
        <v/>
      </c>
      <c r="G649">
        <f>IF(E649="","",COUNTIFS($F$627:$F$652,"&lt;"&amp;F649,$F$627:$F$652,"&lt;&gt;")+COUNTIFS($F$627:$F$652,F649,$B$627:$B$652,"&lt;"&amp;B649)+1)</f>
        <v/>
      </c>
      <c r="H649">
        <f>IF(OR(E649="",C649=""),"",IF(C649&gt;=DATE(2019,5,1),"令和"&amp;(YEAR(C649)-2018),IF(C649&gt;=DATE(1989,1,8),"平成"&amp;(YEAR(C649)-1988),"昭和"&amp;(YEAR(C649)-1925)))&amp;"年"&amp;MONTH(C649)&amp;"月")</f>
        <v/>
      </c>
    </row>
    <row r="650">
      <c r="A650" t="n">
        <v>25</v>
      </c>
      <c r="B650" t="n">
        <v>24</v>
      </c>
      <c r="C650">
        <f>IFERROR(INDEX(資格取込!$S$6:$S$405,MATCH(25&amp;"_"&amp;18,資格取込!$Z$6:$Z$405,0)),"")</f>
        <v/>
      </c>
      <c r="D650">
        <f>IFERROR(INDEX(資格取込!$R$6:$R$405,MATCH(25&amp;"_"&amp;18,資格取込!$Z$6:$Z$405,0)),"")</f>
        <v/>
      </c>
      <c r="E650">
        <f>IF(D650="","",IFERROR(INDEX(資格マスタ!$B:$B,MATCH(ASC(SUBSTITUTE(SUBSTITUTE(D650," ",""),"　","")),資格マスタ!$D:$D,0)),D650))</f>
        <v/>
      </c>
      <c r="F650">
        <f>IF(E650="","",IF(C650="",DATE(9999,1,1),C650))</f>
        <v/>
      </c>
      <c r="G650">
        <f>IF(E650="","",COUNTIFS($F$627:$F$652,"&lt;"&amp;F650,$F$627:$F$652,"&lt;&gt;")+COUNTIFS($F$627:$F$652,F650,$B$627:$B$652,"&lt;"&amp;B650)+1)</f>
        <v/>
      </c>
      <c r="H650">
        <f>IF(OR(E650="",C650=""),"",IF(C650&gt;=DATE(2019,5,1),"令和"&amp;(YEAR(C650)-2018),IF(C650&gt;=DATE(1989,1,8),"平成"&amp;(YEAR(C650)-1988),"昭和"&amp;(YEAR(C650)-1925)))&amp;"年"&amp;MONTH(C650)&amp;"月")</f>
        <v/>
      </c>
    </row>
    <row r="651">
      <c r="A651" t="n">
        <v>25</v>
      </c>
      <c r="B651" t="n">
        <v>25</v>
      </c>
      <c r="C651">
        <f>IFERROR(INDEX(資格取込!$S$6:$S$405,MATCH(25&amp;"_"&amp;19,資格取込!$Z$6:$Z$405,0)),"")</f>
        <v/>
      </c>
      <c r="D651">
        <f>IFERROR(INDEX(資格取込!$R$6:$R$405,MATCH(25&amp;"_"&amp;19,資格取込!$Z$6:$Z$405,0)),"")</f>
        <v/>
      </c>
      <c r="E651">
        <f>IF(D651="","",IFERROR(INDEX(資格マスタ!$B:$B,MATCH(ASC(SUBSTITUTE(SUBSTITUTE(D651," ",""),"　","")),資格マスタ!$D:$D,0)),D651))</f>
        <v/>
      </c>
      <c r="F651">
        <f>IF(E651="","",IF(C651="",DATE(9999,1,1),C651))</f>
        <v/>
      </c>
      <c r="G651">
        <f>IF(E651="","",COUNTIFS($F$627:$F$652,"&lt;"&amp;F651,$F$627:$F$652,"&lt;&gt;")+COUNTIFS($F$627:$F$652,F651,$B$627:$B$652,"&lt;"&amp;B651)+1)</f>
        <v/>
      </c>
      <c r="H651">
        <f>IF(OR(E651="",C651=""),"",IF(C651&gt;=DATE(2019,5,1),"令和"&amp;(YEAR(C651)-2018),IF(C651&gt;=DATE(1989,1,8),"平成"&amp;(YEAR(C651)-1988),"昭和"&amp;(YEAR(C651)-1925)))&amp;"年"&amp;MONTH(C651)&amp;"月")</f>
        <v/>
      </c>
    </row>
    <row r="652">
      <c r="A652" t="n">
        <v>25</v>
      </c>
      <c r="B652" t="n">
        <v>26</v>
      </c>
      <c r="C652">
        <f>IFERROR(INDEX(資格取込!$S$6:$S$405,MATCH(25&amp;"_"&amp;20,資格取込!$Z$6:$Z$405,0)),"")</f>
        <v/>
      </c>
      <c r="D652">
        <f>IFERROR(INDEX(資格取込!$R$6:$R$405,MATCH(25&amp;"_"&amp;20,資格取込!$Z$6:$Z$405,0)),"")</f>
        <v/>
      </c>
      <c r="E652">
        <f>IF(D652="","",IFERROR(INDEX(資格マスタ!$B:$B,MATCH(ASC(SUBSTITUTE(SUBSTITUTE(D652," ",""),"　","")),資格マスタ!$D:$D,0)),D652))</f>
        <v/>
      </c>
      <c r="F652">
        <f>IF(E652="","",IF(C652="",DATE(9999,1,1),C652))</f>
        <v/>
      </c>
      <c r="G652">
        <f>IF(E652="","",COUNTIFS($F$627:$F$652,"&lt;"&amp;F652,$F$627:$F$652,"&lt;&gt;")+COUNTIFS($F$627:$F$652,F652,$B$627:$B$652,"&lt;"&amp;B652)+1)</f>
        <v/>
      </c>
      <c r="H652">
        <f>IF(OR(E652="",C652=""),"",IF(C652&gt;=DATE(2019,5,1),"令和"&amp;(YEAR(C652)-2018),IF(C652&gt;=DATE(1989,1,8),"平成"&amp;(YEAR(C652)-1988),"昭和"&amp;(YEAR(C652)-1925)))&amp;"年"&amp;MONTH(C652)&amp;"月")</f>
        <v/>
      </c>
    </row>
    <row r="653">
      <c r="A653" t="n">
        <v>26</v>
      </c>
      <c r="B653" t="n">
        <v>1</v>
      </c>
      <c r="C6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653">
        <f>IF(入力!N30="","",入力!N30)</f>
        <v/>
      </c>
      <c r="E653">
        <f>IF(D653="","",IFERROR(INDEX(資格マスタ!$B:$B,MATCH(ASC(SUBSTITUTE(SUBSTITUTE(D653," ",""),"　","")),資格マスタ!$D:$D,0)),D653))</f>
        <v/>
      </c>
      <c r="F653">
        <f>IF(E653="","",IF(C653="",DATE(9999,1,1),C653))</f>
        <v/>
      </c>
      <c r="G653">
        <f>IF(E653="","",COUNTIFS($F$653:$F$678,"&lt;"&amp;F653,$F$653:$F$678,"&lt;&gt;")+COUNTIFS($F$653:$F$678,F653,$B$653:$B$678,"&lt;"&amp;B653)+1)</f>
        <v/>
      </c>
      <c r="H653">
        <f>IF(OR(E653="",C653=""),"",IF(C653&gt;=DATE(2019,5,1),"令和"&amp;(YEAR(C653)-2018),IF(C653&gt;=DATE(1989,1,8),"平成"&amp;(YEAR(C653)-1988),"昭和"&amp;(YEAR(C653)-1925)))&amp;"年"&amp;MONTH(C653)&amp;"月")</f>
        <v/>
      </c>
    </row>
    <row r="654">
      <c r="A654" t="n">
        <v>26</v>
      </c>
      <c r="B654" t="n">
        <v>2</v>
      </c>
      <c r="C6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654">
        <f>IF(入力!P30="","",入力!P30)</f>
        <v/>
      </c>
      <c r="E654">
        <f>IF(D654="","",IFERROR(INDEX(資格マスタ!$B:$B,MATCH(ASC(SUBSTITUTE(SUBSTITUTE(D654," ",""),"　","")),資格マスタ!$D:$D,0)),D654))</f>
        <v/>
      </c>
      <c r="F654">
        <f>IF(E654="","",IF(C654="",DATE(9999,1,1),C654))</f>
        <v/>
      </c>
      <c r="G654">
        <f>IF(E654="","",COUNTIFS($F$653:$F$678,"&lt;"&amp;F654,$F$653:$F$678,"&lt;&gt;")+COUNTIFS($F$653:$F$678,F654,$B$653:$B$678,"&lt;"&amp;B654)+1)</f>
        <v/>
      </c>
      <c r="H654">
        <f>IF(OR(E654="",C654=""),"",IF(C654&gt;=DATE(2019,5,1),"令和"&amp;(YEAR(C654)-2018),IF(C654&gt;=DATE(1989,1,8),"平成"&amp;(YEAR(C654)-1988),"昭和"&amp;(YEAR(C654)-1925)))&amp;"年"&amp;MONTH(C654)&amp;"月")</f>
        <v/>
      </c>
    </row>
    <row r="655">
      <c r="A655" t="n">
        <v>26</v>
      </c>
      <c r="B655" t="n">
        <v>3</v>
      </c>
      <c r="C6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655">
        <f>IF(入力!R30="","",入力!R30)</f>
        <v/>
      </c>
      <c r="E655">
        <f>IF(D655="","",IFERROR(INDEX(資格マスタ!$B:$B,MATCH(ASC(SUBSTITUTE(SUBSTITUTE(D655," ",""),"　","")),資格マスタ!$D:$D,0)),D655))</f>
        <v/>
      </c>
      <c r="F655">
        <f>IF(E655="","",IF(C655="",DATE(9999,1,1),C655))</f>
        <v/>
      </c>
      <c r="G655">
        <f>IF(E655="","",COUNTIFS($F$653:$F$678,"&lt;"&amp;F655,$F$653:$F$678,"&lt;&gt;")+COUNTIFS($F$653:$F$678,F655,$B$653:$B$678,"&lt;"&amp;B655)+1)</f>
        <v/>
      </c>
      <c r="H655">
        <f>IF(OR(E655="",C655=""),"",IF(C655&gt;=DATE(2019,5,1),"令和"&amp;(YEAR(C655)-2018),IF(C655&gt;=DATE(1989,1,8),"平成"&amp;(YEAR(C655)-1988),"昭和"&amp;(YEAR(C655)-1925)))&amp;"年"&amp;MONTH(C655)&amp;"月")</f>
        <v/>
      </c>
    </row>
    <row r="656">
      <c r="A656" t="n">
        <v>26</v>
      </c>
      <c r="B656" t="n">
        <v>4</v>
      </c>
      <c r="C6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656">
        <f>IF(入力!T30="","",入力!T30)</f>
        <v/>
      </c>
      <c r="E656">
        <f>IF(D656="","",IFERROR(INDEX(資格マスタ!$B:$B,MATCH(ASC(SUBSTITUTE(SUBSTITUTE(D656," ",""),"　","")),資格マスタ!$D:$D,0)),D656))</f>
        <v/>
      </c>
      <c r="F656">
        <f>IF(E656="","",IF(C656="",DATE(9999,1,1),C656))</f>
        <v/>
      </c>
      <c r="G656">
        <f>IF(E656="","",COUNTIFS($F$653:$F$678,"&lt;"&amp;F656,$F$653:$F$678,"&lt;&gt;")+COUNTIFS($F$653:$F$678,F656,$B$653:$B$678,"&lt;"&amp;B656)+1)</f>
        <v/>
      </c>
      <c r="H656">
        <f>IF(OR(E656="",C656=""),"",IF(C656&gt;=DATE(2019,5,1),"令和"&amp;(YEAR(C656)-2018),IF(C656&gt;=DATE(1989,1,8),"平成"&amp;(YEAR(C656)-1988),"昭和"&amp;(YEAR(C656)-1925)))&amp;"年"&amp;MONTH(C656)&amp;"月")</f>
        <v/>
      </c>
    </row>
    <row r="657">
      <c r="A657" t="n">
        <v>26</v>
      </c>
      <c r="B657" t="n">
        <v>5</v>
      </c>
      <c r="C6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657">
        <f>IF(入力!V30="","",入力!V30)</f>
        <v/>
      </c>
      <c r="E657">
        <f>IF(D657="","",IFERROR(INDEX(資格マスタ!$B:$B,MATCH(ASC(SUBSTITUTE(SUBSTITUTE(D657," ",""),"　","")),資格マスタ!$D:$D,0)),D657))</f>
        <v/>
      </c>
      <c r="F657">
        <f>IF(E657="","",IF(C657="",DATE(9999,1,1),C657))</f>
        <v/>
      </c>
      <c r="G657">
        <f>IF(E657="","",COUNTIFS($F$653:$F$678,"&lt;"&amp;F657,$F$653:$F$678,"&lt;&gt;")+COUNTIFS($F$653:$F$678,F657,$B$653:$B$678,"&lt;"&amp;B657)+1)</f>
        <v/>
      </c>
      <c r="H657">
        <f>IF(OR(E657="",C657=""),"",IF(C657&gt;=DATE(2019,5,1),"令和"&amp;(YEAR(C657)-2018),IF(C657&gt;=DATE(1989,1,8),"平成"&amp;(YEAR(C657)-1988),"昭和"&amp;(YEAR(C657)-1925)))&amp;"年"&amp;MONTH(C657)&amp;"月")</f>
        <v/>
      </c>
    </row>
    <row r="658">
      <c r="A658" t="n">
        <v>26</v>
      </c>
      <c r="B658" t="n">
        <v>6</v>
      </c>
      <c r="C6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658">
        <f>IF(入力!X30="","",入力!X30)</f>
        <v/>
      </c>
      <c r="E658">
        <f>IF(D658="","",IFERROR(INDEX(資格マスタ!$B:$B,MATCH(ASC(SUBSTITUTE(SUBSTITUTE(D658," ",""),"　","")),資格マスタ!$D:$D,0)),D658))</f>
        <v/>
      </c>
      <c r="F658">
        <f>IF(E658="","",IF(C658="",DATE(9999,1,1),C658))</f>
        <v/>
      </c>
      <c r="G658">
        <f>IF(E658="","",COUNTIFS($F$653:$F$678,"&lt;"&amp;F658,$F$653:$F$678,"&lt;&gt;")+COUNTIFS($F$653:$F$678,F658,$B$653:$B$678,"&lt;"&amp;B658)+1)</f>
        <v/>
      </c>
      <c r="H658">
        <f>IF(OR(E658="",C658=""),"",IF(C658&gt;=DATE(2019,5,1),"令和"&amp;(YEAR(C658)-2018),IF(C658&gt;=DATE(1989,1,8),"平成"&amp;(YEAR(C658)-1988),"昭和"&amp;(YEAR(C658)-1925)))&amp;"年"&amp;MONTH(C658)&amp;"月")</f>
        <v/>
      </c>
    </row>
    <row r="659">
      <c r="A659" t="n">
        <v>26</v>
      </c>
      <c r="B659" t="n">
        <v>7</v>
      </c>
      <c r="C659">
        <f>IFERROR(INDEX(資格取込!$S$6:$S$405,MATCH(26&amp;"_"&amp;1,資格取込!$Z$6:$Z$405,0)),"")</f>
        <v/>
      </c>
      <c r="D659">
        <f>IFERROR(INDEX(資格取込!$R$6:$R$405,MATCH(26&amp;"_"&amp;1,資格取込!$Z$6:$Z$405,0)),"")</f>
        <v/>
      </c>
      <c r="E659">
        <f>IF(D659="","",IFERROR(INDEX(資格マスタ!$B:$B,MATCH(ASC(SUBSTITUTE(SUBSTITUTE(D659," ",""),"　","")),資格マスタ!$D:$D,0)),D659))</f>
        <v/>
      </c>
      <c r="F659">
        <f>IF(E659="","",IF(C659="",DATE(9999,1,1),C659))</f>
        <v/>
      </c>
      <c r="G659">
        <f>IF(E659="","",COUNTIFS($F$653:$F$678,"&lt;"&amp;F659,$F$653:$F$678,"&lt;&gt;")+COUNTIFS($F$653:$F$678,F659,$B$653:$B$678,"&lt;"&amp;B659)+1)</f>
        <v/>
      </c>
      <c r="H659">
        <f>IF(OR(E659="",C659=""),"",IF(C659&gt;=DATE(2019,5,1),"令和"&amp;(YEAR(C659)-2018),IF(C659&gt;=DATE(1989,1,8),"平成"&amp;(YEAR(C659)-1988),"昭和"&amp;(YEAR(C659)-1925)))&amp;"年"&amp;MONTH(C659)&amp;"月")</f>
        <v/>
      </c>
    </row>
    <row r="660">
      <c r="A660" t="n">
        <v>26</v>
      </c>
      <c r="B660" t="n">
        <v>8</v>
      </c>
      <c r="C660">
        <f>IFERROR(INDEX(資格取込!$S$6:$S$405,MATCH(26&amp;"_"&amp;2,資格取込!$Z$6:$Z$405,0)),"")</f>
        <v/>
      </c>
      <c r="D660">
        <f>IFERROR(INDEX(資格取込!$R$6:$R$405,MATCH(26&amp;"_"&amp;2,資格取込!$Z$6:$Z$405,0)),"")</f>
        <v/>
      </c>
      <c r="E660">
        <f>IF(D660="","",IFERROR(INDEX(資格マスタ!$B:$B,MATCH(ASC(SUBSTITUTE(SUBSTITUTE(D660," ",""),"　","")),資格マスタ!$D:$D,0)),D660))</f>
        <v/>
      </c>
      <c r="F660">
        <f>IF(E660="","",IF(C660="",DATE(9999,1,1),C660))</f>
        <v/>
      </c>
      <c r="G660">
        <f>IF(E660="","",COUNTIFS($F$653:$F$678,"&lt;"&amp;F660,$F$653:$F$678,"&lt;&gt;")+COUNTIFS($F$653:$F$678,F660,$B$653:$B$678,"&lt;"&amp;B660)+1)</f>
        <v/>
      </c>
      <c r="H660">
        <f>IF(OR(E660="",C660=""),"",IF(C660&gt;=DATE(2019,5,1),"令和"&amp;(YEAR(C660)-2018),IF(C660&gt;=DATE(1989,1,8),"平成"&amp;(YEAR(C660)-1988),"昭和"&amp;(YEAR(C660)-1925)))&amp;"年"&amp;MONTH(C660)&amp;"月")</f>
        <v/>
      </c>
    </row>
    <row r="661">
      <c r="A661" t="n">
        <v>26</v>
      </c>
      <c r="B661" t="n">
        <v>9</v>
      </c>
      <c r="C661">
        <f>IFERROR(INDEX(資格取込!$S$6:$S$405,MATCH(26&amp;"_"&amp;3,資格取込!$Z$6:$Z$405,0)),"")</f>
        <v/>
      </c>
      <c r="D661">
        <f>IFERROR(INDEX(資格取込!$R$6:$R$405,MATCH(26&amp;"_"&amp;3,資格取込!$Z$6:$Z$405,0)),"")</f>
        <v/>
      </c>
      <c r="E661">
        <f>IF(D661="","",IFERROR(INDEX(資格マスタ!$B:$B,MATCH(ASC(SUBSTITUTE(SUBSTITUTE(D661," ",""),"　","")),資格マスタ!$D:$D,0)),D661))</f>
        <v/>
      </c>
      <c r="F661">
        <f>IF(E661="","",IF(C661="",DATE(9999,1,1),C661))</f>
        <v/>
      </c>
      <c r="G661">
        <f>IF(E661="","",COUNTIFS($F$653:$F$678,"&lt;"&amp;F661,$F$653:$F$678,"&lt;&gt;")+COUNTIFS($F$653:$F$678,F661,$B$653:$B$678,"&lt;"&amp;B661)+1)</f>
        <v/>
      </c>
      <c r="H661">
        <f>IF(OR(E661="",C661=""),"",IF(C661&gt;=DATE(2019,5,1),"令和"&amp;(YEAR(C661)-2018),IF(C661&gt;=DATE(1989,1,8),"平成"&amp;(YEAR(C661)-1988),"昭和"&amp;(YEAR(C661)-1925)))&amp;"年"&amp;MONTH(C661)&amp;"月")</f>
        <v/>
      </c>
    </row>
    <row r="662">
      <c r="A662" t="n">
        <v>26</v>
      </c>
      <c r="B662" t="n">
        <v>10</v>
      </c>
      <c r="C662">
        <f>IFERROR(INDEX(資格取込!$S$6:$S$405,MATCH(26&amp;"_"&amp;4,資格取込!$Z$6:$Z$405,0)),"")</f>
        <v/>
      </c>
      <c r="D662">
        <f>IFERROR(INDEX(資格取込!$R$6:$R$405,MATCH(26&amp;"_"&amp;4,資格取込!$Z$6:$Z$405,0)),"")</f>
        <v/>
      </c>
      <c r="E662">
        <f>IF(D662="","",IFERROR(INDEX(資格マスタ!$B:$B,MATCH(ASC(SUBSTITUTE(SUBSTITUTE(D662," ",""),"　","")),資格マスタ!$D:$D,0)),D662))</f>
        <v/>
      </c>
      <c r="F662">
        <f>IF(E662="","",IF(C662="",DATE(9999,1,1),C662))</f>
        <v/>
      </c>
      <c r="G662">
        <f>IF(E662="","",COUNTIFS($F$653:$F$678,"&lt;"&amp;F662,$F$653:$F$678,"&lt;&gt;")+COUNTIFS($F$653:$F$678,F662,$B$653:$B$678,"&lt;"&amp;B662)+1)</f>
        <v/>
      </c>
      <c r="H662">
        <f>IF(OR(E662="",C662=""),"",IF(C662&gt;=DATE(2019,5,1),"令和"&amp;(YEAR(C662)-2018),IF(C662&gt;=DATE(1989,1,8),"平成"&amp;(YEAR(C662)-1988),"昭和"&amp;(YEAR(C662)-1925)))&amp;"年"&amp;MONTH(C662)&amp;"月")</f>
        <v/>
      </c>
    </row>
    <row r="663">
      <c r="A663" t="n">
        <v>26</v>
      </c>
      <c r="B663" t="n">
        <v>11</v>
      </c>
      <c r="C663">
        <f>IFERROR(INDEX(資格取込!$S$6:$S$405,MATCH(26&amp;"_"&amp;5,資格取込!$Z$6:$Z$405,0)),"")</f>
        <v/>
      </c>
      <c r="D663">
        <f>IFERROR(INDEX(資格取込!$R$6:$R$405,MATCH(26&amp;"_"&amp;5,資格取込!$Z$6:$Z$405,0)),"")</f>
        <v/>
      </c>
      <c r="E663">
        <f>IF(D663="","",IFERROR(INDEX(資格マスタ!$B:$B,MATCH(ASC(SUBSTITUTE(SUBSTITUTE(D663," ",""),"　","")),資格マスタ!$D:$D,0)),D663))</f>
        <v/>
      </c>
      <c r="F663">
        <f>IF(E663="","",IF(C663="",DATE(9999,1,1),C663))</f>
        <v/>
      </c>
      <c r="G663">
        <f>IF(E663="","",COUNTIFS($F$653:$F$678,"&lt;"&amp;F663,$F$653:$F$678,"&lt;&gt;")+COUNTIFS($F$653:$F$678,F663,$B$653:$B$678,"&lt;"&amp;B663)+1)</f>
        <v/>
      </c>
      <c r="H663">
        <f>IF(OR(E663="",C663=""),"",IF(C663&gt;=DATE(2019,5,1),"令和"&amp;(YEAR(C663)-2018),IF(C663&gt;=DATE(1989,1,8),"平成"&amp;(YEAR(C663)-1988),"昭和"&amp;(YEAR(C663)-1925)))&amp;"年"&amp;MONTH(C663)&amp;"月")</f>
        <v/>
      </c>
    </row>
    <row r="664">
      <c r="A664" t="n">
        <v>26</v>
      </c>
      <c r="B664" t="n">
        <v>12</v>
      </c>
      <c r="C664">
        <f>IFERROR(INDEX(資格取込!$S$6:$S$405,MATCH(26&amp;"_"&amp;6,資格取込!$Z$6:$Z$405,0)),"")</f>
        <v/>
      </c>
      <c r="D664">
        <f>IFERROR(INDEX(資格取込!$R$6:$R$405,MATCH(26&amp;"_"&amp;6,資格取込!$Z$6:$Z$405,0)),"")</f>
        <v/>
      </c>
      <c r="E664">
        <f>IF(D664="","",IFERROR(INDEX(資格マスタ!$B:$B,MATCH(ASC(SUBSTITUTE(SUBSTITUTE(D664," ",""),"　","")),資格マスタ!$D:$D,0)),D664))</f>
        <v/>
      </c>
      <c r="F664">
        <f>IF(E664="","",IF(C664="",DATE(9999,1,1),C664))</f>
        <v/>
      </c>
      <c r="G664">
        <f>IF(E664="","",COUNTIFS($F$653:$F$678,"&lt;"&amp;F664,$F$653:$F$678,"&lt;&gt;")+COUNTIFS($F$653:$F$678,F664,$B$653:$B$678,"&lt;"&amp;B664)+1)</f>
        <v/>
      </c>
      <c r="H664">
        <f>IF(OR(E664="",C664=""),"",IF(C664&gt;=DATE(2019,5,1),"令和"&amp;(YEAR(C664)-2018),IF(C664&gt;=DATE(1989,1,8),"平成"&amp;(YEAR(C664)-1988),"昭和"&amp;(YEAR(C664)-1925)))&amp;"年"&amp;MONTH(C664)&amp;"月")</f>
        <v/>
      </c>
    </row>
    <row r="665">
      <c r="A665" t="n">
        <v>26</v>
      </c>
      <c r="B665" t="n">
        <v>13</v>
      </c>
      <c r="C665">
        <f>IFERROR(INDEX(資格取込!$S$6:$S$405,MATCH(26&amp;"_"&amp;7,資格取込!$Z$6:$Z$405,0)),"")</f>
        <v/>
      </c>
      <c r="D665">
        <f>IFERROR(INDEX(資格取込!$R$6:$R$405,MATCH(26&amp;"_"&amp;7,資格取込!$Z$6:$Z$405,0)),"")</f>
        <v/>
      </c>
      <c r="E665">
        <f>IF(D665="","",IFERROR(INDEX(資格マスタ!$B:$B,MATCH(ASC(SUBSTITUTE(SUBSTITUTE(D665," ",""),"　","")),資格マスタ!$D:$D,0)),D665))</f>
        <v/>
      </c>
      <c r="F665">
        <f>IF(E665="","",IF(C665="",DATE(9999,1,1),C665))</f>
        <v/>
      </c>
      <c r="G665">
        <f>IF(E665="","",COUNTIFS($F$653:$F$678,"&lt;"&amp;F665,$F$653:$F$678,"&lt;&gt;")+COUNTIFS($F$653:$F$678,F665,$B$653:$B$678,"&lt;"&amp;B665)+1)</f>
        <v/>
      </c>
      <c r="H665">
        <f>IF(OR(E665="",C665=""),"",IF(C665&gt;=DATE(2019,5,1),"令和"&amp;(YEAR(C665)-2018),IF(C665&gt;=DATE(1989,1,8),"平成"&amp;(YEAR(C665)-1988),"昭和"&amp;(YEAR(C665)-1925)))&amp;"年"&amp;MONTH(C665)&amp;"月")</f>
        <v/>
      </c>
    </row>
    <row r="666">
      <c r="A666" t="n">
        <v>26</v>
      </c>
      <c r="B666" t="n">
        <v>14</v>
      </c>
      <c r="C666">
        <f>IFERROR(INDEX(資格取込!$S$6:$S$405,MATCH(26&amp;"_"&amp;8,資格取込!$Z$6:$Z$405,0)),"")</f>
        <v/>
      </c>
      <c r="D666">
        <f>IFERROR(INDEX(資格取込!$R$6:$R$405,MATCH(26&amp;"_"&amp;8,資格取込!$Z$6:$Z$405,0)),"")</f>
        <v/>
      </c>
      <c r="E666">
        <f>IF(D666="","",IFERROR(INDEX(資格マスタ!$B:$B,MATCH(ASC(SUBSTITUTE(SUBSTITUTE(D666," ",""),"　","")),資格マスタ!$D:$D,0)),D666))</f>
        <v/>
      </c>
      <c r="F666">
        <f>IF(E666="","",IF(C666="",DATE(9999,1,1),C666))</f>
        <v/>
      </c>
      <c r="G666">
        <f>IF(E666="","",COUNTIFS($F$653:$F$678,"&lt;"&amp;F666,$F$653:$F$678,"&lt;&gt;")+COUNTIFS($F$653:$F$678,F666,$B$653:$B$678,"&lt;"&amp;B666)+1)</f>
        <v/>
      </c>
      <c r="H666">
        <f>IF(OR(E666="",C666=""),"",IF(C666&gt;=DATE(2019,5,1),"令和"&amp;(YEAR(C666)-2018),IF(C666&gt;=DATE(1989,1,8),"平成"&amp;(YEAR(C666)-1988),"昭和"&amp;(YEAR(C666)-1925)))&amp;"年"&amp;MONTH(C666)&amp;"月")</f>
        <v/>
      </c>
    </row>
    <row r="667">
      <c r="A667" t="n">
        <v>26</v>
      </c>
      <c r="B667" t="n">
        <v>15</v>
      </c>
      <c r="C667">
        <f>IFERROR(INDEX(資格取込!$S$6:$S$405,MATCH(26&amp;"_"&amp;9,資格取込!$Z$6:$Z$405,0)),"")</f>
        <v/>
      </c>
      <c r="D667">
        <f>IFERROR(INDEX(資格取込!$R$6:$R$405,MATCH(26&amp;"_"&amp;9,資格取込!$Z$6:$Z$405,0)),"")</f>
        <v/>
      </c>
      <c r="E667">
        <f>IF(D667="","",IFERROR(INDEX(資格マスタ!$B:$B,MATCH(ASC(SUBSTITUTE(SUBSTITUTE(D667," ",""),"　","")),資格マスタ!$D:$D,0)),D667))</f>
        <v/>
      </c>
      <c r="F667">
        <f>IF(E667="","",IF(C667="",DATE(9999,1,1),C667))</f>
        <v/>
      </c>
      <c r="G667">
        <f>IF(E667="","",COUNTIFS($F$653:$F$678,"&lt;"&amp;F667,$F$653:$F$678,"&lt;&gt;")+COUNTIFS($F$653:$F$678,F667,$B$653:$B$678,"&lt;"&amp;B667)+1)</f>
        <v/>
      </c>
      <c r="H667">
        <f>IF(OR(E667="",C667=""),"",IF(C667&gt;=DATE(2019,5,1),"令和"&amp;(YEAR(C667)-2018),IF(C667&gt;=DATE(1989,1,8),"平成"&amp;(YEAR(C667)-1988),"昭和"&amp;(YEAR(C667)-1925)))&amp;"年"&amp;MONTH(C667)&amp;"月")</f>
        <v/>
      </c>
    </row>
    <row r="668">
      <c r="A668" t="n">
        <v>26</v>
      </c>
      <c r="B668" t="n">
        <v>16</v>
      </c>
      <c r="C668">
        <f>IFERROR(INDEX(資格取込!$S$6:$S$405,MATCH(26&amp;"_"&amp;10,資格取込!$Z$6:$Z$405,0)),"")</f>
        <v/>
      </c>
      <c r="D668">
        <f>IFERROR(INDEX(資格取込!$R$6:$R$405,MATCH(26&amp;"_"&amp;10,資格取込!$Z$6:$Z$405,0)),"")</f>
        <v/>
      </c>
      <c r="E668">
        <f>IF(D668="","",IFERROR(INDEX(資格マスタ!$B:$B,MATCH(ASC(SUBSTITUTE(SUBSTITUTE(D668," ",""),"　","")),資格マスタ!$D:$D,0)),D668))</f>
        <v/>
      </c>
      <c r="F668">
        <f>IF(E668="","",IF(C668="",DATE(9999,1,1),C668))</f>
        <v/>
      </c>
      <c r="G668">
        <f>IF(E668="","",COUNTIFS($F$653:$F$678,"&lt;"&amp;F668,$F$653:$F$678,"&lt;&gt;")+COUNTIFS($F$653:$F$678,F668,$B$653:$B$678,"&lt;"&amp;B668)+1)</f>
        <v/>
      </c>
      <c r="H668">
        <f>IF(OR(E668="",C668=""),"",IF(C668&gt;=DATE(2019,5,1),"令和"&amp;(YEAR(C668)-2018),IF(C668&gt;=DATE(1989,1,8),"平成"&amp;(YEAR(C668)-1988),"昭和"&amp;(YEAR(C668)-1925)))&amp;"年"&amp;MONTH(C668)&amp;"月")</f>
        <v/>
      </c>
    </row>
    <row r="669">
      <c r="A669" t="n">
        <v>26</v>
      </c>
      <c r="B669" t="n">
        <v>17</v>
      </c>
      <c r="C669">
        <f>IFERROR(INDEX(資格取込!$S$6:$S$405,MATCH(26&amp;"_"&amp;11,資格取込!$Z$6:$Z$405,0)),"")</f>
        <v/>
      </c>
      <c r="D669">
        <f>IFERROR(INDEX(資格取込!$R$6:$R$405,MATCH(26&amp;"_"&amp;11,資格取込!$Z$6:$Z$405,0)),"")</f>
        <v/>
      </c>
      <c r="E669">
        <f>IF(D669="","",IFERROR(INDEX(資格マスタ!$B:$B,MATCH(ASC(SUBSTITUTE(SUBSTITUTE(D669," ",""),"　","")),資格マスタ!$D:$D,0)),D669))</f>
        <v/>
      </c>
      <c r="F669">
        <f>IF(E669="","",IF(C669="",DATE(9999,1,1),C669))</f>
        <v/>
      </c>
      <c r="G669">
        <f>IF(E669="","",COUNTIFS($F$653:$F$678,"&lt;"&amp;F669,$F$653:$F$678,"&lt;&gt;")+COUNTIFS($F$653:$F$678,F669,$B$653:$B$678,"&lt;"&amp;B669)+1)</f>
        <v/>
      </c>
      <c r="H669">
        <f>IF(OR(E669="",C669=""),"",IF(C669&gt;=DATE(2019,5,1),"令和"&amp;(YEAR(C669)-2018),IF(C669&gt;=DATE(1989,1,8),"平成"&amp;(YEAR(C669)-1988),"昭和"&amp;(YEAR(C669)-1925)))&amp;"年"&amp;MONTH(C669)&amp;"月")</f>
        <v/>
      </c>
    </row>
    <row r="670">
      <c r="A670" t="n">
        <v>26</v>
      </c>
      <c r="B670" t="n">
        <v>18</v>
      </c>
      <c r="C670">
        <f>IFERROR(INDEX(資格取込!$S$6:$S$405,MATCH(26&amp;"_"&amp;12,資格取込!$Z$6:$Z$405,0)),"")</f>
        <v/>
      </c>
      <c r="D670">
        <f>IFERROR(INDEX(資格取込!$R$6:$R$405,MATCH(26&amp;"_"&amp;12,資格取込!$Z$6:$Z$405,0)),"")</f>
        <v/>
      </c>
      <c r="E670">
        <f>IF(D670="","",IFERROR(INDEX(資格マスタ!$B:$B,MATCH(ASC(SUBSTITUTE(SUBSTITUTE(D670," ",""),"　","")),資格マスタ!$D:$D,0)),D670))</f>
        <v/>
      </c>
      <c r="F670">
        <f>IF(E670="","",IF(C670="",DATE(9999,1,1),C670))</f>
        <v/>
      </c>
      <c r="G670">
        <f>IF(E670="","",COUNTIFS($F$653:$F$678,"&lt;"&amp;F670,$F$653:$F$678,"&lt;&gt;")+COUNTIFS($F$653:$F$678,F670,$B$653:$B$678,"&lt;"&amp;B670)+1)</f>
        <v/>
      </c>
      <c r="H670">
        <f>IF(OR(E670="",C670=""),"",IF(C670&gt;=DATE(2019,5,1),"令和"&amp;(YEAR(C670)-2018),IF(C670&gt;=DATE(1989,1,8),"平成"&amp;(YEAR(C670)-1988),"昭和"&amp;(YEAR(C670)-1925)))&amp;"年"&amp;MONTH(C670)&amp;"月")</f>
        <v/>
      </c>
    </row>
    <row r="671">
      <c r="A671" t="n">
        <v>26</v>
      </c>
      <c r="B671" t="n">
        <v>19</v>
      </c>
      <c r="C671">
        <f>IFERROR(INDEX(資格取込!$S$6:$S$405,MATCH(26&amp;"_"&amp;13,資格取込!$Z$6:$Z$405,0)),"")</f>
        <v/>
      </c>
      <c r="D671">
        <f>IFERROR(INDEX(資格取込!$R$6:$R$405,MATCH(26&amp;"_"&amp;13,資格取込!$Z$6:$Z$405,0)),"")</f>
        <v/>
      </c>
      <c r="E671">
        <f>IF(D671="","",IFERROR(INDEX(資格マスタ!$B:$B,MATCH(ASC(SUBSTITUTE(SUBSTITUTE(D671," ",""),"　","")),資格マスタ!$D:$D,0)),D671))</f>
        <v/>
      </c>
      <c r="F671">
        <f>IF(E671="","",IF(C671="",DATE(9999,1,1),C671))</f>
        <v/>
      </c>
      <c r="G671">
        <f>IF(E671="","",COUNTIFS($F$653:$F$678,"&lt;"&amp;F671,$F$653:$F$678,"&lt;&gt;")+COUNTIFS($F$653:$F$678,F671,$B$653:$B$678,"&lt;"&amp;B671)+1)</f>
        <v/>
      </c>
      <c r="H671">
        <f>IF(OR(E671="",C671=""),"",IF(C671&gt;=DATE(2019,5,1),"令和"&amp;(YEAR(C671)-2018),IF(C671&gt;=DATE(1989,1,8),"平成"&amp;(YEAR(C671)-1988),"昭和"&amp;(YEAR(C671)-1925)))&amp;"年"&amp;MONTH(C671)&amp;"月")</f>
        <v/>
      </c>
    </row>
    <row r="672">
      <c r="A672" t="n">
        <v>26</v>
      </c>
      <c r="B672" t="n">
        <v>20</v>
      </c>
      <c r="C672">
        <f>IFERROR(INDEX(資格取込!$S$6:$S$405,MATCH(26&amp;"_"&amp;14,資格取込!$Z$6:$Z$405,0)),"")</f>
        <v/>
      </c>
      <c r="D672">
        <f>IFERROR(INDEX(資格取込!$R$6:$R$405,MATCH(26&amp;"_"&amp;14,資格取込!$Z$6:$Z$405,0)),"")</f>
        <v/>
      </c>
      <c r="E672">
        <f>IF(D672="","",IFERROR(INDEX(資格マスタ!$B:$B,MATCH(ASC(SUBSTITUTE(SUBSTITUTE(D672," ",""),"　","")),資格マスタ!$D:$D,0)),D672))</f>
        <v/>
      </c>
      <c r="F672">
        <f>IF(E672="","",IF(C672="",DATE(9999,1,1),C672))</f>
        <v/>
      </c>
      <c r="G672">
        <f>IF(E672="","",COUNTIFS($F$653:$F$678,"&lt;"&amp;F672,$F$653:$F$678,"&lt;&gt;")+COUNTIFS($F$653:$F$678,F672,$B$653:$B$678,"&lt;"&amp;B672)+1)</f>
        <v/>
      </c>
      <c r="H672">
        <f>IF(OR(E672="",C672=""),"",IF(C672&gt;=DATE(2019,5,1),"令和"&amp;(YEAR(C672)-2018),IF(C672&gt;=DATE(1989,1,8),"平成"&amp;(YEAR(C672)-1988),"昭和"&amp;(YEAR(C672)-1925)))&amp;"年"&amp;MONTH(C672)&amp;"月")</f>
        <v/>
      </c>
    </row>
    <row r="673">
      <c r="A673" t="n">
        <v>26</v>
      </c>
      <c r="B673" t="n">
        <v>21</v>
      </c>
      <c r="C673">
        <f>IFERROR(INDEX(資格取込!$S$6:$S$405,MATCH(26&amp;"_"&amp;15,資格取込!$Z$6:$Z$405,0)),"")</f>
        <v/>
      </c>
      <c r="D673">
        <f>IFERROR(INDEX(資格取込!$R$6:$R$405,MATCH(26&amp;"_"&amp;15,資格取込!$Z$6:$Z$405,0)),"")</f>
        <v/>
      </c>
      <c r="E673">
        <f>IF(D673="","",IFERROR(INDEX(資格マスタ!$B:$B,MATCH(ASC(SUBSTITUTE(SUBSTITUTE(D673," ",""),"　","")),資格マスタ!$D:$D,0)),D673))</f>
        <v/>
      </c>
      <c r="F673">
        <f>IF(E673="","",IF(C673="",DATE(9999,1,1),C673))</f>
        <v/>
      </c>
      <c r="G673">
        <f>IF(E673="","",COUNTIFS($F$653:$F$678,"&lt;"&amp;F673,$F$653:$F$678,"&lt;&gt;")+COUNTIFS($F$653:$F$678,F673,$B$653:$B$678,"&lt;"&amp;B673)+1)</f>
        <v/>
      </c>
      <c r="H673">
        <f>IF(OR(E673="",C673=""),"",IF(C673&gt;=DATE(2019,5,1),"令和"&amp;(YEAR(C673)-2018),IF(C673&gt;=DATE(1989,1,8),"平成"&amp;(YEAR(C673)-1988),"昭和"&amp;(YEAR(C673)-1925)))&amp;"年"&amp;MONTH(C673)&amp;"月")</f>
        <v/>
      </c>
    </row>
    <row r="674">
      <c r="A674" t="n">
        <v>26</v>
      </c>
      <c r="B674" t="n">
        <v>22</v>
      </c>
      <c r="C674">
        <f>IFERROR(INDEX(資格取込!$S$6:$S$405,MATCH(26&amp;"_"&amp;16,資格取込!$Z$6:$Z$405,0)),"")</f>
        <v/>
      </c>
      <c r="D674">
        <f>IFERROR(INDEX(資格取込!$R$6:$R$405,MATCH(26&amp;"_"&amp;16,資格取込!$Z$6:$Z$405,0)),"")</f>
        <v/>
      </c>
      <c r="E674">
        <f>IF(D674="","",IFERROR(INDEX(資格マスタ!$B:$B,MATCH(ASC(SUBSTITUTE(SUBSTITUTE(D674," ",""),"　","")),資格マスタ!$D:$D,0)),D674))</f>
        <v/>
      </c>
      <c r="F674">
        <f>IF(E674="","",IF(C674="",DATE(9999,1,1),C674))</f>
        <v/>
      </c>
      <c r="G674">
        <f>IF(E674="","",COUNTIFS($F$653:$F$678,"&lt;"&amp;F674,$F$653:$F$678,"&lt;&gt;")+COUNTIFS($F$653:$F$678,F674,$B$653:$B$678,"&lt;"&amp;B674)+1)</f>
        <v/>
      </c>
      <c r="H674">
        <f>IF(OR(E674="",C674=""),"",IF(C674&gt;=DATE(2019,5,1),"令和"&amp;(YEAR(C674)-2018),IF(C674&gt;=DATE(1989,1,8),"平成"&amp;(YEAR(C674)-1988),"昭和"&amp;(YEAR(C674)-1925)))&amp;"年"&amp;MONTH(C674)&amp;"月")</f>
        <v/>
      </c>
    </row>
    <row r="675">
      <c r="A675" t="n">
        <v>26</v>
      </c>
      <c r="B675" t="n">
        <v>23</v>
      </c>
      <c r="C675">
        <f>IFERROR(INDEX(資格取込!$S$6:$S$405,MATCH(26&amp;"_"&amp;17,資格取込!$Z$6:$Z$405,0)),"")</f>
        <v/>
      </c>
      <c r="D675">
        <f>IFERROR(INDEX(資格取込!$R$6:$R$405,MATCH(26&amp;"_"&amp;17,資格取込!$Z$6:$Z$405,0)),"")</f>
        <v/>
      </c>
      <c r="E675">
        <f>IF(D675="","",IFERROR(INDEX(資格マスタ!$B:$B,MATCH(ASC(SUBSTITUTE(SUBSTITUTE(D675," ",""),"　","")),資格マスタ!$D:$D,0)),D675))</f>
        <v/>
      </c>
      <c r="F675">
        <f>IF(E675="","",IF(C675="",DATE(9999,1,1),C675))</f>
        <v/>
      </c>
      <c r="G675">
        <f>IF(E675="","",COUNTIFS($F$653:$F$678,"&lt;"&amp;F675,$F$653:$F$678,"&lt;&gt;")+COUNTIFS($F$653:$F$678,F675,$B$653:$B$678,"&lt;"&amp;B675)+1)</f>
        <v/>
      </c>
      <c r="H675">
        <f>IF(OR(E675="",C675=""),"",IF(C675&gt;=DATE(2019,5,1),"令和"&amp;(YEAR(C675)-2018),IF(C675&gt;=DATE(1989,1,8),"平成"&amp;(YEAR(C675)-1988),"昭和"&amp;(YEAR(C675)-1925)))&amp;"年"&amp;MONTH(C675)&amp;"月")</f>
        <v/>
      </c>
    </row>
    <row r="676">
      <c r="A676" t="n">
        <v>26</v>
      </c>
      <c r="B676" t="n">
        <v>24</v>
      </c>
      <c r="C676">
        <f>IFERROR(INDEX(資格取込!$S$6:$S$405,MATCH(26&amp;"_"&amp;18,資格取込!$Z$6:$Z$405,0)),"")</f>
        <v/>
      </c>
      <c r="D676">
        <f>IFERROR(INDEX(資格取込!$R$6:$R$405,MATCH(26&amp;"_"&amp;18,資格取込!$Z$6:$Z$405,0)),"")</f>
        <v/>
      </c>
      <c r="E676">
        <f>IF(D676="","",IFERROR(INDEX(資格マスタ!$B:$B,MATCH(ASC(SUBSTITUTE(SUBSTITUTE(D676," ",""),"　","")),資格マスタ!$D:$D,0)),D676))</f>
        <v/>
      </c>
      <c r="F676">
        <f>IF(E676="","",IF(C676="",DATE(9999,1,1),C676))</f>
        <v/>
      </c>
      <c r="G676">
        <f>IF(E676="","",COUNTIFS($F$653:$F$678,"&lt;"&amp;F676,$F$653:$F$678,"&lt;&gt;")+COUNTIFS($F$653:$F$678,F676,$B$653:$B$678,"&lt;"&amp;B676)+1)</f>
        <v/>
      </c>
      <c r="H676">
        <f>IF(OR(E676="",C676=""),"",IF(C676&gt;=DATE(2019,5,1),"令和"&amp;(YEAR(C676)-2018),IF(C676&gt;=DATE(1989,1,8),"平成"&amp;(YEAR(C676)-1988),"昭和"&amp;(YEAR(C676)-1925)))&amp;"年"&amp;MONTH(C676)&amp;"月")</f>
        <v/>
      </c>
    </row>
    <row r="677">
      <c r="A677" t="n">
        <v>26</v>
      </c>
      <c r="B677" t="n">
        <v>25</v>
      </c>
      <c r="C677">
        <f>IFERROR(INDEX(資格取込!$S$6:$S$405,MATCH(26&amp;"_"&amp;19,資格取込!$Z$6:$Z$405,0)),"")</f>
        <v/>
      </c>
      <c r="D677">
        <f>IFERROR(INDEX(資格取込!$R$6:$R$405,MATCH(26&amp;"_"&amp;19,資格取込!$Z$6:$Z$405,0)),"")</f>
        <v/>
      </c>
      <c r="E677">
        <f>IF(D677="","",IFERROR(INDEX(資格マスタ!$B:$B,MATCH(ASC(SUBSTITUTE(SUBSTITUTE(D677," ",""),"　","")),資格マスタ!$D:$D,0)),D677))</f>
        <v/>
      </c>
      <c r="F677">
        <f>IF(E677="","",IF(C677="",DATE(9999,1,1),C677))</f>
        <v/>
      </c>
      <c r="G677">
        <f>IF(E677="","",COUNTIFS($F$653:$F$678,"&lt;"&amp;F677,$F$653:$F$678,"&lt;&gt;")+COUNTIFS($F$653:$F$678,F677,$B$653:$B$678,"&lt;"&amp;B677)+1)</f>
        <v/>
      </c>
      <c r="H677">
        <f>IF(OR(E677="",C677=""),"",IF(C677&gt;=DATE(2019,5,1),"令和"&amp;(YEAR(C677)-2018),IF(C677&gt;=DATE(1989,1,8),"平成"&amp;(YEAR(C677)-1988),"昭和"&amp;(YEAR(C677)-1925)))&amp;"年"&amp;MONTH(C677)&amp;"月")</f>
        <v/>
      </c>
    </row>
    <row r="678">
      <c r="A678" t="n">
        <v>26</v>
      </c>
      <c r="B678" t="n">
        <v>26</v>
      </c>
      <c r="C678">
        <f>IFERROR(INDEX(資格取込!$S$6:$S$405,MATCH(26&amp;"_"&amp;20,資格取込!$Z$6:$Z$405,0)),"")</f>
        <v/>
      </c>
      <c r="D678">
        <f>IFERROR(INDEX(資格取込!$R$6:$R$405,MATCH(26&amp;"_"&amp;20,資格取込!$Z$6:$Z$405,0)),"")</f>
        <v/>
      </c>
      <c r="E678">
        <f>IF(D678="","",IFERROR(INDEX(資格マスタ!$B:$B,MATCH(ASC(SUBSTITUTE(SUBSTITUTE(D678," ",""),"　","")),資格マスタ!$D:$D,0)),D678))</f>
        <v/>
      </c>
      <c r="F678">
        <f>IF(E678="","",IF(C678="",DATE(9999,1,1),C678))</f>
        <v/>
      </c>
      <c r="G678">
        <f>IF(E678="","",COUNTIFS($F$653:$F$678,"&lt;"&amp;F678,$F$653:$F$678,"&lt;&gt;")+COUNTIFS($F$653:$F$678,F678,$B$653:$B$678,"&lt;"&amp;B678)+1)</f>
        <v/>
      </c>
      <c r="H678">
        <f>IF(OR(E678="",C678=""),"",IF(C678&gt;=DATE(2019,5,1),"令和"&amp;(YEAR(C678)-2018),IF(C678&gt;=DATE(1989,1,8),"平成"&amp;(YEAR(C678)-1988),"昭和"&amp;(YEAR(C678)-1925)))&amp;"年"&amp;MONTH(C678)&amp;"月")</f>
        <v/>
      </c>
    </row>
    <row r="679">
      <c r="A679" t="n">
        <v>27</v>
      </c>
      <c r="B679" t="n">
        <v>1</v>
      </c>
      <c r="C679"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679">
        <f>IF(入力!N31="","",入力!N31)</f>
        <v/>
      </c>
      <c r="E679">
        <f>IF(D679="","",IFERROR(INDEX(資格マスタ!$B:$B,MATCH(ASC(SUBSTITUTE(SUBSTITUTE(D679," ",""),"　","")),資格マスタ!$D:$D,0)),D679))</f>
        <v/>
      </c>
      <c r="F679">
        <f>IF(E679="","",IF(C679="",DATE(9999,1,1),C679))</f>
        <v/>
      </c>
      <c r="G679">
        <f>IF(E679="","",COUNTIFS($F$679:$F$704,"&lt;"&amp;F679,$F$679:$F$704,"&lt;&gt;")+COUNTIFS($F$679:$F$704,F679,$B$679:$B$704,"&lt;"&amp;B679)+1)</f>
        <v/>
      </c>
      <c r="H679">
        <f>IF(OR(E679="",C679=""),"",IF(C679&gt;=DATE(2019,5,1),"令和"&amp;(YEAR(C679)-2018),IF(C679&gt;=DATE(1989,1,8),"平成"&amp;(YEAR(C679)-1988),"昭和"&amp;(YEAR(C679)-1925)))&amp;"年"&amp;MONTH(C679)&amp;"月")</f>
        <v/>
      </c>
    </row>
    <row r="680">
      <c r="A680" t="n">
        <v>27</v>
      </c>
      <c r="B680" t="n">
        <v>2</v>
      </c>
      <c r="C680">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680">
        <f>IF(入力!P31="","",入力!P31)</f>
        <v/>
      </c>
      <c r="E680">
        <f>IF(D680="","",IFERROR(INDEX(資格マスタ!$B:$B,MATCH(ASC(SUBSTITUTE(SUBSTITUTE(D680," ",""),"　","")),資格マスタ!$D:$D,0)),D680))</f>
        <v/>
      </c>
      <c r="F680">
        <f>IF(E680="","",IF(C680="",DATE(9999,1,1),C680))</f>
        <v/>
      </c>
      <c r="G680">
        <f>IF(E680="","",COUNTIFS($F$679:$F$704,"&lt;"&amp;F680,$F$679:$F$704,"&lt;&gt;")+COUNTIFS($F$679:$F$704,F680,$B$679:$B$704,"&lt;"&amp;B680)+1)</f>
        <v/>
      </c>
      <c r="H680">
        <f>IF(OR(E680="",C680=""),"",IF(C680&gt;=DATE(2019,5,1),"令和"&amp;(YEAR(C680)-2018),IF(C680&gt;=DATE(1989,1,8),"平成"&amp;(YEAR(C680)-1988),"昭和"&amp;(YEAR(C680)-1925)))&amp;"年"&amp;MONTH(C680)&amp;"月")</f>
        <v/>
      </c>
    </row>
    <row r="681">
      <c r="A681" t="n">
        <v>27</v>
      </c>
      <c r="B681" t="n">
        <v>3</v>
      </c>
      <c r="C681">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681">
        <f>IF(入力!R31="","",入力!R31)</f>
        <v/>
      </c>
      <c r="E681">
        <f>IF(D681="","",IFERROR(INDEX(資格マスタ!$B:$B,MATCH(ASC(SUBSTITUTE(SUBSTITUTE(D681," ",""),"　","")),資格マスタ!$D:$D,0)),D681))</f>
        <v/>
      </c>
      <c r="F681">
        <f>IF(E681="","",IF(C681="",DATE(9999,1,1),C681))</f>
        <v/>
      </c>
      <c r="G681">
        <f>IF(E681="","",COUNTIFS($F$679:$F$704,"&lt;"&amp;F681,$F$679:$F$704,"&lt;&gt;")+COUNTIFS($F$679:$F$704,F681,$B$679:$B$704,"&lt;"&amp;B681)+1)</f>
        <v/>
      </c>
      <c r="H681">
        <f>IF(OR(E681="",C681=""),"",IF(C681&gt;=DATE(2019,5,1),"令和"&amp;(YEAR(C681)-2018),IF(C681&gt;=DATE(1989,1,8),"平成"&amp;(YEAR(C681)-1988),"昭和"&amp;(YEAR(C681)-1925)))&amp;"年"&amp;MONTH(C681)&amp;"月")</f>
        <v/>
      </c>
    </row>
    <row r="682">
      <c r="A682" t="n">
        <v>27</v>
      </c>
      <c r="B682" t="n">
        <v>4</v>
      </c>
      <c r="C682">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682">
        <f>IF(入力!T31="","",入力!T31)</f>
        <v/>
      </c>
      <c r="E682">
        <f>IF(D682="","",IFERROR(INDEX(資格マスタ!$B:$B,MATCH(ASC(SUBSTITUTE(SUBSTITUTE(D682," ",""),"　","")),資格マスタ!$D:$D,0)),D682))</f>
        <v/>
      </c>
      <c r="F682">
        <f>IF(E682="","",IF(C682="",DATE(9999,1,1),C682))</f>
        <v/>
      </c>
      <c r="G682">
        <f>IF(E682="","",COUNTIFS($F$679:$F$704,"&lt;"&amp;F682,$F$679:$F$704,"&lt;&gt;")+COUNTIFS($F$679:$F$704,F682,$B$679:$B$704,"&lt;"&amp;B682)+1)</f>
        <v/>
      </c>
      <c r="H682">
        <f>IF(OR(E682="",C682=""),"",IF(C682&gt;=DATE(2019,5,1),"令和"&amp;(YEAR(C682)-2018),IF(C682&gt;=DATE(1989,1,8),"平成"&amp;(YEAR(C682)-1988),"昭和"&amp;(YEAR(C682)-1925)))&amp;"年"&amp;MONTH(C682)&amp;"月")</f>
        <v/>
      </c>
    </row>
    <row r="683">
      <c r="A683" t="n">
        <v>27</v>
      </c>
      <c r="B683" t="n">
        <v>5</v>
      </c>
      <c r="C683">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683">
        <f>IF(入力!V31="","",入力!V31)</f>
        <v/>
      </c>
      <c r="E683">
        <f>IF(D683="","",IFERROR(INDEX(資格マスタ!$B:$B,MATCH(ASC(SUBSTITUTE(SUBSTITUTE(D683," ",""),"　","")),資格マスタ!$D:$D,0)),D683))</f>
        <v/>
      </c>
      <c r="F683">
        <f>IF(E683="","",IF(C683="",DATE(9999,1,1),C683))</f>
        <v/>
      </c>
      <c r="G683">
        <f>IF(E683="","",COUNTIFS($F$679:$F$704,"&lt;"&amp;F683,$F$679:$F$704,"&lt;&gt;")+COUNTIFS($F$679:$F$704,F683,$B$679:$B$704,"&lt;"&amp;B683)+1)</f>
        <v/>
      </c>
      <c r="H683">
        <f>IF(OR(E683="",C683=""),"",IF(C683&gt;=DATE(2019,5,1),"令和"&amp;(YEAR(C683)-2018),IF(C683&gt;=DATE(1989,1,8),"平成"&amp;(YEAR(C683)-1988),"昭和"&amp;(YEAR(C683)-1925)))&amp;"年"&amp;MONTH(C683)&amp;"月")</f>
        <v/>
      </c>
    </row>
    <row r="684">
      <c r="A684" t="n">
        <v>27</v>
      </c>
      <c r="B684" t="n">
        <v>6</v>
      </c>
      <c r="C684">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684">
        <f>IF(入力!X31="","",入力!X31)</f>
        <v/>
      </c>
      <c r="E684">
        <f>IF(D684="","",IFERROR(INDEX(資格マスタ!$B:$B,MATCH(ASC(SUBSTITUTE(SUBSTITUTE(D684," ",""),"　","")),資格マスタ!$D:$D,0)),D684))</f>
        <v/>
      </c>
      <c r="F684">
        <f>IF(E684="","",IF(C684="",DATE(9999,1,1),C684))</f>
        <v/>
      </c>
      <c r="G684">
        <f>IF(E684="","",COUNTIFS($F$679:$F$704,"&lt;"&amp;F684,$F$679:$F$704,"&lt;&gt;")+COUNTIFS($F$679:$F$704,F684,$B$679:$B$704,"&lt;"&amp;B684)+1)</f>
        <v/>
      </c>
      <c r="H684">
        <f>IF(OR(E684="",C684=""),"",IF(C684&gt;=DATE(2019,5,1),"令和"&amp;(YEAR(C684)-2018),IF(C684&gt;=DATE(1989,1,8),"平成"&amp;(YEAR(C684)-1988),"昭和"&amp;(YEAR(C684)-1925)))&amp;"年"&amp;MONTH(C684)&amp;"月")</f>
        <v/>
      </c>
    </row>
    <row r="685">
      <c r="A685" t="n">
        <v>27</v>
      </c>
      <c r="B685" t="n">
        <v>7</v>
      </c>
      <c r="C685">
        <f>IFERROR(INDEX(資格取込!$S$6:$S$405,MATCH(27&amp;"_"&amp;1,資格取込!$Z$6:$Z$405,0)),"")</f>
        <v/>
      </c>
      <c r="D685">
        <f>IFERROR(INDEX(資格取込!$R$6:$R$405,MATCH(27&amp;"_"&amp;1,資格取込!$Z$6:$Z$405,0)),"")</f>
        <v/>
      </c>
      <c r="E685">
        <f>IF(D685="","",IFERROR(INDEX(資格マスタ!$B:$B,MATCH(ASC(SUBSTITUTE(SUBSTITUTE(D685," ",""),"　","")),資格マスタ!$D:$D,0)),D685))</f>
        <v/>
      </c>
      <c r="F685">
        <f>IF(E685="","",IF(C685="",DATE(9999,1,1),C685))</f>
        <v/>
      </c>
      <c r="G685">
        <f>IF(E685="","",COUNTIFS($F$679:$F$704,"&lt;"&amp;F685,$F$679:$F$704,"&lt;&gt;")+COUNTIFS($F$679:$F$704,F685,$B$679:$B$704,"&lt;"&amp;B685)+1)</f>
        <v/>
      </c>
      <c r="H685">
        <f>IF(OR(E685="",C685=""),"",IF(C685&gt;=DATE(2019,5,1),"令和"&amp;(YEAR(C685)-2018),IF(C685&gt;=DATE(1989,1,8),"平成"&amp;(YEAR(C685)-1988),"昭和"&amp;(YEAR(C685)-1925)))&amp;"年"&amp;MONTH(C685)&amp;"月")</f>
        <v/>
      </c>
    </row>
    <row r="686">
      <c r="A686" t="n">
        <v>27</v>
      </c>
      <c r="B686" t="n">
        <v>8</v>
      </c>
      <c r="C686">
        <f>IFERROR(INDEX(資格取込!$S$6:$S$405,MATCH(27&amp;"_"&amp;2,資格取込!$Z$6:$Z$405,0)),"")</f>
        <v/>
      </c>
      <c r="D686">
        <f>IFERROR(INDEX(資格取込!$R$6:$R$405,MATCH(27&amp;"_"&amp;2,資格取込!$Z$6:$Z$405,0)),"")</f>
        <v/>
      </c>
      <c r="E686">
        <f>IF(D686="","",IFERROR(INDEX(資格マスタ!$B:$B,MATCH(ASC(SUBSTITUTE(SUBSTITUTE(D686," ",""),"　","")),資格マスタ!$D:$D,0)),D686))</f>
        <v/>
      </c>
      <c r="F686">
        <f>IF(E686="","",IF(C686="",DATE(9999,1,1),C686))</f>
        <v/>
      </c>
      <c r="G686">
        <f>IF(E686="","",COUNTIFS($F$679:$F$704,"&lt;"&amp;F686,$F$679:$F$704,"&lt;&gt;")+COUNTIFS($F$679:$F$704,F686,$B$679:$B$704,"&lt;"&amp;B686)+1)</f>
        <v/>
      </c>
      <c r="H686">
        <f>IF(OR(E686="",C686=""),"",IF(C686&gt;=DATE(2019,5,1),"令和"&amp;(YEAR(C686)-2018),IF(C686&gt;=DATE(1989,1,8),"平成"&amp;(YEAR(C686)-1988),"昭和"&amp;(YEAR(C686)-1925)))&amp;"年"&amp;MONTH(C686)&amp;"月")</f>
        <v/>
      </c>
    </row>
    <row r="687">
      <c r="A687" t="n">
        <v>27</v>
      </c>
      <c r="B687" t="n">
        <v>9</v>
      </c>
      <c r="C687">
        <f>IFERROR(INDEX(資格取込!$S$6:$S$405,MATCH(27&amp;"_"&amp;3,資格取込!$Z$6:$Z$405,0)),"")</f>
        <v/>
      </c>
      <c r="D687">
        <f>IFERROR(INDEX(資格取込!$R$6:$R$405,MATCH(27&amp;"_"&amp;3,資格取込!$Z$6:$Z$405,0)),"")</f>
        <v/>
      </c>
      <c r="E687">
        <f>IF(D687="","",IFERROR(INDEX(資格マスタ!$B:$B,MATCH(ASC(SUBSTITUTE(SUBSTITUTE(D687," ",""),"　","")),資格マスタ!$D:$D,0)),D687))</f>
        <v/>
      </c>
      <c r="F687">
        <f>IF(E687="","",IF(C687="",DATE(9999,1,1),C687))</f>
        <v/>
      </c>
      <c r="G687">
        <f>IF(E687="","",COUNTIFS($F$679:$F$704,"&lt;"&amp;F687,$F$679:$F$704,"&lt;&gt;")+COUNTIFS($F$679:$F$704,F687,$B$679:$B$704,"&lt;"&amp;B687)+1)</f>
        <v/>
      </c>
      <c r="H687">
        <f>IF(OR(E687="",C687=""),"",IF(C687&gt;=DATE(2019,5,1),"令和"&amp;(YEAR(C687)-2018),IF(C687&gt;=DATE(1989,1,8),"平成"&amp;(YEAR(C687)-1988),"昭和"&amp;(YEAR(C687)-1925)))&amp;"年"&amp;MONTH(C687)&amp;"月")</f>
        <v/>
      </c>
    </row>
    <row r="688">
      <c r="A688" t="n">
        <v>27</v>
      </c>
      <c r="B688" t="n">
        <v>10</v>
      </c>
      <c r="C688">
        <f>IFERROR(INDEX(資格取込!$S$6:$S$405,MATCH(27&amp;"_"&amp;4,資格取込!$Z$6:$Z$405,0)),"")</f>
        <v/>
      </c>
      <c r="D688">
        <f>IFERROR(INDEX(資格取込!$R$6:$R$405,MATCH(27&amp;"_"&amp;4,資格取込!$Z$6:$Z$405,0)),"")</f>
        <v/>
      </c>
      <c r="E688">
        <f>IF(D688="","",IFERROR(INDEX(資格マスタ!$B:$B,MATCH(ASC(SUBSTITUTE(SUBSTITUTE(D688," ",""),"　","")),資格マスタ!$D:$D,0)),D688))</f>
        <v/>
      </c>
      <c r="F688">
        <f>IF(E688="","",IF(C688="",DATE(9999,1,1),C688))</f>
        <v/>
      </c>
      <c r="G688">
        <f>IF(E688="","",COUNTIFS($F$679:$F$704,"&lt;"&amp;F688,$F$679:$F$704,"&lt;&gt;")+COUNTIFS($F$679:$F$704,F688,$B$679:$B$704,"&lt;"&amp;B688)+1)</f>
        <v/>
      </c>
      <c r="H688">
        <f>IF(OR(E688="",C688=""),"",IF(C688&gt;=DATE(2019,5,1),"令和"&amp;(YEAR(C688)-2018),IF(C688&gt;=DATE(1989,1,8),"平成"&amp;(YEAR(C688)-1988),"昭和"&amp;(YEAR(C688)-1925)))&amp;"年"&amp;MONTH(C688)&amp;"月")</f>
        <v/>
      </c>
    </row>
    <row r="689">
      <c r="A689" t="n">
        <v>27</v>
      </c>
      <c r="B689" t="n">
        <v>11</v>
      </c>
      <c r="C689">
        <f>IFERROR(INDEX(資格取込!$S$6:$S$405,MATCH(27&amp;"_"&amp;5,資格取込!$Z$6:$Z$405,0)),"")</f>
        <v/>
      </c>
      <c r="D689">
        <f>IFERROR(INDEX(資格取込!$R$6:$R$405,MATCH(27&amp;"_"&amp;5,資格取込!$Z$6:$Z$405,0)),"")</f>
        <v/>
      </c>
      <c r="E689">
        <f>IF(D689="","",IFERROR(INDEX(資格マスタ!$B:$B,MATCH(ASC(SUBSTITUTE(SUBSTITUTE(D689," ",""),"　","")),資格マスタ!$D:$D,0)),D689))</f>
        <v/>
      </c>
      <c r="F689">
        <f>IF(E689="","",IF(C689="",DATE(9999,1,1),C689))</f>
        <v/>
      </c>
      <c r="G689">
        <f>IF(E689="","",COUNTIFS($F$679:$F$704,"&lt;"&amp;F689,$F$679:$F$704,"&lt;&gt;")+COUNTIFS($F$679:$F$704,F689,$B$679:$B$704,"&lt;"&amp;B689)+1)</f>
        <v/>
      </c>
      <c r="H689">
        <f>IF(OR(E689="",C689=""),"",IF(C689&gt;=DATE(2019,5,1),"令和"&amp;(YEAR(C689)-2018),IF(C689&gt;=DATE(1989,1,8),"平成"&amp;(YEAR(C689)-1988),"昭和"&amp;(YEAR(C689)-1925)))&amp;"年"&amp;MONTH(C689)&amp;"月")</f>
        <v/>
      </c>
    </row>
    <row r="690">
      <c r="A690" t="n">
        <v>27</v>
      </c>
      <c r="B690" t="n">
        <v>12</v>
      </c>
      <c r="C690">
        <f>IFERROR(INDEX(資格取込!$S$6:$S$405,MATCH(27&amp;"_"&amp;6,資格取込!$Z$6:$Z$405,0)),"")</f>
        <v/>
      </c>
      <c r="D690">
        <f>IFERROR(INDEX(資格取込!$R$6:$R$405,MATCH(27&amp;"_"&amp;6,資格取込!$Z$6:$Z$405,0)),"")</f>
        <v/>
      </c>
      <c r="E690">
        <f>IF(D690="","",IFERROR(INDEX(資格マスタ!$B:$B,MATCH(ASC(SUBSTITUTE(SUBSTITUTE(D690," ",""),"　","")),資格マスタ!$D:$D,0)),D690))</f>
        <v/>
      </c>
      <c r="F690">
        <f>IF(E690="","",IF(C690="",DATE(9999,1,1),C690))</f>
        <v/>
      </c>
      <c r="G690">
        <f>IF(E690="","",COUNTIFS($F$679:$F$704,"&lt;"&amp;F690,$F$679:$F$704,"&lt;&gt;")+COUNTIFS($F$679:$F$704,F690,$B$679:$B$704,"&lt;"&amp;B690)+1)</f>
        <v/>
      </c>
      <c r="H690">
        <f>IF(OR(E690="",C690=""),"",IF(C690&gt;=DATE(2019,5,1),"令和"&amp;(YEAR(C690)-2018),IF(C690&gt;=DATE(1989,1,8),"平成"&amp;(YEAR(C690)-1988),"昭和"&amp;(YEAR(C690)-1925)))&amp;"年"&amp;MONTH(C690)&amp;"月")</f>
        <v/>
      </c>
    </row>
    <row r="691">
      <c r="A691" t="n">
        <v>27</v>
      </c>
      <c r="B691" t="n">
        <v>13</v>
      </c>
      <c r="C691">
        <f>IFERROR(INDEX(資格取込!$S$6:$S$405,MATCH(27&amp;"_"&amp;7,資格取込!$Z$6:$Z$405,0)),"")</f>
        <v/>
      </c>
      <c r="D691">
        <f>IFERROR(INDEX(資格取込!$R$6:$R$405,MATCH(27&amp;"_"&amp;7,資格取込!$Z$6:$Z$405,0)),"")</f>
        <v/>
      </c>
      <c r="E691">
        <f>IF(D691="","",IFERROR(INDEX(資格マスタ!$B:$B,MATCH(ASC(SUBSTITUTE(SUBSTITUTE(D691," ",""),"　","")),資格マスタ!$D:$D,0)),D691))</f>
        <v/>
      </c>
      <c r="F691">
        <f>IF(E691="","",IF(C691="",DATE(9999,1,1),C691))</f>
        <v/>
      </c>
      <c r="G691">
        <f>IF(E691="","",COUNTIFS($F$679:$F$704,"&lt;"&amp;F691,$F$679:$F$704,"&lt;&gt;")+COUNTIFS($F$679:$F$704,F691,$B$679:$B$704,"&lt;"&amp;B691)+1)</f>
        <v/>
      </c>
      <c r="H691">
        <f>IF(OR(E691="",C691=""),"",IF(C691&gt;=DATE(2019,5,1),"令和"&amp;(YEAR(C691)-2018),IF(C691&gt;=DATE(1989,1,8),"平成"&amp;(YEAR(C691)-1988),"昭和"&amp;(YEAR(C691)-1925)))&amp;"年"&amp;MONTH(C691)&amp;"月")</f>
        <v/>
      </c>
    </row>
    <row r="692">
      <c r="A692" t="n">
        <v>27</v>
      </c>
      <c r="B692" t="n">
        <v>14</v>
      </c>
      <c r="C692">
        <f>IFERROR(INDEX(資格取込!$S$6:$S$405,MATCH(27&amp;"_"&amp;8,資格取込!$Z$6:$Z$405,0)),"")</f>
        <v/>
      </c>
      <c r="D692">
        <f>IFERROR(INDEX(資格取込!$R$6:$R$405,MATCH(27&amp;"_"&amp;8,資格取込!$Z$6:$Z$405,0)),"")</f>
        <v/>
      </c>
      <c r="E692">
        <f>IF(D692="","",IFERROR(INDEX(資格マスタ!$B:$B,MATCH(ASC(SUBSTITUTE(SUBSTITUTE(D692," ",""),"　","")),資格マスタ!$D:$D,0)),D692))</f>
        <v/>
      </c>
      <c r="F692">
        <f>IF(E692="","",IF(C692="",DATE(9999,1,1),C692))</f>
        <v/>
      </c>
      <c r="G692">
        <f>IF(E692="","",COUNTIFS($F$679:$F$704,"&lt;"&amp;F692,$F$679:$F$704,"&lt;&gt;")+COUNTIFS($F$679:$F$704,F692,$B$679:$B$704,"&lt;"&amp;B692)+1)</f>
        <v/>
      </c>
      <c r="H692">
        <f>IF(OR(E692="",C692=""),"",IF(C692&gt;=DATE(2019,5,1),"令和"&amp;(YEAR(C692)-2018),IF(C692&gt;=DATE(1989,1,8),"平成"&amp;(YEAR(C692)-1988),"昭和"&amp;(YEAR(C692)-1925)))&amp;"年"&amp;MONTH(C692)&amp;"月")</f>
        <v/>
      </c>
    </row>
    <row r="693">
      <c r="A693" t="n">
        <v>27</v>
      </c>
      <c r="B693" t="n">
        <v>15</v>
      </c>
      <c r="C693">
        <f>IFERROR(INDEX(資格取込!$S$6:$S$405,MATCH(27&amp;"_"&amp;9,資格取込!$Z$6:$Z$405,0)),"")</f>
        <v/>
      </c>
      <c r="D693">
        <f>IFERROR(INDEX(資格取込!$R$6:$R$405,MATCH(27&amp;"_"&amp;9,資格取込!$Z$6:$Z$405,0)),"")</f>
        <v/>
      </c>
      <c r="E693">
        <f>IF(D693="","",IFERROR(INDEX(資格マスタ!$B:$B,MATCH(ASC(SUBSTITUTE(SUBSTITUTE(D693," ",""),"　","")),資格マスタ!$D:$D,0)),D693))</f>
        <v/>
      </c>
      <c r="F693">
        <f>IF(E693="","",IF(C693="",DATE(9999,1,1),C693))</f>
        <v/>
      </c>
      <c r="G693">
        <f>IF(E693="","",COUNTIFS($F$679:$F$704,"&lt;"&amp;F693,$F$679:$F$704,"&lt;&gt;")+COUNTIFS($F$679:$F$704,F693,$B$679:$B$704,"&lt;"&amp;B693)+1)</f>
        <v/>
      </c>
      <c r="H693">
        <f>IF(OR(E693="",C693=""),"",IF(C693&gt;=DATE(2019,5,1),"令和"&amp;(YEAR(C693)-2018),IF(C693&gt;=DATE(1989,1,8),"平成"&amp;(YEAR(C693)-1988),"昭和"&amp;(YEAR(C693)-1925)))&amp;"年"&amp;MONTH(C693)&amp;"月")</f>
        <v/>
      </c>
    </row>
    <row r="694">
      <c r="A694" t="n">
        <v>27</v>
      </c>
      <c r="B694" t="n">
        <v>16</v>
      </c>
      <c r="C694">
        <f>IFERROR(INDEX(資格取込!$S$6:$S$405,MATCH(27&amp;"_"&amp;10,資格取込!$Z$6:$Z$405,0)),"")</f>
        <v/>
      </c>
      <c r="D694">
        <f>IFERROR(INDEX(資格取込!$R$6:$R$405,MATCH(27&amp;"_"&amp;10,資格取込!$Z$6:$Z$405,0)),"")</f>
        <v/>
      </c>
      <c r="E694">
        <f>IF(D694="","",IFERROR(INDEX(資格マスタ!$B:$B,MATCH(ASC(SUBSTITUTE(SUBSTITUTE(D694," ",""),"　","")),資格マスタ!$D:$D,0)),D694))</f>
        <v/>
      </c>
      <c r="F694">
        <f>IF(E694="","",IF(C694="",DATE(9999,1,1),C694))</f>
        <v/>
      </c>
      <c r="G694">
        <f>IF(E694="","",COUNTIFS($F$679:$F$704,"&lt;"&amp;F694,$F$679:$F$704,"&lt;&gt;")+COUNTIFS($F$679:$F$704,F694,$B$679:$B$704,"&lt;"&amp;B694)+1)</f>
        <v/>
      </c>
      <c r="H694">
        <f>IF(OR(E694="",C694=""),"",IF(C694&gt;=DATE(2019,5,1),"令和"&amp;(YEAR(C694)-2018),IF(C694&gt;=DATE(1989,1,8),"平成"&amp;(YEAR(C694)-1988),"昭和"&amp;(YEAR(C694)-1925)))&amp;"年"&amp;MONTH(C694)&amp;"月")</f>
        <v/>
      </c>
    </row>
    <row r="695">
      <c r="A695" t="n">
        <v>27</v>
      </c>
      <c r="B695" t="n">
        <v>17</v>
      </c>
      <c r="C695">
        <f>IFERROR(INDEX(資格取込!$S$6:$S$405,MATCH(27&amp;"_"&amp;11,資格取込!$Z$6:$Z$405,0)),"")</f>
        <v/>
      </c>
      <c r="D695">
        <f>IFERROR(INDEX(資格取込!$R$6:$R$405,MATCH(27&amp;"_"&amp;11,資格取込!$Z$6:$Z$405,0)),"")</f>
        <v/>
      </c>
      <c r="E695">
        <f>IF(D695="","",IFERROR(INDEX(資格マスタ!$B:$B,MATCH(ASC(SUBSTITUTE(SUBSTITUTE(D695," ",""),"　","")),資格マスタ!$D:$D,0)),D695))</f>
        <v/>
      </c>
      <c r="F695">
        <f>IF(E695="","",IF(C695="",DATE(9999,1,1),C695))</f>
        <v/>
      </c>
      <c r="G695">
        <f>IF(E695="","",COUNTIFS($F$679:$F$704,"&lt;"&amp;F695,$F$679:$F$704,"&lt;&gt;")+COUNTIFS($F$679:$F$704,F695,$B$679:$B$704,"&lt;"&amp;B695)+1)</f>
        <v/>
      </c>
      <c r="H695">
        <f>IF(OR(E695="",C695=""),"",IF(C695&gt;=DATE(2019,5,1),"令和"&amp;(YEAR(C695)-2018),IF(C695&gt;=DATE(1989,1,8),"平成"&amp;(YEAR(C695)-1988),"昭和"&amp;(YEAR(C695)-1925)))&amp;"年"&amp;MONTH(C695)&amp;"月")</f>
        <v/>
      </c>
    </row>
    <row r="696">
      <c r="A696" t="n">
        <v>27</v>
      </c>
      <c r="B696" t="n">
        <v>18</v>
      </c>
      <c r="C696">
        <f>IFERROR(INDEX(資格取込!$S$6:$S$405,MATCH(27&amp;"_"&amp;12,資格取込!$Z$6:$Z$405,0)),"")</f>
        <v/>
      </c>
      <c r="D696">
        <f>IFERROR(INDEX(資格取込!$R$6:$R$405,MATCH(27&amp;"_"&amp;12,資格取込!$Z$6:$Z$405,0)),"")</f>
        <v/>
      </c>
      <c r="E696">
        <f>IF(D696="","",IFERROR(INDEX(資格マスタ!$B:$B,MATCH(ASC(SUBSTITUTE(SUBSTITUTE(D696," ",""),"　","")),資格マスタ!$D:$D,0)),D696))</f>
        <v/>
      </c>
      <c r="F696">
        <f>IF(E696="","",IF(C696="",DATE(9999,1,1),C696))</f>
        <v/>
      </c>
      <c r="G696">
        <f>IF(E696="","",COUNTIFS($F$679:$F$704,"&lt;"&amp;F696,$F$679:$F$704,"&lt;&gt;")+COUNTIFS($F$679:$F$704,F696,$B$679:$B$704,"&lt;"&amp;B696)+1)</f>
        <v/>
      </c>
      <c r="H696">
        <f>IF(OR(E696="",C696=""),"",IF(C696&gt;=DATE(2019,5,1),"令和"&amp;(YEAR(C696)-2018),IF(C696&gt;=DATE(1989,1,8),"平成"&amp;(YEAR(C696)-1988),"昭和"&amp;(YEAR(C696)-1925)))&amp;"年"&amp;MONTH(C696)&amp;"月")</f>
        <v/>
      </c>
    </row>
    <row r="697">
      <c r="A697" t="n">
        <v>27</v>
      </c>
      <c r="B697" t="n">
        <v>19</v>
      </c>
      <c r="C697">
        <f>IFERROR(INDEX(資格取込!$S$6:$S$405,MATCH(27&amp;"_"&amp;13,資格取込!$Z$6:$Z$405,0)),"")</f>
        <v/>
      </c>
      <c r="D697">
        <f>IFERROR(INDEX(資格取込!$R$6:$R$405,MATCH(27&amp;"_"&amp;13,資格取込!$Z$6:$Z$405,0)),"")</f>
        <v/>
      </c>
      <c r="E697">
        <f>IF(D697="","",IFERROR(INDEX(資格マスタ!$B:$B,MATCH(ASC(SUBSTITUTE(SUBSTITUTE(D697," ",""),"　","")),資格マスタ!$D:$D,0)),D697))</f>
        <v/>
      </c>
      <c r="F697">
        <f>IF(E697="","",IF(C697="",DATE(9999,1,1),C697))</f>
        <v/>
      </c>
      <c r="G697">
        <f>IF(E697="","",COUNTIFS($F$679:$F$704,"&lt;"&amp;F697,$F$679:$F$704,"&lt;&gt;")+COUNTIFS($F$679:$F$704,F697,$B$679:$B$704,"&lt;"&amp;B697)+1)</f>
        <v/>
      </c>
      <c r="H697">
        <f>IF(OR(E697="",C697=""),"",IF(C697&gt;=DATE(2019,5,1),"令和"&amp;(YEAR(C697)-2018),IF(C697&gt;=DATE(1989,1,8),"平成"&amp;(YEAR(C697)-1988),"昭和"&amp;(YEAR(C697)-1925)))&amp;"年"&amp;MONTH(C697)&amp;"月")</f>
        <v/>
      </c>
    </row>
    <row r="698">
      <c r="A698" t="n">
        <v>27</v>
      </c>
      <c r="B698" t="n">
        <v>20</v>
      </c>
      <c r="C698">
        <f>IFERROR(INDEX(資格取込!$S$6:$S$405,MATCH(27&amp;"_"&amp;14,資格取込!$Z$6:$Z$405,0)),"")</f>
        <v/>
      </c>
      <c r="D698">
        <f>IFERROR(INDEX(資格取込!$R$6:$R$405,MATCH(27&amp;"_"&amp;14,資格取込!$Z$6:$Z$405,0)),"")</f>
        <v/>
      </c>
      <c r="E698">
        <f>IF(D698="","",IFERROR(INDEX(資格マスタ!$B:$B,MATCH(ASC(SUBSTITUTE(SUBSTITUTE(D698," ",""),"　","")),資格マスタ!$D:$D,0)),D698))</f>
        <v/>
      </c>
      <c r="F698">
        <f>IF(E698="","",IF(C698="",DATE(9999,1,1),C698))</f>
        <v/>
      </c>
      <c r="G698">
        <f>IF(E698="","",COUNTIFS($F$679:$F$704,"&lt;"&amp;F698,$F$679:$F$704,"&lt;&gt;")+COUNTIFS($F$679:$F$704,F698,$B$679:$B$704,"&lt;"&amp;B698)+1)</f>
        <v/>
      </c>
      <c r="H698">
        <f>IF(OR(E698="",C698=""),"",IF(C698&gt;=DATE(2019,5,1),"令和"&amp;(YEAR(C698)-2018),IF(C698&gt;=DATE(1989,1,8),"平成"&amp;(YEAR(C698)-1988),"昭和"&amp;(YEAR(C698)-1925)))&amp;"年"&amp;MONTH(C698)&amp;"月")</f>
        <v/>
      </c>
    </row>
    <row r="699">
      <c r="A699" t="n">
        <v>27</v>
      </c>
      <c r="B699" t="n">
        <v>21</v>
      </c>
      <c r="C699">
        <f>IFERROR(INDEX(資格取込!$S$6:$S$405,MATCH(27&amp;"_"&amp;15,資格取込!$Z$6:$Z$405,0)),"")</f>
        <v/>
      </c>
      <c r="D699">
        <f>IFERROR(INDEX(資格取込!$R$6:$R$405,MATCH(27&amp;"_"&amp;15,資格取込!$Z$6:$Z$405,0)),"")</f>
        <v/>
      </c>
      <c r="E699">
        <f>IF(D699="","",IFERROR(INDEX(資格マスタ!$B:$B,MATCH(ASC(SUBSTITUTE(SUBSTITUTE(D699," ",""),"　","")),資格マスタ!$D:$D,0)),D699))</f>
        <v/>
      </c>
      <c r="F699">
        <f>IF(E699="","",IF(C699="",DATE(9999,1,1),C699))</f>
        <v/>
      </c>
      <c r="G699">
        <f>IF(E699="","",COUNTIFS($F$679:$F$704,"&lt;"&amp;F699,$F$679:$F$704,"&lt;&gt;")+COUNTIFS($F$679:$F$704,F699,$B$679:$B$704,"&lt;"&amp;B699)+1)</f>
        <v/>
      </c>
      <c r="H699">
        <f>IF(OR(E699="",C699=""),"",IF(C699&gt;=DATE(2019,5,1),"令和"&amp;(YEAR(C699)-2018),IF(C699&gt;=DATE(1989,1,8),"平成"&amp;(YEAR(C699)-1988),"昭和"&amp;(YEAR(C699)-1925)))&amp;"年"&amp;MONTH(C699)&amp;"月")</f>
        <v/>
      </c>
    </row>
    <row r="700">
      <c r="A700" t="n">
        <v>27</v>
      </c>
      <c r="B700" t="n">
        <v>22</v>
      </c>
      <c r="C700">
        <f>IFERROR(INDEX(資格取込!$S$6:$S$405,MATCH(27&amp;"_"&amp;16,資格取込!$Z$6:$Z$405,0)),"")</f>
        <v/>
      </c>
      <c r="D700">
        <f>IFERROR(INDEX(資格取込!$R$6:$R$405,MATCH(27&amp;"_"&amp;16,資格取込!$Z$6:$Z$405,0)),"")</f>
        <v/>
      </c>
      <c r="E700">
        <f>IF(D700="","",IFERROR(INDEX(資格マスタ!$B:$B,MATCH(ASC(SUBSTITUTE(SUBSTITUTE(D700," ",""),"　","")),資格マスタ!$D:$D,0)),D700))</f>
        <v/>
      </c>
      <c r="F700">
        <f>IF(E700="","",IF(C700="",DATE(9999,1,1),C700))</f>
        <v/>
      </c>
      <c r="G700">
        <f>IF(E700="","",COUNTIFS($F$679:$F$704,"&lt;"&amp;F700,$F$679:$F$704,"&lt;&gt;")+COUNTIFS($F$679:$F$704,F700,$B$679:$B$704,"&lt;"&amp;B700)+1)</f>
        <v/>
      </c>
      <c r="H700">
        <f>IF(OR(E700="",C700=""),"",IF(C700&gt;=DATE(2019,5,1),"令和"&amp;(YEAR(C700)-2018),IF(C700&gt;=DATE(1989,1,8),"平成"&amp;(YEAR(C700)-1988),"昭和"&amp;(YEAR(C700)-1925)))&amp;"年"&amp;MONTH(C700)&amp;"月")</f>
        <v/>
      </c>
    </row>
    <row r="701">
      <c r="A701" t="n">
        <v>27</v>
      </c>
      <c r="B701" t="n">
        <v>23</v>
      </c>
      <c r="C701">
        <f>IFERROR(INDEX(資格取込!$S$6:$S$405,MATCH(27&amp;"_"&amp;17,資格取込!$Z$6:$Z$405,0)),"")</f>
        <v/>
      </c>
      <c r="D701">
        <f>IFERROR(INDEX(資格取込!$R$6:$R$405,MATCH(27&amp;"_"&amp;17,資格取込!$Z$6:$Z$405,0)),"")</f>
        <v/>
      </c>
      <c r="E701">
        <f>IF(D701="","",IFERROR(INDEX(資格マスタ!$B:$B,MATCH(ASC(SUBSTITUTE(SUBSTITUTE(D701," ",""),"　","")),資格マスタ!$D:$D,0)),D701))</f>
        <v/>
      </c>
      <c r="F701">
        <f>IF(E701="","",IF(C701="",DATE(9999,1,1),C701))</f>
        <v/>
      </c>
      <c r="G701">
        <f>IF(E701="","",COUNTIFS($F$679:$F$704,"&lt;"&amp;F701,$F$679:$F$704,"&lt;&gt;")+COUNTIFS($F$679:$F$704,F701,$B$679:$B$704,"&lt;"&amp;B701)+1)</f>
        <v/>
      </c>
      <c r="H701">
        <f>IF(OR(E701="",C701=""),"",IF(C701&gt;=DATE(2019,5,1),"令和"&amp;(YEAR(C701)-2018),IF(C701&gt;=DATE(1989,1,8),"平成"&amp;(YEAR(C701)-1988),"昭和"&amp;(YEAR(C701)-1925)))&amp;"年"&amp;MONTH(C701)&amp;"月")</f>
        <v/>
      </c>
    </row>
    <row r="702">
      <c r="A702" t="n">
        <v>27</v>
      </c>
      <c r="B702" t="n">
        <v>24</v>
      </c>
      <c r="C702">
        <f>IFERROR(INDEX(資格取込!$S$6:$S$405,MATCH(27&amp;"_"&amp;18,資格取込!$Z$6:$Z$405,0)),"")</f>
        <v/>
      </c>
      <c r="D702">
        <f>IFERROR(INDEX(資格取込!$R$6:$R$405,MATCH(27&amp;"_"&amp;18,資格取込!$Z$6:$Z$405,0)),"")</f>
        <v/>
      </c>
      <c r="E702">
        <f>IF(D702="","",IFERROR(INDEX(資格マスタ!$B:$B,MATCH(ASC(SUBSTITUTE(SUBSTITUTE(D702," ",""),"　","")),資格マスタ!$D:$D,0)),D702))</f>
        <v/>
      </c>
      <c r="F702">
        <f>IF(E702="","",IF(C702="",DATE(9999,1,1),C702))</f>
        <v/>
      </c>
      <c r="G702">
        <f>IF(E702="","",COUNTIFS($F$679:$F$704,"&lt;"&amp;F702,$F$679:$F$704,"&lt;&gt;")+COUNTIFS($F$679:$F$704,F702,$B$679:$B$704,"&lt;"&amp;B702)+1)</f>
        <v/>
      </c>
      <c r="H702">
        <f>IF(OR(E702="",C702=""),"",IF(C702&gt;=DATE(2019,5,1),"令和"&amp;(YEAR(C702)-2018),IF(C702&gt;=DATE(1989,1,8),"平成"&amp;(YEAR(C702)-1988),"昭和"&amp;(YEAR(C702)-1925)))&amp;"年"&amp;MONTH(C702)&amp;"月")</f>
        <v/>
      </c>
    </row>
    <row r="703">
      <c r="A703" t="n">
        <v>27</v>
      </c>
      <c r="B703" t="n">
        <v>25</v>
      </c>
      <c r="C703">
        <f>IFERROR(INDEX(資格取込!$S$6:$S$405,MATCH(27&amp;"_"&amp;19,資格取込!$Z$6:$Z$405,0)),"")</f>
        <v/>
      </c>
      <c r="D703">
        <f>IFERROR(INDEX(資格取込!$R$6:$R$405,MATCH(27&amp;"_"&amp;19,資格取込!$Z$6:$Z$405,0)),"")</f>
        <v/>
      </c>
      <c r="E703">
        <f>IF(D703="","",IFERROR(INDEX(資格マスタ!$B:$B,MATCH(ASC(SUBSTITUTE(SUBSTITUTE(D703," ",""),"　","")),資格マスタ!$D:$D,0)),D703))</f>
        <v/>
      </c>
      <c r="F703">
        <f>IF(E703="","",IF(C703="",DATE(9999,1,1),C703))</f>
        <v/>
      </c>
      <c r="G703">
        <f>IF(E703="","",COUNTIFS($F$679:$F$704,"&lt;"&amp;F703,$F$679:$F$704,"&lt;&gt;")+COUNTIFS($F$679:$F$704,F703,$B$679:$B$704,"&lt;"&amp;B703)+1)</f>
        <v/>
      </c>
      <c r="H703">
        <f>IF(OR(E703="",C703=""),"",IF(C703&gt;=DATE(2019,5,1),"令和"&amp;(YEAR(C703)-2018),IF(C703&gt;=DATE(1989,1,8),"平成"&amp;(YEAR(C703)-1988),"昭和"&amp;(YEAR(C703)-1925)))&amp;"年"&amp;MONTH(C703)&amp;"月")</f>
        <v/>
      </c>
    </row>
    <row r="704">
      <c r="A704" t="n">
        <v>27</v>
      </c>
      <c r="B704" t="n">
        <v>26</v>
      </c>
      <c r="C704">
        <f>IFERROR(INDEX(資格取込!$S$6:$S$405,MATCH(27&amp;"_"&amp;20,資格取込!$Z$6:$Z$405,0)),"")</f>
        <v/>
      </c>
      <c r="D704">
        <f>IFERROR(INDEX(資格取込!$R$6:$R$405,MATCH(27&amp;"_"&amp;20,資格取込!$Z$6:$Z$405,0)),"")</f>
        <v/>
      </c>
      <c r="E704">
        <f>IF(D704="","",IFERROR(INDEX(資格マスタ!$B:$B,MATCH(ASC(SUBSTITUTE(SUBSTITUTE(D704," ",""),"　","")),資格マスタ!$D:$D,0)),D704))</f>
        <v/>
      </c>
      <c r="F704">
        <f>IF(E704="","",IF(C704="",DATE(9999,1,1),C704))</f>
        <v/>
      </c>
      <c r="G704">
        <f>IF(E704="","",COUNTIFS($F$679:$F$704,"&lt;"&amp;F704,$F$679:$F$704,"&lt;&gt;")+COUNTIFS($F$679:$F$704,F704,$B$679:$B$704,"&lt;"&amp;B704)+1)</f>
        <v/>
      </c>
      <c r="H704">
        <f>IF(OR(E704="",C704=""),"",IF(C704&gt;=DATE(2019,5,1),"令和"&amp;(YEAR(C704)-2018),IF(C704&gt;=DATE(1989,1,8),"平成"&amp;(YEAR(C704)-1988),"昭和"&amp;(YEAR(C704)-1925)))&amp;"年"&amp;MONTH(C704)&amp;"月")</f>
        <v/>
      </c>
    </row>
    <row r="705">
      <c r="A705" t="n">
        <v>28</v>
      </c>
      <c r="B705" t="n">
        <v>1</v>
      </c>
      <c r="C705"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705">
        <f>IF(入力!N32="","",入力!N32)</f>
        <v/>
      </c>
      <c r="E705">
        <f>IF(D705="","",IFERROR(INDEX(資格マスタ!$B:$B,MATCH(ASC(SUBSTITUTE(SUBSTITUTE(D705," ",""),"　","")),資格マスタ!$D:$D,0)),D705))</f>
        <v/>
      </c>
      <c r="F705">
        <f>IF(E705="","",IF(C705="",DATE(9999,1,1),C705))</f>
        <v/>
      </c>
      <c r="G705">
        <f>IF(E705="","",COUNTIFS($F$705:$F$730,"&lt;"&amp;F705,$F$705:$F$730,"&lt;&gt;")+COUNTIFS($F$705:$F$730,F705,$B$705:$B$730,"&lt;"&amp;B705)+1)</f>
        <v/>
      </c>
      <c r="H705">
        <f>IF(OR(E705="",C705=""),"",IF(C705&gt;=DATE(2019,5,1),"令和"&amp;(YEAR(C705)-2018),IF(C705&gt;=DATE(1989,1,8),"平成"&amp;(YEAR(C705)-1988),"昭和"&amp;(YEAR(C705)-1925)))&amp;"年"&amp;MONTH(C705)&amp;"月")</f>
        <v/>
      </c>
    </row>
    <row r="706">
      <c r="A706" t="n">
        <v>28</v>
      </c>
      <c r="B706" t="n">
        <v>2</v>
      </c>
      <c r="C706">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706">
        <f>IF(入力!P32="","",入力!P32)</f>
        <v/>
      </c>
      <c r="E706">
        <f>IF(D706="","",IFERROR(INDEX(資格マスタ!$B:$B,MATCH(ASC(SUBSTITUTE(SUBSTITUTE(D706," ",""),"　","")),資格マスタ!$D:$D,0)),D706))</f>
        <v/>
      </c>
      <c r="F706">
        <f>IF(E706="","",IF(C706="",DATE(9999,1,1),C706))</f>
        <v/>
      </c>
      <c r="G706">
        <f>IF(E706="","",COUNTIFS($F$705:$F$730,"&lt;"&amp;F706,$F$705:$F$730,"&lt;&gt;")+COUNTIFS($F$705:$F$730,F706,$B$705:$B$730,"&lt;"&amp;B706)+1)</f>
        <v/>
      </c>
      <c r="H706">
        <f>IF(OR(E706="",C706=""),"",IF(C706&gt;=DATE(2019,5,1),"令和"&amp;(YEAR(C706)-2018),IF(C706&gt;=DATE(1989,1,8),"平成"&amp;(YEAR(C706)-1988),"昭和"&amp;(YEAR(C706)-1925)))&amp;"年"&amp;MONTH(C706)&amp;"月")</f>
        <v/>
      </c>
    </row>
    <row r="707">
      <c r="A707" t="n">
        <v>28</v>
      </c>
      <c r="B707" t="n">
        <v>3</v>
      </c>
      <c r="C707">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707">
        <f>IF(入力!R32="","",入力!R32)</f>
        <v/>
      </c>
      <c r="E707">
        <f>IF(D707="","",IFERROR(INDEX(資格マスタ!$B:$B,MATCH(ASC(SUBSTITUTE(SUBSTITUTE(D707," ",""),"　","")),資格マスタ!$D:$D,0)),D707))</f>
        <v/>
      </c>
      <c r="F707">
        <f>IF(E707="","",IF(C707="",DATE(9999,1,1),C707))</f>
        <v/>
      </c>
      <c r="G707">
        <f>IF(E707="","",COUNTIFS($F$705:$F$730,"&lt;"&amp;F707,$F$705:$F$730,"&lt;&gt;")+COUNTIFS($F$705:$F$730,F707,$B$705:$B$730,"&lt;"&amp;B707)+1)</f>
        <v/>
      </c>
      <c r="H707">
        <f>IF(OR(E707="",C707=""),"",IF(C707&gt;=DATE(2019,5,1),"令和"&amp;(YEAR(C707)-2018),IF(C707&gt;=DATE(1989,1,8),"平成"&amp;(YEAR(C707)-1988),"昭和"&amp;(YEAR(C707)-1925)))&amp;"年"&amp;MONTH(C707)&amp;"月")</f>
        <v/>
      </c>
    </row>
    <row r="708">
      <c r="A708" t="n">
        <v>28</v>
      </c>
      <c r="B708" t="n">
        <v>4</v>
      </c>
      <c r="C708">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708">
        <f>IF(入力!T32="","",入力!T32)</f>
        <v/>
      </c>
      <c r="E708">
        <f>IF(D708="","",IFERROR(INDEX(資格マスタ!$B:$B,MATCH(ASC(SUBSTITUTE(SUBSTITUTE(D708," ",""),"　","")),資格マスタ!$D:$D,0)),D708))</f>
        <v/>
      </c>
      <c r="F708">
        <f>IF(E708="","",IF(C708="",DATE(9999,1,1),C708))</f>
        <v/>
      </c>
      <c r="G708">
        <f>IF(E708="","",COUNTIFS($F$705:$F$730,"&lt;"&amp;F708,$F$705:$F$730,"&lt;&gt;")+COUNTIFS($F$705:$F$730,F708,$B$705:$B$730,"&lt;"&amp;B708)+1)</f>
        <v/>
      </c>
      <c r="H708">
        <f>IF(OR(E708="",C708=""),"",IF(C708&gt;=DATE(2019,5,1),"令和"&amp;(YEAR(C708)-2018),IF(C708&gt;=DATE(1989,1,8),"平成"&amp;(YEAR(C708)-1988),"昭和"&amp;(YEAR(C708)-1925)))&amp;"年"&amp;MONTH(C708)&amp;"月")</f>
        <v/>
      </c>
    </row>
    <row r="709">
      <c r="A709" t="n">
        <v>28</v>
      </c>
      <c r="B709" t="n">
        <v>5</v>
      </c>
      <c r="C709">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709">
        <f>IF(入力!V32="","",入力!V32)</f>
        <v/>
      </c>
      <c r="E709">
        <f>IF(D709="","",IFERROR(INDEX(資格マスタ!$B:$B,MATCH(ASC(SUBSTITUTE(SUBSTITUTE(D709," ",""),"　","")),資格マスタ!$D:$D,0)),D709))</f>
        <v/>
      </c>
      <c r="F709">
        <f>IF(E709="","",IF(C709="",DATE(9999,1,1),C709))</f>
        <v/>
      </c>
      <c r="G709">
        <f>IF(E709="","",COUNTIFS($F$705:$F$730,"&lt;"&amp;F709,$F$705:$F$730,"&lt;&gt;")+COUNTIFS($F$705:$F$730,F709,$B$705:$B$730,"&lt;"&amp;B709)+1)</f>
        <v/>
      </c>
      <c r="H709">
        <f>IF(OR(E709="",C709=""),"",IF(C709&gt;=DATE(2019,5,1),"令和"&amp;(YEAR(C709)-2018),IF(C709&gt;=DATE(1989,1,8),"平成"&amp;(YEAR(C709)-1988),"昭和"&amp;(YEAR(C709)-1925)))&amp;"年"&amp;MONTH(C709)&amp;"月")</f>
        <v/>
      </c>
    </row>
    <row r="710">
      <c r="A710" t="n">
        <v>28</v>
      </c>
      <c r="B710" t="n">
        <v>6</v>
      </c>
      <c r="C710">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710">
        <f>IF(入力!X32="","",入力!X32)</f>
        <v/>
      </c>
      <c r="E710">
        <f>IF(D710="","",IFERROR(INDEX(資格マスタ!$B:$B,MATCH(ASC(SUBSTITUTE(SUBSTITUTE(D710," ",""),"　","")),資格マスタ!$D:$D,0)),D710))</f>
        <v/>
      </c>
      <c r="F710">
        <f>IF(E710="","",IF(C710="",DATE(9999,1,1),C710))</f>
        <v/>
      </c>
      <c r="G710">
        <f>IF(E710="","",COUNTIFS($F$705:$F$730,"&lt;"&amp;F710,$F$705:$F$730,"&lt;&gt;")+COUNTIFS($F$705:$F$730,F710,$B$705:$B$730,"&lt;"&amp;B710)+1)</f>
        <v/>
      </c>
      <c r="H710">
        <f>IF(OR(E710="",C710=""),"",IF(C710&gt;=DATE(2019,5,1),"令和"&amp;(YEAR(C710)-2018),IF(C710&gt;=DATE(1989,1,8),"平成"&amp;(YEAR(C710)-1988),"昭和"&amp;(YEAR(C710)-1925)))&amp;"年"&amp;MONTH(C710)&amp;"月")</f>
        <v/>
      </c>
    </row>
    <row r="711">
      <c r="A711" t="n">
        <v>28</v>
      </c>
      <c r="B711" t="n">
        <v>7</v>
      </c>
      <c r="C711">
        <f>IFERROR(INDEX(資格取込!$S$6:$S$405,MATCH(28&amp;"_"&amp;1,資格取込!$Z$6:$Z$405,0)),"")</f>
        <v/>
      </c>
      <c r="D711">
        <f>IFERROR(INDEX(資格取込!$R$6:$R$405,MATCH(28&amp;"_"&amp;1,資格取込!$Z$6:$Z$405,0)),"")</f>
        <v/>
      </c>
      <c r="E711">
        <f>IF(D711="","",IFERROR(INDEX(資格マスタ!$B:$B,MATCH(ASC(SUBSTITUTE(SUBSTITUTE(D711," ",""),"　","")),資格マスタ!$D:$D,0)),D711))</f>
        <v/>
      </c>
      <c r="F711">
        <f>IF(E711="","",IF(C711="",DATE(9999,1,1),C711))</f>
        <v/>
      </c>
      <c r="G711">
        <f>IF(E711="","",COUNTIFS($F$705:$F$730,"&lt;"&amp;F711,$F$705:$F$730,"&lt;&gt;")+COUNTIFS($F$705:$F$730,F711,$B$705:$B$730,"&lt;"&amp;B711)+1)</f>
        <v/>
      </c>
      <c r="H711">
        <f>IF(OR(E711="",C711=""),"",IF(C711&gt;=DATE(2019,5,1),"令和"&amp;(YEAR(C711)-2018),IF(C711&gt;=DATE(1989,1,8),"平成"&amp;(YEAR(C711)-1988),"昭和"&amp;(YEAR(C711)-1925)))&amp;"年"&amp;MONTH(C711)&amp;"月")</f>
        <v/>
      </c>
    </row>
    <row r="712">
      <c r="A712" t="n">
        <v>28</v>
      </c>
      <c r="B712" t="n">
        <v>8</v>
      </c>
      <c r="C712">
        <f>IFERROR(INDEX(資格取込!$S$6:$S$405,MATCH(28&amp;"_"&amp;2,資格取込!$Z$6:$Z$405,0)),"")</f>
        <v/>
      </c>
      <c r="D712">
        <f>IFERROR(INDEX(資格取込!$R$6:$R$405,MATCH(28&amp;"_"&amp;2,資格取込!$Z$6:$Z$405,0)),"")</f>
        <v/>
      </c>
      <c r="E712">
        <f>IF(D712="","",IFERROR(INDEX(資格マスタ!$B:$B,MATCH(ASC(SUBSTITUTE(SUBSTITUTE(D712," ",""),"　","")),資格マスタ!$D:$D,0)),D712))</f>
        <v/>
      </c>
      <c r="F712">
        <f>IF(E712="","",IF(C712="",DATE(9999,1,1),C712))</f>
        <v/>
      </c>
      <c r="G712">
        <f>IF(E712="","",COUNTIFS($F$705:$F$730,"&lt;"&amp;F712,$F$705:$F$730,"&lt;&gt;")+COUNTIFS($F$705:$F$730,F712,$B$705:$B$730,"&lt;"&amp;B712)+1)</f>
        <v/>
      </c>
      <c r="H712">
        <f>IF(OR(E712="",C712=""),"",IF(C712&gt;=DATE(2019,5,1),"令和"&amp;(YEAR(C712)-2018),IF(C712&gt;=DATE(1989,1,8),"平成"&amp;(YEAR(C712)-1988),"昭和"&amp;(YEAR(C712)-1925)))&amp;"年"&amp;MONTH(C712)&amp;"月")</f>
        <v/>
      </c>
    </row>
    <row r="713">
      <c r="A713" t="n">
        <v>28</v>
      </c>
      <c r="B713" t="n">
        <v>9</v>
      </c>
      <c r="C713">
        <f>IFERROR(INDEX(資格取込!$S$6:$S$405,MATCH(28&amp;"_"&amp;3,資格取込!$Z$6:$Z$405,0)),"")</f>
        <v/>
      </c>
      <c r="D713">
        <f>IFERROR(INDEX(資格取込!$R$6:$R$405,MATCH(28&amp;"_"&amp;3,資格取込!$Z$6:$Z$405,0)),"")</f>
        <v/>
      </c>
      <c r="E713">
        <f>IF(D713="","",IFERROR(INDEX(資格マスタ!$B:$B,MATCH(ASC(SUBSTITUTE(SUBSTITUTE(D713," ",""),"　","")),資格マスタ!$D:$D,0)),D713))</f>
        <v/>
      </c>
      <c r="F713">
        <f>IF(E713="","",IF(C713="",DATE(9999,1,1),C713))</f>
        <v/>
      </c>
      <c r="G713">
        <f>IF(E713="","",COUNTIFS($F$705:$F$730,"&lt;"&amp;F713,$F$705:$F$730,"&lt;&gt;")+COUNTIFS($F$705:$F$730,F713,$B$705:$B$730,"&lt;"&amp;B713)+1)</f>
        <v/>
      </c>
      <c r="H713">
        <f>IF(OR(E713="",C713=""),"",IF(C713&gt;=DATE(2019,5,1),"令和"&amp;(YEAR(C713)-2018),IF(C713&gt;=DATE(1989,1,8),"平成"&amp;(YEAR(C713)-1988),"昭和"&amp;(YEAR(C713)-1925)))&amp;"年"&amp;MONTH(C713)&amp;"月")</f>
        <v/>
      </c>
    </row>
    <row r="714">
      <c r="A714" t="n">
        <v>28</v>
      </c>
      <c r="B714" t="n">
        <v>10</v>
      </c>
      <c r="C714">
        <f>IFERROR(INDEX(資格取込!$S$6:$S$405,MATCH(28&amp;"_"&amp;4,資格取込!$Z$6:$Z$405,0)),"")</f>
        <v/>
      </c>
      <c r="D714">
        <f>IFERROR(INDEX(資格取込!$R$6:$R$405,MATCH(28&amp;"_"&amp;4,資格取込!$Z$6:$Z$405,0)),"")</f>
        <v/>
      </c>
      <c r="E714">
        <f>IF(D714="","",IFERROR(INDEX(資格マスタ!$B:$B,MATCH(ASC(SUBSTITUTE(SUBSTITUTE(D714," ",""),"　","")),資格マスタ!$D:$D,0)),D714))</f>
        <v/>
      </c>
      <c r="F714">
        <f>IF(E714="","",IF(C714="",DATE(9999,1,1),C714))</f>
        <v/>
      </c>
      <c r="G714">
        <f>IF(E714="","",COUNTIFS($F$705:$F$730,"&lt;"&amp;F714,$F$705:$F$730,"&lt;&gt;")+COUNTIFS($F$705:$F$730,F714,$B$705:$B$730,"&lt;"&amp;B714)+1)</f>
        <v/>
      </c>
      <c r="H714">
        <f>IF(OR(E714="",C714=""),"",IF(C714&gt;=DATE(2019,5,1),"令和"&amp;(YEAR(C714)-2018),IF(C714&gt;=DATE(1989,1,8),"平成"&amp;(YEAR(C714)-1988),"昭和"&amp;(YEAR(C714)-1925)))&amp;"年"&amp;MONTH(C714)&amp;"月")</f>
        <v/>
      </c>
    </row>
    <row r="715">
      <c r="A715" t="n">
        <v>28</v>
      </c>
      <c r="B715" t="n">
        <v>11</v>
      </c>
      <c r="C715">
        <f>IFERROR(INDEX(資格取込!$S$6:$S$405,MATCH(28&amp;"_"&amp;5,資格取込!$Z$6:$Z$405,0)),"")</f>
        <v/>
      </c>
      <c r="D715">
        <f>IFERROR(INDEX(資格取込!$R$6:$R$405,MATCH(28&amp;"_"&amp;5,資格取込!$Z$6:$Z$405,0)),"")</f>
        <v/>
      </c>
      <c r="E715">
        <f>IF(D715="","",IFERROR(INDEX(資格マスタ!$B:$B,MATCH(ASC(SUBSTITUTE(SUBSTITUTE(D715," ",""),"　","")),資格マスタ!$D:$D,0)),D715))</f>
        <v/>
      </c>
      <c r="F715">
        <f>IF(E715="","",IF(C715="",DATE(9999,1,1),C715))</f>
        <v/>
      </c>
      <c r="G715">
        <f>IF(E715="","",COUNTIFS($F$705:$F$730,"&lt;"&amp;F715,$F$705:$F$730,"&lt;&gt;")+COUNTIFS($F$705:$F$730,F715,$B$705:$B$730,"&lt;"&amp;B715)+1)</f>
        <v/>
      </c>
      <c r="H715">
        <f>IF(OR(E715="",C715=""),"",IF(C715&gt;=DATE(2019,5,1),"令和"&amp;(YEAR(C715)-2018),IF(C715&gt;=DATE(1989,1,8),"平成"&amp;(YEAR(C715)-1988),"昭和"&amp;(YEAR(C715)-1925)))&amp;"年"&amp;MONTH(C715)&amp;"月")</f>
        <v/>
      </c>
    </row>
    <row r="716">
      <c r="A716" t="n">
        <v>28</v>
      </c>
      <c r="B716" t="n">
        <v>12</v>
      </c>
      <c r="C716">
        <f>IFERROR(INDEX(資格取込!$S$6:$S$405,MATCH(28&amp;"_"&amp;6,資格取込!$Z$6:$Z$405,0)),"")</f>
        <v/>
      </c>
      <c r="D716">
        <f>IFERROR(INDEX(資格取込!$R$6:$R$405,MATCH(28&amp;"_"&amp;6,資格取込!$Z$6:$Z$405,0)),"")</f>
        <v/>
      </c>
      <c r="E716">
        <f>IF(D716="","",IFERROR(INDEX(資格マスタ!$B:$B,MATCH(ASC(SUBSTITUTE(SUBSTITUTE(D716," ",""),"　","")),資格マスタ!$D:$D,0)),D716))</f>
        <v/>
      </c>
      <c r="F716">
        <f>IF(E716="","",IF(C716="",DATE(9999,1,1),C716))</f>
        <v/>
      </c>
      <c r="G716">
        <f>IF(E716="","",COUNTIFS($F$705:$F$730,"&lt;"&amp;F716,$F$705:$F$730,"&lt;&gt;")+COUNTIFS($F$705:$F$730,F716,$B$705:$B$730,"&lt;"&amp;B716)+1)</f>
        <v/>
      </c>
      <c r="H716">
        <f>IF(OR(E716="",C716=""),"",IF(C716&gt;=DATE(2019,5,1),"令和"&amp;(YEAR(C716)-2018),IF(C716&gt;=DATE(1989,1,8),"平成"&amp;(YEAR(C716)-1988),"昭和"&amp;(YEAR(C716)-1925)))&amp;"年"&amp;MONTH(C716)&amp;"月")</f>
        <v/>
      </c>
    </row>
    <row r="717">
      <c r="A717" t="n">
        <v>28</v>
      </c>
      <c r="B717" t="n">
        <v>13</v>
      </c>
      <c r="C717">
        <f>IFERROR(INDEX(資格取込!$S$6:$S$405,MATCH(28&amp;"_"&amp;7,資格取込!$Z$6:$Z$405,0)),"")</f>
        <v/>
      </c>
      <c r="D717">
        <f>IFERROR(INDEX(資格取込!$R$6:$R$405,MATCH(28&amp;"_"&amp;7,資格取込!$Z$6:$Z$405,0)),"")</f>
        <v/>
      </c>
      <c r="E717">
        <f>IF(D717="","",IFERROR(INDEX(資格マスタ!$B:$B,MATCH(ASC(SUBSTITUTE(SUBSTITUTE(D717," ",""),"　","")),資格マスタ!$D:$D,0)),D717))</f>
        <v/>
      </c>
      <c r="F717">
        <f>IF(E717="","",IF(C717="",DATE(9999,1,1),C717))</f>
        <v/>
      </c>
      <c r="G717">
        <f>IF(E717="","",COUNTIFS($F$705:$F$730,"&lt;"&amp;F717,$F$705:$F$730,"&lt;&gt;")+COUNTIFS($F$705:$F$730,F717,$B$705:$B$730,"&lt;"&amp;B717)+1)</f>
        <v/>
      </c>
      <c r="H717">
        <f>IF(OR(E717="",C717=""),"",IF(C717&gt;=DATE(2019,5,1),"令和"&amp;(YEAR(C717)-2018),IF(C717&gt;=DATE(1989,1,8),"平成"&amp;(YEAR(C717)-1988),"昭和"&amp;(YEAR(C717)-1925)))&amp;"年"&amp;MONTH(C717)&amp;"月")</f>
        <v/>
      </c>
    </row>
    <row r="718">
      <c r="A718" t="n">
        <v>28</v>
      </c>
      <c r="B718" t="n">
        <v>14</v>
      </c>
      <c r="C718">
        <f>IFERROR(INDEX(資格取込!$S$6:$S$405,MATCH(28&amp;"_"&amp;8,資格取込!$Z$6:$Z$405,0)),"")</f>
        <v/>
      </c>
      <c r="D718">
        <f>IFERROR(INDEX(資格取込!$R$6:$R$405,MATCH(28&amp;"_"&amp;8,資格取込!$Z$6:$Z$405,0)),"")</f>
        <v/>
      </c>
      <c r="E718">
        <f>IF(D718="","",IFERROR(INDEX(資格マスタ!$B:$B,MATCH(ASC(SUBSTITUTE(SUBSTITUTE(D718," ",""),"　","")),資格マスタ!$D:$D,0)),D718))</f>
        <v/>
      </c>
      <c r="F718">
        <f>IF(E718="","",IF(C718="",DATE(9999,1,1),C718))</f>
        <v/>
      </c>
      <c r="G718">
        <f>IF(E718="","",COUNTIFS($F$705:$F$730,"&lt;"&amp;F718,$F$705:$F$730,"&lt;&gt;")+COUNTIFS($F$705:$F$730,F718,$B$705:$B$730,"&lt;"&amp;B718)+1)</f>
        <v/>
      </c>
      <c r="H718">
        <f>IF(OR(E718="",C718=""),"",IF(C718&gt;=DATE(2019,5,1),"令和"&amp;(YEAR(C718)-2018),IF(C718&gt;=DATE(1989,1,8),"平成"&amp;(YEAR(C718)-1988),"昭和"&amp;(YEAR(C718)-1925)))&amp;"年"&amp;MONTH(C718)&amp;"月")</f>
        <v/>
      </c>
    </row>
    <row r="719">
      <c r="A719" t="n">
        <v>28</v>
      </c>
      <c r="B719" t="n">
        <v>15</v>
      </c>
      <c r="C719">
        <f>IFERROR(INDEX(資格取込!$S$6:$S$405,MATCH(28&amp;"_"&amp;9,資格取込!$Z$6:$Z$405,0)),"")</f>
        <v/>
      </c>
      <c r="D719">
        <f>IFERROR(INDEX(資格取込!$R$6:$R$405,MATCH(28&amp;"_"&amp;9,資格取込!$Z$6:$Z$405,0)),"")</f>
        <v/>
      </c>
      <c r="E719">
        <f>IF(D719="","",IFERROR(INDEX(資格マスタ!$B:$B,MATCH(ASC(SUBSTITUTE(SUBSTITUTE(D719," ",""),"　","")),資格マスタ!$D:$D,0)),D719))</f>
        <v/>
      </c>
      <c r="F719">
        <f>IF(E719="","",IF(C719="",DATE(9999,1,1),C719))</f>
        <v/>
      </c>
      <c r="G719">
        <f>IF(E719="","",COUNTIFS($F$705:$F$730,"&lt;"&amp;F719,$F$705:$F$730,"&lt;&gt;")+COUNTIFS($F$705:$F$730,F719,$B$705:$B$730,"&lt;"&amp;B719)+1)</f>
        <v/>
      </c>
      <c r="H719">
        <f>IF(OR(E719="",C719=""),"",IF(C719&gt;=DATE(2019,5,1),"令和"&amp;(YEAR(C719)-2018),IF(C719&gt;=DATE(1989,1,8),"平成"&amp;(YEAR(C719)-1988),"昭和"&amp;(YEAR(C719)-1925)))&amp;"年"&amp;MONTH(C719)&amp;"月")</f>
        <v/>
      </c>
    </row>
    <row r="720">
      <c r="A720" t="n">
        <v>28</v>
      </c>
      <c r="B720" t="n">
        <v>16</v>
      </c>
      <c r="C720">
        <f>IFERROR(INDEX(資格取込!$S$6:$S$405,MATCH(28&amp;"_"&amp;10,資格取込!$Z$6:$Z$405,0)),"")</f>
        <v/>
      </c>
      <c r="D720">
        <f>IFERROR(INDEX(資格取込!$R$6:$R$405,MATCH(28&amp;"_"&amp;10,資格取込!$Z$6:$Z$405,0)),"")</f>
        <v/>
      </c>
      <c r="E720">
        <f>IF(D720="","",IFERROR(INDEX(資格マスタ!$B:$B,MATCH(ASC(SUBSTITUTE(SUBSTITUTE(D720," ",""),"　","")),資格マスタ!$D:$D,0)),D720))</f>
        <v/>
      </c>
      <c r="F720">
        <f>IF(E720="","",IF(C720="",DATE(9999,1,1),C720))</f>
        <v/>
      </c>
      <c r="G720">
        <f>IF(E720="","",COUNTIFS($F$705:$F$730,"&lt;"&amp;F720,$F$705:$F$730,"&lt;&gt;")+COUNTIFS($F$705:$F$730,F720,$B$705:$B$730,"&lt;"&amp;B720)+1)</f>
        <v/>
      </c>
      <c r="H720">
        <f>IF(OR(E720="",C720=""),"",IF(C720&gt;=DATE(2019,5,1),"令和"&amp;(YEAR(C720)-2018),IF(C720&gt;=DATE(1989,1,8),"平成"&amp;(YEAR(C720)-1988),"昭和"&amp;(YEAR(C720)-1925)))&amp;"年"&amp;MONTH(C720)&amp;"月")</f>
        <v/>
      </c>
    </row>
    <row r="721">
      <c r="A721" t="n">
        <v>28</v>
      </c>
      <c r="B721" t="n">
        <v>17</v>
      </c>
      <c r="C721">
        <f>IFERROR(INDEX(資格取込!$S$6:$S$405,MATCH(28&amp;"_"&amp;11,資格取込!$Z$6:$Z$405,0)),"")</f>
        <v/>
      </c>
      <c r="D721">
        <f>IFERROR(INDEX(資格取込!$R$6:$R$405,MATCH(28&amp;"_"&amp;11,資格取込!$Z$6:$Z$405,0)),"")</f>
        <v/>
      </c>
      <c r="E721">
        <f>IF(D721="","",IFERROR(INDEX(資格マスタ!$B:$B,MATCH(ASC(SUBSTITUTE(SUBSTITUTE(D721," ",""),"　","")),資格マスタ!$D:$D,0)),D721))</f>
        <v/>
      </c>
      <c r="F721">
        <f>IF(E721="","",IF(C721="",DATE(9999,1,1),C721))</f>
        <v/>
      </c>
      <c r="G721">
        <f>IF(E721="","",COUNTIFS($F$705:$F$730,"&lt;"&amp;F721,$F$705:$F$730,"&lt;&gt;")+COUNTIFS($F$705:$F$730,F721,$B$705:$B$730,"&lt;"&amp;B721)+1)</f>
        <v/>
      </c>
      <c r="H721">
        <f>IF(OR(E721="",C721=""),"",IF(C721&gt;=DATE(2019,5,1),"令和"&amp;(YEAR(C721)-2018),IF(C721&gt;=DATE(1989,1,8),"平成"&amp;(YEAR(C721)-1988),"昭和"&amp;(YEAR(C721)-1925)))&amp;"年"&amp;MONTH(C721)&amp;"月")</f>
        <v/>
      </c>
    </row>
    <row r="722">
      <c r="A722" t="n">
        <v>28</v>
      </c>
      <c r="B722" t="n">
        <v>18</v>
      </c>
      <c r="C722">
        <f>IFERROR(INDEX(資格取込!$S$6:$S$405,MATCH(28&amp;"_"&amp;12,資格取込!$Z$6:$Z$405,0)),"")</f>
        <v/>
      </c>
      <c r="D722">
        <f>IFERROR(INDEX(資格取込!$R$6:$R$405,MATCH(28&amp;"_"&amp;12,資格取込!$Z$6:$Z$405,0)),"")</f>
        <v/>
      </c>
      <c r="E722">
        <f>IF(D722="","",IFERROR(INDEX(資格マスタ!$B:$B,MATCH(ASC(SUBSTITUTE(SUBSTITUTE(D722," ",""),"　","")),資格マスタ!$D:$D,0)),D722))</f>
        <v/>
      </c>
      <c r="F722">
        <f>IF(E722="","",IF(C722="",DATE(9999,1,1),C722))</f>
        <v/>
      </c>
      <c r="G722">
        <f>IF(E722="","",COUNTIFS($F$705:$F$730,"&lt;"&amp;F722,$F$705:$F$730,"&lt;&gt;")+COUNTIFS($F$705:$F$730,F722,$B$705:$B$730,"&lt;"&amp;B722)+1)</f>
        <v/>
      </c>
      <c r="H722">
        <f>IF(OR(E722="",C722=""),"",IF(C722&gt;=DATE(2019,5,1),"令和"&amp;(YEAR(C722)-2018),IF(C722&gt;=DATE(1989,1,8),"平成"&amp;(YEAR(C722)-1988),"昭和"&amp;(YEAR(C722)-1925)))&amp;"年"&amp;MONTH(C722)&amp;"月")</f>
        <v/>
      </c>
    </row>
    <row r="723">
      <c r="A723" t="n">
        <v>28</v>
      </c>
      <c r="B723" t="n">
        <v>19</v>
      </c>
      <c r="C723">
        <f>IFERROR(INDEX(資格取込!$S$6:$S$405,MATCH(28&amp;"_"&amp;13,資格取込!$Z$6:$Z$405,0)),"")</f>
        <v/>
      </c>
      <c r="D723">
        <f>IFERROR(INDEX(資格取込!$R$6:$R$405,MATCH(28&amp;"_"&amp;13,資格取込!$Z$6:$Z$405,0)),"")</f>
        <v/>
      </c>
      <c r="E723">
        <f>IF(D723="","",IFERROR(INDEX(資格マスタ!$B:$B,MATCH(ASC(SUBSTITUTE(SUBSTITUTE(D723," ",""),"　","")),資格マスタ!$D:$D,0)),D723))</f>
        <v/>
      </c>
      <c r="F723">
        <f>IF(E723="","",IF(C723="",DATE(9999,1,1),C723))</f>
        <v/>
      </c>
      <c r="G723">
        <f>IF(E723="","",COUNTIFS($F$705:$F$730,"&lt;"&amp;F723,$F$705:$F$730,"&lt;&gt;")+COUNTIFS($F$705:$F$730,F723,$B$705:$B$730,"&lt;"&amp;B723)+1)</f>
        <v/>
      </c>
      <c r="H723">
        <f>IF(OR(E723="",C723=""),"",IF(C723&gt;=DATE(2019,5,1),"令和"&amp;(YEAR(C723)-2018),IF(C723&gt;=DATE(1989,1,8),"平成"&amp;(YEAR(C723)-1988),"昭和"&amp;(YEAR(C723)-1925)))&amp;"年"&amp;MONTH(C723)&amp;"月")</f>
        <v/>
      </c>
    </row>
    <row r="724">
      <c r="A724" t="n">
        <v>28</v>
      </c>
      <c r="B724" t="n">
        <v>20</v>
      </c>
      <c r="C724">
        <f>IFERROR(INDEX(資格取込!$S$6:$S$405,MATCH(28&amp;"_"&amp;14,資格取込!$Z$6:$Z$405,0)),"")</f>
        <v/>
      </c>
      <c r="D724">
        <f>IFERROR(INDEX(資格取込!$R$6:$R$405,MATCH(28&amp;"_"&amp;14,資格取込!$Z$6:$Z$405,0)),"")</f>
        <v/>
      </c>
      <c r="E724">
        <f>IF(D724="","",IFERROR(INDEX(資格マスタ!$B:$B,MATCH(ASC(SUBSTITUTE(SUBSTITUTE(D724," ",""),"　","")),資格マスタ!$D:$D,0)),D724))</f>
        <v/>
      </c>
      <c r="F724">
        <f>IF(E724="","",IF(C724="",DATE(9999,1,1),C724))</f>
        <v/>
      </c>
      <c r="G724">
        <f>IF(E724="","",COUNTIFS($F$705:$F$730,"&lt;"&amp;F724,$F$705:$F$730,"&lt;&gt;")+COUNTIFS($F$705:$F$730,F724,$B$705:$B$730,"&lt;"&amp;B724)+1)</f>
        <v/>
      </c>
      <c r="H724">
        <f>IF(OR(E724="",C724=""),"",IF(C724&gt;=DATE(2019,5,1),"令和"&amp;(YEAR(C724)-2018),IF(C724&gt;=DATE(1989,1,8),"平成"&amp;(YEAR(C724)-1988),"昭和"&amp;(YEAR(C724)-1925)))&amp;"年"&amp;MONTH(C724)&amp;"月")</f>
        <v/>
      </c>
    </row>
    <row r="725">
      <c r="A725" t="n">
        <v>28</v>
      </c>
      <c r="B725" t="n">
        <v>21</v>
      </c>
      <c r="C725">
        <f>IFERROR(INDEX(資格取込!$S$6:$S$405,MATCH(28&amp;"_"&amp;15,資格取込!$Z$6:$Z$405,0)),"")</f>
        <v/>
      </c>
      <c r="D725">
        <f>IFERROR(INDEX(資格取込!$R$6:$R$405,MATCH(28&amp;"_"&amp;15,資格取込!$Z$6:$Z$405,0)),"")</f>
        <v/>
      </c>
      <c r="E725">
        <f>IF(D725="","",IFERROR(INDEX(資格マスタ!$B:$B,MATCH(ASC(SUBSTITUTE(SUBSTITUTE(D725," ",""),"　","")),資格マスタ!$D:$D,0)),D725))</f>
        <v/>
      </c>
      <c r="F725">
        <f>IF(E725="","",IF(C725="",DATE(9999,1,1),C725))</f>
        <v/>
      </c>
      <c r="G725">
        <f>IF(E725="","",COUNTIFS($F$705:$F$730,"&lt;"&amp;F725,$F$705:$F$730,"&lt;&gt;")+COUNTIFS($F$705:$F$730,F725,$B$705:$B$730,"&lt;"&amp;B725)+1)</f>
        <v/>
      </c>
      <c r="H725">
        <f>IF(OR(E725="",C725=""),"",IF(C725&gt;=DATE(2019,5,1),"令和"&amp;(YEAR(C725)-2018),IF(C725&gt;=DATE(1989,1,8),"平成"&amp;(YEAR(C725)-1988),"昭和"&amp;(YEAR(C725)-1925)))&amp;"年"&amp;MONTH(C725)&amp;"月")</f>
        <v/>
      </c>
    </row>
    <row r="726">
      <c r="A726" t="n">
        <v>28</v>
      </c>
      <c r="B726" t="n">
        <v>22</v>
      </c>
      <c r="C726">
        <f>IFERROR(INDEX(資格取込!$S$6:$S$405,MATCH(28&amp;"_"&amp;16,資格取込!$Z$6:$Z$405,0)),"")</f>
        <v/>
      </c>
      <c r="D726">
        <f>IFERROR(INDEX(資格取込!$R$6:$R$405,MATCH(28&amp;"_"&amp;16,資格取込!$Z$6:$Z$405,0)),"")</f>
        <v/>
      </c>
      <c r="E726">
        <f>IF(D726="","",IFERROR(INDEX(資格マスタ!$B:$B,MATCH(ASC(SUBSTITUTE(SUBSTITUTE(D726," ",""),"　","")),資格マスタ!$D:$D,0)),D726))</f>
        <v/>
      </c>
      <c r="F726">
        <f>IF(E726="","",IF(C726="",DATE(9999,1,1),C726))</f>
        <v/>
      </c>
      <c r="G726">
        <f>IF(E726="","",COUNTIFS($F$705:$F$730,"&lt;"&amp;F726,$F$705:$F$730,"&lt;&gt;")+COUNTIFS($F$705:$F$730,F726,$B$705:$B$730,"&lt;"&amp;B726)+1)</f>
        <v/>
      </c>
      <c r="H726">
        <f>IF(OR(E726="",C726=""),"",IF(C726&gt;=DATE(2019,5,1),"令和"&amp;(YEAR(C726)-2018),IF(C726&gt;=DATE(1989,1,8),"平成"&amp;(YEAR(C726)-1988),"昭和"&amp;(YEAR(C726)-1925)))&amp;"年"&amp;MONTH(C726)&amp;"月")</f>
        <v/>
      </c>
    </row>
    <row r="727">
      <c r="A727" t="n">
        <v>28</v>
      </c>
      <c r="B727" t="n">
        <v>23</v>
      </c>
      <c r="C727">
        <f>IFERROR(INDEX(資格取込!$S$6:$S$405,MATCH(28&amp;"_"&amp;17,資格取込!$Z$6:$Z$405,0)),"")</f>
        <v/>
      </c>
      <c r="D727">
        <f>IFERROR(INDEX(資格取込!$R$6:$R$405,MATCH(28&amp;"_"&amp;17,資格取込!$Z$6:$Z$405,0)),"")</f>
        <v/>
      </c>
      <c r="E727">
        <f>IF(D727="","",IFERROR(INDEX(資格マスタ!$B:$B,MATCH(ASC(SUBSTITUTE(SUBSTITUTE(D727," ",""),"　","")),資格マスタ!$D:$D,0)),D727))</f>
        <v/>
      </c>
      <c r="F727">
        <f>IF(E727="","",IF(C727="",DATE(9999,1,1),C727))</f>
        <v/>
      </c>
      <c r="G727">
        <f>IF(E727="","",COUNTIFS($F$705:$F$730,"&lt;"&amp;F727,$F$705:$F$730,"&lt;&gt;")+COUNTIFS($F$705:$F$730,F727,$B$705:$B$730,"&lt;"&amp;B727)+1)</f>
        <v/>
      </c>
      <c r="H727">
        <f>IF(OR(E727="",C727=""),"",IF(C727&gt;=DATE(2019,5,1),"令和"&amp;(YEAR(C727)-2018),IF(C727&gt;=DATE(1989,1,8),"平成"&amp;(YEAR(C727)-1988),"昭和"&amp;(YEAR(C727)-1925)))&amp;"年"&amp;MONTH(C727)&amp;"月")</f>
        <v/>
      </c>
    </row>
    <row r="728">
      <c r="A728" t="n">
        <v>28</v>
      </c>
      <c r="B728" t="n">
        <v>24</v>
      </c>
      <c r="C728">
        <f>IFERROR(INDEX(資格取込!$S$6:$S$405,MATCH(28&amp;"_"&amp;18,資格取込!$Z$6:$Z$405,0)),"")</f>
        <v/>
      </c>
      <c r="D728">
        <f>IFERROR(INDEX(資格取込!$R$6:$R$405,MATCH(28&amp;"_"&amp;18,資格取込!$Z$6:$Z$405,0)),"")</f>
        <v/>
      </c>
      <c r="E728">
        <f>IF(D728="","",IFERROR(INDEX(資格マスタ!$B:$B,MATCH(ASC(SUBSTITUTE(SUBSTITUTE(D728," ",""),"　","")),資格マスタ!$D:$D,0)),D728))</f>
        <v/>
      </c>
      <c r="F728">
        <f>IF(E728="","",IF(C728="",DATE(9999,1,1),C728))</f>
        <v/>
      </c>
      <c r="G728">
        <f>IF(E728="","",COUNTIFS($F$705:$F$730,"&lt;"&amp;F728,$F$705:$F$730,"&lt;&gt;")+COUNTIFS($F$705:$F$730,F728,$B$705:$B$730,"&lt;"&amp;B728)+1)</f>
        <v/>
      </c>
      <c r="H728">
        <f>IF(OR(E728="",C728=""),"",IF(C728&gt;=DATE(2019,5,1),"令和"&amp;(YEAR(C728)-2018),IF(C728&gt;=DATE(1989,1,8),"平成"&amp;(YEAR(C728)-1988),"昭和"&amp;(YEAR(C728)-1925)))&amp;"年"&amp;MONTH(C728)&amp;"月")</f>
        <v/>
      </c>
    </row>
    <row r="729">
      <c r="A729" t="n">
        <v>28</v>
      </c>
      <c r="B729" t="n">
        <v>25</v>
      </c>
      <c r="C729">
        <f>IFERROR(INDEX(資格取込!$S$6:$S$405,MATCH(28&amp;"_"&amp;19,資格取込!$Z$6:$Z$405,0)),"")</f>
        <v/>
      </c>
      <c r="D729">
        <f>IFERROR(INDEX(資格取込!$R$6:$R$405,MATCH(28&amp;"_"&amp;19,資格取込!$Z$6:$Z$405,0)),"")</f>
        <v/>
      </c>
      <c r="E729">
        <f>IF(D729="","",IFERROR(INDEX(資格マスタ!$B:$B,MATCH(ASC(SUBSTITUTE(SUBSTITUTE(D729," ",""),"　","")),資格マスタ!$D:$D,0)),D729))</f>
        <v/>
      </c>
      <c r="F729">
        <f>IF(E729="","",IF(C729="",DATE(9999,1,1),C729))</f>
        <v/>
      </c>
      <c r="G729">
        <f>IF(E729="","",COUNTIFS($F$705:$F$730,"&lt;"&amp;F729,$F$705:$F$730,"&lt;&gt;")+COUNTIFS($F$705:$F$730,F729,$B$705:$B$730,"&lt;"&amp;B729)+1)</f>
        <v/>
      </c>
      <c r="H729">
        <f>IF(OR(E729="",C729=""),"",IF(C729&gt;=DATE(2019,5,1),"令和"&amp;(YEAR(C729)-2018),IF(C729&gt;=DATE(1989,1,8),"平成"&amp;(YEAR(C729)-1988),"昭和"&amp;(YEAR(C729)-1925)))&amp;"年"&amp;MONTH(C729)&amp;"月")</f>
        <v/>
      </c>
    </row>
    <row r="730">
      <c r="A730" t="n">
        <v>28</v>
      </c>
      <c r="B730" t="n">
        <v>26</v>
      </c>
      <c r="C730">
        <f>IFERROR(INDEX(資格取込!$S$6:$S$405,MATCH(28&amp;"_"&amp;20,資格取込!$Z$6:$Z$405,0)),"")</f>
        <v/>
      </c>
      <c r="D730">
        <f>IFERROR(INDEX(資格取込!$R$6:$R$405,MATCH(28&amp;"_"&amp;20,資格取込!$Z$6:$Z$405,0)),"")</f>
        <v/>
      </c>
      <c r="E730">
        <f>IF(D730="","",IFERROR(INDEX(資格マスタ!$B:$B,MATCH(ASC(SUBSTITUTE(SUBSTITUTE(D730," ",""),"　","")),資格マスタ!$D:$D,0)),D730))</f>
        <v/>
      </c>
      <c r="F730">
        <f>IF(E730="","",IF(C730="",DATE(9999,1,1),C730))</f>
        <v/>
      </c>
      <c r="G730">
        <f>IF(E730="","",COUNTIFS($F$705:$F$730,"&lt;"&amp;F730,$F$705:$F$730,"&lt;&gt;")+COUNTIFS($F$705:$F$730,F730,$B$705:$B$730,"&lt;"&amp;B730)+1)</f>
        <v/>
      </c>
      <c r="H730">
        <f>IF(OR(E730="",C730=""),"",IF(C730&gt;=DATE(2019,5,1),"令和"&amp;(YEAR(C730)-2018),IF(C730&gt;=DATE(1989,1,8),"平成"&amp;(YEAR(C730)-1988),"昭和"&amp;(YEAR(C730)-1925)))&amp;"年"&amp;MONTH(C730)&amp;"月")</f>
        <v/>
      </c>
    </row>
    <row r="731">
      <c r="A731" t="n">
        <v>29</v>
      </c>
      <c r="B731" t="n">
        <v>1</v>
      </c>
      <c r="C731"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731">
        <f>IF(入力!N33="","",入力!N33)</f>
        <v/>
      </c>
      <c r="E731">
        <f>IF(D731="","",IFERROR(INDEX(資格マスタ!$B:$B,MATCH(ASC(SUBSTITUTE(SUBSTITUTE(D731," ",""),"　","")),資格マスタ!$D:$D,0)),D731))</f>
        <v/>
      </c>
      <c r="F731">
        <f>IF(E731="","",IF(C731="",DATE(9999,1,1),C731))</f>
        <v/>
      </c>
      <c r="G731">
        <f>IF(E731="","",COUNTIFS($F$731:$F$756,"&lt;"&amp;F731,$F$731:$F$756,"&lt;&gt;")+COUNTIFS($F$731:$F$756,F731,$B$731:$B$756,"&lt;"&amp;B731)+1)</f>
        <v/>
      </c>
      <c r="H731">
        <f>IF(OR(E731="",C731=""),"",IF(C731&gt;=DATE(2019,5,1),"令和"&amp;(YEAR(C731)-2018),IF(C731&gt;=DATE(1989,1,8),"平成"&amp;(YEAR(C731)-1988),"昭和"&amp;(YEAR(C731)-1925)))&amp;"年"&amp;MONTH(C731)&amp;"月")</f>
        <v/>
      </c>
    </row>
    <row r="732">
      <c r="A732" t="n">
        <v>29</v>
      </c>
      <c r="B732" t="n">
        <v>2</v>
      </c>
      <c r="C732">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732">
        <f>IF(入力!P33="","",入力!P33)</f>
        <v/>
      </c>
      <c r="E732">
        <f>IF(D732="","",IFERROR(INDEX(資格マスタ!$B:$B,MATCH(ASC(SUBSTITUTE(SUBSTITUTE(D732," ",""),"　","")),資格マスタ!$D:$D,0)),D732))</f>
        <v/>
      </c>
      <c r="F732">
        <f>IF(E732="","",IF(C732="",DATE(9999,1,1),C732))</f>
        <v/>
      </c>
      <c r="G732">
        <f>IF(E732="","",COUNTIFS($F$731:$F$756,"&lt;"&amp;F732,$F$731:$F$756,"&lt;&gt;")+COUNTIFS($F$731:$F$756,F732,$B$731:$B$756,"&lt;"&amp;B732)+1)</f>
        <v/>
      </c>
      <c r="H732">
        <f>IF(OR(E732="",C732=""),"",IF(C732&gt;=DATE(2019,5,1),"令和"&amp;(YEAR(C732)-2018),IF(C732&gt;=DATE(1989,1,8),"平成"&amp;(YEAR(C732)-1988),"昭和"&amp;(YEAR(C732)-1925)))&amp;"年"&amp;MONTH(C732)&amp;"月")</f>
        <v/>
      </c>
    </row>
    <row r="733">
      <c r="A733" t="n">
        <v>29</v>
      </c>
      <c r="B733" t="n">
        <v>3</v>
      </c>
      <c r="C733">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733">
        <f>IF(入力!R33="","",入力!R33)</f>
        <v/>
      </c>
      <c r="E733">
        <f>IF(D733="","",IFERROR(INDEX(資格マスタ!$B:$B,MATCH(ASC(SUBSTITUTE(SUBSTITUTE(D733," ",""),"　","")),資格マスタ!$D:$D,0)),D733))</f>
        <v/>
      </c>
      <c r="F733">
        <f>IF(E733="","",IF(C733="",DATE(9999,1,1),C733))</f>
        <v/>
      </c>
      <c r="G733">
        <f>IF(E733="","",COUNTIFS($F$731:$F$756,"&lt;"&amp;F733,$F$731:$F$756,"&lt;&gt;")+COUNTIFS($F$731:$F$756,F733,$B$731:$B$756,"&lt;"&amp;B733)+1)</f>
        <v/>
      </c>
      <c r="H733">
        <f>IF(OR(E733="",C733=""),"",IF(C733&gt;=DATE(2019,5,1),"令和"&amp;(YEAR(C733)-2018),IF(C733&gt;=DATE(1989,1,8),"平成"&amp;(YEAR(C733)-1988),"昭和"&amp;(YEAR(C733)-1925)))&amp;"年"&amp;MONTH(C733)&amp;"月")</f>
        <v/>
      </c>
    </row>
    <row r="734">
      <c r="A734" t="n">
        <v>29</v>
      </c>
      <c r="B734" t="n">
        <v>4</v>
      </c>
      <c r="C734">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734">
        <f>IF(入力!T33="","",入力!T33)</f>
        <v/>
      </c>
      <c r="E734">
        <f>IF(D734="","",IFERROR(INDEX(資格マスタ!$B:$B,MATCH(ASC(SUBSTITUTE(SUBSTITUTE(D734," ",""),"　","")),資格マスタ!$D:$D,0)),D734))</f>
        <v/>
      </c>
      <c r="F734">
        <f>IF(E734="","",IF(C734="",DATE(9999,1,1),C734))</f>
        <v/>
      </c>
      <c r="G734">
        <f>IF(E734="","",COUNTIFS($F$731:$F$756,"&lt;"&amp;F734,$F$731:$F$756,"&lt;&gt;")+COUNTIFS($F$731:$F$756,F734,$B$731:$B$756,"&lt;"&amp;B734)+1)</f>
        <v/>
      </c>
      <c r="H734">
        <f>IF(OR(E734="",C734=""),"",IF(C734&gt;=DATE(2019,5,1),"令和"&amp;(YEAR(C734)-2018),IF(C734&gt;=DATE(1989,1,8),"平成"&amp;(YEAR(C734)-1988),"昭和"&amp;(YEAR(C734)-1925)))&amp;"年"&amp;MONTH(C734)&amp;"月")</f>
        <v/>
      </c>
    </row>
    <row r="735">
      <c r="A735" t="n">
        <v>29</v>
      </c>
      <c r="B735" t="n">
        <v>5</v>
      </c>
      <c r="C735">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735">
        <f>IF(入力!V33="","",入力!V33)</f>
        <v/>
      </c>
      <c r="E735">
        <f>IF(D735="","",IFERROR(INDEX(資格マスタ!$B:$B,MATCH(ASC(SUBSTITUTE(SUBSTITUTE(D735," ",""),"　","")),資格マスタ!$D:$D,0)),D735))</f>
        <v/>
      </c>
      <c r="F735">
        <f>IF(E735="","",IF(C735="",DATE(9999,1,1),C735))</f>
        <v/>
      </c>
      <c r="G735">
        <f>IF(E735="","",COUNTIFS($F$731:$F$756,"&lt;"&amp;F735,$F$731:$F$756,"&lt;&gt;")+COUNTIFS($F$731:$F$756,F735,$B$731:$B$756,"&lt;"&amp;B735)+1)</f>
        <v/>
      </c>
      <c r="H735">
        <f>IF(OR(E735="",C735=""),"",IF(C735&gt;=DATE(2019,5,1),"令和"&amp;(YEAR(C735)-2018),IF(C735&gt;=DATE(1989,1,8),"平成"&amp;(YEAR(C735)-1988),"昭和"&amp;(YEAR(C735)-1925)))&amp;"年"&amp;MONTH(C735)&amp;"月")</f>
        <v/>
      </c>
    </row>
    <row r="736">
      <c r="A736" t="n">
        <v>29</v>
      </c>
      <c r="B736" t="n">
        <v>6</v>
      </c>
      <c r="C736">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736">
        <f>IF(入力!X33="","",入力!X33)</f>
        <v/>
      </c>
      <c r="E736">
        <f>IF(D736="","",IFERROR(INDEX(資格マスタ!$B:$B,MATCH(ASC(SUBSTITUTE(SUBSTITUTE(D736," ",""),"　","")),資格マスタ!$D:$D,0)),D736))</f>
        <v/>
      </c>
      <c r="F736">
        <f>IF(E736="","",IF(C736="",DATE(9999,1,1),C736))</f>
        <v/>
      </c>
      <c r="G736">
        <f>IF(E736="","",COUNTIFS($F$731:$F$756,"&lt;"&amp;F736,$F$731:$F$756,"&lt;&gt;")+COUNTIFS($F$731:$F$756,F736,$B$731:$B$756,"&lt;"&amp;B736)+1)</f>
        <v/>
      </c>
      <c r="H736">
        <f>IF(OR(E736="",C736=""),"",IF(C736&gt;=DATE(2019,5,1),"令和"&amp;(YEAR(C736)-2018),IF(C736&gt;=DATE(1989,1,8),"平成"&amp;(YEAR(C736)-1988),"昭和"&amp;(YEAR(C736)-1925)))&amp;"年"&amp;MONTH(C736)&amp;"月")</f>
        <v/>
      </c>
    </row>
    <row r="737">
      <c r="A737" t="n">
        <v>29</v>
      </c>
      <c r="B737" t="n">
        <v>7</v>
      </c>
      <c r="C737">
        <f>IFERROR(INDEX(資格取込!$S$6:$S$405,MATCH(29&amp;"_"&amp;1,資格取込!$Z$6:$Z$405,0)),"")</f>
        <v/>
      </c>
      <c r="D737">
        <f>IFERROR(INDEX(資格取込!$R$6:$R$405,MATCH(29&amp;"_"&amp;1,資格取込!$Z$6:$Z$405,0)),"")</f>
        <v/>
      </c>
      <c r="E737">
        <f>IF(D737="","",IFERROR(INDEX(資格マスタ!$B:$B,MATCH(ASC(SUBSTITUTE(SUBSTITUTE(D737," ",""),"　","")),資格マスタ!$D:$D,0)),D737))</f>
        <v/>
      </c>
      <c r="F737">
        <f>IF(E737="","",IF(C737="",DATE(9999,1,1),C737))</f>
        <v/>
      </c>
      <c r="G737">
        <f>IF(E737="","",COUNTIFS($F$731:$F$756,"&lt;"&amp;F737,$F$731:$F$756,"&lt;&gt;")+COUNTIFS($F$731:$F$756,F737,$B$731:$B$756,"&lt;"&amp;B737)+1)</f>
        <v/>
      </c>
      <c r="H737">
        <f>IF(OR(E737="",C737=""),"",IF(C737&gt;=DATE(2019,5,1),"令和"&amp;(YEAR(C737)-2018),IF(C737&gt;=DATE(1989,1,8),"平成"&amp;(YEAR(C737)-1988),"昭和"&amp;(YEAR(C737)-1925)))&amp;"年"&amp;MONTH(C737)&amp;"月")</f>
        <v/>
      </c>
    </row>
    <row r="738">
      <c r="A738" t="n">
        <v>29</v>
      </c>
      <c r="B738" t="n">
        <v>8</v>
      </c>
      <c r="C738">
        <f>IFERROR(INDEX(資格取込!$S$6:$S$405,MATCH(29&amp;"_"&amp;2,資格取込!$Z$6:$Z$405,0)),"")</f>
        <v/>
      </c>
      <c r="D738">
        <f>IFERROR(INDEX(資格取込!$R$6:$R$405,MATCH(29&amp;"_"&amp;2,資格取込!$Z$6:$Z$405,0)),"")</f>
        <v/>
      </c>
      <c r="E738">
        <f>IF(D738="","",IFERROR(INDEX(資格マスタ!$B:$B,MATCH(ASC(SUBSTITUTE(SUBSTITUTE(D738," ",""),"　","")),資格マスタ!$D:$D,0)),D738))</f>
        <v/>
      </c>
      <c r="F738">
        <f>IF(E738="","",IF(C738="",DATE(9999,1,1),C738))</f>
        <v/>
      </c>
      <c r="G738">
        <f>IF(E738="","",COUNTIFS($F$731:$F$756,"&lt;"&amp;F738,$F$731:$F$756,"&lt;&gt;")+COUNTIFS($F$731:$F$756,F738,$B$731:$B$756,"&lt;"&amp;B738)+1)</f>
        <v/>
      </c>
      <c r="H738">
        <f>IF(OR(E738="",C738=""),"",IF(C738&gt;=DATE(2019,5,1),"令和"&amp;(YEAR(C738)-2018),IF(C738&gt;=DATE(1989,1,8),"平成"&amp;(YEAR(C738)-1988),"昭和"&amp;(YEAR(C738)-1925)))&amp;"年"&amp;MONTH(C738)&amp;"月")</f>
        <v/>
      </c>
    </row>
    <row r="739">
      <c r="A739" t="n">
        <v>29</v>
      </c>
      <c r="B739" t="n">
        <v>9</v>
      </c>
      <c r="C739">
        <f>IFERROR(INDEX(資格取込!$S$6:$S$405,MATCH(29&amp;"_"&amp;3,資格取込!$Z$6:$Z$405,0)),"")</f>
        <v/>
      </c>
      <c r="D739">
        <f>IFERROR(INDEX(資格取込!$R$6:$R$405,MATCH(29&amp;"_"&amp;3,資格取込!$Z$6:$Z$405,0)),"")</f>
        <v/>
      </c>
      <c r="E739">
        <f>IF(D739="","",IFERROR(INDEX(資格マスタ!$B:$B,MATCH(ASC(SUBSTITUTE(SUBSTITUTE(D739," ",""),"　","")),資格マスタ!$D:$D,0)),D739))</f>
        <v/>
      </c>
      <c r="F739">
        <f>IF(E739="","",IF(C739="",DATE(9999,1,1),C739))</f>
        <v/>
      </c>
      <c r="G739">
        <f>IF(E739="","",COUNTIFS($F$731:$F$756,"&lt;"&amp;F739,$F$731:$F$756,"&lt;&gt;")+COUNTIFS($F$731:$F$756,F739,$B$731:$B$756,"&lt;"&amp;B739)+1)</f>
        <v/>
      </c>
      <c r="H739">
        <f>IF(OR(E739="",C739=""),"",IF(C739&gt;=DATE(2019,5,1),"令和"&amp;(YEAR(C739)-2018),IF(C739&gt;=DATE(1989,1,8),"平成"&amp;(YEAR(C739)-1988),"昭和"&amp;(YEAR(C739)-1925)))&amp;"年"&amp;MONTH(C739)&amp;"月")</f>
        <v/>
      </c>
    </row>
    <row r="740">
      <c r="A740" t="n">
        <v>29</v>
      </c>
      <c r="B740" t="n">
        <v>10</v>
      </c>
      <c r="C740">
        <f>IFERROR(INDEX(資格取込!$S$6:$S$405,MATCH(29&amp;"_"&amp;4,資格取込!$Z$6:$Z$405,0)),"")</f>
        <v/>
      </c>
      <c r="D740">
        <f>IFERROR(INDEX(資格取込!$R$6:$R$405,MATCH(29&amp;"_"&amp;4,資格取込!$Z$6:$Z$405,0)),"")</f>
        <v/>
      </c>
      <c r="E740">
        <f>IF(D740="","",IFERROR(INDEX(資格マスタ!$B:$B,MATCH(ASC(SUBSTITUTE(SUBSTITUTE(D740," ",""),"　","")),資格マスタ!$D:$D,0)),D740))</f>
        <v/>
      </c>
      <c r="F740">
        <f>IF(E740="","",IF(C740="",DATE(9999,1,1),C740))</f>
        <v/>
      </c>
      <c r="G740">
        <f>IF(E740="","",COUNTIFS($F$731:$F$756,"&lt;"&amp;F740,$F$731:$F$756,"&lt;&gt;")+COUNTIFS($F$731:$F$756,F740,$B$731:$B$756,"&lt;"&amp;B740)+1)</f>
        <v/>
      </c>
      <c r="H740">
        <f>IF(OR(E740="",C740=""),"",IF(C740&gt;=DATE(2019,5,1),"令和"&amp;(YEAR(C740)-2018),IF(C740&gt;=DATE(1989,1,8),"平成"&amp;(YEAR(C740)-1988),"昭和"&amp;(YEAR(C740)-1925)))&amp;"年"&amp;MONTH(C740)&amp;"月")</f>
        <v/>
      </c>
    </row>
    <row r="741">
      <c r="A741" t="n">
        <v>29</v>
      </c>
      <c r="B741" t="n">
        <v>11</v>
      </c>
      <c r="C741">
        <f>IFERROR(INDEX(資格取込!$S$6:$S$405,MATCH(29&amp;"_"&amp;5,資格取込!$Z$6:$Z$405,0)),"")</f>
        <v/>
      </c>
      <c r="D741">
        <f>IFERROR(INDEX(資格取込!$R$6:$R$405,MATCH(29&amp;"_"&amp;5,資格取込!$Z$6:$Z$405,0)),"")</f>
        <v/>
      </c>
      <c r="E741">
        <f>IF(D741="","",IFERROR(INDEX(資格マスタ!$B:$B,MATCH(ASC(SUBSTITUTE(SUBSTITUTE(D741," ",""),"　","")),資格マスタ!$D:$D,0)),D741))</f>
        <v/>
      </c>
      <c r="F741">
        <f>IF(E741="","",IF(C741="",DATE(9999,1,1),C741))</f>
        <v/>
      </c>
      <c r="G741">
        <f>IF(E741="","",COUNTIFS($F$731:$F$756,"&lt;"&amp;F741,$F$731:$F$756,"&lt;&gt;")+COUNTIFS($F$731:$F$756,F741,$B$731:$B$756,"&lt;"&amp;B741)+1)</f>
        <v/>
      </c>
      <c r="H741">
        <f>IF(OR(E741="",C741=""),"",IF(C741&gt;=DATE(2019,5,1),"令和"&amp;(YEAR(C741)-2018),IF(C741&gt;=DATE(1989,1,8),"平成"&amp;(YEAR(C741)-1988),"昭和"&amp;(YEAR(C741)-1925)))&amp;"年"&amp;MONTH(C741)&amp;"月")</f>
        <v/>
      </c>
    </row>
    <row r="742">
      <c r="A742" t="n">
        <v>29</v>
      </c>
      <c r="B742" t="n">
        <v>12</v>
      </c>
      <c r="C742">
        <f>IFERROR(INDEX(資格取込!$S$6:$S$405,MATCH(29&amp;"_"&amp;6,資格取込!$Z$6:$Z$405,0)),"")</f>
        <v/>
      </c>
      <c r="D742">
        <f>IFERROR(INDEX(資格取込!$R$6:$R$405,MATCH(29&amp;"_"&amp;6,資格取込!$Z$6:$Z$405,0)),"")</f>
        <v/>
      </c>
      <c r="E742">
        <f>IF(D742="","",IFERROR(INDEX(資格マスタ!$B:$B,MATCH(ASC(SUBSTITUTE(SUBSTITUTE(D742," ",""),"　","")),資格マスタ!$D:$D,0)),D742))</f>
        <v/>
      </c>
      <c r="F742">
        <f>IF(E742="","",IF(C742="",DATE(9999,1,1),C742))</f>
        <v/>
      </c>
      <c r="G742">
        <f>IF(E742="","",COUNTIFS($F$731:$F$756,"&lt;"&amp;F742,$F$731:$F$756,"&lt;&gt;")+COUNTIFS($F$731:$F$756,F742,$B$731:$B$756,"&lt;"&amp;B742)+1)</f>
        <v/>
      </c>
      <c r="H742">
        <f>IF(OR(E742="",C742=""),"",IF(C742&gt;=DATE(2019,5,1),"令和"&amp;(YEAR(C742)-2018),IF(C742&gt;=DATE(1989,1,8),"平成"&amp;(YEAR(C742)-1988),"昭和"&amp;(YEAR(C742)-1925)))&amp;"年"&amp;MONTH(C742)&amp;"月")</f>
        <v/>
      </c>
    </row>
    <row r="743">
      <c r="A743" t="n">
        <v>29</v>
      </c>
      <c r="B743" t="n">
        <v>13</v>
      </c>
      <c r="C743">
        <f>IFERROR(INDEX(資格取込!$S$6:$S$405,MATCH(29&amp;"_"&amp;7,資格取込!$Z$6:$Z$405,0)),"")</f>
        <v/>
      </c>
      <c r="D743">
        <f>IFERROR(INDEX(資格取込!$R$6:$R$405,MATCH(29&amp;"_"&amp;7,資格取込!$Z$6:$Z$405,0)),"")</f>
        <v/>
      </c>
      <c r="E743">
        <f>IF(D743="","",IFERROR(INDEX(資格マスタ!$B:$B,MATCH(ASC(SUBSTITUTE(SUBSTITUTE(D743," ",""),"　","")),資格マスタ!$D:$D,0)),D743))</f>
        <v/>
      </c>
      <c r="F743">
        <f>IF(E743="","",IF(C743="",DATE(9999,1,1),C743))</f>
        <v/>
      </c>
      <c r="G743">
        <f>IF(E743="","",COUNTIFS($F$731:$F$756,"&lt;"&amp;F743,$F$731:$F$756,"&lt;&gt;")+COUNTIFS($F$731:$F$756,F743,$B$731:$B$756,"&lt;"&amp;B743)+1)</f>
        <v/>
      </c>
      <c r="H743">
        <f>IF(OR(E743="",C743=""),"",IF(C743&gt;=DATE(2019,5,1),"令和"&amp;(YEAR(C743)-2018),IF(C743&gt;=DATE(1989,1,8),"平成"&amp;(YEAR(C743)-1988),"昭和"&amp;(YEAR(C743)-1925)))&amp;"年"&amp;MONTH(C743)&amp;"月")</f>
        <v/>
      </c>
    </row>
    <row r="744">
      <c r="A744" t="n">
        <v>29</v>
      </c>
      <c r="B744" t="n">
        <v>14</v>
      </c>
      <c r="C744">
        <f>IFERROR(INDEX(資格取込!$S$6:$S$405,MATCH(29&amp;"_"&amp;8,資格取込!$Z$6:$Z$405,0)),"")</f>
        <v/>
      </c>
      <c r="D744">
        <f>IFERROR(INDEX(資格取込!$R$6:$R$405,MATCH(29&amp;"_"&amp;8,資格取込!$Z$6:$Z$405,0)),"")</f>
        <v/>
      </c>
      <c r="E744">
        <f>IF(D744="","",IFERROR(INDEX(資格マスタ!$B:$B,MATCH(ASC(SUBSTITUTE(SUBSTITUTE(D744," ",""),"　","")),資格マスタ!$D:$D,0)),D744))</f>
        <v/>
      </c>
      <c r="F744">
        <f>IF(E744="","",IF(C744="",DATE(9999,1,1),C744))</f>
        <v/>
      </c>
      <c r="G744">
        <f>IF(E744="","",COUNTIFS($F$731:$F$756,"&lt;"&amp;F744,$F$731:$F$756,"&lt;&gt;")+COUNTIFS($F$731:$F$756,F744,$B$731:$B$756,"&lt;"&amp;B744)+1)</f>
        <v/>
      </c>
      <c r="H744">
        <f>IF(OR(E744="",C744=""),"",IF(C744&gt;=DATE(2019,5,1),"令和"&amp;(YEAR(C744)-2018),IF(C744&gt;=DATE(1989,1,8),"平成"&amp;(YEAR(C744)-1988),"昭和"&amp;(YEAR(C744)-1925)))&amp;"年"&amp;MONTH(C744)&amp;"月")</f>
        <v/>
      </c>
    </row>
    <row r="745">
      <c r="A745" t="n">
        <v>29</v>
      </c>
      <c r="B745" t="n">
        <v>15</v>
      </c>
      <c r="C745">
        <f>IFERROR(INDEX(資格取込!$S$6:$S$405,MATCH(29&amp;"_"&amp;9,資格取込!$Z$6:$Z$405,0)),"")</f>
        <v/>
      </c>
      <c r="D745">
        <f>IFERROR(INDEX(資格取込!$R$6:$R$405,MATCH(29&amp;"_"&amp;9,資格取込!$Z$6:$Z$405,0)),"")</f>
        <v/>
      </c>
      <c r="E745">
        <f>IF(D745="","",IFERROR(INDEX(資格マスタ!$B:$B,MATCH(ASC(SUBSTITUTE(SUBSTITUTE(D745," ",""),"　","")),資格マスタ!$D:$D,0)),D745))</f>
        <v/>
      </c>
      <c r="F745">
        <f>IF(E745="","",IF(C745="",DATE(9999,1,1),C745))</f>
        <v/>
      </c>
      <c r="G745">
        <f>IF(E745="","",COUNTIFS($F$731:$F$756,"&lt;"&amp;F745,$F$731:$F$756,"&lt;&gt;")+COUNTIFS($F$731:$F$756,F745,$B$731:$B$756,"&lt;"&amp;B745)+1)</f>
        <v/>
      </c>
      <c r="H745">
        <f>IF(OR(E745="",C745=""),"",IF(C745&gt;=DATE(2019,5,1),"令和"&amp;(YEAR(C745)-2018),IF(C745&gt;=DATE(1989,1,8),"平成"&amp;(YEAR(C745)-1988),"昭和"&amp;(YEAR(C745)-1925)))&amp;"年"&amp;MONTH(C745)&amp;"月")</f>
        <v/>
      </c>
    </row>
    <row r="746">
      <c r="A746" t="n">
        <v>29</v>
      </c>
      <c r="B746" t="n">
        <v>16</v>
      </c>
      <c r="C746">
        <f>IFERROR(INDEX(資格取込!$S$6:$S$405,MATCH(29&amp;"_"&amp;10,資格取込!$Z$6:$Z$405,0)),"")</f>
        <v/>
      </c>
      <c r="D746">
        <f>IFERROR(INDEX(資格取込!$R$6:$R$405,MATCH(29&amp;"_"&amp;10,資格取込!$Z$6:$Z$405,0)),"")</f>
        <v/>
      </c>
      <c r="E746">
        <f>IF(D746="","",IFERROR(INDEX(資格マスタ!$B:$B,MATCH(ASC(SUBSTITUTE(SUBSTITUTE(D746," ",""),"　","")),資格マスタ!$D:$D,0)),D746))</f>
        <v/>
      </c>
      <c r="F746">
        <f>IF(E746="","",IF(C746="",DATE(9999,1,1),C746))</f>
        <v/>
      </c>
      <c r="G746">
        <f>IF(E746="","",COUNTIFS($F$731:$F$756,"&lt;"&amp;F746,$F$731:$F$756,"&lt;&gt;")+COUNTIFS($F$731:$F$756,F746,$B$731:$B$756,"&lt;"&amp;B746)+1)</f>
        <v/>
      </c>
      <c r="H746">
        <f>IF(OR(E746="",C746=""),"",IF(C746&gt;=DATE(2019,5,1),"令和"&amp;(YEAR(C746)-2018),IF(C746&gt;=DATE(1989,1,8),"平成"&amp;(YEAR(C746)-1988),"昭和"&amp;(YEAR(C746)-1925)))&amp;"年"&amp;MONTH(C746)&amp;"月")</f>
        <v/>
      </c>
    </row>
    <row r="747">
      <c r="A747" t="n">
        <v>29</v>
      </c>
      <c r="B747" t="n">
        <v>17</v>
      </c>
      <c r="C747">
        <f>IFERROR(INDEX(資格取込!$S$6:$S$405,MATCH(29&amp;"_"&amp;11,資格取込!$Z$6:$Z$405,0)),"")</f>
        <v/>
      </c>
      <c r="D747">
        <f>IFERROR(INDEX(資格取込!$R$6:$R$405,MATCH(29&amp;"_"&amp;11,資格取込!$Z$6:$Z$405,0)),"")</f>
        <v/>
      </c>
      <c r="E747">
        <f>IF(D747="","",IFERROR(INDEX(資格マスタ!$B:$B,MATCH(ASC(SUBSTITUTE(SUBSTITUTE(D747," ",""),"　","")),資格マスタ!$D:$D,0)),D747))</f>
        <v/>
      </c>
      <c r="F747">
        <f>IF(E747="","",IF(C747="",DATE(9999,1,1),C747))</f>
        <v/>
      </c>
      <c r="G747">
        <f>IF(E747="","",COUNTIFS($F$731:$F$756,"&lt;"&amp;F747,$F$731:$F$756,"&lt;&gt;")+COUNTIFS($F$731:$F$756,F747,$B$731:$B$756,"&lt;"&amp;B747)+1)</f>
        <v/>
      </c>
      <c r="H747">
        <f>IF(OR(E747="",C747=""),"",IF(C747&gt;=DATE(2019,5,1),"令和"&amp;(YEAR(C747)-2018),IF(C747&gt;=DATE(1989,1,8),"平成"&amp;(YEAR(C747)-1988),"昭和"&amp;(YEAR(C747)-1925)))&amp;"年"&amp;MONTH(C747)&amp;"月")</f>
        <v/>
      </c>
    </row>
    <row r="748">
      <c r="A748" t="n">
        <v>29</v>
      </c>
      <c r="B748" t="n">
        <v>18</v>
      </c>
      <c r="C748">
        <f>IFERROR(INDEX(資格取込!$S$6:$S$405,MATCH(29&amp;"_"&amp;12,資格取込!$Z$6:$Z$405,0)),"")</f>
        <v/>
      </c>
      <c r="D748">
        <f>IFERROR(INDEX(資格取込!$R$6:$R$405,MATCH(29&amp;"_"&amp;12,資格取込!$Z$6:$Z$405,0)),"")</f>
        <v/>
      </c>
      <c r="E748">
        <f>IF(D748="","",IFERROR(INDEX(資格マスタ!$B:$B,MATCH(ASC(SUBSTITUTE(SUBSTITUTE(D748," ",""),"　","")),資格マスタ!$D:$D,0)),D748))</f>
        <v/>
      </c>
      <c r="F748">
        <f>IF(E748="","",IF(C748="",DATE(9999,1,1),C748))</f>
        <v/>
      </c>
      <c r="G748">
        <f>IF(E748="","",COUNTIFS($F$731:$F$756,"&lt;"&amp;F748,$F$731:$F$756,"&lt;&gt;")+COUNTIFS($F$731:$F$756,F748,$B$731:$B$756,"&lt;"&amp;B748)+1)</f>
        <v/>
      </c>
      <c r="H748">
        <f>IF(OR(E748="",C748=""),"",IF(C748&gt;=DATE(2019,5,1),"令和"&amp;(YEAR(C748)-2018),IF(C748&gt;=DATE(1989,1,8),"平成"&amp;(YEAR(C748)-1988),"昭和"&amp;(YEAR(C748)-1925)))&amp;"年"&amp;MONTH(C748)&amp;"月")</f>
        <v/>
      </c>
    </row>
    <row r="749">
      <c r="A749" t="n">
        <v>29</v>
      </c>
      <c r="B749" t="n">
        <v>19</v>
      </c>
      <c r="C749">
        <f>IFERROR(INDEX(資格取込!$S$6:$S$405,MATCH(29&amp;"_"&amp;13,資格取込!$Z$6:$Z$405,0)),"")</f>
        <v/>
      </c>
      <c r="D749">
        <f>IFERROR(INDEX(資格取込!$R$6:$R$405,MATCH(29&amp;"_"&amp;13,資格取込!$Z$6:$Z$405,0)),"")</f>
        <v/>
      </c>
      <c r="E749">
        <f>IF(D749="","",IFERROR(INDEX(資格マスタ!$B:$B,MATCH(ASC(SUBSTITUTE(SUBSTITUTE(D749," ",""),"　","")),資格マスタ!$D:$D,0)),D749))</f>
        <v/>
      </c>
      <c r="F749">
        <f>IF(E749="","",IF(C749="",DATE(9999,1,1),C749))</f>
        <v/>
      </c>
      <c r="G749">
        <f>IF(E749="","",COUNTIFS($F$731:$F$756,"&lt;"&amp;F749,$F$731:$F$756,"&lt;&gt;")+COUNTIFS($F$731:$F$756,F749,$B$731:$B$756,"&lt;"&amp;B749)+1)</f>
        <v/>
      </c>
      <c r="H749">
        <f>IF(OR(E749="",C749=""),"",IF(C749&gt;=DATE(2019,5,1),"令和"&amp;(YEAR(C749)-2018),IF(C749&gt;=DATE(1989,1,8),"平成"&amp;(YEAR(C749)-1988),"昭和"&amp;(YEAR(C749)-1925)))&amp;"年"&amp;MONTH(C749)&amp;"月")</f>
        <v/>
      </c>
    </row>
    <row r="750">
      <c r="A750" t="n">
        <v>29</v>
      </c>
      <c r="B750" t="n">
        <v>20</v>
      </c>
      <c r="C750">
        <f>IFERROR(INDEX(資格取込!$S$6:$S$405,MATCH(29&amp;"_"&amp;14,資格取込!$Z$6:$Z$405,0)),"")</f>
        <v/>
      </c>
      <c r="D750">
        <f>IFERROR(INDEX(資格取込!$R$6:$R$405,MATCH(29&amp;"_"&amp;14,資格取込!$Z$6:$Z$405,0)),"")</f>
        <v/>
      </c>
      <c r="E750">
        <f>IF(D750="","",IFERROR(INDEX(資格マスタ!$B:$B,MATCH(ASC(SUBSTITUTE(SUBSTITUTE(D750," ",""),"　","")),資格マスタ!$D:$D,0)),D750))</f>
        <v/>
      </c>
      <c r="F750">
        <f>IF(E750="","",IF(C750="",DATE(9999,1,1),C750))</f>
        <v/>
      </c>
      <c r="G750">
        <f>IF(E750="","",COUNTIFS($F$731:$F$756,"&lt;"&amp;F750,$F$731:$F$756,"&lt;&gt;")+COUNTIFS($F$731:$F$756,F750,$B$731:$B$756,"&lt;"&amp;B750)+1)</f>
        <v/>
      </c>
      <c r="H750">
        <f>IF(OR(E750="",C750=""),"",IF(C750&gt;=DATE(2019,5,1),"令和"&amp;(YEAR(C750)-2018),IF(C750&gt;=DATE(1989,1,8),"平成"&amp;(YEAR(C750)-1988),"昭和"&amp;(YEAR(C750)-1925)))&amp;"年"&amp;MONTH(C750)&amp;"月")</f>
        <v/>
      </c>
    </row>
    <row r="751">
      <c r="A751" t="n">
        <v>29</v>
      </c>
      <c r="B751" t="n">
        <v>21</v>
      </c>
      <c r="C751">
        <f>IFERROR(INDEX(資格取込!$S$6:$S$405,MATCH(29&amp;"_"&amp;15,資格取込!$Z$6:$Z$405,0)),"")</f>
        <v/>
      </c>
      <c r="D751">
        <f>IFERROR(INDEX(資格取込!$R$6:$R$405,MATCH(29&amp;"_"&amp;15,資格取込!$Z$6:$Z$405,0)),"")</f>
        <v/>
      </c>
      <c r="E751">
        <f>IF(D751="","",IFERROR(INDEX(資格マスタ!$B:$B,MATCH(ASC(SUBSTITUTE(SUBSTITUTE(D751," ",""),"　","")),資格マスタ!$D:$D,0)),D751))</f>
        <v/>
      </c>
      <c r="F751">
        <f>IF(E751="","",IF(C751="",DATE(9999,1,1),C751))</f>
        <v/>
      </c>
      <c r="G751">
        <f>IF(E751="","",COUNTIFS($F$731:$F$756,"&lt;"&amp;F751,$F$731:$F$756,"&lt;&gt;")+COUNTIFS($F$731:$F$756,F751,$B$731:$B$756,"&lt;"&amp;B751)+1)</f>
        <v/>
      </c>
      <c r="H751">
        <f>IF(OR(E751="",C751=""),"",IF(C751&gt;=DATE(2019,5,1),"令和"&amp;(YEAR(C751)-2018),IF(C751&gt;=DATE(1989,1,8),"平成"&amp;(YEAR(C751)-1988),"昭和"&amp;(YEAR(C751)-1925)))&amp;"年"&amp;MONTH(C751)&amp;"月")</f>
        <v/>
      </c>
    </row>
    <row r="752">
      <c r="A752" t="n">
        <v>29</v>
      </c>
      <c r="B752" t="n">
        <v>22</v>
      </c>
      <c r="C752">
        <f>IFERROR(INDEX(資格取込!$S$6:$S$405,MATCH(29&amp;"_"&amp;16,資格取込!$Z$6:$Z$405,0)),"")</f>
        <v/>
      </c>
      <c r="D752">
        <f>IFERROR(INDEX(資格取込!$R$6:$R$405,MATCH(29&amp;"_"&amp;16,資格取込!$Z$6:$Z$405,0)),"")</f>
        <v/>
      </c>
      <c r="E752">
        <f>IF(D752="","",IFERROR(INDEX(資格マスタ!$B:$B,MATCH(ASC(SUBSTITUTE(SUBSTITUTE(D752," ",""),"　","")),資格マスタ!$D:$D,0)),D752))</f>
        <v/>
      </c>
      <c r="F752">
        <f>IF(E752="","",IF(C752="",DATE(9999,1,1),C752))</f>
        <v/>
      </c>
      <c r="G752">
        <f>IF(E752="","",COUNTIFS($F$731:$F$756,"&lt;"&amp;F752,$F$731:$F$756,"&lt;&gt;")+COUNTIFS($F$731:$F$756,F752,$B$731:$B$756,"&lt;"&amp;B752)+1)</f>
        <v/>
      </c>
      <c r="H752">
        <f>IF(OR(E752="",C752=""),"",IF(C752&gt;=DATE(2019,5,1),"令和"&amp;(YEAR(C752)-2018),IF(C752&gt;=DATE(1989,1,8),"平成"&amp;(YEAR(C752)-1988),"昭和"&amp;(YEAR(C752)-1925)))&amp;"年"&amp;MONTH(C752)&amp;"月")</f>
        <v/>
      </c>
    </row>
    <row r="753">
      <c r="A753" t="n">
        <v>29</v>
      </c>
      <c r="B753" t="n">
        <v>23</v>
      </c>
      <c r="C753">
        <f>IFERROR(INDEX(資格取込!$S$6:$S$405,MATCH(29&amp;"_"&amp;17,資格取込!$Z$6:$Z$405,0)),"")</f>
        <v/>
      </c>
      <c r="D753">
        <f>IFERROR(INDEX(資格取込!$R$6:$R$405,MATCH(29&amp;"_"&amp;17,資格取込!$Z$6:$Z$405,0)),"")</f>
        <v/>
      </c>
      <c r="E753">
        <f>IF(D753="","",IFERROR(INDEX(資格マスタ!$B:$B,MATCH(ASC(SUBSTITUTE(SUBSTITUTE(D753," ",""),"　","")),資格マスタ!$D:$D,0)),D753))</f>
        <v/>
      </c>
      <c r="F753">
        <f>IF(E753="","",IF(C753="",DATE(9999,1,1),C753))</f>
        <v/>
      </c>
      <c r="G753">
        <f>IF(E753="","",COUNTIFS($F$731:$F$756,"&lt;"&amp;F753,$F$731:$F$756,"&lt;&gt;")+COUNTIFS($F$731:$F$756,F753,$B$731:$B$756,"&lt;"&amp;B753)+1)</f>
        <v/>
      </c>
      <c r="H753">
        <f>IF(OR(E753="",C753=""),"",IF(C753&gt;=DATE(2019,5,1),"令和"&amp;(YEAR(C753)-2018),IF(C753&gt;=DATE(1989,1,8),"平成"&amp;(YEAR(C753)-1988),"昭和"&amp;(YEAR(C753)-1925)))&amp;"年"&amp;MONTH(C753)&amp;"月")</f>
        <v/>
      </c>
    </row>
    <row r="754">
      <c r="A754" t="n">
        <v>29</v>
      </c>
      <c r="B754" t="n">
        <v>24</v>
      </c>
      <c r="C754">
        <f>IFERROR(INDEX(資格取込!$S$6:$S$405,MATCH(29&amp;"_"&amp;18,資格取込!$Z$6:$Z$405,0)),"")</f>
        <v/>
      </c>
      <c r="D754">
        <f>IFERROR(INDEX(資格取込!$R$6:$R$405,MATCH(29&amp;"_"&amp;18,資格取込!$Z$6:$Z$405,0)),"")</f>
        <v/>
      </c>
      <c r="E754">
        <f>IF(D754="","",IFERROR(INDEX(資格マスタ!$B:$B,MATCH(ASC(SUBSTITUTE(SUBSTITUTE(D754," ",""),"　","")),資格マスタ!$D:$D,0)),D754))</f>
        <v/>
      </c>
      <c r="F754">
        <f>IF(E754="","",IF(C754="",DATE(9999,1,1),C754))</f>
        <v/>
      </c>
      <c r="G754">
        <f>IF(E754="","",COUNTIFS($F$731:$F$756,"&lt;"&amp;F754,$F$731:$F$756,"&lt;&gt;")+COUNTIFS($F$731:$F$756,F754,$B$731:$B$756,"&lt;"&amp;B754)+1)</f>
        <v/>
      </c>
      <c r="H754">
        <f>IF(OR(E754="",C754=""),"",IF(C754&gt;=DATE(2019,5,1),"令和"&amp;(YEAR(C754)-2018),IF(C754&gt;=DATE(1989,1,8),"平成"&amp;(YEAR(C754)-1988),"昭和"&amp;(YEAR(C754)-1925)))&amp;"年"&amp;MONTH(C754)&amp;"月")</f>
        <v/>
      </c>
    </row>
    <row r="755">
      <c r="A755" t="n">
        <v>29</v>
      </c>
      <c r="B755" t="n">
        <v>25</v>
      </c>
      <c r="C755">
        <f>IFERROR(INDEX(資格取込!$S$6:$S$405,MATCH(29&amp;"_"&amp;19,資格取込!$Z$6:$Z$405,0)),"")</f>
        <v/>
      </c>
      <c r="D755">
        <f>IFERROR(INDEX(資格取込!$R$6:$R$405,MATCH(29&amp;"_"&amp;19,資格取込!$Z$6:$Z$405,0)),"")</f>
        <v/>
      </c>
      <c r="E755">
        <f>IF(D755="","",IFERROR(INDEX(資格マスタ!$B:$B,MATCH(ASC(SUBSTITUTE(SUBSTITUTE(D755," ",""),"　","")),資格マスタ!$D:$D,0)),D755))</f>
        <v/>
      </c>
      <c r="F755">
        <f>IF(E755="","",IF(C755="",DATE(9999,1,1),C755))</f>
        <v/>
      </c>
      <c r="G755">
        <f>IF(E755="","",COUNTIFS($F$731:$F$756,"&lt;"&amp;F755,$F$731:$F$756,"&lt;&gt;")+COUNTIFS($F$731:$F$756,F755,$B$731:$B$756,"&lt;"&amp;B755)+1)</f>
        <v/>
      </c>
      <c r="H755">
        <f>IF(OR(E755="",C755=""),"",IF(C755&gt;=DATE(2019,5,1),"令和"&amp;(YEAR(C755)-2018),IF(C755&gt;=DATE(1989,1,8),"平成"&amp;(YEAR(C755)-1988),"昭和"&amp;(YEAR(C755)-1925)))&amp;"年"&amp;MONTH(C755)&amp;"月")</f>
        <v/>
      </c>
    </row>
    <row r="756">
      <c r="A756" t="n">
        <v>29</v>
      </c>
      <c r="B756" t="n">
        <v>26</v>
      </c>
      <c r="C756">
        <f>IFERROR(INDEX(資格取込!$S$6:$S$405,MATCH(29&amp;"_"&amp;20,資格取込!$Z$6:$Z$405,0)),"")</f>
        <v/>
      </c>
      <c r="D756">
        <f>IFERROR(INDEX(資格取込!$R$6:$R$405,MATCH(29&amp;"_"&amp;20,資格取込!$Z$6:$Z$405,0)),"")</f>
        <v/>
      </c>
      <c r="E756">
        <f>IF(D756="","",IFERROR(INDEX(資格マスタ!$B:$B,MATCH(ASC(SUBSTITUTE(SUBSTITUTE(D756," ",""),"　","")),資格マスタ!$D:$D,0)),D756))</f>
        <v/>
      </c>
      <c r="F756">
        <f>IF(E756="","",IF(C756="",DATE(9999,1,1),C756))</f>
        <v/>
      </c>
      <c r="G756">
        <f>IF(E756="","",COUNTIFS($F$731:$F$756,"&lt;"&amp;F756,$F$731:$F$756,"&lt;&gt;")+COUNTIFS($F$731:$F$756,F756,$B$731:$B$756,"&lt;"&amp;B756)+1)</f>
        <v/>
      </c>
      <c r="H756">
        <f>IF(OR(E756="",C756=""),"",IF(C756&gt;=DATE(2019,5,1),"令和"&amp;(YEAR(C756)-2018),IF(C756&gt;=DATE(1989,1,8),"平成"&amp;(YEAR(C756)-1988),"昭和"&amp;(YEAR(C756)-1925)))&amp;"年"&amp;MONTH(C756)&amp;"月")</f>
        <v/>
      </c>
    </row>
    <row r="757">
      <c r="A757" t="n">
        <v>30</v>
      </c>
      <c r="B757" t="n">
        <v>1</v>
      </c>
      <c r="C757"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757">
        <f>IF(入力!N34="","",入力!N34)</f>
        <v/>
      </c>
      <c r="E757">
        <f>IF(D757="","",IFERROR(INDEX(資格マスタ!$B:$B,MATCH(ASC(SUBSTITUTE(SUBSTITUTE(D757," ",""),"　","")),資格マスタ!$D:$D,0)),D757))</f>
        <v/>
      </c>
      <c r="F757">
        <f>IF(E757="","",IF(C757="",DATE(9999,1,1),C757))</f>
        <v/>
      </c>
      <c r="G757">
        <f>IF(E757="","",COUNTIFS($F$757:$F$782,"&lt;"&amp;F757,$F$757:$F$782,"&lt;&gt;")+COUNTIFS($F$757:$F$782,F757,$B$757:$B$782,"&lt;"&amp;B757)+1)</f>
        <v/>
      </c>
      <c r="H757">
        <f>IF(OR(E757="",C757=""),"",IF(C757&gt;=DATE(2019,5,1),"令和"&amp;(YEAR(C757)-2018),IF(C757&gt;=DATE(1989,1,8),"平成"&amp;(YEAR(C757)-1988),"昭和"&amp;(YEAR(C757)-1925)))&amp;"年"&amp;MONTH(C757)&amp;"月")</f>
        <v/>
      </c>
    </row>
    <row r="758">
      <c r="A758" t="n">
        <v>30</v>
      </c>
      <c r="B758" t="n">
        <v>2</v>
      </c>
      <c r="C758">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758">
        <f>IF(入力!P34="","",入力!P34)</f>
        <v/>
      </c>
      <c r="E758">
        <f>IF(D758="","",IFERROR(INDEX(資格マスタ!$B:$B,MATCH(ASC(SUBSTITUTE(SUBSTITUTE(D758," ",""),"　","")),資格マスタ!$D:$D,0)),D758))</f>
        <v/>
      </c>
      <c r="F758">
        <f>IF(E758="","",IF(C758="",DATE(9999,1,1),C758))</f>
        <v/>
      </c>
      <c r="G758">
        <f>IF(E758="","",COUNTIFS($F$757:$F$782,"&lt;"&amp;F758,$F$757:$F$782,"&lt;&gt;")+COUNTIFS($F$757:$F$782,F758,$B$757:$B$782,"&lt;"&amp;B758)+1)</f>
        <v/>
      </c>
      <c r="H758">
        <f>IF(OR(E758="",C758=""),"",IF(C758&gt;=DATE(2019,5,1),"令和"&amp;(YEAR(C758)-2018),IF(C758&gt;=DATE(1989,1,8),"平成"&amp;(YEAR(C758)-1988),"昭和"&amp;(YEAR(C758)-1925)))&amp;"年"&amp;MONTH(C758)&amp;"月")</f>
        <v/>
      </c>
    </row>
    <row r="759">
      <c r="A759" t="n">
        <v>30</v>
      </c>
      <c r="B759" t="n">
        <v>3</v>
      </c>
      <c r="C759">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759">
        <f>IF(入力!R34="","",入力!R34)</f>
        <v/>
      </c>
      <c r="E759">
        <f>IF(D759="","",IFERROR(INDEX(資格マスタ!$B:$B,MATCH(ASC(SUBSTITUTE(SUBSTITUTE(D759," ",""),"　","")),資格マスタ!$D:$D,0)),D759))</f>
        <v/>
      </c>
      <c r="F759">
        <f>IF(E759="","",IF(C759="",DATE(9999,1,1),C759))</f>
        <v/>
      </c>
      <c r="G759">
        <f>IF(E759="","",COUNTIFS($F$757:$F$782,"&lt;"&amp;F759,$F$757:$F$782,"&lt;&gt;")+COUNTIFS($F$757:$F$782,F759,$B$757:$B$782,"&lt;"&amp;B759)+1)</f>
        <v/>
      </c>
      <c r="H759">
        <f>IF(OR(E759="",C759=""),"",IF(C759&gt;=DATE(2019,5,1),"令和"&amp;(YEAR(C759)-2018),IF(C759&gt;=DATE(1989,1,8),"平成"&amp;(YEAR(C759)-1988),"昭和"&amp;(YEAR(C759)-1925)))&amp;"年"&amp;MONTH(C759)&amp;"月")</f>
        <v/>
      </c>
    </row>
    <row r="760">
      <c r="A760" t="n">
        <v>30</v>
      </c>
      <c r="B760" t="n">
        <v>4</v>
      </c>
      <c r="C760">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760">
        <f>IF(入力!T34="","",入力!T34)</f>
        <v/>
      </c>
      <c r="E760">
        <f>IF(D760="","",IFERROR(INDEX(資格マスタ!$B:$B,MATCH(ASC(SUBSTITUTE(SUBSTITUTE(D760," ",""),"　","")),資格マスタ!$D:$D,0)),D760))</f>
        <v/>
      </c>
      <c r="F760">
        <f>IF(E760="","",IF(C760="",DATE(9999,1,1),C760))</f>
        <v/>
      </c>
      <c r="G760">
        <f>IF(E760="","",COUNTIFS($F$757:$F$782,"&lt;"&amp;F760,$F$757:$F$782,"&lt;&gt;")+COUNTIFS($F$757:$F$782,F760,$B$757:$B$782,"&lt;"&amp;B760)+1)</f>
        <v/>
      </c>
      <c r="H760">
        <f>IF(OR(E760="",C760=""),"",IF(C760&gt;=DATE(2019,5,1),"令和"&amp;(YEAR(C760)-2018),IF(C760&gt;=DATE(1989,1,8),"平成"&amp;(YEAR(C760)-1988),"昭和"&amp;(YEAR(C760)-1925)))&amp;"年"&amp;MONTH(C760)&amp;"月")</f>
        <v/>
      </c>
    </row>
    <row r="761">
      <c r="A761" t="n">
        <v>30</v>
      </c>
      <c r="B761" t="n">
        <v>5</v>
      </c>
      <c r="C761">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761">
        <f>IF(入力!V34="","",入力!V34)</f>
        <v/>
      </c>
      <c r="E761">
        <f>IF(D761="","",IFERROR(INDEX(資格マスタ!$B:$B,MATCH(ASC(SUBSTITUTE(SUBSTITUTE(D761," ",""),"　","")),資格マスタ!$D:$D,0)),D761))</f>
        <v/>
      </c>
      <c r="F761">
        <f>IF(E761="","",IF(C761="",DATE(9999,1,1),C761))</f>
        <v/>
      </c>
      <c r="G761">
        <f>IF(E761="","",COUNTIFS($F$757:$F$782,"&lt;"&amp;F761,$F$757:$F$782,"&lt;&gt;")+COUNTIFS($F$757:$F$782,F761,$B$757:$B$782,"&lt;"&amp;B761)+1)</f>
        <v/>
      </c>
      <c r="H761">
        <f>IF(OR(E761="",C761=""),"",IF(C761&gt;=DATE(2019,5,1),"令和"&amp;(YEAR(C761)-2018),IF(C761&gt;=DATE(1989,1,8),"平成"&amp;(YEAR(C761)-1988),"昭和"&amp;(YEAR(C761)-1925)))&amp;"年"&amp;MONTH(C761)&amp;"月")</f>
        <v/>
      </c>
    </row>
    <row r="762">
      <c r="A762" t="n">
        <v>30</v>
      </c>
      <c r="B762" t="n">
        <v>6</v>
      </c>
      <c r="C762">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762">
        <f>IF(入力!X34="","",入力!X34)</f>
        <v/>
      </c>
      <c r="E762">
        <f>IF(D762="","",IFERROR(INDEX(資格マスタ!$B:$B,MATCH(ASC(SUBSTITUTE(SUBSTITUTE(D762," ",""),"　","")),資格マスタ!$D:$D,0)),D762))</f>
        <v/>
      </c>
      <c r="F762">
        <f>IF(E762="","",IF(C762="",DATE(9999,1,1),C762))</f>
        <v/>
      </c>
      <c r="G762">
        <f>IF(E762="","",COUNTIFS($F$757:$F$782,"&lt;"&amp;F762,$F$757:$F$782,"&lt;&gt;")+COUNTIFS($F$757:$F$782,F762,$B$757:$B$782,"&lt;"&amp;B762)+1)</f>
        <v/>
      </c>
      <c r="H762">
        <f>IF(OR(E762="",C762=""),"",IF(C762&gt;=DATE(2019,5,1),"令和"&amp;(YEAR(C762)-2018),IF(C762&gt;=DATE(1989,1,8),"平成"&amp;(YEAR(C762)-1988),"昭和"&amp;(YEAR(C762)-1925)))&amp;"年"&amp;MONTH(C762)&amp;"月")</f>
        <v/>
      </c>
    </row>
    <row r="763">
      <c r="A763" t="n">
        <v>30</v>
      </c>
      <c r="B763" t="n">
        <v>7</v>
      </c>
      <c r="C763">
        <f>IFERROR(INDEX(資格取込!$S$6:$S$405,MATCH(30&amp;"_"&amp;1,資格取込!$Z$6:$Z$405,0)),"")</f>
        <v/>
      </c>
      <c r="D763">
        <f>IFERROR(INDEX(資格取込!$R$6:$R$405,MATCH(30&amp;"_"&amp;1,資格取込!$Z$6:$Z$405,0)),"")</f>
        <v/>
      </c>
      <c r="E763">
        <f>IF(D763="","",IFERROR(INDEX(資格マスタ!$B:$B,MATCH(ASC(SUBSTITUTE(SUBSTITUTE(D763," ",""),"　","")),資格マスタ!$D:$D,0)),D763))</f>
        <v/>
      </c>
      <c r="F763">
        <f>IF(E763="","",IF(C763="",DATE(9999,1,1),C763))</f>
        <v/>
      </c>
      <c r="G763">
        <f>IF(E763="","",COUNTIFS($F$757:$F$782,"&lt;"&amp;F763,$F$757:$F$782,"&lt;&gt;")+COUNTIFS($F$757:$F$782,F763,$B$757:$B$782,"&lt;"&amp;B763)+1)</f>
        <v/>
      </c>
      <c r="H763">
        <f>IF(OR(E763="",C763=""),"",IF(C763&gt;=DATE(2019,5,1),"令和"&amp;(YEAR(C763)-2018),IF(C763&gt;=DATE(1989,1,8),"平成"&amp;(YEAR(C763)-1988),"昭和"&amp;(YEAR(C763)-1925)))&amp;"年"&amp;MONTH(C763)&amp;"月")</f>
        <v/>
      </c>
    </row>
    <row r="764">
      <c r="A764" t="n">
        <v>30</v>
      </c>
      <c r="B764" t="n">
        <v>8</v>
      </c>
      <c r="C764">
        <f>IFERROR(INDEX(資格取込!$S$6:$S$405,MATCH(30&amp;"_"&amp;2,資格取込!$Z$6:$Z$405,0)),"")</f>
        <v/>
      </c>
      <c r="D764">
        <f>IFERROR(INDEX(資格取込!$R$6:$R$405,MATCH(30&amp;"_"&amp;2,資格取込!$Z$6:$Z$405,0)),"")</f>
        <v/>
      </c>
      <c r="E764">
        <f>IF(D764="","",IFERROR(INDEX(資格マスタ!$B:$B,MATCH(ASC(SUBSTITUTE(SUBSTITUTE(D764," ",""),"　","")),資格マスタ!$D:$D,0)),D764))</f>
        <v/>
      </c>
      <c r="F764">
        <f>IF(E764="","",IF(C764="",DATE(9999,1,1),C764))</f>
        <v/>
      </c>
      <c r="G764">
        <f>IF(E764="","",COUNTIFS($F$757:$F$782,"&lt;"&amp;F764,$F$757:$F$782,"&lt;&gt;")+COUNTIFS($F$757:$F$782,F764,$B$757:$B$782,"&lt;"&amp;B764)+1)</f>
        <v/>
      </c>
      <c r="H764">
        <f>IF(OR(E764="",C764=""),"",IF(C764&gt;=DATE(2019,5,1),"令和"&amp;(YEAR(C764)-2018),IF(C764&gt;=DATE(1989,1,8),"平成"&amp;(YEAR(C764)-1988),"昭和"&amp;(YEAR(C764)-1925)))&amp;"年"&amp;MONTH(C764)&amp;"月")</f>
        <v/>
      </c>
    </row>
    <row r="765">
      <c r="A765" t="n">
        <v>30</v>
      </c>
      <c r="B765" t="n">
        <v>9</v>
      </c>
      <c r="C765">
        <f>IFERROR(INDEX(資格取込!$S$6:$S$405,MATCH(30&amp;"_"&amp;3,資格取込!$Z$6:$Z$405,0)),"")</f>
        <v/>
      </c>
      <c r="D765">
        <f>IFERROR(INDEX(資格取込!$R$6:$R$405,MATCH(30&amp;"_"&amp;3,資格取込!$Z$6:$Z$405,0)),"")</f>
        <v/>
      </c>
      <c r="E765">
        <f>IF(D765="","",IFERROR(INDEX(資格マスタ!$B:$B,MATCH(ASC(SUBSTITUTE(SUBSTITUTE(D765," ",""),"　","")),資格マスタ!$D:$D,0)),D765))</f>
        <v/>
      </c>
      <c r="F765">
        <f>IF(E765="","",IF(C765="",DATE(9999,1,1),C765))</f>
        <v/>
      </c>
      <c r="G765">
        <f>IF(E765="","",COUNTIFS($F$757:$F$782,"&lt;"&amp;F765,$F$757:$F$782,"&lt;&gt;")+COUNTIFS($F$757:$F$782,F765,$B$757:$B$782,"&lt;"&amp;B765)+1)</f>
        <v/>
      </c>
      <c r="H765">
        <f>IF(OR(E765="",C765=""),"",IF(C765&gt;=DATE(2019,5,1),"令和"&amp;(YEAR(C765)-2018),IF(C765&gt;=DATE(1989,1,8),"平成"&amp;(YEAR(C765)-1988),"昭和"&amp;(YEAR(C765)-1925)))&amp;"年"&amp;MONTH(C765)&amp;"月")</f>
        <v/>
      </c>
    </row>
    <row r="766">
      <c r="A766" t="n">
        <v>30</v>
      </c>
      <c r="B766" t="n">
        <v>10</v>
      </c>
      <c r="C766">
        <f>IFERROR(INDEX(資格取込!$S$6:$S$405,MATCH(30&amp;"_"&amp;4,資格取込!$Z$6:$Z$405,0)),"")</f>
        <v/>
      </c>
      <c r="D766">
        <f>IFERROR(INDEX(資格取込!$R$6:$R$405,MATCH(30&amp;"_"&amp;4,資格取込!$Z$6:$Z$405,0)),"")</f>
        <v/>
      </c>
      <c r="E766">
        <f>IF(D766="","",IFERROR(INDEX(資格マスタ!$B:$B,MATCH(ASC(SUBSTITUTE(SUBSTITUTE(D766," ",""),"　","")),資格マスタ!$D:$D,0)),D766))</f>
        <v/>
      </c>
      <c r="F766">
        <f>IF(E766="","",IF(C766="",DATE(9999,1,1),C766))</f>
        <v/>
      </c>
      <c r="G766">
        <f>IF(E766="","",COUNTIFS($F$757:$F$782,"&lt;"&amp;F766,$F$757:$F$782,"&lt;&gt;")+COUNTIFS($F$757:$F$782,F766,$B$757:$B$782,"&lt;"&amp;B766)+1)</f>
        <v/>
      </c>
      <c r="H766">
        <f>IF(OR(E766="",C766=""),"",IF(C766&gt;=DATE(2019,5,1),"令和"&amp;(YEAR(C766)-2018),IF(C766&gt;=DATE(1989,1,8),"平成"&amp;(YEAR(C766)-1988),"昭和"&amp;(YEAR(C766)-1925)))&amp;"年"&amp;MONTH(C766)&amp;"月")</f>
        <v/>
      </c>
    </row>
    <row r="767">
      <c r="A767" t="n">
        <v>30</v>
      </c>
      <c r="B767" t="n">
        <v>11</v>
      </c>
      <c r="C767">
        <f>IFERROR(INDEX(資格取込!$S$6:$S$405,MATCH(30&amp;"_"&amp;5,資格取込!$Z$6:$Z$405,0)),"")</f>
        <v/>
      </c>
      <c r="D767">
        <f>IFERROR(INDEX(資格取込!$R$6:$R$405,MATCH(30&amp;"_"&amp;5,資格取込!$Z$6:$Z$405,0)),"")</f>
        <v/>
      </c>
      <c r="E767">
        <f>IF(D767="","",IFERROR(INDEX(資格マスタ!$B:$B,MATCH(ASC(SUBSTITUTE(SUBSTITUTE(D767," ",""),"　","")),資格マスタ!$D:$D,0)),D767))</f>
        <v/>
      </c>
      <c r="F767">
        <f>IF(E767="","",IF(C767="",DATE(9999,1,1),C767))</f>
        <v/>
      </c>
      <c r="G767">
        <f>IF(E767="","",COUNTIFS($F$757:$F$782,"&lt;"&amp;F767,$F$757:$F$782,"&lt;&gt;")+COUNTIFS($F$757:$F$782,F767,$B$757:$B$782,"&lt;"&amp;B767)+1)</f>
        <v/>
      </c>
      <c r="H767">
        <f>IF(OR(E767="",C767=""),"",IF(C767&gt;=DATE(2019,5,1),"令和"&amp;(YEAR(C767)-2018),IF(C767&gt;=DATE(1989,1,8),"平成"&amp;(YEAR(C767)-1988),"昭和"&amp;(YEAR(C767)-1925)))&amp;"年"&amp;MONTH(C767)&amp;"月")</f>
        <v/>
      </c>
    </row>
    <row r="768">
      <c r="A768" t="n">
        <v>30</v>
      </c>
      <c r="B768" t="n">
        <v>12</v>
      </c>
      <c r="C768">
        <f>IFERROR(INDEX(資格取込!$S$6:$S$405,MATCH(30&amp;"_"&amp;6,資格取込!$Z$6:$Z$405,0)),"")</f>
        <v/>
      </c>
      <c r="D768">
        <f>IFERROR(INDEX(資格取込!$R$6:$R$405,MATCH(30&amp;"_"&amp;6,資格取込!$Z$6:$Z$405,0)),"")</f>
        <v/>
      </c>
      <c r="E768">
        <f>IF(D768="","",IFERROR(INDEX(資格マスタ!$B:$B,MATCH(ASC(SUBSTITUTE(SUBSTITUTE(D768," ",""),"　","")),資格マスタ!$D:$D,0)),D768))</f>
        <v/>
      </c>
      <c r="F768">
        <f>IF(E768="","",IF(C768="",DATE(9999,1,1),C768))</f>
        <v/>
      </c>
      <c r="G768">
        <f>IF(E768="","",COUNTIFS($F$757:$F$782,"&lt;"&amp;F768,$F$757:$F$782,"&lt;&gt;")+COUNTIFS($F$757:$F$782,F768,$B$757:$B$782,"&lt;"&amp;B768)+1)</f>
        <v/>
      </c>
      <c r="H768">
        <f>IF(OR(E768="",C768=""),"",IF(C768&gt;=DATE(2019,5,1),"令和"&amp;(YEAR(C768)-2018),IF(C768&gt;=DATE(1989,1,8),"平成"&amp;(YEAR(C768)-1988),"昭和"&amp;(YEAR(C768)-1925)))&amp;"年"&amp;MONTH(C768)&amp;"月")</f>
        <v/>
      </c>
    </row>
    <row r="769">
      <c r="A769" t="n">
        <v>30</v>
      </c>
      <c r="B769" t="n">
        <v>13</v>
      </c>
      <c r="C769">
        <f>IFERROR(INDEX(資格取込!$S$6:$S$405,MATCH(30&amp;"_"&amp;7,資格取込!$Z$6:$Z$405,0)),"")</f>
        <v/>
      </c>
      <c r="D769">
        <f>IFERROR(INDEX(資格取込!$R$6:$R$405,MATCH(30&amp;"_"&amp;7,資格取込!$Z$6:$Z$405,0)),"")</f>
        <v/>
      </c>
      <c r="E769">
        <f>IF(D769="","",IFERROR(INDEX(資格マスタ!$B:$B,MATCH(ASC(SUBSTITUTE(SUBSTITUTE(D769," ",""),"　","")),資格マスタ!$D:$D,0)),D769))</f>
        <v/>
      </c>
      <c r="F769">
        <f>IF(E769="","",IF(C769="",DATE(9999,1,1),C769))</f>
        <v/>
      </c>
      <c r="G769">
        <f>IF(E769="","",COUNTIFS($F$757:$F$782,"&lt;"&amp;F769,$F$757:$F$782,"&lt;&gt;")+COUNTIFS($F$757:$F$782,F769,$B$757:$B$782,"&lt;"&amp;B769)+1)</f>
        <v/>
      </c>
      <c r="H769">
        <f>IF(OR(E769="",C769=""),"",IF(C769&gt;=DATE(2019,5,1),"令和"&amp;(YEAR(C769)-2018),IF(C769&gt;=DATE(1989,1,8),"平成"&amp;(YEAR(C769)-1988),"昭和"&amp;(YEAR(C769)-1925)))&amp;"年"&amp;MONTH(C769)&amp;"月")</f>
        <v/>
      </c>
    </row>
    <row r="770">
      <c r="A770" t="n">
        <v>30</v>
      </c>
      <c r="B770" t="n">
        <v>14</v>
      </c>
      <c r="C770">
        <f>IFERROR(INDEX(資格取込!$S$6:$S$405,MATCH(30&amp;"_"&amp;8,資格取込!$Z$6:$Z$405,0)),"")</f>
        <v/>
      </c>
      <c r="D770">
        <f>IFERROR(INDEX(資格取込!$R$6:$R$405,MATCH(30&amp;"_"&amp;8,資格取込!$Z$6:$Z$405,0)),"")</f>
        <v/>
      </c>
      <c r="E770">
        <f>IF(D770="","",IFERROR(INDEX(資格マスタ!$B:$B,MATCH(ASC(SUBSTITUTE(SUBSTITUTE(D770," ",""),"　","")),資格マスタ!$D:$D,0)),D770))</f>
        <v/>
      </c>
      <c r="F770">
        <f>IF(E770="","",IF(C770="",DATE(9999,1,1),C770))</f>
        <v/>
      </c>
      <c r="G770">
        <f>IF(E770="","",COUNTIFS($F$757:$F$782,"&lt;"&amp;F770,$F$757:$F$782,"&lt;&gt;")+COUNTIFS($F$757:$F$782,F770,$B$757:$B$782,"&lt;"&amp;B770)+1)</f>
        <v/>
      </c>
      <c r="H770">
        <f>IF(OR(E770="",C770=""),"",IF(C770&gt;=DATE(2019,5,1),"令和"&amp;(YEAR(C770)-2018),IF(C770&gt;=DATE(1989,1,8),"平成"&amp;(YEAR(C770)-1988),"昭和"&amp;(YEAR(C770)-1925)))&amp;"年"&amp;MONTH(C770)&amp;"月")</f>
        <v/>
      </c>
    </row>
    <row r="771">
      <c r="A771" t="n">
        <v>30</v>
      </c>
      <c r="B771" t="n">
        <v>15</v>
      </c>
      <c r="C771">
        <f>IFERROR(INDEX(資格取込!$S$6:$S$405,MATCH(30&amp;"_"&amp;9,資格取込!$Z$6:$Z$405,0)),"")</f>
        <v/>
      </c>
      <c r="D771">
        <f>IFERROR(INDEX(資格取込!$R$6:$R$405,MATCH(30&amp;"_"&amp;9,資格取込!$Z$6:$Z$405,0)),"")</f>
        <v/>
      </c>
      <c r="E771">
        <f>IF(D771="","",IFERROR(INDEX(資格マスタ!$B:$B,MATCH(ASC(SUBSTITUTE(SUBSTITUTE(D771," ",""),"　","")),資格マスタ!$D:$D,0)),D771))</f>
        <v/>
      </c>
      <c r="F771">
        <f>IF(E771="","",IF(C771="",DATE(9999,1,1),C771))</f>
        <v/>
      </c>
      <c r="G771">
        <f>IF(E771="","",COUNTIFS($F$757:$F$782,"&lt;"&amp;F771,$F$757:$F$782,"&lt;&gt;")+COUNTIFS($F$757:$F$782,F771,$B$757:$B$782,"&lt;"&amp;B771)+1)</f>
        <v/>
      </c>
      <c r="H771">
        <f>IF(OR(E771="",C771=""),"",IF(C771&gt;=DATE(2019,5,1),"令和"&amp;(YEAR(C771)-2018),IF(C771&gt;=DATE(1989,1,8),"平成"&amp;(YEAR(C771)-1988),"昭和"&amp;(YEAR(C771)-1925)))&amp;"年"&amp;MONTH(C771)&amp;"月")</f>
        <v/>
      </c>
    </row>
    <row r="772">
      <c r="A772" t="n">
        <v>30</v>
      </c>
      <c r="B772" t="n">
        <v>16</v>
      </c>
      <c r="C772">
        <f>IFERROR(INDEX(資格取込!$S$6:$S$405,MATCH(30&amp;"_"&amp;10,資格取込!$Z$6:$Z$405,0)),"")</f>
        <v/>
      </c>
      <c r="D772">
        <f>IFERROR(INDEX(資格取込!$R$6:$R$405,MATCH(30&amp;"_"&amp;10,資格取込!$Z$6:$Z$405,0)),"")</f>
        <v/>
      </c>
      <c r="E772">
        <f>IF(D772="","",IFERROR(INDEX(資格マスタ!$B:$B,MATCH(ASC(SUBSTITUTE(SUBSTITUTE(D772," ",""),"　","")),資格マスタ!$D:$D,0)),D772))</f>
        <v/>
      </c>
      <c r="F772">
        <f>IF(E772="","",IF(C772="",DATE(9999,1,1),C772))</f>
        <v/>
      </c>
      <c r="G772">
        <f>IF(E772="","",COUNTIFS($F$757:$F$782,"&lt;"&amp;F772,$F$757:$F$782,"&lt;&gt;")+COUNTIFS($F$757:$F$782,F772,$B$757:$B$782,"&lt;"&amp;B772)+1)</f>
        <v/>
      </c>
      <c r="H772">
        <f>IF(OR(E772="",C772=""),"",IF(C772&gt;=DATE(2019,5,1),"令和"&amp;(YEAR(C772)-2018),IF(C772&gt;=DATE(1989,1,8),"平成"&amp;(YEAR(C772)-1988),"昭和"&amp;(YEAR(C772)-1925)))&amp;"年"&amp;MONTH(C772)&amp;"月")</f>
        <v/>
      </c>
    </row>
    <row r="773">
      <c r="A773" t="n">
        <v>30</v>
      </c>
      <c r="B773" t="n">
        <v>17</v>
      </c>
      <c r="C773">
        <f>IFERROR(INDEX(資格取込!$S$6:$S$405,MATCH(30&amp;"_"&amp;11,資格取込!$Z$6:$Z$405,0)),"")</f>
        <v/>
      </c>
      <c r="D773">
        <f>IFERROR(INDEX(資格取込!$R$6:$R$405,MATCH(30&amp;"_"&amp;11,資格取込!$Z$6:$Z$405,0)),"")</f>
        <v/>
      </c>
      <c r="E773">
        <f>IF(D773="","",IFERROR(INDEX(資格マスタ!$B:$B,MATCH(ASC(SUBSTITUTE(SUBSTITUTE(D773," ",""),"　","")),資格マスタ!$D:$D,0)),D773))</f>
        <v/>
      </c>
      <c r="F773">
        <f>IF(E773="","",IF(C773="",DATE(9999,1,1),C773))</f>
        <v/>
      </c>
      <c r="G773">
        <f>IF(E773="","",COUNTIFS($F$757:$F$782,"&lt;"&amp;F773,$F$757:$F$782,"&lt;&gt;")+COUNTIFS($F$757:$F$782,F773,$B$757:$B$782,"&lt;"&amp;B773)+1)</f>
        <v/>
      </c>
      <c r="H773">
        <f>IF(OR(E773="",C773=""),"",IF(C773&gt;=DATE(2019,5,1),"令和"&amp;(YEAR(C773)-2018),IF(C773&gt;=DATE(1989,1,8),"平成"&amp;(YEAR(C773)-1988),"昭和"&amp;(YEAR(C773)-1925)))&amp;"年"&amp;MONTH(C773)&amp;"月")</f>
        <v/>
      </c>
    </row>
    <row r="774">
      <c r="A774" t="n">
        <v>30</v>
      </c>
      <c r="B774" t="n">
        <v>18</v>
      </c>
      <c r="C774">
        <f>IFERROR(INDEX(資格取込!$S$6:$S$405,MATCH(30&amp;"_"&amp;12,資格取込!$Z$6:$Z$405,0)),"")</f>
        <v/>
      </c>
      <c r="D774">
        <f>IFERROR(INDEX(資格取込!$R$6:$R$405,MATCH(30&amp;"_"&amp;12,資格取込!$Z$6:$Z$405,0)),"")</f>
        <v/>
      </c>
      <c r="E774">
        <f>IF(D774="","",IFERROR(INDEX(資格マスタ!$B:$B,MATCH(ASC(SUBSTITUTE(SUBSTITUTE(D774," ",""),"　","")),資格マスタ!$D:$D,0)),D774))</f>
        <v/>
      </c>
      <c r="F774">
        <f>IF(E774="","",IF(C774="",DATE(9999,1,1),C774))</f>
        <v/>
      </c>
      <c r="G774">
        <f>IF(E774="","",COUNTIFS($F$757:$F$782,"&lt;"&amp;F774,$F$757:$F$782,"&lt;&gt;")+COUNTIFS($F$757:$F$782,F774,$B$757:$B$782,"&lt;"&amp;B774)+1)</f>
        <v/>
      </c>
      <c r="H774">
        <f>IF(OR(E774="",C774=""),"",IF(C774&gt;=DATE(2019,5,1),"令和"&amp;(YEAR(C774)-2018),IF(C774&gt;=DATE(1989,1,8),"平成"&amp;(YEAR(C774)-1988),"昭和"&amp;(YEAR(C774)-1925)))&amp;"年"&amp;MONTH(C774)&amp;"月")</f>
        <v/>
      </c>
    </row>
    <row r="775">
      <c r="A775" t="n">
        <v>30</v>
      </c>
      <c r="B775" t="n">
        <v>19</v>
      </c>
      <c r="C775">
        <f>IFERROR(INDEX(資格取込!$S$6:$S$405,MATCH(30&amp;"_"&amp;13,資格取込!$Z$6:$Z$405,0)),"")</f>
        <v/>
      </c>
      <c r="D775">
        <f>IFERROR(INDEX(資格取込!$R$6:$R$405,MATCH(30&amp;"_"&amp;13,資格取込!$Z$6:$Z$405,0)),"")</f>
        <v/>
      </c>
      <c r="E775">
        <f>IF(D775="","",IFERROR(INDEX(資格マスタ!$B:$B,MATCH(ASC(SUBSTITUTE(SUBSTITUTE(D775," ",""),"　","")),資格マスタ!$D:$D,0)),D775))</f>
        <v/>
      </c>
      <c r="F775">
        <f>IF(E775="","",IF(C775="",DATE(9999,1,1),C775))</f>
        <v/>
      </c>
      <c r="G775">
        <f>IF(E775="","",COUNTIFS($F$757:$F$782,"&lt;"&amp;F775,$F$757:$F$782,"&lt;&gt;")+COUNTIFS($F$757:$F$782,F775,$B$757:$B$782,"&lt;"&amp;B775)+1)</f>
        <v/>
      </c>
      <c r="H775">
        <f>IF(OR(E775="",C775=""),"",IF(C775&gt;=DATE(2019,5,1),"令和"&amp;(YEAR(C775)-2018),IF(C775&gt;=DATE(1989,1,8),"平成"&amp;(YEAR(C775)-1988),"昭和"&amp;(YEAR(C775)-1925)))&amp;"年"&amp;MONTH(C775)&amp;"月")</f>
        <v/>
      </c>
    </row>
    <row r="776">
      <c r="A776" t="n">
        <v>30</v>
      </c>
      <c r="B776" t="n">
        <v>20</v>
      </c>
      <c r="C776">
        <f>IFERROR(INDEX(資格取込!$S$6:$S$405,MATCH(30&amp;"_"&amp;14,資格取込!$Z$6:$Z$405,0)),"")</f>
        <v/>
      </c>
      <c r="D776">
        <f>IFERROR(INDEX(資格取込!$R$6:$R$405,MATCH(30&amp;"_"&amp;14,資格取込!$Z$6:$Z$405,0)),"")</f>
        <v/>
      </c>
      <c r="E776">
        <f>IF(D776="","",IFERROR(INDEX(資格マスタ!$B:$B,MATCH(ASC(SUBSTITUTE(SUBSTITUTE(D776," ",""),"　","")),資格マスタ!$D:$D,0)),D776))</f>
        <v/>
      </c>
      <c r="F776">
        <f>IF(E776="","",IF(C776="",DATE(9999,1,1),C776))</f>
        <v/>
      </c>
      <c r="G776">
        <f>IF(E776="","",COUNTIFS($F$757:$F$782,"&lt;"&amp;F776,$F$757:$F$782,"&lt;&gt;")+COUNTIFS($F$757:$F$782,F776,$B$757:$B$782,"&lt;"&amp;B776)+1)</f>
        <v/>
      </c>
      <c r="H776">
        <f>IF(OR(E776="",C776=""),"",IF(C776&gt;=DATE(2019,5,1),"令和"&amp;(YEAR(C776)-2018),IF(C776&gt;=DATE(1989,1,8),"平成"&amp;(YEAR(C776)-1988),"昭和"&amp;(YEAR(C776)-1925)))&amp;"年"&amp;MONTH(C776)&amp;"月")</f>
        <v/>
      </c>
    </row>
    <row r="777">
      <c r="A777" t="n">
        <v>30</v>
      </c>
      <c r="B777" t="n">
        <v>21</v>
      </c>
      <c r="C777">
        <f>IFERROR(INDEX(資格取込!$S$6:$S$405,MATCH(30&amp;"_"&amp;15,資格取込!$Z$6:$Z$405,0)),"")</f>
        <v/>
      </c>
      <c r="D777">
        <f>IFERROR(INDEX(資格取込!$R$6:$R$405,MATCH(30&amp;"_"&amp;15,資格取込!$Z$6:$Z$405,0)),"")</f>
        <v/>
      </c>
      <c r="E777">
        <f>IF(D777="","",IFERROR(INDEX(資格マスタ!$B:$B,MATCH(ASC(SUBSTITUTE(SUBSTITUTE(D777," ",""),"　","")),資格マスタ!$D:$D,0)),D777))</f>
        <v/>
      </c>
      <c r="F777">
        <f>IF(E777="","",IF(C777="",DATE(9999,1,1),C777))</f>
        <v/>
      </c>
      <c r="G777">
        <f>IF(E777="","",COUNTIFS($F$757:$F$782,"&lt;"&amp;F777,$F$757:$F$782,"&lt;&gt;")+COUNTIFS($F$757:$F$782,F777,$B$757:$B$782,"&lt;"&amp;B777)+1)</f>
        <v/>
      </c>
      <c r="H777">
        <f>IF(OR(E777="",C777=""),"",IF(C777&gt;=DATE(2019,5,1),"令和"&amp;(YEAR(C777)-2018),IF(C777&gt;=DATE(1989,1,8),"平成"&amp;(YEAR(C777)-1988),"昭和"&amp;(YEAR(C777)-1925)))&amp;"年"&amp;MONTH(C777)&amp;"月")</f>
        <v/>
      </c>
    </row>
    <row r="778">
      <c r="A778" t="n">
        <v>30</v>
      </c>
      <c r="B778" t="n">
        <v>22</v>
      </c>
      <c r="C778">
        <f>IFERROR(INDEX(資格取込!$S$6:$S$405,MATCH(30&amp;"_"&amp;16,資格取込!$Z$6:$Z$405,0)),"")</f>
        <v/>
      </c>
      <c r="D778">
        <f>IFERROR(INDEX(資格取込!$R$6:$R$405,MATCH(30&amp;"_"&amp;16,資格取込!$Z$6:$Z$405,0)),"")</f>
        <v/>
      </c>
      <c r="E778">
        <f>IF(D778="","",IFERROR(INDEX(資格マスタ!$B:$B,MATCH(ASC(SUBSTITUTE(SUBSTITUTE(D778," ",""),"　","")),資格マスタ!$D:$D,0)),D778))</f>
        <v/>
      </c>
      <c r="F778">
        <f>IF(E778="","",IF(C778="",DATE(9999,1,1),C778))</f>
        <v/>
      </c>
      <c r="G778">
        <f>IF(E778="","",COUNTIFS($F$757:$F$782,"&lt;"&amp;F778,$F$757:$F$782,"&lt;&gt;")+COUNTIFS($F$757:$F$782,F778,$B$757:$B$782,"&lt;"&amp;B778)+1)</f>
        <v/>
      </c>
      <c r="H778">
        <f>IF(OR(E778="",C778=""),"",IF(C778&gt;=DATE(2019,5,1),"令和"&amp;(YEAR(C778)-2018),IF(C778&gt;=DATE(1989,1,8),"平成"&amp;(YEAR(C778)-1988),"昭和"&amp;(YEAR(C778)-1925)))&amp;"年"&amp;MONTH(C778)&amp;"月")</f>
        <v/>
      </c>
    </row>
    <row r="779">
      <c r="A779" t="n">
        <v>30</v>
      </c>
      <c r="B779" t="n">
        <v>23</v>
      </c>
      <c r="C779">
        <f>IFERROR(INDEX(資格取込!$S$6:$S$405,MATCH(30&amp;"_"&amp;17,資格取込!$Z$6:$Z$405,0)),"")</f>
        <v/>
      </c>
      <c r="D779">
        <f>IFERROR(INDEX(資格取込!$R$6:$R$405,MATCH(30&amp;"_"&amp;17,資格取込!$Z$6:$Z$405,0)),"")</f>
        <v/>
      </c>
      <c r="E779">
        <f>IF(D779="","",IFERROR(INDEX(資格マスタ!$B:$B,MATCH(ASC(SUBSTITUTE(SUBSTITUTE(D779," ",""),"　","")),資格マスタ!$D:$D,0)),D779))</f>
        <v/>
      </c>
      <c r="F779">
        <f>IF(E779="","",IF(C779="",DATE(9999,1,1),C779))</f>
        <v/>
      </c>
      <c r="G779">
        <f>IF(E779="","",COUNTIFS($F$757:$F$782,"&lt;"&amp;F779,$F$757:$F$782,"&lt;&gt;")+COUNTIFS($F$757:$F$782,F779,$B$757:$B$782,"&lt;"&amp;B779)+1)</f>
        <v/>
      </c>
      <c r="H779">
        <f>IF(OR(E779="",C779=""),"",IF(C779&gt;=DATE(2019,5,1),"令和"&amp;(YEAR(C779)-2018),IF(C779&gt;=DATE(1989,1,8),"平成"&amp;(YEAR(C779)-1988),"昭和"&amp;(YEAR(C779)-1925)))&amp;"年"&amp;MONTH(C779)&amp;"月")</f>
        <v/>
      </c>
    </row>
    <row r="780">
      <c r="A780" t="n">
        <v>30</v>
      </c>
      <c r="B780" t="n">
        <v>24</v>
      </c>
      <c r="C780">
        <f>IFERROR(INDEX(資格取込!$S$6:$S$405,MATCH(30&amp;"_"&amp;18,資格取込!$Z$6:$Z$405,0)),"")</f>
        <v/>
      </c>
      <c r="D780">
        <f>IFERROR(INDEX(資格取込!$R$6:$R$405,MATCH(30&amp;"_"&amp;18,資格取込!$Z$6:$Z$405,0)),"")</f>
        <v/>
      </c>
      <c r="E780">
        <f>IF(D780="","",IFERROR(INDEX(資格マスタ!$B:$B,MATCH(ASC(SUBSTITUTE(SUBSTITUTE(D780," ",""),"　","")),資格マスタ!$D:$D,0)),D780))</f>
        <v/>
      </c>
      <c r="F780">
        <f>IF(E780="","",IF(C780="",DATE(9999,1,1),C780))</f>
        <v/>
      </c>
      <c r="G780">
        <f>IF(E780="","",COUNTIFS($F$757:$F$782,"&lt;"&amp;F780,$F$757:$F$782,"&lt;&gt;")+COUNTIFS($F$757:$F$782,F780,$B$757:$B$782,"&lt;"&amp;B780)+1)</f>
        <v/>
      </c>
      <c r="H780">
        <f>IF(OR(E780="",C780=""),"",IF(C780&gt;=DATE(2019,5,1),"令和"&amp;(YEAR(C780)-2018),IF(C780&gt;=DATE(1989,1,8),"平成"&amp;(YEAR(C780)-1988),"昭和"&amp;(YEAR(C780)-1925)))&amp;"年"&amp;MONTH(C780)&amp;"月")</f>
        <v/>
      </c>
    </row>
    <row r="781">
      <c r="A781" t="n">
        <v>30</v>
      </c>
      <c r="B781" t="n">
        <v>25</v>
      </c>
      <c r="C781">
        <f>IFERROR(INDEX(資格取込!$S$6:$S$405,MATCH(30&amp;"_"&amp;19,資格取込!$Z$6:$Z$405,0)),"")</f>
        <v/>
      </c>
      <c r="D781">
        <f>IFERROR(INDEX(資格取込!$R$6:$R$405,MATCH(30&amp;"_"&amp;19,資格取込!$Z$6:$Z$405,0)),"")</f>
        <v/>
      </c>
      <c r="E781">
        <f>IF(D781="","",IFERROR(INDEX(資格マスタ!$B:$B,MATCH(ASC(SUBSTITUTE(SUBSTITUTE(D781," ",""),"　","")),資格マスタ!$D:$D,0)),D781))</f>
        <v/>
      </c>
      <c r="F781">
        <f>IF(E781="","",IF(C781="",DATE(9999,1,1),C781))</f>
        <v/>
      </c>
      <c r="G781">
        <f>IF(E781="","",COUNTIFS($F$757:$F$782,"&lt;"&amp;F781,$F$757:$F$782,"&lt;&gt;")+COUNTIFS($F$757:$F$782,F781,$B$757:$B$782,"&lt;"&amp;B781)+1)</f>
        <v/>
      </c>
      <c r="H781">
        <f>IF(OR(E781="",C781=""),"",IF(C781&gt;=DATE(2019,5,1),"令和"&amp;(YEAR(C781)-2018),IF(C781&gt;=DATE(1989,1,8),"平成"&amp;(YEAR(C781)-1988),"昭和"&amp;(YEAR(C781)-1925)))&amp;"年"&amp;MONTH(C781)&amp;"月")</f>
        <v/>
      </c>
    </row>
    <row r="782">
      <c r="A782" t="n">
        <v>30</v>
      </c>
      <c r="B782" t="n">
        <v>26</v>
      </c>
      <c r="C782">
        <f>IFERROR(INDEX(資格取込!$S$6:$S$405,MATCH(30&amp;"_"&amp;20,資格取込!$Z$6:$Z$405,0)),"")</f>
        <v/>
      </c>
      <c r="D782">
        <f>IFERROR(INDEX(資格取込!$R$6:$R$405,MATCH(30&amp;"_"&amp;20,資格取込!$Z$6:$Z$405,0)),"")</f>
        <v/>
      </c>
      <c r="E782">
        <f>IF(D782="","",IFERROR(INDEX(資格マスタ!$B:$B,MATCH(ASC(SUBSTITUTE(SUBSTITUTE(D782," ",""),"　","")),資格マスタ!$D:$D,0)),D782))</f>
        <v/>
      </c>
      <c r="F782">
        <f>IF(E782="","",IF(C782="",DATE(9999,1,1),C782))</f>
        <v/>
      </c>
      <c r="G782">
        <f>IF(E782="","",COUNTIFS($F$757:$F$782,"&lt;"&amp;F782,$F$757:$F$782,"&lt;&gt;")+COUNTIFS($F$757:$F$782,F782,$B$757:$B$782,"&lt;"&amp;B782)+1)</f>
        <v/>
      </c>
      <c r="H782">
        <f>IF(OR(E782="",C782=""),"",IF(C782&gt;=DATE(2019,5,1),"令和"&amp;(YEAR(C782)-2018),IF(C782&gt;=DATE(1989,1,8),"平成"&amp;(YEAR(C782)-1988),"昭和"&amp;(YEAR(C782)-1925)))&amp;"年"&amp;MONTH(C782)&amp;"月")</f>
        <v/>
      </c>
    </row>
    <row r="783">
      <c r="A783" t="n">
        <v>31</v>
      </c>
      <c r="B783" t="n">
        <v>1</v>
      </c>
      <c r="C78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783">
        <f>IF(入力!N35="","",入力!N35)</f>
        <v/>
      </c>
      <c r="E783">
        <f>IF(D783="","",IFERROR(INDEX(資格マスタ!$B:$B,MATCH(ASC(SUBSTITUTE(SUBSTITUTE(D783," ",""),"　","")),資格マスタ!$D:$D,0)),D783))</f>
        <v/>
      </c>
      <c r="F783">
        <f>IF(E783="","",IF(C783="",DATE(9999,1,1),C783))</f>
        <v/>
      </c>
      <c r="G783">
        <f>IF(E783="","",COUNTIFS($F$783:$F$808,"&lt;"&amp;F783,$F$783:$F$808,"&lt;&gt;")+COUNTIFS($F$783:$F$808,F783,$B$783:$B$808,"&lt;"&amp;B783)+1)</f>
        <v/>
      </c>
      <c r="H783">
        <f>IF(OR(E783="",C783=""),"",IF(C783&gt;=DATE(2019,5,1),"令和"&amp;(YEAR(C783)-2018),IF(C783&gt;=DATE(1989,1,8),"平成"&amp;(YEAR(C783)-1988),"昭和"&amp;(YEAR(C783)-1925)))&amp;"年"&amp;MONTH(C783)&amp;"月")</f>
        <v/>
      </c>
    </row>
    <row r="784">
      <c r="A784" t="n">
        <v>31</v>
      </c>
      <c r="B784" t="n">
        <v>2</v>
      </c>
      <c r="C78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784">
        <f>IF(入力!P35="","",入力!P35)</f>
        <v/>
      </c>
      <c r="E784">
        <f>IF(D784="","",IFERROR(INDEX(資格マスタ!$B:$B,MATCH(ASC(SUBSTITUTE(SUBSTITUTE(D784," ",""),"　","")),資格マスタ!$D:$D,0)),D784))</f>
        <v/>
      </c>
      <c r="F784">
        <f>IF(E784="","",IF(C784="",DATE(9999,1,1),C784))</f>
        <v/>
      </c>
      <c r="G784">
        <f>IF(E784="","",COUNTIFS($F$783:$F$808,"&lt;"&amp;F784,$F$783:$F$808,"&lt;&gt;")+COUNTIFS($F$783:$F$808,F784,$B$783:$B$808,"&lt;"&amp;B784)+1)</f>
        <v/>
      </c>
      <c r="H784">
        <f>IF(OR(E784="",C784=""),"",IF(C784&gt;=DATE(2019,5,1),"令和"&amp;(YEAR(C784)-2018),IF(C784&gt;=DATE(1989,1,8),"平成"&amp;(YEAR(C784)-1988),"昭和"&amp;(YEAR(C784)-1925)))&amp;"年"&amp;MONTH(C784)&amp;"月")</f>
        <v/>
      </c>
    </row>
    <row r="785">
      <c r="A785" t="n">
        <v>31</v>
      </c>
      <c r="B785" t="n">
        <v>3</v>
      </c>
      <c r="C78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785">
        <f>IF(入力!R35="","",入力!R35)</f>
        <v/>
      </c>
      <c r="E785">
        <f>IF(D785="","",IFERROR(INDEX(資格マスタ!$B:$B,MATCH(ASC(SUBSTITUTE(SUBSTITUTE(D785," ",""),"　","")),資格マスタ!$D:$D,0)),D785))</f>
        <v/>
      </c>
      <c r="F785">
        <f>IF(E785="","",IF(C785="",DATE(9999,1,1),C785))</f>
        <v/>
      </c>
      <c r="G785">
        <f>IF(E785="","",COUNTIFS($F$783:$F$808,"&lt;"&amp;F785,$F$783:$F$808,"&lt;&gt;")+COUNTIFS($F$783:$F$808,F785,$B$783:$B$808,"&lt;"&amp;B785)+1)</f>
        <v/>
      </c>
      <c r="H785">
        <f>IF(OR(E785="",C785=""),"",IF(C785&gt;=DATE(2019,5,1),"令和"&amp;(YEAR(C785)-2018),IF(C785&gt;=DATE(1989,1,8),"平成"&amp;(YEAR(C785)-1988),"昭和"&amp;(YEAR(C785)-1925)))&amp;"年"&amp;MONTH(C785)&amp;"月")</f>
        <v/>
      </c>
    </row>
    <row r="786">
      <c r="A786" t="n">
        <v>31</v>
      </c>
      <c r="B786" t="n">
        <v>4</v>
      </c>
      <c r="C78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786">
        <f>IF(入力!T35="","",入力!T35)</f>
        <v/>
      </c>
      <c r="E786">
        <f>IF(D786="","",IFERROR(INDEX(資格マスタ!$B:$B,MATCH(ASC(SUBSTITUTE(SUBSTITUTE(D786," ",""),"　","")),資格マスタ!$D:$D,0)),D786))</f>
        <v/>
      </c>
      <c r="F786">
        <f>IF(E786="","",IF(C786="",DATE(9999,1,1),C786))</f>
        <v/>
      </c>
      <c r="G786">
        <f>IF(E786="","",COUNTIFS($F$783:$F$808,"&lt;"&amp;F786,$F$783:$F$808,"&lt;&gt;")+COUNTIFS($F$783:$F$808,F786,$B$783:$B$808,"&lt;"&amp;B786)+1)</f>
        <v/>
      </c>
      <c r="H786">
        <f>IF(OR(E786="",C786=""),"",IF(C786&gt;=DATE(2019,5,1),"令和"&amp;(YEAR(C786)-2018),IF(C786&gt;=DATE(1989,1,8),"平成"&amp;(YEAR(C786)-1988),"昭和"&amp;(YEAR(C786)-1925)))&amp;"年"&amp;MONTH(C786)&amp;"月")</f>
        <v/>
      </c>
    </row>
    <row r="787">
      <c r="A787" t="n">
        <v>31</v>
      </c>
      <c r="B787" t="n">
        <v>5</v>
      </c>
      <c r="C78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787">
        <f>IF(入力!V35="","",入力!V35)</f>
        <v/>
      </c>
      <c r="E787">
        <f>IF(D787="","",IFERROR(INDEX(資格マスタ!$B:$B,MATCH(ASC(SUBSTITUTE(SUBSTITUTE(D787," ",""),"　","")),資格マスタ!$D:$D,0)),D787))</f>
        <v/>
      </c>
      <c r="F787">
        <f>IF(E787="","",IF(C787="",DATE(9999,1,1),C787))</f>
        <v/>
      </c>
      <c r="G787">
        <f>IF(E787="","",COUNTIFS($F$783:$F$808,"&lt;"&amp;F787,$F$783:$F$808,"&lt;&gt;")+COUNTIFS($F$783:$F$808,F787,$B$783:$B$808,"&lt;"&amp;B787)+1)</f>
        <v/>
      </c>
      <c r="H787">
        <f>IF(OR(E787="",C787=""),"",IF(C787&gt;=DATE(2019,5,1),"令和"&amp;(YEAR(C787)-2018),IF(C787&gt;=DATE(1989,1,8),"平成"&amp;(YEAR(C787)-1988),"昭和"&amp;(YEAR(C787)-1925)))&amp;"年"&amp;MONTH(C787)&amp;"月")</f>
        <v/>
      </c>
    </row>
    <row r="788">
      <c r="A788" t="n">
        <v>31</v>
      </c>
      <c r="B788" t="n">
        <v>6</v>
      </c>
      <c r="C78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788">
        <f>IF(入力!X35="","",入力!X35)</f>
        <v/>
      </c>
      <c r="E788">
        <f>IF(D788="","",IFERROR(INDEX(資格マスタ!$B:$B,MATCH(ASC(SUBSTITUTE(SUBSTITUTE(D788," ",""),"　","")),資格マスタ!$D:$D,0)),D788))</f>
        <v/>
      </c>
      <c r="F788">
        <f>IF(E788="","",IF(C788="",DATE(9999,1,1),C788))</f>
        <v/>
      </c>
      <c r="G788">
        <f>IF(E788="","",COUNTIFS($F$783:$F$808,"&lt;"&amp;F788,$F$783:$F$808,"&lt;&gt;")+COUNTIFS($F$783:$F$808,F788,$B$783:$B$808,"&lt;"&amp;B788)+1)</f>
        <v/>
      </c>
      <c r="H788">
        <f>IF(OR(E788="",C788=""),"",IF(C788&gt;=DATE(2019,5,1),"令和"&amp;(YEAR(C788)-2018),IF(C788&gt;=DATE(1989,1,8),"平成"&amp;(YEAR(C788)-1988),"昭和"&amp;(YEAR(C788)-1925)))&amp;"年"&amp;MONTH(C788)&amp;"月")</f>
        <v/>
      </c>
    </row>
    <row r="789">
      <c r="A789" t="n">
        <v>31</v>
      </c>
      <c r="B789" t="n">
        <v>7</v>
      </c>
      <c r="C789">
        <f>IFERROR(INDEX(資格取込!$S$6:$S$405,MATCH(31&amp;"_"&amp;1,資格取込!$Z$6:$Z$405,0)),"")</f>
        <v/>
      </c>
      <c r="D789">
        <f>IFERROR(INDEX(資格取込!$R$6:$R$405,MATCH(31&amp;"_"&amp;1,資格取込!$Z$6:$Z$405,0)),"")</f>
        <v/>
      </c>
      <c r="E789">
        <f>IF(D789="","",IFERROR(INDEX(資格マスタ!$B:$B,MATCH(ASC(SUBSTITUTE(SUBSTITUTE(D789," ",""),"　","")),資格マスタ!$D:$D,0)),D789))</f>
        <v/>
      </c>
      <c r="F789">
        <f>IF(E789="","",IF(C789="",DATE(9999,1,1),C789))</f>
        <v/>
      </c>
      <c r="G789">
        <f>IF(E789="","",COUNTIFS($F$783:$F$808,"&lt;"&amp;F789,$F$783:$F$808,"&lt;&gt;")+COUNTIFS($F$783:$F$808,F789,$B$783:$B$808,"&lt;"&amp;B789)+1)</f>
        <v/>
      </c>
      <c r="H789">
        <f>IF(OR(E789="",C789=""),"",IF(C789&gt;=DATE(2019,5,1),"令和"&amp;(YEAR(C789)-2018),IF(C789&gt;=DATE(1989,1,8),"平成"&amp;(YEAR(C789)-1988),"昭和"&amp;(YEAR(C789)-1925)))&amp;"年"&amp;MONTH(C789)&amp;"月")</f>
        <v/>
      </c>
    </row>
    <row r="790">
      <c r="A790" t="n">
        <v>31</v>
      </c>
      <c r="B790" t="n">
        <v>8</v>
      </c>
      <c r="C790">
        <f>IFERROR(INDEX(資格取込!$S$6:$S$405,MATCH(31&amp;"_"&amp;2,資格取込!$Z$6:$Z$405,0)),"")</f>
        <v/>
      </c>
      <c r="D790">
        <f>IFERROR(INDEX(資格取込!$R$6:$R$405,MATCH(31&amp;"_"&amp;2,資格取込!$Z$6:$Z$405,0)),"")</f>
        <v/>
      </c>
      <c r="E790">
        <f>IF(D790="","",IFERROR(INDEX(資格マスタ!$B:$B,MATCH(ASC(SUBSTITUTE(SUBSTITUTE(D790," ",""),"　","")),資格マスタ!$D:$D,0)),D790))</f>
        <v/>
      </c>
      <c r="F790">
        <f>IF(E790="","",IF(C790="",DATE(9999,1,1),C790))</f>
        <v/>
      </c>
      <c r="G790">
        <f>IF(E790="","",COUNTIFS($F$783:$F$808,"&lt;"&amp;F790,$F$783:$F$808,"&lt;&gt;")+COUNTIFS($F$783:$F$808,F790,$B$783:$B$808,"&lt;"&amp;B790)+1)</f>
        <v/>
      </c>
      <c r="H790">
        <f>IF(OR(E790="",C790=""),"",IF(C790&gt;=DATE(2019,5,1),"令和"&amp;(YEAR(C790)-2018),IF(C790&gt;=DATE(1989,1,8),"平成"&amp;(YEAR(C790)-1988),"昭和"&amp;(YEAR(C790)-1925)))&amp;"年"&amp;MONTH(C790)&amp;"月")</f>
        <v/>
      </c>
    </row>
    <row r="791">
      <c r="A791" t="n">
        <v>31</v>
      </c>
      <c r="B791" t="n">
        <v>9</v>
      </c>
      <c r="C791">
        <f>IFERROR(INDEX(資格取込!$S$6:$S$405,MATCH(31&amp;"_"&amp;3,資格取込!$Z$6:$Z$405,0)),"")</f>
        <v/>
      </c>
      <c r="D791">
        <f>IFERROR(INDEX(資格取込!$R$6:$R$405,MATCH(31&amp;"_"&amp;3,資格取込!$Z$6:$Z$405,0)),"")</f>
        <v/>
      </c>
      <c r="E791">
        <f>IF(D791="","",IFERROR(INDEX(資格マスタ!$B:$B,MATCH(ASC(SUBSTITUTE(SUBSTITUTE(D791," ",""),"　","")),資格マスタ!$D:$D,0)),D791))</f>
        <v/>
      </c>
      <c r="F791">
        <f>IF(E791="","",IF(C791="",DATE(9999,1,1),C791))</f>
        <v/>
      </c>
      <c r="G791">
        <f>IF(E791="","",COUNTIFS($F$783:$F$808,"&lt;"&amp;F791,$F$783:$F$808,"&lt;&gt;")+COUNTIFS($F$783:$F$808,F791,$B$783:$B$808,"&lt;"&amp;B791)+1)</f>
        <v/>
      </c>
      <c r="H791">
        <f>IF(OR(E791="",C791=""),"",IF(C791&gt;=DATE(2019,5,1),"令和"&amp;(YEAR(C791)-2018),IF(C791&gt;=DATE(1989,1,8),"平成"&amp;(YEAR(C791)-1988),"昭和"&amp;(YEAR(C791)-1925)))&amp;"年"&amp;MONTH(C791)&amp;"月")</f>
        <v/>
      </c>
    </row>
    <row r="792">
      <c r="A792" t="n">
        <v>31</v>
      </c>
      <c r="B792" t="n">
        <v>10</v>
      </c>
      <c r="C792">
        <f>IFERROR(INDEX(資格取込!$S$6:$S$405,MATCH(31&amp;"_"&amp;4,資格取込!$Z$6:$Z$405,0)),"")</f>
        <v/>
      </c>
      <c r="D792">
        <f>IFERROR(INDEX(資格取込!$R$6:$R$405,MATCH(31&amp;"_"&amp;4,資格取込!$Z$6:$Z$405,0)),"")</f>
        <v/>
      </c>
      <c r="E792">
        <f>IF(D792="","",IFERROR(INDEX(資格マスタ!$B:$B,MATCH(ASC(SUBSTITUTE(SUBSTITUTE(D792," ",""),"　","")),資格マスタ!$D:$D,0)),D792))</f>
        <v/>
      </c>
      <c r="F792">
        <f>IF(E792="","",IF(C792="",DATE(9999,1,1),C792))</f>
        <v/>
      </c>
      <c r="G792">
        <f>IF(E792="","",COUNTIFS($F$783:$F$808,"&lt;"&amp;F792,$F$783:$F$808,"&lt;&gt;")+COUNTIFS($F$783:$F$808,F792,$B$783:$B$808,"&lt;"&amp;B792)+1)</f>
        <v/>
      </c>
      <c r="H792">
        <f>IF(OR(E792="",C792=""),"",IF(C792&gt;=DATE(2019,5,1),"令和"&amp;(YEAR(C792)-2018),IF(C792&gt;=DATE(1989,1,8),"平成"&amp;(YEAR(C792)-1988),"昭和"&amp;(YEAR(C792)-1925)))&amp;"年"&amp;MONTH(C792)&amp;"月")</f>
        <v/>
      </c>
    </row>
    <row r="793">
      <c r="A793" t="n">
        <v>31</v>
      </c>
      <c r="B793" t="n">
        <v>11</v>
      </c>
      <c r="C793">
        <f>IFERROR(INDEX(資格取込!$S$6:$S$405,MATCH(31&amp;"_"&amp;5,資格取込!$Z$6:$Z$405,0)),"")</f>
        <v/>
      </c>
      <c r="D793">
        <f>IFERROR(INDEX(資格取込!$R$6:$R$405,MATCH(31&amp;"_"&amp;5,資格取込!$Z$6:$Z$405,0)),"")</f>
        <v/>
      </c>
      <c r="E793">
        <f>IF(D793="","",IFERROR(INDEX(資格マスタ!$B:$B,MATCH(ASC(SUBSTITUTE(SUBSTITUTE(D793," ",""),"　","")),資格マスタ!$D:$D,0)),D793))</f>
        <v/>
      </c>
      <c r="F793">
        <f>IF(E793="","",IF(C793="",DATE(9999,1,1),C793))</f>
        <v/>
      </c>
      <c r="G793">
        <f>IF(E793="","",COUNTIFS($F$783:$F$808,"&lt;"&amp;F793,$F$783:$F$808,"&lt;&gt;")+COUNTIFS($F$783:$F$808,F793,$B$783:$B$808,"&lt;"&amp;B793)+1)</f>
        <v/>
      </c>
      <c r="H793">
        <f>IF(OR(E793="",C793=""),"",IF(C793&gt;=DATE(2019,5,1),"令和"&amp;(YEAR(C793)-2018),IF(C793&gt;=DATE(1989,1,8),"平成"&amp;(YEAR(C793)-1988),"昭和"&amp;(YEAR(C793)-1925)))&amp;"年"&amp;MONTH(C793)&amp;"月")</f>
        <v/>
      </c>
    </row>
    <row r="794">
      <c r="A794" t="n">
        <v>31</v>
      </c>
      <c r="B794" t="n">
        <v>12</v>
      </c>
      <c r="C794">
        <f>IFERROR(INDEX(資格取込!$S$6:$S$405,MATCH(31&amp;"_"&amp;6,資格取込!$Z$6:$Z$405,0)),"")</f>
        <v/>
      </c>
      <c r="D794">
        <f>IFERROR(INDEX(資格取込!$R$6:$R$405,MATCH(31&amp;"_"&amp;6,資格取込!$Z$6:$Z$405,0)),"")</f>
        <v/>
      </c>
      <c r="E794">
        <f>IF(D794="","",IFERROR(INDEX(資格マスタ!$B:$B,MATCH(ASC(SUBSTITUTE(SUBSTITUTE(D794," ",""),"　","")),資格マスタ!$D:$D,0)),D794))</f>
        <v/>
      </c>
      <c r="F794">
        <f>IF(E794="","",IF(C794="",DATE(9999,1,1),C794))</f>
        <v/>
      </c>
      <c r="G794">
        <f>IF(E794="","",COUNTIFS($F$783:$F$808,"&lt;"&amp;F794,$F$783:$F$808,"&lt;&gt;")+COUNTIFS($F$783:$F$808,F794,$B$783:$B$808,"&lt;"&amp;B794)+1)</f>
        <v/>
      </c>
      <c r="H794">
        <f>IF(OR(E794="",C794=""),"",IF(C794&gt;=DATE(2019,5,1),"令和"&amp;(YEAR(C794)-2018),IF(C794&gt;=DATE(1989,1,8),"平成"&amp;(YEAR(C794)-1988),"昭和"&amp;(YEAR(C794)-1925)))&amp;"年"&amp;MONTH(C794)&amp;"月")</f>
        <v/>
      </c>
    </row>
    <row r="795">
      <c r="A795" t="n">
        <v>31</v>
      </c>
      <c r="B795" t="n">
        <v>13</v>
      </c>
      <c r="C795">
        <f>IFERROR(INDEX(資格取込!$S$6:$S$405,MATCH(31&amp;"_"&amp;7,資格取込!$Z$6:$Z$405,0)),"")</f>
        <v/>
      </c>
      <c r="D795">
        <f>IFERROR(INDEX(資格取込!$R$6:$R$405,MATCH(31&amp;"_"&amp;7,資格取込!$Z$6:$Z$405,0)),"")</f>
        <v/>
      </c>
      <c r="E795">
        <f>IF(D795="","",IFERROR(INDEX(資格マスタ!$B:$B,MATCH(ASC(SUBSTITUTE(SUBSTITUTE(D795," ",""),"　","")),資格マスタ!$D:$D,0)),D795))</f>
        <v/>
      </c>
      <c r="F795">
        <f>IF(E795="","",IF(C795="",DATE(9999,1,1),C795))</f>
        <v/>
      </c>
      <c r="G795">
        <f>IF(E795="","",COUNTIFS($F$783:$F$808,"&lt;"&amp;F795,$F$783:$F$808,"&lt;&gt;")+COUNTIFS($F$783:$F$808,F795,$B$783:$B$808,"&lt;"&amp;B795)+1)</f>
        <v/>
      </c>
      <c r="H795">
        <f>IF(OR(E795="",C795=""),"",IF(C795&gt;=DATE(2019,5,1),"令和"&amp;(YEAR(C795)-2018),IF(C795&gt;=DATE(1989,1,8),"平成"&amp;(YEAR(C795)-1988),"昭和"&amp;(YEAR(C795)-1925)))&amp;"年"&amp;MONTH(C795)&amp;"月")</f>
        <v/>
      </c>
    </row>
    <row r="796">
      <c r="A796" t="n">
        <v>31</v>
      </c>
      <c r="B796" t="n">
        <v>14</v>
      </c>
      <c r="C796">
        <f>IFERROR(INDEX(資格取込!$S$6:$S$405,MATCH(31&amp;"_"&amp;8,資格取込!$Z$6:$Z$405,0)),"")</f>
        <v/>
      </c>
      <c r="D796">
        <f>IFERROR(INDEX(資格取込!$R$6:$R$405,MATCH(31&amp;"_"&amp;8,資格取込!$Z$6:$Z$405,0)),"")</f>
        <v/>
      </c>
      <c r="E796">
        <f>IF(D796="","",IFERROR(INDEX(資格マスタ!$B:$B,MATCH(ASC(SUBSTITUTE(SUBSTITUTE(D796," ",""),"　","")),資格マスタ!$D:$D,0)),D796))</f>
        <v/>
      </c>
      <c r="F796">
        <f>IF(E796="","",IF(C796="",DATE(9999,1,1),C796))</f>
        <v/>
      </c>
      <c r="G796">
        <f>IF(E796="","",COUNTIFS($F$783:$F$808,"&lt;"&amp;F796,$F$783:$F$808,"&lt;&gt;")+COUNTIFS($F$783:$F$808,F796,$B$783:$B$808,"&lt;"&amp;B796)+1)</f>
        <v/>
      </c>
      <c r="H796">
        <f>IF(OR(E796="",C796=""),"",IF(C796&gt;=DATE(2019,5,1),"令和"&amp;(YEAR(C796)-2018),IF(C796&gt;=DATE(1989,1,8),"平成"&amp;(YEAR(C796)-1988),"昭和"&amp;(YEAR(C796)-1925)))&amp;"年"&amp;MONTH(C796)&amp;"月")</f>
        <v/>
      </c>
    </row>
    <row r="797">
      <c r="A797" t="n">
        <v>31</v>
      </c>
      <c r="B797" t="n">
        <v>15</v>
      </c>
      <c r="C797">
        <f>IFERROR(INDEX(資格取込!$S$6:$S$405,MATCH(31&amp;"_"&amp;9,資格取込!$Z$6:$Z$405,0)),"")</f>
        <v/>
      </c>
      <c r="D797">
        <f>IFERROR(INDEX(資格取込!$R$6:$R$405,MATCH(31&amp;"_"&amp;9,資格取込!$Z$6:$Z$405,0)),"")</f>
        <v/>
      </c>
      <c r="E797">
        <f>IF(D797="","",IFERROR(INDEX(資格マスタ!$B:$B,MATCH(ASC(SUBSTITUTE(SUBSTITUTE(D797," ",""),"　","")),資格マスタ!$D:$D,0)),D797))</f>
        <v/>
      </c>
      <c r="F797">
        <f>IF(E797="","",IF(C797="",DATE(9999,1,1),C797))</f>
        <v/>
      </c>
      <c r="G797">
        <f>IF(E797="","",COUNTIFS($F$783:$F$808,"&lt;"&amp;F797,$F$783:$F$808,"&lt;&gt;")+COUNTIFS($F$783:$F$808,F797,$B$783:$B$808,"&lt;"&amp;B797)+1)</f>
        <v/>
      </c>
      <c r="H797">
        <f>IF(OR(E797="",C797=""),"",IF(C797&gt;=DATE(2019,5,1),"令和"&amp;(YEAR(C797)-2018),IF(C797&gt;=DATE(1989,1,8),"平成"&amp;(YEAR(C797)-1988),"昭和"&amp;(YEAR(C797)-1925)))&amp;"年"&amp;MONTH(C797)&amp;"月")</f>
        <v/>
      </c>
    </row>
    <row r="798">
      <c r="A798" t="n">
        <v>31</v>
      </c>
      <c r="B798" t="n">
        <v>16</v>
      </c>
      <c r="C798">
        <f>IFERROR(INDEX(資格取込!$S$6:$S$405,MATCH(31&amp;"_"&amp;10,資格取込!$Z$6:$Z$405,0)),"")</f>
        <v/>
      </c>
      <c r="D798">
        <f>IFERROR(INDEX(資格取込!$R$6:$R$405,MATCH(31&amp;"_"&amp;10,資格取込!$Z$6:$Z$405,0)),"")</f>
        <v/>
      </c>
      <c r="E798">
        <f>IF(D798="","",IFERROR(INDEX(資格マスタ!$B:$B,MATCH(ASC(SUBSTITUTE(SUBSTITUTE(D798," ",""),"　","")),資格マスタ!$D:$D,0)),D798))</f>
        <v/>
      </c>
      <c r="F798">
        <f>IF(E798="","",IF(C798="",DATE(9999,1,1),C798))</f>
        <v/>
      </c>
      <c r="G798">
        <f>IF(E798="","",COUNTIFS($F$783:$F$808,"&lt;"&amp;F798,$F$783:$F$808,"&lt;&gt;")+COUNTIFS($F$783:$F$808,F798,$B$783:$B$808,"&lt;"&amp;B798)+1)</f>
        <v/>
      </c>
      <c r="H798">
        <f>IF(OR(E798="",C798=""),"",IF(C798&gt;=DATE(2019,5,1),"令和"&amp;(YEAR(C798)-2018),IF(C798&gt;=DATE(1989,1,8),"平成"&amp;(YEAR(C798)-1988),"昭和"&amp;(YEAR(C798)-1925)))&amp;"年"&amp;MONTH(C798)&amp;"月")</f>
        <v/>
      </c>
    </row>
    <row r="799">
      <c r="A799" t="n">
        <v>31</v>
      </c>
      <c r="B799" t="n">
        <v>17</v>
      </c>
      <c r="C799">
        <f>IFERROR(INDEX(資格取込!$S$6:$S$405,MATCH(31&amp;"_"&amp;11,資格取込!$Z$6:$Z$405,0)),"")</f>
        <v/>
      </c>
      <c r="D799">
        <f>IFERROR(INDEX(資格取込!$R$6:$R$405,MATCH(31&amp;"_"&amp;11,資格取込!$Z$6:$Z$405,0)),"")</f>
        <v/>
      </c>
      <c r="E799">
        <f>IF(D799="","",IFERROR(INDEX(資格マスタ!$B:$B,MATCH(ASC(SUBSTITUTE(SUBSTITUTE(D799," ",""),"　","")),資格マスタ!$D:$D,0)),D799))</f>
        <v/>
      </c>
      <c r="F799">
        <f>IF(E799="","",IF(C799="",DATE(9999,1,1),C799))</f>
        <v/>
      </c>
      <c r="G799">
        <f>IF(E799="","",COUNTIFS($F$783:$F$808,"&lt;"&amp;F799,$F$783:$F$808,"&lt;&gt;")+COUNTIFS($F$783:$F$808,F799,$B$783:$B$808,"&lt;"&amp;B799)+1)</f>
        <v/>
      </c>
      <c r="H799">
        <f>IF(OR(E799="",C799=""),"",IF(C799&gt;=DATE(2019,5,1),"令和"&amp;(YEAR(C799)-2018),IF(C799&gt;=DATE(1989,1,8),"平成"&amp;(YEAR(C799)-1988),"昭和"&amp;(YEAR(C799)-1925)))&amp;"年"&amp;MONTH(C799)&amp;"月")</f>
        <v/>
      </c>
    </row>
    <row r="800">
      <c r="A800" t="n">
        <v>31</v>
      </c>
      <c r="B800" t="n">
        <v>18</v>
      </c>
      <c r="C800">
        <f>IFERROR(INDEX(資格取込!$S$6:$S$405,MATCH(31&amp;"_"&amp;12,資格取込!$Z$6:$Z$405,0)),"")</f>
        <v/>
      </c>
      <c r="D800">
        <f>IFERROR(INDEX(資格取込!$R$6:$R$405,MATCH(31&amp;"_"&amp;12,資格取込!$Z$6:$Z$405,0)),"")</f>
        <v/>
      </c>
      <c r="E800">
        <f>IF(D800="","",IFERROR(INDEX(資格マスタ!$B:$B,MATCH(ASC(SUBSTITUTE(SUBSTITUTE(D800," ",""),"　","")),資格マスタ!$D:$D,0)),D800))</f>
        <v/>
      </c>
      <c r="F800">
        <f>IF(E800="","",IF(C800="",DATE(9999,1,1),C800))</f>
        <v/>
      </c>
      <c r="G800">
        <f>IF(E800="","",COUNTIFS($F$783:$F$808,"&lt;"&amp;F800,$F$783:$F$808,"&lt;&gt;")+COUNTIFS($F$783:$F$808,F800,$B$783:$B$808,"&lt;"&amp;B800)+1)</f>
        <v/>
      </c>
      <c r="H800">
        <f>IF(OR(E800="",C800=""),"",IF(C800&gt;=DATE(2019,5,1),"令和"&amp;(YEAR(C800)-2018),IF(C800&gt;=DATE(1989,1,8),"平成"&amp;(YEAR(C800)-1988),"昭和"&amp;(YEAR(C800)-1925)))&amp;"年"&amp;MONTH(C800)&amp;"月")</f>
        <v/>
      </c>
    </row>
    <row r="801">
      <c r="A801" t="n">
        <v>31</v>
      </c>
      <c r="B801" t="n">
        <v>19</v>
      </c>
      <c r="C801">
        <f>IFERROR(INDEX(資格取込!$S$6:$S$405,MATCH(31&amp;"_"&amp;13,資格取込!$Z$6:$Z$405,0)),"")</f>
        <v/>
      </c>
      <c r="D801">
        <f>IFERROR(INDEX(資格取込!$R$6:$R$405,MATCH(31&amp;"_"&amp;13,資格取込!$Z$6:$Z$405,0)),"")</f>
        <v/>
      </c>
      <c r="E801">
        <f>IF(D801="","",IFERROR(INDEX(資格マスタ!$B:$B,MATCH(ASC(SUBSTITUTE(SUBSTITUTE(D801," ",""),"　","")),資格マスタ!$D:$D,0)),D801))</f>
        <v/>
      </c>
      <c r="F801">
        <f>IF(E801="","",IF(C801="",DATE(9999,1,1),C801))</f>
        <v/>
      </c>
      <c r="G801">
        <f>IF(E801="","",COUNTIFS($F$783:$F$808,"&lt;"&amp;F801,$F$783:$F$808,"&lt;&gt;")+COUNTIFS($F$783:$F$808,F801,$B$783:$B$808,"&lt;"&amp;B801)+1)</f>
        <v/>
      </c>
      <c r="H801">
        <f>IF(OR(E801="",C801=""),"",IF(C801&gt;=DATE(2019,5,1),"令和"&amp;(YEAR(C801)-2018),IF(C801&gt;=DATE(1989,1,8),"平成"&amp;(YEAR(C801)-1988),"昭和"&amp;(YEAR(C801)-1925)))&amp;"年"&amp;MONTH(C801)&amp;"月")</f>
        <v/>
      </c>
    </row>
    <row r="802">
      <c r="A802" t="n">
        <v>31</v>
      </c>
      <c r="B802" t="n">
        <v>20</v>
      </c>
      <c r="C802">
        <f>IFERROR(INDEX(資格取込!$S$6:$S$405,MATCH(31&amp;"_"&amp;14,資格取込!$Z$6:$Z$405,0)),"")</f>
        <v/>
      </c>
      <c r="D802">
        <f>IFERROR(INDEX(資格取込!$R$6:$R$405,MATCH(31&amp;"_"&amp;14,資格取込!$Z$6:$Z$405,0)),"")</f>
        <v/>
      </c>
      <c r="E802">
        <f>IF(D802="","",IFERROR(INDEX(資格マスタ!$B:$B,MATCH(ASC(SUBSTITUTE(SUBSTITUTE(D802," ",""),"　","")),資格マスタ!$D:$D,0)),D802))</f>
        <v/>
      </c>
      <c r="F802">
        <f>IF(E802="","",IF(C802="",DATE(9999,1,1),C802))</f>
        <v/>
      </c>
      <c r="G802">
        <f>IF(E802="","",COUNTIFS($F$783:$F$808,"&lt;"&amp;F802,$F$783:$F$808,"&lt;&gt;")+COUNTIFS($F$783:$F$808,F802,$B$783:$B$808,"&lt;"&amp;B802)+1)</f>
        <v/>
      </c>
      <c r="H802">
        <f>IF(OR(E802="",C802=""),"",IF(C802&gt;=DATE(2019,5,1),"令和"&amp;(YEAR(C802)-2018),IF(C802&gt;=DATE(1989,1,8),"平成"&amp;(YEAR(C802)-1988),"昭和"&amp;(YEAR(C802)-1925)))&amp;"年"&amp;MONTH(C802)&amp;"月")</f>
        <v/>
      </c>
    </row>
    <row r="803">
      <c r="A803" t="n">
        <v>31</v>
      </c>
      <c r="B803" t="n">
        <v>21</v>
      </c>
      <c r="C803">
        <f>IFERROR(INDEX(資格取込!$S$6:$S$405,MATCH(31&amp;"_"&amp;15,資格取込!$Z$6:$Z$405,0)),"")</f>
        <v/>
      </c>
      <c r="D803">
        <f>IFERROR(INDEX(資格取込!$R$6:$R$405,MATCH(31&amp;"_"&amp;15,資格取込!$Z$6:$Z$405,0)),"")</f>
        <v/>
      </c>
      <c r="E803">
        <f>IF(D803="","",IFERROR(INDEX(資格マスタ!$B:$B,MATCH(ASC(SUBSTITUTE(SUBSTITUTE(D803," ",""),"　","")),資格マスタ!$D:$D,0)),D803))</f>
        <v/>
      </c>
      <c r="F803">
        <f>IF(E803="","",IF(C803="",DATE(9999,1,1),C803))</f>
        <v/>
      </c>
      <c r="G803">
        <f>IF(E803="","",COUNTIFS($F$783:$F$808,"&lt;"&amp;F803,$F$783:$F$808,"&lt;&gt;")+COUNTIFS($F$783:$F$808,F803,$B$783:$B$808,"&lt;"&amp;B803)+1)</f>
        <v/>
      </c>
      <c r="H803">
        <f>IF(OR(E803="",C803=""),"",IF(C803&gt;=DATE(2019,5,1),"令和"&amp;(YEAR(C803)-2018),IF(C803&gt;=DATE(1989,1,8),"平成"&amp;(YEAR(C803)-1988),"昭和"&amp;(YEAR(C803)-1925)))&amp;"年"&amp;MONTH(C803)&amp;"月")</f>
        <v/>
      </c>
    </row>
    <row r="804">
      <c r="A804" t="n">
        <v>31</v>
      </c>
      <c r="B804" t="n">
        <v>22</v>
      </c>
      <c r="C804">
        <f>IFERROR(INDEX(資格取込!$S$6:$S$405,MATCH(31&amp;"_"&amp;16,資格取込!$Z$6:$Z$405,0)),"")</f>
        <v/>
      </c>
      <c r="D804">
        <f>IFERROR(INDEX(資格取込!$R$6:$R$405,MATCH(31&amp;"_"&amp;16,資格取込!$Z$6:$Z$405,0)),"")</f>
        <v/>
      </c>
      <c r="E804">
        <f>IF(D804="","",IFERROR(INDEX(資格マスタ!$B:$B,MATCH(ASC(SUBSTITUTE(SUBSTITUTE(D804," ",""),"　","")),資格マスタ!$D:$D,0)),D804))</f>
        <v/>
      </c>
      <c r="F804">
        <f>IF(E804="","",IF(C804="",DATE(9999,1,1),C804))</f>
        <v/>
      </c>
      <c r="G804">
        <f>IF(E804="","",COUNTIFS($F$783:$F$808,"&lt;"&amp;F804,$F$783:$F$808,"&lt;&gt;")+COUNTIFS($F$783:$F$808,F804,$B$783:$B$808,"&lt;"&amp;B804)+1)</f>
        <v/>
      </c>
      <c r="H804">
        <f>IF(OR(E804="",C804=""),"",IF(C804&gt;=DATE(2019,5,1),"令和"&amp;(YEAR(C804)-2018),IF(C804&gt;=DATE(1989,1,8),"平成"&amp;(YEAR(C804)-1988),"昭和"&amp;(YEAR(C804)-1925)))&amp;"年"&amp;MONTH(C804)&amp;"月")</f>
        <v/>
      </c>
    </row>
    <row r="805">
      <c r="A805" t="n">
        <v>31</v>
      </c>
      <c r="B805" t="n">
        <v>23</v>
      </c>
      <c r="C805">
        <f>IFERROR(INDEX(資格取込!$S$6:$S$405,MATCH(31&amp;"_"&amp;17,資格取込!$Z$6:$Z$405,0)),"")</f>
        <v/>
      </c>
      <c r="D805">
        <f>IFERROR(INDEX(資格取込!$R$6:$R$405,MATCH(31&amp;"_"&amp;17,資格取込!$Z$6:$Z$405,0)),"")</f>
        <v/>
      </c>
      <c r="E805">
        <f>IF(D805="","",IFERROR(INDEX(資格マスタ!$B:$B,MATCH(ASC(SUBSTITUTE(SUBSTITUTE(D805," ",""),"　","")),資格マスタ!$D:$D,0)),D805))</f>
        <v/>
      </c>
      <c r="F805">
        <f>IF(E805="","",IF(C805="",DATE(9999,1,1),C805))</f>
        <v/>
      </c>
      <c r="G805">
        <f>IF(E805="","",COUNTIFS($F$783:$F$808,"&lt;"&amp;F805,$F$783:$F$808,"&lt;&gt;")+COUNTIFS($F$783:$F$808,F805,$B$783:$B$808,"&lt;"&amp;B805)+1)</f>
        <v/>
      </c>
      <c r="H805">
        <f>IF(OR(E805="",C805=""),"",IF(C805&gt;=DATE(2019,5,1),"令和"&amp;(YEAR(C805)-2018),IF(C805&gt;=DATE(1989,1,8),"平成"&amp;(YEAR(C805)-1988),"昭和"&amp;(YEAR(C805)-1925)))&amp;"年"&amp;MONTH(C805)&amp;"月")</f>
        <v/>
      </c>
    </row>
    <row r="806">
      <c r="A806" t="n">
        <v>31</v>
      </c>
      <c r="B806" t="n">
        <v>24</v>
      </c>
      <c r="C806">
        <f>IFERROR(INDEX(資格取込!$S$6:$S$405,MATCH(31&amp;"_"&amp;18,資格取込!$Z$6:$Z$405,0)),"")</f>
        <v/>
      </c>
      <c r="D806">
        <f>IFERROR(INDEX(資格取込!$R$6:$R$405,MATCH(31&amp;"_"&amp;18,資格取込!$Z$6:$Z$405,0)),"")</f>
        <v/>
      </c>
      <c r="E806">
        <f>IF(D806="","",IFERROR(INDEX(資格マスタ!$B:$B,MATCH(ASC(SUBSTITUTE(SUBSTITUTE(D806," ",""),"　","")),資格マスタ!$D:$D,0)),D806))</f>
        <v/>
      </c>
      <c r="F806">
        <f>IF(E806="","",IF(C806="",DATE(9999,1,1),C806))</f>
        <v/>
      </c>
      <c r="G806">
        <f>IF(E806="","",COUNTIFS($F$783:$F$808,"&lt;"&amp;F806,$F$783:$F$808,"&lt;&gt;")+COUNTIFS($F$783:$F$808,F806,$B$783:$B$808,"&lt;"&amp;B806)+1)</f>
        <v/>
      </c>
      <c r="H806">
        <f>IF(OR(E806="",C806=""),"",IF(C806&gt;=DATE(2019,5,1),"令和"&amp;(YEAR(C806)-2018),IF(C806&gt;=DATE(1989,1,8),"平成"&amp;(YEAR(C806)-1988),"昭和"&amp;(YEAR(C806)-1925)))&amp;"年"&amp;MONTH(C806)&amp;"月")</f>
        <v/>
      </c>
    </row>
    <row r="807">
      <c r="A807" t="n">
        <v>31</v>
      </c>
      <c r="B807" t="n">
        <v>25</v>
      </c>
      <c r="C807">
        <f>IFERROR(INDEX(資格取込!$S$6:$S$405,MATCH(31&amp;"_"&amp;19,資格取込!$Z$6:$Z$405,0)),"")</f>
        <v/>
      </c>
      <c r="D807">
        <f>IFERROR(INDEX(資格取込!$R$6:$R$405,MATCH(31&amp;"_"&amp;19,資格取込!$Z$6:$Z$405,0)),"")</f>
        <v/>
      </c>
      <c r="E807">
        <f>IF(D807="","",IFERROR(INDEX(資格マスタ!$B:$B,MATCH(ASC(SUBSTITUTE(SUBSTITUTE(D807," ",""),"　","")),資格マスタ!$D:$D,0)),D807))</f>
        <v/>
      </c>
      <c r="F807">
        <f>IF(E807="","",IF(C807="",DATE(9999,1,1),C807))</f>
        <v/>
      </c>
      <c r="G807">
        <f>IF(E807="","",COUNTIFS($F$783:$F$808,"&lt;"&amp;F807,$F$783:$F$808,"&lt;&gt;")+COUNTIFS($F$783:$F$808,F807,$B$783:$B$808,"&lt;"&amp;B807)+1)</f>
        <v/>
      </c>
      <c r="H807">
        <f>IF(OR(E807="",C807=""),"",IF(C807&gt;=DATE(2019,5,1),"令和"&amp;(YEAR(C807)-2018),IF(C807&gt;=DATE(1989,1,8),"平成"&amp;(YEAR(C807)-1988),"昭和"&amp;(YEAR(C807)-1925)))&amp;"年"&amp;MONTH(C807)&amp;"月")</f>
        <v/>
      </c>
    </row>
    <row r="808">
      <c r="A808" t="n">
        <v>31</v>
      </c>
      <c r="B808" t="n">
        <v>26</v>
      </c>
      <c r="C808">
        <f>IFERROR(INDEX(資格取込!$S$6:$S$405,MATCH(31&amp;"_"&amp;20,資格取込!$Z$6:$Z$405,0)),"")</f>
        <v/>
      </c>
      <c r="D808">
        <f>IFERROR(INDEX(資格取込!$R$6:$R$405,MATCH(31&amp;"_"&amp;20,資格取込!$Z$6:$Z$405,0)),"")</f>
        <v/>
      </c>
      <c r="E808">
        <f>IF(D808="","",IFERROR(INDEX(資格マスタ!$B:$B,MATCH(ASC(SUBSTITUTE(SUBSTITUTE(D808," ",""),"　","")),資格マスタ!$D:$D,0)),D808))</f>
        <v/>
      </c>
      <c r="F808">
        <f>IF(E808="","",IF(C808="",DATE(9999,1,1),C808))</f>
        <v/>
      </c>
      <c r="G808">
        <f>IF(E808="","",COUNTIFS($F$783:$F$808,"&lt;"&amp;F808,$F$783:$F$808,"&lt;&gt;")+COUNTIFS($F$783:$F$808,F808,$B$783:$B$808,"&lt;"&amp;B808)+1)</f>
        <v/>
      </c>
      <c r="H808">
        <f>IF(OR(E808="",C808=""),"",IF(C808&gt;=DATE(2019,5,1),"令和"&amp;(YEAR(C808)-2018),IF(C808&gt;=DATE(1989,1,8),"平成"&amp;(YEAR(C808)-1988),"昭和"&amp;(YEAR(C808)-1925)))&amp;"年"&amp;MONTH(C808)&amp;"月")</f>
        <v/>
      </c>
    </row>
    <row r="809">
      <c r="A809" t="n">
        <v>32</v>
      </c>
      <c r="B809" t="n">
        <v>1</v>
      </c>
      <c r="C809"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809">
        <f>IF(入力!N36="","",入力!N36)</f>
        <v/>
      </c>
      <c r="E809">
        <f>IF(D809="","",IFERROR(INDEX(資格マスタ!$B:$B,MATCH(ASC(SUBSTITUTE(SUBSTITUTE(D809," ",""),"　","")),資格マスタ!$D:$D,0)),D809))</f>
        <v/>
      </c>
      <c r="F809">
        <f>IF(E809="","",IF(C809="",DATE(9999,1,1),C809))</f>
        <v/>
      </c>
      <c r="G809">
        <f>IF(E809="","",COUNTIFS($F$809:$F$834,"&lt;"&amp;F809,$F$809:$F$834,"&lt;&gt;")+COUNTIFS($F$809:$F$834,F809,$B$809:$B$834,"&lt;"&amp;B809)+1)</f>
        <v/>
      </c>
      <c r="H809">
        <f>IF(OR(E809="",C809=""),"",IF(C809&gt;=DATE(2019,5,1),"令和"&amp;(YEAR(C809)-2018),IF(C809&gt;=DATE(1989,1,8),"平成"&amp;(YEAR(C809)-1988),"昭和"&amp;(YEAR(C809)-1925)))&amp;"年"&amp;MONTH(C809)&amp;"月")</f>
        <v/>
      </c>
    </row>
    <row r="810">
      <c r="A810" t="n">
        <v>32</v>
      </c>
      <c r="B810" t="n">
        <v>2</v>
      </c>
      <c r="C810">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810">
        <f>IF(入力!P36="","",入力!P36)</f>
        <v/>
      </c>
      <c r="E810">
        <f>IF(D810="","",IFERROR(INDEX(資格マスタ!$B:$B,MATCH(ASC(SUBSTITUTE(SUBSTITUTE(D810," ",""),"　","")),資格マスタ!$D:$D,0)),D810))</f>
        <v/>
      </c>
      <c r="F810">
        <f>IF(E810="","",IF(C810="",DATE(9999,1,1),C810))</f>
        <v/>
      </c>
      <c r="G810">
        <f>IF(E810="","",COUNTIFS($F$809:$F$834,"&lt;"&amp;F810,$F$809:$F$834,"&lt;&gt;")+COUNTIFS($F$809:$F$834,F810,$B$809:$B$834,"&lt;"&amp;B810)+1)</f>
        <v/>
      </c>
      <c r="H810">
        <f>IF(OR(E810="",C810=""),"",IF(C810&gt;=DATE(2019,5,1),"令和"&amp;(YEAR(C810)-2018),IF(C810&gt;=DATE(1989,1,8),"平成"&amp;(YEAR(C810)-1988),"昭和"&amp;(YEAR(C810)-1925)))&amp;"年"&amp;MONTH(C810)&amp;"月")</f>
        <v/>
      </c>
    </row>
    <row r="811">
      <c r="A811" t="n">
        <v>32</v>
      </c>
      <c r="B811" t="n">
        <v>3</v>
      </c>
      <c r="C811">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811">
        <f>IF(入力!R36="","",入力!R36)</f>
        <v/>
      </c>
      <c r="E811">
        <f>IF(D811="","",IFERROR(INDEX(資格マスタ!$B:$B,MATCH(ASC(SUBSTITUTE(SUBSTITUTE(D811," ",""),"　","")),資格マスタ!$D:$D,0)),D811))</f>
        <v/>
      </c>
      <c r="F811">
        <f>IF(E811="","",IF(C811="",DATE(9999,1,1),C811))</f>
        <v/>
      </c>
      <c r="G811">
        <f>IF(E811="","",COUNTIFS($F$809:$F$834,"&lt;"&amp;F811,$F$809:$F$834,"&lt;&gt;")+COUNTIFS($F$809:$F$834,F811,$B$809:$B$834,"&lt;"&amp;B811)+1)</f>
        <v/>
      </c>
      <c r="H811">
        <f>IF(OR(E811="",C811=""),"",IF(C811&gt;=DATE(2019,5,1),"令和"&amp;(YEAR(C811)-2018),IF(C811&gt;=DATE(1989,1,8),"平成"&amp;(YEAR(C811)-1988),"昭和"&amp;(YEAR(C811)-1925)))&amp;"年"&amp;MONTH(C811)&amp;"月")</f>
        <v/>
      </c>
    </row>
    <row r="812">
      <c r="A812" t="n">
        <v>32</v>
      </c>
      <c r="B812" t="n">
        <v>4</v>
      </c>
      <c r="C812">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812">
        <f>IF(入力!T36="","",入力!T36)</f>
        <v/>
      </c>
      <c r="E812">
        <f>IF(D812="","",IFERROR(INDEX(資格マスタ!$B:$B,MATCH(ASC(SUBSTITUTE(SUBSTITUTE(D812," ",""),"　","")),資格マスタ!$D:$D,0)),D812))</f>
        <v/>
      </c>
      <c r="F812">
        <f>IF(E812="","",IF(C812="",DATE(9999,1,1),C812))</f>
        <v/>
      </c>
      <c r="G812">
        <f>IF(E812="","",COUNTIFS($F$809:$F$834,"&lt;"&amp;F812,$F$809:$F$834,"&lt;&gt;")+COUNTIFS($F$809:$F$834,F812,$B$809:$B$834,"&lt;"&amp;B812)+1)</f>
        <v/>
      </c>
      <c r="H812">
        <f>IF(OR(E812="",C812=""),"",IF(C812&gt;=DATE(2019,5,1),"令和"&amp;(YEAR(C812)-2018),IF(C812&gt;=DATE(1989,1,8),"平成"&amp;(YEAR(C812)-1988),"昭和"&amp;(YEAR(C812)-1925)))&amp;"年"&amp;MONTH(C812)&amp;"月")</f>
        <v/>
      </c>
    </row>
    <row r="813">
      <c r="A813" t="n">
        <v>32</v>
      </c>
      <c r="B813" t="n">
        <v>5</v>
      </c>
      <c r="C813">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813">
        <f>IF(入力!V36="","",入力!V36)</f>
        <v/>
      </c>
      <c r="E813">
        <f>IF(D813="","",IFERROR(INDEX(資格マスタ!$B:$B,MATCH(ASC(SUBSTITUTE(SUBSTITUTE(D813," ",""),"　","")),資格マスタ!$D:$D,0)),D813))</f>
        <v/>
      </c>
      <c r="F813">
        <f>IF(E813="","",IF(C813="",DATE(9999,1,1),C813))</f>
        <v/>
      </c>
      <c r="G813">
        <f>IF(E813="","",COUNTIFS($F$809:$F$834,"&lt;"&amp;F813,$F$809:$F$834,"&lt;&gt;")+COUNTIFS($F$809:$F$834,F813,$B$809:$B$834,"&lt;"&amp;B813)+1)</f>
        <v/>
      </c>
      <c r="H813">
        <f>IF(OR(E813="",C813=""),"",IF(C813&gt;=DATE(2019,5,1),"令和"&amp;(YEAR(C813)-2018),IF(C813&gt;=DATE(1989,1,8),"平成"&amp;(YEAR(C813)-1988),"昭和"&amp;(YEAR(C813)-1925)))&amp;"年"&amp;MONTH(C813)&amp;"月")</f>
        <v/>
      </c>
    </row>
    <row r="814">
      <c r="A814" t="n">
        <v>32</v>
      </c>
      <c r="B814" t="n">
        <v>6</v>
      </c>
      <c r="C814">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814">
        <f>IF(入力!X36="","",入力!X36)</f>
        <v/>
      </c>
      <c r="E814">
        <f>IF(D814="","",IFERROR(INDEX(資格マスタ!$B:$B,MATCH(ASC(SUBSTITUTE(SUBSTITUTE(D814," ",""),"　","")),資格マスタ!$D:$D,0)),D814))</f>
        <v/>
      </c>
      <c r="F814">
        <f>IF(E814="","",IF(C814="",DATE(9999,1,1),C814))</f>
        <v/>
      </c>
      <c r="G814">
        <f>IF(E814="","",COUNTIFS($F$809:$F$834,"&lt;"&amp;F814,$F$809:$F$834,"&lt;&gt;")+COUNTIFS($F$809:$F$834,F814,$B$809:$B$834,"&lt;"&amp;B814)+1)</f>
        <v/>
      </c>
      <c r="H814">
        <f>IF(OR(E814="",C814=""),"",IF(C814&gt;=DATE(2019,5,1),"令和"&amp;(YEAR(C814)-2018),IF(C814&gt;=DATE(1989,1,8),"平成"&amp;(YEAR(C814)-1988),"昭和"&amp;(YEAR(C814)-1925)))&amp;"年"&amp;MONTH(C814)&amp;"月")</f>
        <v/>
      </c>
    </row>
    <row r="815">
      <c r="A815" t="n">
        <v>32</v>
      </c>
      <c r="B815" t="n">
        <v>7</v>
      </c>
      <c r="C815">
        <f>IFERROR(INDEX(資格取込!$S$6:$S$405,MATCH(32&amp;"_"&amp;1,資格取込!$Z$6:$Z$405,0)),"")</f>
        <v/>
      </c>
      <c r="D815">
        <f>IFERROR(INDEX(資格取込!$R$6:$R$405,MATCH(32&amp;"_"&amp;1,資格取込!$Z$6:$Z$405,0)),"")</f>
        <v/>
      </c>
      <c r="E815">
        <f>IF(D815="","",IFERROR(INDEX(資格マスタ!$B:$B,MATCH(ASC(SUBSTITUTE(SUBSTITUTE(D815," ",""),"　","")),資格マスタ!$D:$D,0)),D815))</f>
        <v/>
      </c>
      <c r="F815">
        <f>IF(E815="","",IF(C815="",DATE(9999,1,1),C815))</f>
        <v/>
      </c>
      <c r="G815">
        <f>IF(E815="","",COUNTIFS($F$809:$F$834,"&lt;"&amp;F815,$F$809:$F$834,"&lt;&gt;")+COUNTIFS($F$809:$F$834,F815,$B$809:$B$834,"&lt;"&amp;B815)+1)</f>
        <v/>
      </c>
      <c r="H815">
        <f>IF(OR(E815="",C815=""),"",IF(C815&gt;=DATE(2019,5,1),"令和"&amp;(YEAR(C815)-2018),IF(C815&gt;=DATE(1989,1,8),"平成"&amp;(YEAR(C815)-1988),"昭和"&amp;(YEAR(C815)-1925)))&amp;"年"&amp;MONTH(C815)&amp;"月")</f>
        <v/>
      </c>
    </row>
    <row r="816">
      <c r="A816" t="n">
        <v>32</v>
      </c>
      <c r="B816" t="n">
        <v>8</v>
      </c>
      <c r="C816">
        <f>IFERROR(INDEX(資格取込!$S$6:$S$405,MATCH(32&amp;"_"&amp;2,資格取込!$Z$6:$Z$405,0)),"")</f>
        <v/>
      </c>
      <c r="D816">
        <f>IFERROR(INDEX(資格取込!$R$6:$R$405,MATCH(32&amp;"_"&amp;2,資格取込!$Z$6:$Z$405,0)),"")</f>
        <v/>
      </c>
      <c r="E816">
        <f>IF(D816="","",IFERROR(INDEX(資格マスタ!$B:$B,MATCH(ASC(SUBSTITUTE(SUBSTITUTE(D816," ",""),"　","")),資格マスタ!$D:$D,0)),D816))</f>
        <v/>
      </c>
      <c r="F816">
        <f>IF(E816="","",IF(C816="",DATE(9999,1,1),C816))</f>
        <v/>
      </c>
      <c r="G816">
        <f>IF(E816="","",COUNTIFS($F$809:$F$834,"&lt;"&amp;F816,$F$809:$F$834,"&lt;&gt;")+COUNTIFS($F$809:$F$834,F816,$B$809:$B$834,"&lt;"&amp;B816)+1)</f>
        <v/>
      </c>
      <c r="H816">
        <f>IF(OR(E816="",C816=""),"",IF(C816&gt;=DATE(2019,5,1),"令和"&amp;(YEAR(C816)-2018),IF(C816&gt;=DATE(1989,1,8),"平成"&amp;(YEAR(C816)-1988),"昭和"&amp;(YEAR(C816)-1925)))&amp;"年"&amp;MONTH(C816)&amp;"月")</f>
        <v/>
      </c>
    </row>
    <row r="817">
      <c r="A817" t="n">
        <v>32</v>
      </c>
      <c r="B817" t="n">
        <v>9</v>
      </c>
      <c r="C817">
        <f>IFERROR(INDEX(資格取込!$S$6:$S$405,MATCH(32&amp;"_"&amp;3,資格取込!$Z$6:$Z$405,0)),"")</f>
        <v/>
      </c>
      <c r="D817">
        <f>IFERROR(INDEX(資格取込!$R$6:$R$405,MATCH(32&amp;"_"&amp;3,資格取込!$Z$6:$Z$405,0)),"")</f>
        <v/>
      </c>
      <c r="E817">
        <f>IF(D817="","",IFERROR(INDEX(資格マスタ!$B:$B,MATCH(ASC(SUBSTITUTE(SUBSTITUTE(D817," ",""),"　","")),資格マスタ!$D:$D,0)),D817))</f>
        <v/>
      </c>
      <c r="F817">
        <f>IF(E817="","",IF(C817="",DATE(9999,1,1),C817))</f>
        <v/>
      </c>
      <c r="G817">
        <f>IF(E817="","",COUNTIFS($F$809:$F$834,"&lt;"&amp;F817,$F$809:$F$834,"&lt;&gt;")+COUNTIFS($F$809:$F$834,F817,$B$809:$B$834,"&lt;"&amp;B817)+1)</f>
        <v/>
      </c>
      <c r="H817">
        <f>IF(OR(E817="",C817=""),"",IF(C817&gt;=DATE(2019,5,1),"令和"&amp;(YEAR(C817)-2018),IF(C817&gt;=DATE(1989,1,8),"平成"&amp;(YEAR(C817)-1988),"昭和"&amp;(YEAR(C817)-1925)))&amp;"年"&amp;MONTH(C817)&amp;"月")</f>
        <v/>
      </c>
    </row>
    <row r="818">
      <c r="A818" t="n">
        <v>32</v>
      </c>
      <c r="B818" t="n">
        <v>10</v>
      </c>
      <c r="C818">
        <f>IFERROR(INDEX(資格取込!$S$6:$S$405,MATCH(32&amp;"_"&amp;4,資格取込!$Z$6:$Z$405,0)),"")</f>
        <v/>
      </c>
      <c r="D818">
        <f>IFERROR(INDEX(資格取込!$R$6:$R$405,MATCH(32&amp;"_"&amp;4,資格取込!$Z$6:$Z$405,0)),"")</f>
        <v/>
      </c>
      <c r="E818">
        <f>IF(D818="","",IFERROR(INDEX(資格マスタ!$B:$B,MATCH(ASC(SUBSTITUTE(SUBSTITUTE(D818," ",""),"　","")),資格マスタ!$D:$D,0)),D818))</f>
        <v/>
      </c>
      <c r="F818">
        <f>IF(E818="","",IF(C818="",DATE(9999,1,1),C818))</f>
        <v/>
      </c>
      <c r="G818">
        <f>IF(E818="","",COUNTIFS($F$809:$F$834,"&lt;"&amp;F818,$F$809:$F$834,"&lt;&gt;")+COUNTIFS($F$809:$F$834,F818,$B$809:$B$834,"&lt;"&amp;B818)+1)</f>
        <v/>
      </c>
      <c r="H818">
        <f>IF(OR(E818="",C818=""),"",IF(C818&gt;=DATE(2019,5,1),"令和"&amp;(YEAR(C818)-2018),IF(C818&gt;=DATE(1989,1,8),"平成"&amp;(YEAR(C818)-1988),"昭和"&amp;(YEAR(C818)-1925)))&amp;"年"&amp;MONTH(C818)&amp;"月")</f>
        <v/>
      </c>
    </row>
    <row r="819">
      <c r="A819" t="n">
        <v>32</v>
      </c>
      <c r="B819" t="n">
        <v>11</v>
      </c>
      <c r="C819">
        <f>IFERROR(INDEX(資格取込!$S$6:$S$405,MATCH(32&amp;"_"&amp;5,資格取込!$Z$6:$Z$405,0)),"")</f>
        <v/>
      </c>
      <c r="D819">
        <f>IFERROR(INDEX(資格取込!$R$6:$R$405,MATCH(32&amp;"_"&amp;5,資格取込!$Z$6:$Z$405,0)),"")</f>
        <v/>
      </c>
      <c r="E819">
        <f>IF(D819="","",IFERROR(INDEX(資格マスタ!$B:$B,MATCH(ASC(SUBSTITUTE(SUBSTITUTE(D819," ",""),"　","")),資格マスタ!$D:$D,0)),D819))</f>
        <v/>
      </c>
      <c r="F819">
        <f>IF(E819="","",IF(C819="",DATE(9999,1,1),C819))</f>
        <v/>
      </c>
      <c r="G819">
        <f>IF(E819="","",COUNTIFS($F$809:$F$834,"&lt;"&amp;F819,$F$809:$F$834,"&lt;&gt;")+COUNTIFS($F$809:$F$834,F819,$B$809:$B$834,"&lt;"&amp;B819)+1)</f>
        <v/>
      </c>
      <c r="H819">
        <f>IF(OR(E819="",C819=""),"",IF(C819&gt;=DATE(2019,5,1),"令和"&amp;(YEAR(C819)-2018),IF(C819&gt;=DATE(1989,1,8),"平成"&amp;(YEAR(C819)-1988),"昭和"&amp;(YEAR(C819)-1925)))&amp;"年"&amp;MONTH(C819)&amp;"月")</f>
        <v/>
      </c>
    </row>
    <row r="820">
      <c r="A820" t="n">
        <v>32</v>
      </c>
      <c r="B820" t="n">
        <v>12</v>
      </c>
      <c r="C820">
        <f>IFERROR(INDEX(資格取込!$S$6:$S$405,MATCH(32&amp;"_"&amp;6,資格取込!$Z$6:$Z$405,0)),"")</f>
        <v/>
      </c>
      <c r="D820">
        <f>IFERROR(INDEX(資格取込!$R$6:$R$405,MATCH(32&amp;"_"&amp;6,資格取込!$Z$6:$Z$405,0)),"")</f>
        <v/>
      </c>
      <c r="E820">
        <f>IF(D820="","",IFERROR(INDEX(資格マスタ!$B:$B,MATCH(ASC(SUBSTITUTE(SUBSTITUTE(D820," ",""),"　","")),資格マスタ!$D:$D,0)),D820))</f>
        <v/>
      </c>
      <c r="F820">
        <f>IF(E820="","",IF(C820="",DATE(9999,1,1),C820))</f>
        <v/>
      </c>
      <c r="G820">
        <f>IF(E820="","",COUNTIFS($F$809:$F$834,"&lt;"&amp;F820,$F$809:$F$834,"&lt;&gt;")+COUNTIFS($F$809:$F$834,F820,$B$809:$B$834,"&lt;"&amp;B820)+1)</f>
        <v/>
      </c>
      <c r="H820">
        <f>IF(OR(E820="",C820=""),"",IF(C820&gt;=DATE(2019,5,1),"令和"&amp;(YEAR(C820)-2018),IF(C820&gt;=DATE(1989,1,8),"平成"&amp;(YEAR(C820)-1988),"昭和"&amp;(YEAR(C820)-1925)))&amp;"年"&amp;MONTH(C820)&amp;"月")</f>
        <v/>
      </c>
    </row>
    <row r="821">
      <c r="A821" t="n">
        <v>32</v>
      </c>
      <c r="B821" t="n">
        <v>13</v>
      </c>
      <c r="C821">
        <f>IFERROR(INDEX(資格取込!$S$6:$S$405,MATCH(32&amp;"_"&amp;7,資格取込!$Z$6:$Z$405,0)),"")</f>
        <v/>
      </c>
      <c r="D821">
        <f>IFERROR(INDEX(資格取込!$R$6:$R$405,MATCH(32&amp;"_"&amp;7,資格取込!$Z$6:$Z$405,0)),"")</f>
        <v/>
      </c>
      <c r="E821">
        <f>IF(D821="","",IFERROR(INDEX(資格マスタ!$B:$B,MATCH(ASC(SUBSTITUTE(SUBSTITUTE(D821," ",""),"　","")),資格マスタ!$D:$D,0)),D821))</f>
        <v/>
      </c>
      <c r="F821">
        <f>IF(E821="","",IF(C821="",DATE(9999,1,1),C821))</f>
        <v/>
      </c>
      <c r="G821">
        <f>IF(E821="","",COUNTIFS($F$809:$F$834,"&lt;"&amp;F821,$F$809:$F$834,"&lt;&gt;")+COUNTIFS($F$809:$F$834,F821,$B$809:$B$834,"&lt;"&amp;B821)+1)</f>
        <v/>
      </c>
      <c r="H821">
        <f>IF(OR(E821="",C821=""),"",IF(C821&gt;=DATE(2019,5,1),"令和"&amp;(YEAR(C821)-2018),IF(C821&gt;=DATE(1989,1,8),"平成"&amp;(YEAR(C821)-1988),"昭和"&amp;(YEAR(C821)-1925)))&amp;"年"&amp;MONTH(C821)&amp;"月")</f>
        <v/>
      </c>
    </row>
    <row r="822">
      <c r="A822" t="n">
        <v>32</v>
      </c>
      <c r="B822" t="n">
        <v>14</v>
      </c>
      <c r="C822">
        <f>IFERROR(INDEX(資格取込!$S$6:$S$405,MATCH(32&amp;"_"&amp;8,資格取込!$Z$6:$Z$405,0)),"")</f>
        <v/>
      </c>
      <c r="D822">
        <f>IFERROR(INDEX(資格取込!$R$6:$R$405,MATCH(32&amp;"_"&amp;8,資格取込!$Z$6:$Z$405,0)),"")</f>
        <v/>
      </c>
      <c r="E822">
        <f>IF(D822="","",IFERROR(INDEX(資格マスタ!$B:$B,MATCH(ASC(SUBSTITUTE(SUBSTITUTE(D822," ",""),"　","")),資格マスタ!$D:$D,0)),D822))</f>
        <v/>
      </c>
      <c r="F822">
        <f>IF(E822="","",IF(C822="",DATE(9999,1,1),C822))</f>
        <v/>
      </c>
      <c r="G822">
        <f>IF(E822="","",COUNTIFS($F$809:$F$834,"&lt;"&amp;F822,$F$809:$F$834,"&lt;&gt;")+COUNTIFS($F$809:$F$834,F822,$B$809:$B$834,"&lt;"&amp;B822)+1)</f>
        <v/>
      </c>
      <c r="H822">
        <f>IF(OR(E822="",C822=""),"",IF(C822&gt;=DATE(2019,5,1),"令和"&amp;(YEAR(C822)-2018),IF(C822&gt;=DATE(1989,1,8),"平成"&amp;(YEAR(C822)-1988),"昭和"&amp;(YEAR(C822)-1925)))&amp;"年"&amp;MONTH(C822)&amp;"月")</f>
        <v/>
      </c>
    </row>
    <row r="823">
      <c r="A823" t="n">
        <v>32</v>
      </c>
      <c r="B823" t="n">
        <v>15</v>
      </c>
      <c r="C823">
        <f>IFERROR(INDEX(資格取込!$S$6:$S$405,MATCH(32&amp;"_"&amp;9,資格取込!$Z$6:$Z$405,0)),"")</f>
        <v/>
      </c>
      <c r="D823">
        <f>IFERROR(INDEX(資格取込!$R$6:$R$405,MATCH(32&amp;"_"&amp;9,資格取込!$Z$6:$Z$405,0)),"")</f>
        <v/>
      </c>
      <c r="E823">
        <f>IF(D823="","",IFERROR(INDEX(資格マスタ!$B:$B,MATCH(ASC(SUBSTITUTE(SUBSTITUTE(D823," ",""),"　","")),資格マスタ!$D:$D,0)),D823))</f>
        <v/>
      </c>
      <c r="F823">
        <f>IF(E823="","",IF(C823="",DATE(9999,1,1),C823))</f>
        <v/>
      </c>
      <c r="G823">
        <f>IF(E823="","",COUNTIFS($F$809:$F$834,"&lt;"&amp;F823,$F$809:$F$834,"&lt;&gt;")+COUNTIFS($F$809:$F$834,F823,$B$809:$B$834,"&lt;"&amp;B823)+1)</f>
        <v/>
      </c>
      <c r="H823">
        <f>IF(OR(E823="",C823=""),"",IF(C823&gt;=DATE(2019,5,1),"令和"&amp;(YEAR(C823)-2018),IF(C823&gt;=DATE(1989,1,8),"平成"&amp;(YEAR(C823)-1988),"昭和"&amp;(YEAR(C823)-1925)))&amp;"年"&amp;MONTH(C823)&amp;"月")</f>
        <v/>
      </c>
    </row>
    <row r="824">
      <c r="A824" t="n">
        <v>32</v>
      </c>
      <c r="B824" t="n">
        <v>16</v>
      </c>
      <c r="C824">
        <f>IFERROR(INDEX(資格取込!$S$6:$S$405,MATCH(32&amp;"_"&amp;10,資格取込!$Z$6:$Z$405,0)),"")</f>
        <v/>
      </c>
      <c r="D824">
        <f>IFERROR(INDEX(資格取込!$R$6:$R$405,MATCH(32&amp;"_"&amp;10,資格取込!$Z$6:$Z$405,0)),"")</f>
        <v/>
      </c>
      <c r="E824">
        <f>IF(D824="","",IFERROR(INDEX(資格マスタ!$B:$B,MATCH(ASC(SUBSTITUTE(SUBSTITUTE(D824," ",""),"　","")),資格マスタ!$D:$D,0)),D824))</f>
        <v/>
      </c>
      <c r="F824">
        <f>IF(E824="","",IF(C824="",DATE(9999,1,1),C824))</f>
        <v/>
      </c>
      <c r="G824">
        <f>IF(E824="","",COUNTIFS($F$809:$F$834,"&lt;"&amp;F824,$F$809:$F$834,"&lt;&gt;")+COUNTIFS($F$809:$F$834,F824,$B$809:$B$834,"&lt;"&amp;B824)+1)</f>
        <v/>
      </c>
      <c r="H824">
        <f>IF(OR(E824="",C824=""),"",IF(C824&gt;=DATE(2019,5,1),"令和"&amp;(YEAR(C824)-2018),IF(C824&gt;=DATE(1989,1,8),"平成"&amp;(YEAR(C824)-1988),"昭和"&amp;(YEAR(C824)-1925)))&amp;"年"&amp;MONTH(C824)&amp;"月")</f>
        <v/>
      </c>
    </row>
    <row r="825">
      <c r="A825" t="n">
        <v>32</v>
      </c>
      <c r="B825" t="n">
        <v>17</v>
      </c>
      <c r="C825">
        <f>IFERROR(INDEX(資格取込!$S$6:$S$405,MATCH(32&amp;"_"&amp;11,資格取込!$Z$6:$Z$405,0)),"")</f>
        <v/>
      </c>
      <c r="D825">
        <f>IFERROR(INDEX(資格取込!$R$6:$R$405,MATCH(32&amp;"_"&amp;11,資格取込!$Z$6:$Z$405,0)),"")</f>
        <v/>
      </c>
      <c r="E825">
        <f>IF(D825="","",IFERROR(INDEX(資格マスタ!$B:$B,MATCH(ASC(SUBSTITUTE(SUBSTITUTE(D825," ",""),"　","")),資格マスタ!$D:$D,0)),D825))</f>
        <v/>
      </c>
      <c r="F825">
        <f>IF(E825="","",IF(C825="",DATE(9999,1,1),C825))</f>
        <v/>
      </c>
      <c r="G825">
        <f>IF(E825="","",COUNTIFS($F$809:$F$834,"&lt;"&amp;F825,$F$809:$F$834,"&lt;&gt;")+COUNTIFS($F$809:$F$834,F825,$B$809:$B$834,"&lt;"&amp;B825)+1)</f>
        <v/>
      </c>
      <c r="H825">
        <f>IF(OR(E825="",C825=""),"",IF(C825&gt;=DATE(2019,5,1),"令和"&amp;(YEAR(C825)-2018),IF(C825&gt;=DATE(1989,1,8),"平成"&amp;(YEAR(C825)-1988),"昭和"&amp;(YEAR(C825)-1925)))&amp;"年"&amp;MONTH(C825)&amp;"月")</f>
        <v/>
      </c>
    </row>
    <row r="826">
      <c r="A826" t="n">
        <v>32</v>
      </c>
      <c r="B826" t="n">
        <v>18</v>
      </c>
      <c r="C826">
        <f>IFERROR(INDEX(資格取込!$S$6:$S$405,MATCH(32&amp;"_"&amp;12,資格取込!$Z$6:$Z$405,0)),"")</f>
        <v/>
      </c>
      <c r="D826">
        <f>IFERROR(INDEX(資格取込!$R$6:$R$405,MATCH(32&amp;"_"&amp;12,資格取込!$Z$6:$Z$405,0)),"")</f>
        <v/>
      </c>
      <c r="E826">
        <f>IF(D826="","",IFERROR(INDEX(資格マスタ!$B:$B,MATCH(ASC(SUBSTITUTE(SUBSTITUTE(D826," ",""),"　","")),資格マスタ!$D:$D,0)),D826))</f>
        <v/>
      </c>
      <c r="F826">
        <f>IF(E826="","",IF(C826="",DATE(9999,1,1),C826))</f>
        <v/>
      </c>
      <c r="G826">
        <f>IF(E826="","",COUNTIFS($F$809:$F$834,"&lt;"&amp;F826,$F$809:$F$834,"&lt;&gt;")+COUNTIFS($F$809:$F$834,F826,$B$809:$B$834,"&lt;"&amp;B826)+1)</f>
        <v/>
      </c>
      <c r="H826">
        <f>IF(OR(E826="",C826=""),"",IF(C826&gt;=DATE(2019,5,1),"令和"&amp;(YEAR(C826)-2018),IF(C826&gt;=DATE(1989,1,8),"平成"&amp;(YEAR(C826)-1988),"昭和"&amp;(YEAR(C826)-1925)))&amp;"年"&amp;MONTH(C826)&amp;"月")</f>
        <v/>
      </c>
    </row>
    <row r="827">
      <c r="A827" t="n">
        <v>32</v>
      </c>
      <c r="B827" t="n">
        <v>19</v>
      </c>
      <c r="C827">
        <f>IFERROR(INDEX(資格取込!$S$6:$S$405,MATCH(32&amp;"_"&amp;13,資格取込!$Z$6:$Z$405,0)),"")</f>
        <v/>
      </c>
      <c r="D827">
        <f>IFERROR(INDEX(資格取込!$R$6:$R$405,MATCH(32&amp;"_"&amp;13,資格取込!$Z$6:$Z$405,0)),"")</f>
        <v/>
      </c>
      <c r="E827">
        <f>IF(D827="","",IFERROR(INDEX(資格マスタ!$B:$B,MATCH(ASC(SUBSTITUTE(SUBSTITUTE(D827," ",""),"　","")),資格マスタ!$D:$D,0)),D827))</f>
        <v/>
      </c>
      <c r="F827">
        <f>IF(E827="","",IF(C827="",DATE(9999,1,1),C827))</f>
        <v/>
      </c>
      <c r="G827">
        <f>IF(E827="","",COUNTIFS($F$809:$F$834,"&lt;"&amp;F827,$F$809:$F$834,"&lt;&gt;")+COUNTIFS($F$809:$F$834,F827,$B$809:$B$834,"&lt;"&amp;B827)+1)</f>
        <v/>
      </c>
      <c r="H827">
        <f>IF(OR(E827="",C827=""),"",IF(C827&gt;=DATE(2019,5,1),"令和"&amp;(YEAR(C827)-2018),IF(C827&gt;=DATE(1989,1,8),"平成"&amp;(YEAR(C827)-1988),"昭和"&amp;(YEAR(C827)-1925)))&amp;"年"&amp;MONTH(C827)&amp;"月")</f>
        <v/>
      </c>
    </row>
    <row r="828">
      <c r="A828" t="n">
        <v>32</v>
      </c>
      <c r="B828" t="n">
        <v>20</v>
      </c>
      <c r="C828">
        <f>IFERROR(INDEX(資格取込!$S$6:$S$405,MATCH(32&amp;"_"&amp;14,資格取込!$Z$6:$Z$405,0)),"")</f>
        <v/>
      </c>
      <c r="D828">
        <f>IFERROR(INDEX(資格取込!$R$6:$R$405,MATCH(32&amp;"_"&amp;14,資格取込!$Z$6:$Z$405,0)),"")</f>
        <v/>
      </c>
      <c r="E828">
        <f>IF(D828="","",IFERROR(INDEX(資格マスタ!$B:$B,MATCH(ASC(SUBSTITUTE(SUBSTITUTE(D828," ",""),"　","")),資格マスタ!$D:$D,0)),D828))</f>
        <v/>
      </c>
      <c r="F828">
        <f>IF(E828="","",IF(C828="",DATE(9999,1,1),C828))</f>
        <v/>
      </c>
      <c r="G828">
        <f>IF(E828="","",COUNTIFS($F$809:$F$834,"&lt;"&amp;F828,$F$809:$F$834,"&lt;&gt;")+COUNTIFS($F$809:$F$834,F828,$B$809:$B$834,"&lt;"&amp;B828)+1)</f>
        <v/>
      </c>
      <c r="H828">
        <f>IF(OR(E828="",C828=""),"",IF(C828&gt;=DATE(2019,5,1),"令和"&amp;(YEAR(C828)-2018),IF(C828&gt;=DATE(1989,1,8),"平成"&amp;(YEAR(C828)-1988),"昭和"&amp;(YEAR(C828)-1925)))&amp;"年"&amp;MONTH(C828)&amp;"月")</f>
        <v/>
      </c>
    </row>
    <row r="829">
      <c r="A829" t="n">
        <v>32</v>
      </c>
      <c r="B829" t="n">
        <v>21</v>
      </c>
      <c r="C829">
        <f>IFERROR(INDEX(資格取込!$S$6:$S$405,MATCH(32&amp;"_"&amp;15,資格取込!$Z$6:$Z$405,0)),"")</f>
        <v/>
      </c>
      <c r="D829">
        <f>IFERROR(INDEX(資格取込!$R$6:$R$405,MATCH(32&amp;"_"&amp;15,資格取込!$Z$6:$Z$405,0)),"")</f>
        <v/>
      </c>
      <c r="E829">
        <f>IF(D829="","",IFERROR(INDEX(資格マスタ!$B:$B,MATCH(ASC(SUBSTITUTE(SUBSTITUTE(D829," ",""),"　","")),資格マスタ!$D:$D,0)),D829))</f>
        <v/>
      </c>
      <c r="F829">
        <f>IF(E829="","",IF(C829="",DATE(9999,1,1),C829))</f>
        <v/>
      </c>
      <c r="G829">
        <f>IF(E829="","",COUNTIFS($F$809:$F$834,"&lt;"&amp;F829,$F$809:$F$834,"&lt;&gt;")+COUNTIFS($F$809:$F$834,F829,$B$809:$B$834,"&lt;"&amp;B829)+1)</f>
        <v/>
      </c>
      <c r="H829">
        <f>IF(OR(E829="",C829=""),"",IF(C829&gt;=DATE(2019,5,1),"令和"&amp;(YEAR(C829)-2018),IF(C829&gt;=DATE(1989,1,8),"平成"&amp;(YEAR(C829)-1988),"昭和"&amp;(YEAR(C829)-1925)))&amp;"年"&amp;MONTH(C829)&amp;"月")</f>
        <v/>
      </c>
    </row>
    <row r="830">
      <c r="A830" t="n">
        <v>32</v>
      </c>
      <c r="B830" t="n">
        <v>22</v>
      </c>
      <c r="C830">
        <f>IFERROR(INDEX(資格取込!$S$6:$S$405,MATCH(32&amp;"_"&amp;16,資格取込!$Z$6:$Z$405,0)),"")</f>
        <v/>
      </c>
      <c r="D830">
        <f>IFERROR(INDEX(資格取込!$R$6:$R$405,MATCH(32&amp;"_"&amp;16,資格取込!$Z$6:$Z$405,0)),"")</f>
        <v/>
      </c>
      <c r="E830">
        <f>IF(D830="","",IFERROR(INDEX(資格マスタ!$B:$B,MATCH(ASC(SUBSTITUTE(SUBSTITUTE(D830," ",""),"　","")),資格マスタ!$D:$D,0)),D830))</f>
        <v/>
      </c>
      <c r="F830">
        <f>IF(E830="","",IF(C830="",DATE(9999,1,1),C830))</f>
        <v/>
      </c>
      <c r="G830">
        <f>IF(E830="","",COUNTIFS($F$809:$F$834,"&lt;"&amp;F830,$F$809:$F$834,"&lt;&gt;")+COUNTIFS($F$809:$F$834,F830,$B$809:$B$834,"&lt;"&amp;B830)+1)</f>
        <v/>
      </c>
      <c r="H830">
        <f>IF(OR(E830="",C830=""),"",IF(C830&gt;=DATE(2019,5,1),"令和"&amp;(YEAR(C830)-2018),IF(C830&gt;=DATE(1989,1,8),"平成"&amp;(YEAR(C830)-1988),"昭和"&amp;(YEAR(C830)-1925)))&amp;"年"&amp;MONTH(C830)&amp;"月")</f>
        <v/>
      </c>
    </row>
    <row r="831">
      <c r="A831" t="n">
        <v>32</v>
      </c>
      <c r="B831" t="n">
        <v>23</v>
      </c>
      <c r="C831">
        <f>IFERROR(INDEX(資格取込!$S$6:$S$405,MATCH(32&amp;"_"&amp;17,資格取込!$Z$6:$Z$405,0)),"")</f>
        <v/>
      </c>
      <c r="D831">
        <f>IFERROR(INDEX(資格取込!$R$6:$R$405,MATCH(32&amp;"_"&amp;17,資格取込!$Z$6:$Z$405,0)),"")</f>
        <v/>
      </c>
      <c r="E831">
        <f>IF(D831="","",IFERROR(INDEX(資格マスタ!$B:$B,MATCH(ASC(SUBSTITUTE(SUBSTITUTE(D831," ",""),"　","")),資格マスタ!$D:$D,0)),D831))</f>
        <v/>
      </c>
      <c r="F831">
        <f>IF(E831="","",IF(C831="",DATE(9999,1,1),C831))</f>
        <v/>
      </c>
      <c r="G831">
        <f>IF(E831="","",COUNTIFS($F$809:$F$834,"&lt;"&amp;F831,$F$809:$F$834,"&lt;&gt;")+COUNTIFS($F$809:$F$834,F831,$B$809:$B$834,"&lt;"&amp;B831)+1)</f>
        <v/>
      </c>
      <c r="H831">
        <f>IF(OR(E831="",C831=""),"",IF(C831&gt;=DATE(2019,5,1),"令和"&amp;(YEAR(C831)-2018),IF(C831&gt;=DATE(1989,1,8),"平成"&amp;(YEAR(C831)-1988),"昭和"&amp;(YEAR(C831)-1925)))&amp;"年"&amp;MONTH(C831)&amp;"月")</f>
        <v/>
      </c>
    </row>
    <row r="832">
      <c r="A832" t="n">
        <v>32</v>
      </c>
      <c r="B832" t="n">
        <v>24</v>
      </c>
      <c r="C832">
        <f>IFERROR(INDEX(資格取込!$S$6:$S$405,MATCH(32&amp;"_"&amp;18,資格取込!$Z$6:$Z$405,0)),"")</f>
        <v/>
      </c>
      <c r="D832">
        <f>IFERROR(INDEX(資格取込!$R$6:$R$405,MATCH(32&amp;"_"&amp;18,資格取込!$Z$6:$Z$405,0)),"")</f>
        <v/>
      </c>
      <c r="E832">
        <f>IF(D832="","",IFERROR(INDEX(資格マスタ!$B:$B,MATCH(ASC(SUBSTITUTE(SUBSTITUTE(D832," ",""),"　","")),資格マスタ!$D:$D,0)),D832))</f>
        <v/>
      </c>
      <c r="F832">
        <f>IF(E832="","",IF(C832="",DATE(9999,1,1),C832))</f>
        <v/>
      </c>
      <c r="G832">
        <f>IF(E832="","",COUNTIFS($F$809:$F$834,"&lt;"&amp;F832,$F$809:$F$834,"&lt;&gt;")+COUNTIFS($F$809:$F$834,F832,$B$809:$B$834,"&lt;"&amp;B832)+1)</f>
        <v/>
      </c>
      <c r="H832">
        <f>IF(OR(E832="",C832=""),"",IF(C832&gt;=DATE(2019,5,1),"令和"&amp;(YEAR(C832)-2018),IF(C832&gt;=DATE(1989,1,8),"平成"&amp;(YEAR(C832)-1988),"昭和"&amp;(YEAR(C832)-1925)))&amp;"年"&amp;MONTH(C832)&amp;"月")</f>
        <v/>
      </c>
    </row>
    <row r="833">
      <c r="A833" t="n">
        <v>32</v>
      </c>
      <c r="B833" t="n">
        <v>25</v>
      </c>
      <c r="C833">
        <f>IFERROR(INDEX(資格取込!$S$6:$S$405,MATCH(32&amp;"_"&amp;19,資格取込!$Z$6:$Z$405,0)),"")</f>
        <v/>
      </c>
      <c r="D833">
        <f>IFERROR(INDEX(資格取込!$R$6:$R$405,MATCH(32&amp;"_"&amp;19,資格取込!$Z$6:$Z$405,0)),"")</f>
        <v/>
      </c>
      <c r="E833">
        <f>IF(D833="","",IFERROR(INDEX(資格マスタ!$B:$B,MATCH(ASC(SUBSTITUTE(SUBSTITUTE(D833," ",""),"　","")),資格マスタ!$D:$D,0)),D833))</f>
        <v/>
      </c>
      <c r="F833">
        <f>IF(E833="","",IF(C833="",DATE(9999,1,1),C833))</f>
        <v/>
      </c>
      <c r="G833">
        <f>IF(E833="","",COUNTIFS($F$809:$F$834,"&lt;"&amp;F833,$F$809:$F$834,"&lt;&gt;")+COUNTIFS($F$809:$F$834,F833,$B$809:$B$834,"&lt;"&amp;B833)+1)</f>
        <v/>
      </c>
      <c r="H833">
        <f>IF(OR(E833="",C833=""),"",IF(C833&gt;=DATE(2019,5,1),"令和"&amp;(YEAR(C833)-2018),IF(C833&gt;=DATE(1989,1,8),"平成"&amp;(YEAR(C833)-1988),"昭和"&amp;(YEAR(C833)-1925)))&amp;"年"&amp;MONTH(C833)&amp;"月")</f>
        <v/>
      </c>
    </row>
    <row r="834">
      <c r="A834" t="n">
        <v>32</v>
      </c>
      <c r="B834" t="n">
        <v>26</v>
      </c>
      <c r="C834">
        <f>IFERROR(INDEX(資格取込!$S$6:$S$405,MATCH(32&amp;"_"&amp;20,資格取込!$Z$6:$Z$405,0)),"")</f>
        <v/>
      </c>
      <c r="D834">
        <f>IFERROR(INDEX(資格取込!$R$6:$R$405,MATCH(32&amp;"_"&amp;20,資格取込!$Z$6:$Z$405,0)),"")</f>
        <v/>
      </c>
      <c r="E834">
        <f>IF(D834="","",IFERROR(INDEX(資格マスタ!$B:$B,MATCH(ASC(SUBSTITUTE(SUBSTITUTE(D834," ",""),"　","")),資格マスタ!$D:$D,0)),D834))</f>
        <v/>
      </c>
      <c r="F834">
        <f>IF(E834="","",IF(C834="",DATE(9999,1,1),C834))</f>
        <v/>
      </c>
      <c r="G834">
        <f>IF(E834="","",COUNTIFS($F$809:$F$834,"&lt;"&amp;F834,$F$809:$F$834,"&lt;&gt;")+COUNTIFS($F$809:$F$834,F834,$B$809:$B$834,"&lt;"&amp;B834)+1)</f>
        <v/>
      </c>
      <c r="H834">
        <f>IF(OR(E834="",C834=""),"",IF(C834&gt;=DATE(2019,5,1),"令和"&amp;(YEAR(C834)-2018),IF(C834&gt;=DATE(1989,1,8),"平成"&amp;(YEAR(C834)-1988),"昭和"&amp;(YEAR(C834)-1925)))&amp;"年"&amp;MONTH(C834)&amp;"月")</f>
        <v/>
      </c>
    </row>
    <row r="835">
      <c r="A835" t="n">
        <v>33</v>
      </c>
      <c r="B835" t="n">
        <v>1</v>
      </c>
      <c r="C835"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835">
        <f>IF(入力!N37="","",入力!N37)</f>
        <v/>
      </c>
      <c r="E835">
        <f>IF(D835="","",IFERROR(INDEX(資格マスタ!$B:$B,MATCH(ASC(SUBSTITUTE(SUBSTITUTE(D835," ",""),"　","")),資格マスタ!$D:$D,0)),D835))</f>
        <v/>
      </c>
      <c r="F835">
        <f>IF(E835="","",IF(C835="",DATE(9999,1,1),C835))</f>
        <v/>
      </c>
      <c r="G835">
        <f>IF(E835="","",COUNTIFS($F$835:$F$860,"&lt;"&amp;F835,$F$835:$F$860,"&lt;&gt;")+COUNTIFS($F$835:$F$860,F835,$B$835:$B$860,"&lt;"&amp;B835)+1)</f>
        <v/>
      </c>
      <c r="H835">
        <f>IF(OR(E835="",C835=""),"",IF(C835&gt;=DATE(2019,5,1),"令和"&amp;(YEAR(C835)-2018),IF(C835&gt;=DATE(1989,1,8),"平成"&amp;(YEAR(C835)-1988),"昭和"&amp;(YEAR(C835)-1925)))&amp;"年"&amp;MONTH(C835)&amp;"月")</f>
        <v/>
      </c>
    </row>
    <row r="836">
      <c r="A836" t="n">
        <v>33</v>
      </c>
      <c r="B836" t="n">
        <v>2</v>
      </c>
      <c r="C836">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836">
        <f>IF(入力!P37="","",入力!P37)</f>
        <v/>
      </c>
      <c r="E836">
        <f>IF(D836="","",IFERROR(INDEX(資格マスタ!$B:$B,MATCH(ASC(SUBSTITUTE(SUBSTITUTE(D836," ",""),"　","")),資格マスタ!$D:$D,0)),D836))</f>
        <v/>
      </c>
      <c r="F836">
        <f>IF(E836="","",IF(C836="",DATE(9999,1,1),C836))</f>
        <v/>
      </c>
      <c r="G836">
        <f>IF(E836="","",COUNTIFS($F$835:$F$860,"&lt;"&amp;F836,$F$835:$F$860,"&lt;&gt;")+COUNTIFS($F$835:$F$860,F836,$B$835:$B$860,"&lt;"&amp;B836)+1)</f>
        <v/>
      </c>
      <c r="H836">
        <f>IF(OR(E836="",C836=""),"",IF(C836&gt;=DATE(2019,5,1),"令和"&amp;(YEAR(C836)-2018),IF(C836&gt;=DATE(1989,1,8),"平成"&amp;(YEAR(C836)-1988),"昭和"&amp;(YEAR(C836)-1925)))&amp;"年"&amp;MONTH(C836)&amp;"月")</f>
        <v/>
      </c>
    </row>
    <row r="837">
      <c r="A837" t="n">
        <v>33</v>
      </c>
      <c r="B837" t="n">
        <v>3</v>
      </c>
      <c r="C837">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837">
        <f>IF(入力!R37="","",入力!R37)</f>
        <v/>
      </c>
      <c r="E837">
        <f>IF(D837="","",IFERROR(INDEX(資格マスタ!$B:$B,MATCH(ASC(SUBSTITUTE(SUBSTITUTE(D837," ",""),"　","")),資格マスタ!$D:$D,0)),D837))</f>
        <v/>
      </c>
      <c r="F837">
        <f>IF(E837="","",IF(C837="",DATE(9999,1,1),C837))</f>
        <v/>
      </c>
      <c r="G837">
        <f>IF(E837="","",COUNTIFS($F$835:$F$860,"&lt;"&amp;F837,$F$835:$F$860,"&lt;&gt;")+COUNTIFS($F$835:$F$860,F837,$B$835:$B$860,"&lt;"&amp;B837)+1)</f>
        <v/>
      </c>
      <c r="H837">
        <f>IF(OR(E837="",C837=""),"",IF(C837&gt;=DATE(2019,5,1),"令和"&amp;(YEAR(C837)-2018),IF(C837&gt;=DATE(1989,1,8),"平成"&amp;(YEAR(C837)-1988),"昭和"&amp;(YEAR(C837)-1925)))&amp;"年"&amp;MONTH(C837)&amp;"月")</f>
        <v/>
      </c>
    </row>
    <row r="838">
      <c r="A838" t="n">
        <v>33</v>
      </c>
      <c r="B838" t="n">
        <v>4</v>
      </c>
      <c r="C838">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838">
        <f>IF(入力!T37="","",入力!T37)</f>
        <v/>
      </c>
      <c r="E838">
        <f>IF(D838="","",IFERROR(INDEX(資格マスタ!$B:$B,MATCH(ASC(SUBSTITUTE(SUBSTITUTE(D838," ",""),"　","")),資格マスタ!$D:$D,0)),D838))</f>
        <v/>
      </c>
      <c r="F838">
        <f>IF(E838="","",IF(C838="",DATE(9999,1,1),C838))</f>
        <v/>
      </c>
      <c r="G838">
        <f>IF(E838="","",COUNTIFS($F$835:$F$860,"&lt;"&amp;F838,$F$835:$F$860,"&lt;&gt;")+COUNTIFS($F$835:$F$860,F838,$B$835:$B$860,"&lt;"&amp;B838)+1)</f>
        <v/>
      </c>
      <c r="H838">
        <f>IF(OR(E838="",C838=""),"",IF(C838&gt;=DATE(2019,5,1),"令和"&amp;(YEAR(C838)-2018),IF(C838&gt;=DATE(1989,1,8),"平成"&amp;(YEAR(C838)-1988),"昭和"&amp;(YEAR(C838)-1925)))&amp;"年"&amp;MONTH(C838)&amp;"月")</f>
        <v/>
      </c>
    </row>
    <row r="839">
      <c r="A839" t="n">
        <v>33</v>
      </c>
      <c r="B839" t="n">
        <v>5</v>
      </c>
      <c r="C839">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839">
        <f>IF(入力!V37="","",入力!V37)</f>
        <v/>
      </c>
      <c r="E839">
        <f>IF(D839="","",IFERROR(INDEX(資格マスタ!$B:$B,MATCH(ASC(SUBSTITUTE(SUBSTITUTE(D839," ",""),"　","")),資格マスタ!$D:$D,0)),D839))</f>
        <v/>
      </c>
      <c r="F839">
        <f>IF(E839="","",IF(C839="",DATE(9999,1,1),C839))</f>
        <v/>
      </c>
      <c r="G839">
        <f>IF(E839="","",COUNTIFS($F$835:$F$860,"&lt;"&amp;F839,$F$835:$F$860,"&lt;&gt;")+COUNTIFS($F$835:$F$860,F839,$B$835:$B$860,"&lt;"&amp;B839)+1)</f>
        <v/>
      </c>
      <c r="H839">
        <f>IF(OR(E839="",C839=""),"",IF(C839&gt;=DATE(2019,5,1),"令和"&amp;(YEAR(C839)-2018),IF(C839&gt;=DATE(1989,1,8),"平成"&amp;(YEAR(C839)-1988),"昭和"&amp;(YEAR(C839)-1925)))&amp;"年"&amp;MONTH(C839)&amp;"月")</f>
        <v/>
      </c>
    </row>
    <row r="840">
      <c r="A840" t="n">
        <v>33</v>
      </c>
      <c r="B840" t="n">
        <v>6</v>
      </c>
      <c r="C840">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840">
        <f>IF(入力!X37="","",入力!X37)</f>
        <v/>
      </c>
      <c r="E840">
        <f>IF(D840="","",IFERROR(INDEX(資格マスタ!$B:$B,MATCH(ASC(SUBSTITUTE(SUBSTITUTE(D840," ",""),"　","")),資格マスタ!$D:$D,0)),D840))</f>
        <v/>
      </c>
      <c r="F840">
        <f>IF(E840="","",IF(C840="",DATE(9999,1,1),C840))</f>
        <v/>
      </c>
      <c r="G840">
        <f>IF(E840="","",COUNTIFS($F$835:$F$860,"&lt;"&amp;F840,$F$835:$F$860,"&lt;&gt;")+COUNTIFS($F$835:$F$860,F840,$B$835:$B$860,"&lt;"&amp;B840)+1)</f>
        <v/>
      </c>
      <c r="H840">
        <f>IF(OR(E840="",C840=""),"",IF(C840&gt;=DATE(2019,5,1),"令和"&amp;(YEAR(C840)-2018),IF(C840&gt;=DATE(1989,1,8),"平成"&amp;(YEAR(C840)-1988),"昭和"&amp;(YEAR(C840)-1925)))&amp;"年"&amp;MONTH(C840)&amp;"月")</f>
        <v/>
      </c>
    </row>
    <row r="841">
      <c r="A841" t="n">
        <v>33</v>
      </c>
      <c r="B841" t="n">
        <v>7</v>
      </c>
      <c r="C841">
        <f>IFERROR(INDEX(資格取込!$S$6:$S$405,MATCH(33&amp;"_"&amp;1,資格取込!$Z$6:$Z$405,0)),"")</f>
        <v/>
      </c>
      <c r="D841">
        <f>IFERROR(INDEX(資格取込!$R$6:$R$405,MATCH(33&amp;"_"&amp;1,資格取込!$Z$6:$Z$405,0)),"")</f>
        <v/>
      </c>
      <c r="E841">
        <f>IF(D841="","",IFERROR(INDEX(資格マスタ!$B:$B,MATCH(ASC(SUBSTITUTE(SUBSTITUTE(D841," ",""),"　","")),資格マスタ!$D:$D,0)),D841))</f>
        <v/>
      </c>
      <c r="F841">
        <f>IF(E841="","",IF(C841="",DATE(9999,1,1),C841))</f>
        <v/>
      </c>
      <c r="G841">
        <f>IF(E841="","",COUNTIFS($F$835:$F$860,"&lt;"&amp;F841,$F$835:$F$860,"&lt;&gt;")+COUNTIFS($F$835:$F$860,F841,$B$835:$B$860,"&lt;"&amp;B841)+1)</f>
        <v/>
      </c>
      <c r="H841">
        <f>IF(OR(E841="",C841=""),"",IF(C841&gt;=DATE(2019,5,1),"令和"&amp;(YEAR(C841)-2018),IF(C841&gt;=DATE(1989,1,8),"平成"&amp;(YEAR(C841)-1988),"昭和"&amp;(YEAR(C841)-1925)))&amp;"年"&amp;MONTH(C841)&amp;"月")</f>
        <v/>
      </c>
    </row>
    <row r="842">
      <c r="A842" t="n">
        <v>33</v>
      </c>
      <c r="B842" t="n">
        <v>8</v>
      </c>
      <c r="C842">
        <f>IFERROR(INDEX(資格取込!$S$6:$S$405,MATCH(33&amp;"_"&amp;2,資格取込!$Z$6:$Z$405,0)),"")</f>
        <v/>
      </c>
      <c r="D842">
        <f>IFERROR(INDEX(資格取込!$R$6:$R$405,MATCH(33&amp;"_"&amp;2,資格取込!$Z$6:$Z$405,0)),"")</f>
        <v/>
      </c>
      <c r="E842">
        <f>IF(D842="","",IFERROR(INDEX(資格マスタ!$B:$B,MATCH(ASC(SUBSTITUTE(SUBSTITUTE(D842," ",""),"　","")),資格マスタ!$D:$D,0)),D842))</f>
        <v/>
      </c>
      <c r="F842">
        <f>IF(E842="","",IF(C842="",DATE(9999,1,1),C842))</f>
        <v/>
      </c>
      <c r="G842">
        <f>IF(E842="","",COUNTIFS($F$835:$F$860,"&lt;"&amp;F842,$F$835:$F$860,"&lt;&gt;")+COUNTIFS($F$835:$F$860,F842,$B$835:$B$860,"&lt;"&amp;B842)+1)</f>
        <v/>
      </c>
      <c r="H842">
        <f>IF(OR(E842="",C842=""),"",IF(C842&gt;=DATE(2019,5,1),"令和"&amp;(YEAR(C842)-2018),IF(C842&gt;=DATE(1989,1,8),"平成"&amp;(YEAR(C842)-1988),"昭和"&amp;(YEAR(C842)-1925)))&amp;"年"&amp;MONTH(C842)&amp;"月")</f>
        <v/>
      </c>
    </row>
    <row r="843">
      <c r="A843" t="n">
        <v>33</v>
      </c>
      <c r="B843" t="n">
        <v>9</v>
      </c>
      <c r="C843">
        <f>IFERROR(INDEX(資格取込!$S$6:$S$405,MATCH(33&amp;"_"&amp;3,資格取込!$Z$6:$Z$405,0)),"")</f>
        <v/>
      </c>
      <c r="D843">
        <f>IFERROR(INDEX(資格取込!$R$6:$R$405,MATCH(33&amp;"_"&amp;3,資格取込!$Z$6:$Z$405,0)),"")</f>
        <v/>
      </c>
      <c r="E843">
        <f>IF(D843="","",IFERROR(INDEX(資格マスタ!$B:$B,MATCH(ASC(SUBSTITUTE(SUBSTITUTE(D843," ",""),"　","")),資格マスタ!$D:$D,0)),D843))</f>
        <v/>
      </c>
      <c r="F843">
        <f>IF(E843="","",IF(C843="",DATE(9999,1,1),C843))</f>
        <v/>
      </c>
      <c r="G843">
        <f>IF(E843="","",COUNTIFS($F$835:$F$860,"&lt;"&amp;F843,$F$835:$F$860,"&lt;&gt;")+COUNTIFS($F$835:$F$860,F843,$B$835:$B$860,"&lt;"&amp;B843)+1)</f>
        <v/>
      </c>
      <c r="H843">
        <f>IF(OR(E843="",C843=""),"",IF(C843&gt;=DATE(2019,5,1),"令和"&amp;(YEAR(C843)-2018),IF(C843&gt;=DATE(1989,1,8),"平成"&amp;(YEAR(C843)-1988),"昭和"&amp;(YEAR(C843)-1925)))&amp;"年"&amp;MONTH(C843)&amp;"月")</f>
        <v/>
      </c>
    </row>
    <row r="844">
      <c r="A844" t="n">
        <v>33</v>
      </c>
      <c r="B844" t="n">
        <v>10</v>
      </c>
      <c r="C844">
        <f>IFERROR(INDEX(資格取込!$S$6:$S$405,MATCH(33&amp;"_"&amp;4,資格取込!$Z$6:$Z$405,0)),"")</f>
        <v/>
      </c>
      <c r="D844">
        <f>IFERROR(INDEX(資格取込!$R$6:$R$405,MATCH(33&amp;"_"&amp;4,資格取込!$Z$6:$Z$405,0)),"")</f>
        <v/>
      </c>
      <c r="E844">
        <f>IF(D844="","",IFERROR(INDEX(資格マスタ!$B:$B,MATCH(ASC(SUBSTITUTE(SUBSTITUTE(D844," ",""),"　","")),資格マスタ!$D:$D,0)),D844))</f>
        <v/>
      </c>
      <c r="F844">
        <f>IF(E844="","",IF(C844="",DATE(9999,1,1),C844))</f>
        <v/>
      </c>
      <c r="G844">
        <f>IF(E844="","",COUNTIFS($F$835:$F$860,"&lt;"&amp;F844,$F$835:$F$860,"&lt;&gt;")+COUNTIFS($F$835:$F$860,F844,$B$835:$B$860,"&lt;"&amp;B844)+1)</f>
        <v/>
      </c>
      <c r="H844">
        <f>IF(OR(E844="",C844=""),"",IF(C844&gt;=DATE(2019,5,1),"令和"&amp;(YEAR(C844)-2018),IF(C844&gt;=DATE(1989,1,8),"平成"&amp;(YEAR(C844)-1988),"昭和"&amp;(YEAR(C844)-1925)))&amp;"年"&amp;MONTH(C844)&amp;"月")</f>
        <v/>
      </c>
    </row>
    <row r="845">
      <c r="A845" t="n">
        <v>33</v>
      </c>
      <c r="B845" t="n">
        <v>11</v>
      </c>
      <c r="C845">
        <f>IFERROR(INDEX(資格取込!$S$6:$S$405,MATCH(33&amp;"_"&amp;5,資格取込!$Z$6:$Z$405,0)),"")</f>
        <v/>
      </c>
      <c r="D845">
        <f>IFERROR(INDEX(資格取込!$R$6:$R$405,MATCH(33&amp;"_"&amp;5,資格取込!$Z$6:$Z$405,0)),"")</f>
        <v/>
      </c>
      <c r="E845">
        <f>IF(D845="","",IFERROR(INDEX(資格マスタ!$B:$B,MATCH(ASC(SUBSTITUTE(SUBSTITUTE(D845," ",""),"　","")),資格マスタ!$D:$D,0)),D845))</f>
        <v/>
      </c>
      <c r="F845">
        <f>IF(E845="","",IF(C845="",DATE(9999,1,1),C845))</f>
        <v/>
      </c>
      <c r="G845">
        <f>IF(E845="","",COUNTIFS($F$835:$F$860,"&lt;"&amp;F845,$F$835:$F$860,"&lt;&gt;")+COUNTIFS($F$835:$F$860,F845,$B$835:$B$860,"&lt;"&amp;B845)+1)</f>
        <v/>
      </c>
      <c r="H845">
        <f>IF(OR(E845="",C845=""),"",IF(C845&gt;=DATE(2019,5,1),"令和"&amp;(YEAR(C845)-2018),IF(C845&gt;=DATE(1989,1,8),"平成"&amp;(YEAR(C845)-1988),"昭和"&amp;(YEAR(C845)-1925)))&amp;"年"&amp;MONTH(C845)&amp;"月")</f>
        <v/>
      </c>
    </row>
    <row r="846">
      <c r="A846" t="n">
        <v>33</v>
      </c>
      <c r="B846" t="n">
        <v>12</v>
      </c>
      <c r="C846">
        <f>IFERROR(INDEX(資格取込!$S$6:$S$405,MATCH(33&amp;"_"&amp;6,資格取込!$Z$6:$Z$405,0)),"")</f>
        <v/>
      </c>
      <c r="D846">
        <f>IFERROR(INDEX(資格取込!$R$6:$R$405,MATCH(33&amp;"_"&amp;6,資格取込!$Z$6:$Z$405,0)),"")</f>
        <v/>
      </c>
      <c r="E846">
        <f>IF(D846="","",IFERROR(INDEX(資格マスタ!$B:$B,MATCH(ASC(SUBSTITUTE(SUBSTITUTE(D846," ",""),"　","")),資格マスタ!$D:$D,0)),D846))</f>
        <v/>
      </c>
      <c r="F846">
        <f>IF(E846="","",IF(C846="",DATE(9999,1,1),C846))</f>
        <v/>
      </c>
      <c r="G846">
        <f>IF(E846="","",COUNTIFS($F$835:$F$860,"&lt;"&amp;F846,$F$835:$F$860,"&lt;&gt;")+COUNTIFS($F$835:$F$860,F846,$B$835:$B$860,"&lt;"&amp;B846)+1)</f>
        <v/>
      </c>
      <c r="H846">
        <f>IF(OR(E846="",C846=""),"",IF(C846&gt;=DATE(2019,5,1),"令和"&amp;(YEAR(C846)-2018),IF(C846&gt;=DATE(1989,1,8),"平成"&amp;(YEAR(C846)-1988),"昭和"&amp;(YEAR(C846)-1925)))&amp;"年"&amp;MONTH(C846)&amp;"月")</f>
        <v/>
      </c>
    </row>
    <row r="847">
      <c r="A847" t="n">
        <v>33</v>
      </c>
      <c r="B847" t="n">
        <v>13</v>
      </c>
      <c r="C847">
        <f>IFERROR(INDEX(資格取込!$S$6:$S$405,MATCH(33&amp;"_"&amp;7,資格取込!$Z$6:$Z$405,0)),"")</f>
        <v/>
      </c>
      <c r="D847">
        <f>IFERROR(INDEX(資格取込!$R$6:$R$405,MATCH(33&amp;"_"&amp;7,資格取込!$Z$6:$Z$405,0)),"")</f>
        <v/>
      </c>
      <c r="E847">
        <f>IF(D847="","",IFERROR(INDEX(資格マスタ!$B:$B,MATCH(ASC(SUBSTITUTE(SUBSTITUTE(D847," ",""),"　","")),資格マスタ!$D:$D,0)),D847))</f>
        <v/>
      </c>
      <c r="F847">
        <f>IF(E847="","",IF(C847="",DATE(9999,1,1),C847))</f>
        <v/>
      </c>
      <c r="G847">
        <f>IF(E847="","",COUNTIFS($F$835:$F$860,"&lt;"&amp;F847,$F$835:$F$860,"&lt;&gt;")+COUNTIFS($F$835:$F$860,F847,$B$835:$B$860,"&lt;"&amp;B847)+1)</f>
        <v/>
      </c>
      <c r="H847">
        <f>IF(OR(E847="",C847=""),"",IF(C847&gt;=DATE(2019,5,1),"令和"&amp;(YEAR(C847)-2018),IF(C847&gt;=DATE(1989,1,8),"平成"&amp;(YEAR(C847)-1988),"昭和"&amp;(YEAR(C847)-1925)))&amp;"年"&amp;MONTH(C847)&amp;"月")</f>
        <v/>
      </c>
    </row>
    <row r="848">
      <c r="A848" t="n">
        <v>33</v>
      </c>
      <c r="B848" t="n">
        <v>14</v>
      </c>
      <c r="C848">
        <f>IFERROR(INDEX(資格取込!$S$6:$S$405,MATCH(33&amp;"_"&amp;8,資格取込!$Z$6:$Z$405,0)),"")</f>
        <v/>
      </c>
      <c r="D848">
        <f>IFERROR(INDEX(資格取込!$R$6:$R$405,MATCH(33&amp;"_"&amp;8,資格取込!$Z$6:$Z$405,0)),"")</f>
        <v/>
      </c>
      <c r="E848">
        <f>IF(D848="","",IFERROR(INDEX(資格マスタ!$B:$B,MATCH(ASC(SUBSTITUTE(SUBSTITUTE(D848," ",""),"　","")),資格マスタ!$D:$D,0)),D848))</f>
        <v/>
      </c>
      <c r="F848">
        <f>IF(E848="","",IF(C848="",DATE(9999,1,1),C848))</f>
        <v/>
      </c>
      <c r="G848">
        <f>IF(E848="","",COUNTIFS($F$835:$F$860,"&lt;"&amp;F848,$F$835:$F$860,"&lt;&gt;")+COUNTIFS($F$835:$F$860,F848,$B$835:$B$860,"&lt;"&amp;B848)+1)</f>
        <v/>
      </c>
      <c r="H848">
        <f>IF(OR(E848="",C848=""),"",IF(C848&gt;=DATE(2019,5,1),"令和"&amp;(YEAR(C848)-2018),IF(C848&gt;=DATE(1989,1,8),"平成"&amp;(YEAR(C848)-1988),"昭和"&amp;(YEAR(C848)-1925)))&amp;"年"&amp;MONTH(C848)&amp;"月")</f>
        <v/>
      </c>
    </row>
    <row r="849">
      <c r="A849" t="n">
        <v>33</v>
      </c>
      <c r="B849" t="n">
        <v>15</v>
      </c>
      <c r="C849">
        <f>IFERROR(INDEX(資格取込!$S$6:$S$405,MATCH(33&amp;"_"&amp;9,資格取込!$Z$6:$Z$405,0)),"")</f>
        <v/>
      </c>
      <c r="D849">
        <f>IFERROR(INDEX(資格取込!$R$6:$R$405,MATCH(33&amp;"_"&amp;9,資格取込!$Z$6:$Z$405,0)),"")</f>
        <v/>
      </c>
      <c r="E849">
        <f>IF(D849="","",IFERROR(INDEX(資格マスタ!$B:$B,MATCH(ASC(SUBSTITUTE(SUBSTITUTE(D849," ",""),"　","")),資格マスタ!$D:$D,0)),D849))</f>
        <v/>
      </c>
      <c r="F849">
        <f>IF(E849="","",IF(C849="",DATE(9999,1,1),C849))</f>
        <v/>
      </c>
      <c r="G849">
        <f>IF(E849="","",COUNTIFS($F$835:$F$860,"&lt;"&amp;F849,$F$835:$F$860,"&lt;&gt;")+COUNTIFS($F$835:$F$860,F849,$B$835:$B$860,"&lt;"&amp;B849)+1)</f>
        <v/>
      </c>
      <c r="H849">
        <f>IF(OR(E849="",C849=""),"",IF(C849&gt;=DATE(2019,5,1),"令和"&amp;(YEAR(C849)-2018),IF(C849&gt;=DATE(1989,1,8),"平成"&amp;(YEAR(C849)-1988),"昭和"&amp;(YEAR(C849)-1925)))&amp;"年"&amp;MONTH(C849)&amp;"月")</f>
        <v/>
      </c>
    </row>
    <row r="850">
      <c r="A850" t="n">
        <v>33</v>
      </c>
      <c r="B850" t="n">
        <v>16</v>
      </c>
      <c r="C850">
        <f>IFERROR(INDEX(資格取込!$S$6:$S$405,MATCH(33&amp;"_"&amp;10,資格取込!$Z$6:$Z$405,0)),"")</f>
        <v/>
      </c>
      <c r="D850">
        <f>IFERROR(INDEX(資格取込!$R$6:$R$405,MATCH(33&amp;"_"&amp;10,資格取込!$Z$6:$Z$405,0)),"")</f>
        <v/>
      </c>
      <c r="E850">
        <f>IF(D850="","",IFERROR(INDEX(資格マスタ!$B:$B,MATCH(ASC(SUBSTITUTE(SUBSTITUTE(D850," ",""),"　","")),資格マスタ!$D:$D,0)),D850))</f>
        <v/>
      </c>
      <c r="F850">
        <f>IF(E850="","",IF(C850="",DATE(9999,1,1),C850))</f>
        <v/>
      </c>
      <c r="G850">
        <f>IF(E850="","",COUNTIFS($F$835:$F$860,"&lt;"&amp;F850,$F$835:$F$860,"&lt;&gt;")+COUNTIFS($F$835:$F$860,F850,$B$835:$B$860,"&lt;"&amp;B850)+1)</f>
        <v/>
      </c>
      <c r="H850">
        <f>IF(OR(E850="",C850=""),"",IF(C850&gt;=DATE(2019,5,1),"令和"&amp;(YEAR(C850)-2018),IF(C850&gt;=DATE(1989,1,8),"平成"&amp;(YEAR(C850)-1988),"昭和"&amp;(YEAR(C850)-1925)))&amp;"年"&amp;MONTH(C850)&amp;"月")</f>
        <v/>
      </c>
    </row>
    <row r="851">
      <c r="A851" t="n">
        <v>33</v>
      </c>
      <c r="B851" t="n">
        <v>17</v>
      </c>
      <c r="C851">
        <f>IFERROR(INDEX(資格取込!$S$6:$S$405,MATCH(33&amp;"_"&amp;11,資格取込!$Z$6:$Z$405,0)),"")</f>
        <v/>
      </c>
      <c r="D851">
        <f>IFERROR(INDEX(資格取込!$R$6:$R$405,MATCH(33&amp;"_"&amp;11,資格取込!$Z$6:$Z$405,0)),"")</f>
        <v/>
      </c>
      <c r="E851">
        <f>IF(D851="","",IFERROR(INDEX(資格マスタ!$B:$B,MATCH(ASC(SUBSTITUTE(SUBSTITUTE(D851," ",""),"　","")),資格マスタ!$D:$D,0)),D851))</f>
        <v/>
      </c>
      <c r="F851">
        <f>IF(E851="","",IF(C851="",DATE(9999,1,1),C851))</f>
        <v/>
      </c>
      <c r="G851">
        <f>IF(E851="","",COUNTIFS($F$835:$F$860,"&lt;"&amp;F851,$F$835:$F$860,"&lt;&gt;")+COUNTIFS($F$835:$F$860,F851,$B$835:$B$860,"&lt;"&amp;B851)+1)</f>
        <v/>
      </c>
      <c r="H851">
        <f>IF(OR(E851="",C851=""),"",IF(C851&gt;=DATE(2019,5,1),"令和"&amp;(YEAR(C851)-2018),IF(C851&gt;=DATE(1989,1,8),"平成"&amp;(YEAR(C851)-1988),"昭和"&amp;(YEAR(C851)-1925)))&amp;"年"&amp;MONTH(C851)&amp;"月")</f>
        <v/>
      </c>
    </row>
    <row r="852">
      <c r="A852" t="n">
        <v>33</v>
      </c>
      <c r="B852" t="n">
        <v>18</v>
      </c>
      <c r="C852">
        <f>IFERROR(INDEX(資格取込!$S$6:$S$405,MATCH(33&amp;"_"&amp;12,資格取込!$Z$6:$Z$405,0)),"")</f>
        <v/>
      </c>
      <c r="D852">
        <f>IFERROR(INDEX(資格取込!$R$6:$R$405,MATCH(33&amp;"_"&amp;12,資格取込!$Z$6:$Z$405,0)),"")</f>
        <v/>
      </c>
      <c r="E852">
        <f>IF(D852="","",IFERROR(INDEX(資格マスタ!$B:$B,MATCH(ASC(SUBSTITUTE(SUBSTITUTE(D852," ",""),"　","")),資格マスタ!$D:$D,0)),D852))</f>
        <v/>
      </c>
      <c r="F852">
        <f>IF(E852="","",IF(C852="",DATE(9999,1,1),C852))</f>
        <v/>
      </c>
      <c r="G852">
        <f>IF(E852="","",COUNTIFS($F$835:$F$860,"&lt;"&amp;F852,$F$835:$F$860,"&lt;&gt;")+COUNTIFS($F$835:$F$860,F852,$B$835:$B$860,"&lt;"&amp;B852)+1)</f>
        <v/>
      </c>
      <c r="H852">
        <f>IF(OR(E852="",C852=""),"",IF(C852&gt;=DATE(2019,5,1),"令和"&amp;(YEAR(C852)-2018),IF(C852&gt;=DATE(1989,1,8),"平成"&amp;(YEAR(C852)-1988),"昭和"&amp;(YEAR(C852)-1925)))&amp;"年"&amp;MONTH(C852)&amp;"月")</f>
        <v/>
      </c>
    </row>
    <row r="853">
      <c r="A853" t="n">
        <v>33</v>
      </c>
      <c r="B853" t="n">
        <v>19</v>
      </c>
      <c r="C853">
        <f>IFERROR(INDEX(資格取込!$S$6:$S$405,MATCH(33&amp;"_"&amp;13,資格取込!$Z$6:$Z$405,0)),"")</f>
        <v/>
      </c>
      <c r="D853">
        <f>IFERROR(INDEX(資格取込!$R$6:$R$405,MATCH(33&amp;"_"&amp;13,資格取込!$Z$6:$Z$405,0)),"")</f>
        <v/>
      </c>
      <c r="E853">
        <f>IF(D853="","",IFERROR(INDEX(資格マスタ!$B:$B,MATCH(ASC(SUBSTITUTE(SUBSTITUTE(D853," ",""),"　","")),資格マスタ!$D:$D,0)),D853))</f>
        <v/>
      </c>
      <c r="F853">
        <f>IF(E853="","",IF(C853="",DATE(9999,1,1),C853))</f>
        <v/>
      </c>
      <c r="G853">
        <f>IF(E853="","",COUNTIFS($F$835:$F$860,"&lt;"&amp;F853,$F$835:$F$860,"&lt;&gt;")+COUNTIFS($F$835:$F$860,F853,$B$835:$B$860,"&lt;"&amp;B853)+1)</f>
        <v/>
      </c>
      <c r="H853">
        <f>IF(OR(E853="",C853=""),"",IF(C853&gt;=DATE(2019,5,1),"令和"&amp;(YEAR(C853)-2018),IF(C853&gt;=DATE(1989,1,8),"平成"&amp;(YEAR(C853)-1988),"昭和"&amp;(YEAR(C853)-1925)))&amp;"年"&amp;MONTH(C853)&amp;"月")</f>
        <v/>
      </c>
    </row>
    <row r="854">
      <c r="A854" t="n">
        <v>33</v>
      </c>
      <c r="B854" t="n">
        <v>20</v>
      </c>
      <c r="C854">
        <f>IFERROR(INDEX(資格取込!$S$6:$S$405,MATCH(33&amp;"_"&amp;14,資格取込!$Z$6:$Z$405,0)),"")</f>
        <v/>
      </c>
      <c r="D854">
        <f>IFERROR(INDEX(資格取込!$R$6:$R$405,MATCH(33&amp;"_"&amp;14,資格取込!$Z$6:$Z$405,0)),"")</f>
        <v/>
      </c>
      <c r="E854">
        <f>IF(D854="","",IFERROR(INDEX(資格マスタ!$B:$B,MATCH(ASC(SUBSTITUTE(SUBSTITUTE(D854," ",""),"　","")),資格マスタ!$D:$D,0)),D854))</f>
        <v/>
      </c>
      <c r="F854">
        <f>IF(E854="","",IF(C854="",DATE(9999,1,1),C854))</f>
        <v/>
      </c>
      <c r="G854">
        <f>IF(E854="","",COUNTIFS($F$835:$F$860,"&lt;"&amp;F854,$F$835:$F$860,"&lt;&gt;")+COUNTIFS($F$835:$F$860,F854,$B$835:$B$860,"&lt;"&amp;B854)+1)</f>
        <v/>
      </c>
      <c r="H854">
        <f>IF(OR(E854="",C854=""),"",IF(C854&gt;=DATE(2019,5,1),"令和"&amp;(YEAR(C854)-2018),IF(C854&gt;=DATE(1989,1,8),"平成"&amp;(YEAR(C854)-1988),"昭和"&amp;(YEAR(C854)-1925)))&amp;"年"&amp;MONTH(C854)&amp;"月")</f>
        <v/>
      </c>
    </row>
    <row r="855">
      <c r="A855" t="n">
        <v>33</v>
      </c>
      <c r="B855" t="n">
        <v>21</v>
      </c>
      <c r="C855">
        <f>IFERROR(INDEX(資格取込!$S$6:$S$405,MATCH(33&amp;"_"&amp;15,資格取込!$Z$6:$Z$405,0)),"")</f>
        <v/>
      </c>
      <c r="D855">
        <f>IFERROR(INDEX(資格取込!$R$6:$R$405,MATCH(33&amp;"_"&amp;15,資格取込!$Z$6:$Z$405,0)),"")</f>
        <v/>
      </c>
      <c r="E855">
        <f>IF(D855="","",IFERROR(INDEX(資格マスタ!$B:$B,MATCH(ASC(SUBSTITUTE(SUBSTITUTE(D855," ",""),"　","")),資格マスタ!$D:$D,0)),D855))</f>
        <v/>
      </c>
      <c r="F855">
        <f>IF(E855="","",IF(C855="",DATE(9999,1,1),C855))</f>
        <v/>
      </c>
      <c r="G855">
        <f>IF(E855="","",COUNTIFS($F$835:$F$860,"&lt;"&amp;F855,$F$835:$F$860,"&lt;&gt;")+COUNTIFS($F$835:$F$860,F855,$B$835:$B$860,"&lt;"&amp;B855)+1)</f>
        <v/>
      </c>
      <c r="H855">
        <f>IF(OR(E855="",C855=""),"",IF(C855&gt;=DATE(2019,5,1),"令和"&amp;(YEAR(C855)-2018),IF(C855&gt;=DATE(1989,1,8),"平成"&amp;(YEAR(C855)-1988),"昭和"&amp;(YEAR(C855)-1925)))&amp;"年"&amp;MONTH(C855)&amp;"月")</f>
        <v/>
      </c>
    </row>
    <row r="856">
      <c r="A856" t="n">
        <v>33</v>
      </c>
      <c r="B856" t="n">
        <v>22</v>
      </c>
      <c r="C856">
        <f>IFERROR(INDEX(資格取込!$S$6:$S$405,MATCH(33&amp;"_"&amp;16,資格取込!$Z$6:$Z$405,0)),"")</f>
        <v/>
      </c>
      <c r="D856">
        <f>IFERROR(INDEX(資格取込!$R$6:$R$405,MATCH(33&amp;"_"&amp;16,資格取込!$Z$6:$Z$405,0)),"")</f>
        <v/>
      </c>
      <c r="E856">
        <f>IF(D856="","",IFERROR(INDEX(資格マスタ!$B:$B,MATCH(ASC(SUBSTITUTE(SUBSTITUTE(D856," ",""),"　","")),資格マスタ!$D:$D,0)),D856))</f>
        <v/>
      </c>
      <c r="F856">
        <f>IF(E856="","",IF(C856="",DATE(9999,1,1),C856))</f>
        <v/>
      </c>
      <c r="G856">
        <f>IF(E856="","",COUNTIFS($F$835:$F$860,"&lt;"&amp;F856,$F$835:$F$860,"&lt;&gt;")+COUNTIFS($F$835:$F$860,F856,$B$835:$B$860,"&lt;"&amp;B856)+1)</f>
        <v/>
      </c>
      <c r="H856">
        <f>IF(OR(E856="",C856=""),"",IF(C856&gt;=DATE(2019,5,1),"令和"&amp;(YEAR(C856)-2018),IF(C856&gt;=DATE(1989,1,8),"平成"&amp;(YEAR(C856)-1988),"昭和"&amp;(YEAR(C856)-1925)))&amp;"年"&amp;MONTH(C856)&amp;"月")</f>
        <v/>
      </c>
    </row>
    <row r="857">
      <c r="A857" t="n">
        <v>33</v>
      </c>
      <c r="B857" t="n">
        <v>23</v>
      </c>
      <c r="C857">
        <f>IFERROR(INDEX(資格取込!$S$6:$S$405,MATCH(33&amp;"_"&amp;17,資格取込!$Z$6:$Z$405,0)),"")</f>
        <v/>
      </c>
      <c r="D857">
        <f>IFERROR(INDEX(資格取込!$R$6:$R$405,MATCH(33&amp;"_"&amp;17,資格取込!$Z$6:$Z$405,0)),"")</f>
        <v/>
      </c>
      <c r="E857">
        <f>IF(D857="","",IFERROR(INDEX(資格マスタ!$B:$B,MATCH(ASC(SUBSTITUTE(SUBSTITUTE(D857," ",""),"　","")),資格マスタ!$D:$D,0)),D857))</f>
        <v/>
      </c>
      <c r="F857">
        <f>IF(E857="","",IF(C857="",DATE(9999,1,1),C857))</f>
        <v/>
      </c>
      <c r="G857">
        <f>IF(E857="","",COUNTIFS($F$835:$F$860,"&lt;"&amp;F857,$F$835:$F$860,"&lt;&gt;")+COUNTIFS($F$835:$F$860,F857,$B$835:$B$860,"&lt;"&amp;B857)+1)</f>
        <v/>
      </c>
      <c r="H857">
        <f>IF(OR(E857="",C857=""),"",IF(C857&gt;=DATE(2019,5,1),"令和"&amp;(YEAR(C857)-2018),IF(C857&gt;=DATE(1989,1,8),"平成"&amp;(YEAR(C857)-1988),"昭和"&amp;(YEAR(C857)-1925)))&amp;"年"&amp;MONTH(C857)&amp;"月")</f>
        <v/>
      </c>
    </row>
    <row r="858">
      <c r="A858" t="n">
        <v>33</v>
      </c>
      <c r="B858" t="n">
        <v>24</v>
      </c>
      <c r="C858">
        <f>IFERROR(INDEX(資格取込!$S$6:$S$405,MATCH(33&amp;"_"&amp;18,資格取込!$Z$6:$Z$405,0)),"")</f>
        <v/>
      </c>
      <c r="D858">
        <f>IFERROR(INDEX(資格取込!$R$6:$R$405,MATCH(33&amp;"_"&amp;18,資格取込!$Z$6:$Z$405,0)),"")</f>
        <v/>
      </c>
      <c r="E858">
        <f>IF(D858="","",IFERROR(INDEX(資格マスタ!$B:$B,MATCH(ASC(SUBSTITUTE(SUBSTITUTE(D858," ",""),"　","")),資格マスタ!$D:$D,0)),D858))</f>
        <v/>
      </c>
      <c r="F858">
        <f>IF(E858="","",IF(C858="",DATE(9999,1,1),C858))</f>
        <v/>
      </c>
      <c r="G858">
        <f>IF(E858="","",COUNTIFS($F$835:$F$860,"&lt;"&amp;F858,$F$835:$F$860,"&lt;&gt;")+COUNTIFS($F$835:$F$860,F858,$B$835:$B$860,"&lt;"&amp;B858)+1)</f>
        <v/>
      </c>
      <c r="H858">
        <f>IF(OR(E858="",C858=""),"",IF(C858&gt;=DATE(2019,5,1),"令和"&amp;(YEAR(C858)-2018),IF(C858&gt;=DATE(1989,1,8),"平成"&amp;(YEAR(C858)-1988),"昭和"&amp;(YEAR(C858)-1925)))&amp;"年"&amp;MONTH(C858)&amp;"月")</f>
        <v/>
      </c>
    </row>
    <row r="859">
      <c r="A859" t="n">
        <v>33</v>
      </c>
      <c r="B859" t="n">
        <v>25</v>
      </c>
      <c r="C859">
        <f>IFERROR(INDEX(資格取込!$S$6:$S$405,MATCH(33&amp;"_"&amp;19,資格取込!$Z$6:$Z$405,0)),"")</f>
        <v/>
      </c>
      <c r="D859">
        <f>IFERROR(INDEX(資格取込!$R$6:$R$405,MATCH(33&amp;"_"&amp;19,資格取込!$Z$6:$Z$405,0)),"")</f>
        <v/>
      </c>
      <c r="E859">
        <f>IF(D859="","",IFERROR(INDEX(資格マスタ!$B:$B,MATCH(ASC(SUBSTITUTE(SUBSTITUTE(D859," ",""),"　","")),資格マスタ!$D:$D,0)),D859))</f>
        <v/>
      </c>
      <c r="F859">
        <f>IF(E859="","",IF(C859="",DATE(9999,1,1),C859))</f>
        <v/>
      </c>
      <c r="G859">
        <f>IF(E859="","",COUNTIFS($F$835:$F$860,"&lt;"&amp;F859,$F$835:$F$860,"&lt;&gt;")+COUNTIFS($F$835:$F$860,F859,$B$835:$B$860,"&lt;"&amp;B859)+1)</f>
        <v/>
      </c>
      <c r="H859">
        <f>IF(OR(E859="",C859=""),"",IF(C859&gt;=DATE(2019,5,1),"令和"&amp;(YEAR(C859)-2018),IF(C859&gt;=DATE(1989,1,8),"平成"&amp;(YEAR(C859)-1988),"昭和"&amp;(YEAR(C859)-1925)))&amp;"年"&amp;MONTH(C859)&amp;"月")</f>
        <v/>
      </c>
    </row>
    <row r="860">
      <c r="A860" t="n">
        <v>33</v>
      </c>
      <c r="B860" t="n">
        <v>26</v>
      </c>
      <c r="C860">
        <f>IFERROR(INDEX(資格取込!$S$6:$S$405,MATCH(33&amp;"_"&amp;20,資格取込!$Z$6:$Z$405,0)),"")</f>
        <v/>
      </c>
      <c r="D860">
        <f>IFERROR(INDEX(資格取込!$R$6:$R$405,MATCH(33&amp;"_"&amp;20,資格取込!$Z$6:$Z$405,0)),"")</f>
        <v/>
      </c>
      <c r="E860">
        <f>IF(D860="","",IFERROR(INDEX(資格マスタ!$B:$B,MATCH(ASC(SUBSTITUTE(SUBSTITUTE(D860," ",""),"　","")),資格マスタ!$D:$D,0)),D860))</f>
        <v/>
      </c>
      <c r="F860">
        <f>IF(E860="","",IF(C860="",DATE(9999,1,1),C860))</f>
        <v/>
      </c>
      <c r="G860">
        <f>IF(E860="","",COUNTIFS($F$835:$F$860,"&lt;"&amp;F860,$F$835:$F$860,"&lt;&gt;")+COUNTIFS($F$835:$F$860,F860,$B$835:$B$860,"&lt;"&amp;B860)+1)</f>
        <v/>
      </c>
      <c r="H860">
        <f>IF(OR(E860="",C860=""),"",IF(C860&gt;=DATE(2019,5,1),"令和"&amp;(YEAR(C860)-2018),IF(C860&gt;=DATE(1989,1,8),"平成"&amp;(YEAR(C860)-1988),"昭和"&amp;(YEAR(C860)-1925)))&amp;"年"&amp;MONTH(C860)&amp;"月")</f>
        <v/>
      </c>
    </row>
    <row r="861">
      <c r="A861" t="n">
        <v>34</v>
      </c>
      <c r="B861" t="n">
        <v>1</v>
      </c>
      <c r="C861"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861">
        <f>IF(入力!N38="","",入力!N38)</f>
        <v/>
      </c>
      <c r="E861">
        <f>IF(D861="","",IFERROR(INDEX(資格マスタ!$B:$B,MATCH(ASC(SUBSTITUTE(SUBSTITUTE(D861," ",""),"　","")),資格マスタ!$D:$D,0)),D861))</f>
        <v/>
      </c>
      <c r="F861">
        <f>IF(E861="","",IF(C861="",DATE(9999,1,1),C861))</f>
        <v/>
      </c>
      <c r="G861">
        <f>IF(E861="","",COUNTIFS($F$861:$F$886,"&lt;"&amp;F861,$F$861:$F$886,"&lt;&gt;")+COUNTIFS($F$861:$F$886,F861,$B$861:$B$886,"&lt;"&amp;B861)+1)</f>
        <v/>
      </c>
      <c r="H861">
        <f>IF(OR(E861="",C861=""),"",IF(C861&gt;=DATE(2019,5,1),"令和"&amp;(YEAR(C861)-2018),IF(C861&gt;=DATE(1989,1,8),"平成"&amp;(YEAR(C861)-1988),"昭和"&amp;(YEAR(C861)-1925)))&amp;"年"&amp;MONTH(C861)&amp;"月")</f>
        <v/>
      </c>
    </row>
    <row r="862">
      <c r="A862" t="n">
        <v>34</v>
      </c>
      <c r="B862" t="n">
        <v>2</v>
      </c>
      <c r="C862">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862">
        <f>IF(入力!P38="","",入力!P38)</f>
        <v/>
      </c>
      <c r="E862">
        <f>IF(D862="","",IFERROR(INDEX(資格マスタ!$B:$B,MATCH(ASC(SUBSTITUTE(SUBSTITUTE(D862," ",""),"　","")),資格マスタ!$D:$D,0)),D862))</f>
        <v/>
      </c>
      <c r="F862">
        <f>IF(E862="","",IF(C862="",DATE(9999,1,1),C862))</f>
        <v/>
      </c>
      <c r="G862">
        <f>IF(E862="","",COUNTIFS($F$861:$F$886,"&lt;"&amp;F862,$F$861:$F$886,"&lt;&gt;")+COUNTIFS($F$861:$F$886,F862,$B$861:$B$886,"&lt;"&amp;B862)+1)</f>
        <v/>
      </c>
      <c r="H862">
        <f>IF(OR(E862="",C862=""),"",IF(C862&gt;=DATE(2019,5,1),"令和"&amp;(YEAR(C862)-2018),IF(C862&gt;=DATE(1989,1,8),"平成"&amp;(YEAR(C862)-1988),"昭和"&amp;(YEAR(C862)-1925)))&amp;"年"&amp;MONTH(C862)&amp;"月")</f>
        <v/>
      </c>
    </row>
    <row r="863">
      <c r="A863" t="n">
        <v>34</v>
      </c>
      <c r="B863" t="n">
        <v>3</v>
      </c>
      <c r="C863">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863">
        <f>IF(入力!R38="","",入力!R38)</f>
        <v/>
      </c>
      <c r="E863">
        <f>IF(D863="","",IFERROR(INDEX(資格マスタ!$B:$B,MATCH(ASC(SUBSTITUTE(SUBSTITUTE(D863," ",""),"　","")),資格マスタ!$D:$D,0)),D863))</f>
        <v/>
      </c>
      <c r="F863">
        <f>IF(E863="","",IF(C863="",DATE(9999,1,1),C863))</f>
        <v/>
      </c>
      <c r="G863">
        <f>IF(E863="","",COUNTIFS($F$861:$F$886,"&lt;"&amp;F863,$F$861:$F$886,"&lt;&gt;")+COUNTIFS($F$861:$F$886,F863,$B$861:$B$886,"&lt;"&amp;B863)+1)</f>
        <v/>
      </c>
      <c r="H863">
        <f>IF(OR(E863="",C863=""),"",IF(C863&gt;=DATE(2019,5,1),"令和"&amp;(YEAR(C863)-2018),IF(C863&gt;=DATE(1989,1,8),"平成"&amp;(YEAR(C863)-1988),"昭和"&amp;(YEAR(C863)-1925)))&amp;"年"&amp;MONTH(C863)&amp;"月")</f>
        <v/>
      </c>
    </row>
    <row r="864">
      <c r="A864" t="n">
        <v>34</v>
      </c>
      <c r="B864" t="n">
        <v>4</v>
      </c>
      <c r="C864">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864">
        <f>IF(入力!T38="","",入力!T38)</f>
        <v/>
      </c>
      <c r="E864">
        <f>IF(D864="","",IFERROR(INDEX(資格マスタ!$B:$B,MATCH(ASC(SUBSTITUTE(SUBSTITUTE(D864," ",""),"　","")),資格マスタ!$D:$D,0)),D864))</f>
        <v/>
      </c>
      <c r="F864">
        <f>IF(E864="","",IF(C864="",DATE(9999,1,1),C864))</f>
        <v/>
      </c>
      <c r="G864">
        <f>IF(E864="","",COUNTIFS($F$861:$F$886,"&lt;"&amp;F864,$F$861:$F$886,"&lt;&gt;")+COUNTIFS($F$861:$F$886,F864,$B$861:$B$886,"&lt;"&amp;B864)+1)</f>
        <v/>
      </c>
      <c r="H864">
        <f>IF(OR(E864="",C864=""),"",IF(C864&gt;=DATE(2019,5,1),"令和"&amp;(YEAR(C864)-2018),IF(C864&gt;=DATE(1989,1,8),"平成"&amp;(YEAR(C864)-1988),"昭和"&amp;(YEAR(C864)-1925)))&amp;"年"&amp;MONTH(C864)&amp;"月")</f>
        <v/>
      </c>
    </row>
    <row r="865">
      <c r="A865" t="n">
        <v>34</v>
      </c>
      <c r="B865" t="n">
        <v>5</v>
      </c>
      <c r="C865">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865">
        <f>IF(入力!V38="","",入力!V38)</f>
        <v/>
      </c>
      <c r="E865">
        <f>IF(D865="","",IFERROR(INDEX(資格マスタ!$B:$B,MATCH(ASC(SUBSTITUTE(SUBSTITUTE(D865," ",""),"　","")),資格マスタ!$D:$D,0)),D865))</f>
        <v/>
      </c>
      <c r="F865">
        <f>IF(E865="","",IF(C865="",DATE(9999,1,1),C865))</f>
        <v/>
      </c>
      <c r="G865">
        <f>IF(E865="","",COUNTIFS($F$861:$F$886,"&lt;"&amp;F865,$F$861:$F$886,"&lt;&gt;")+COUNTIFS($F$861:$F$886,F865,$B$861:$B$886,"&lt;"&amp;B865)+1)</f>
        <v/>
      </c>
      <c r="H865">
        <f>IF(OR(E865="",C865=""),"",IF(C865&gt;=DATE(2019,5,1),"令和"&amp;(YEAR(C865)-2018),IF(C865&gt;=DATE(1989,1,8),"平成"&amp;(YEAR(C865)-1988),"昭和"&amp;(YEAR(C865)-1925)))&amp;"年"&amp;MONTH(C865)&amp;"月")</f>
        <v/>
      </c>
    </row>
    <row r="866">
      <c r="A866" t="n">
        <v>34</v>
      </c>
      <c r="B866" t="n">
        <v>6</v>
      </c>
      <c r="C866">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866">
        <f>IF(入力!X38="","",入力!X38)</f>
        <v/>
      </c>
      <c r="E866">
        <f>IF(D866="","",IFERROR(INDEX(資格マスタ!$B:$B,MATCH(ASC(SUBSTITUTE(SUBSTITUTE(D866," ",""),"　","")),資格マスタ!$D:$D,0)),D866))</f>
        <v/>
      </c>
      <c r="F866">
        <f>IF(E866="","",IF(C866="",DATE(9999,1,1),C866))</f>
        <v/>
      </c>
      <c r="G866">
        <f>IF(E866="","",COUNTIFS($F$861:$F$886,"&lt;"&amp;F866,$F$861:$F$886,"&lt;&gt;")+COUNTIFS($F$861:$F$886,F866,$B$861:$B$886,"&lt;"&amp;B866)+1)</f>
        <v/>
      </c>
      <c r="H866">
        <f>IF(OR(E866="",C866=""),"",IF(C866&gt;=DATE(2019,5,1),"令和"&amp;(YEAR(C866)-2018),IF(C866&gt;=DATE(1989,1,8),"平成"&amp;(YEAR(C866)-1988),"昭和"&amp;(YEAR(C866)-1925)))&amp;"年"&amp;MONTH(C866)&amp;"月")</f>
        <v/>
      </c>
    </row>
    <row r="867">
      <c r="A867" t="n">
        <v>34</v>
      </c>
      <c r="B867" t="n">
        <v>7</v>
      </c>
      <c r="C867">
        <f>IFERROR(INDEX(資格取込!$S$6:$S$405,MATCH(34&amp;"_"&amp;1,資格取込!$Z$6:$Z$405,0)),"")</f>
        <v/>
      </c>
      <c r="D867">
        <f>IFERROR(INDEX(資格取込!$R$6:$R$405,MATCH(34&amp;"_"&amp;1,資格取込!$Z$6:$Z$405,0)),"")</f>
        <v/>
      </c>
      <c r="E867">
        <f>IF(D867="","",IFERROR(INDEX(資格マスタ!$B:$B,MATCH(ASC(SUBSTITUTE(SUBSTITUTE(D867," ",""),"　","")),資格マスタ!$D:$D,0)),D867))</f>
        <v/>
      </c>
      <c r="F867">
        <f>IF(E867="","",IF(C867="",DATE(9999,1,1),C867))</f>
        <v/>
      </c>
      <c r="G867">
        <f>IF(E867="","",COUNTIFS($F$861:$F$886,"&lt;"&amp;F867,$F$861:$F$886,"&lt;&gt;")+COUNTIFS($F$861:$F$886,F867,$B$861:$B$886,"&lt;"&amp;B867)+1)</f>
        <v/>
      </c>
      <c r="H867">
        <f>IF(OR(E867="",C867=""),"",IF(C867&gt;=DATE(2019,5,1),"令和"&amp;(YEAR(C867)-2018),IF(C867&gt;=DATE(1989,1,8),"平成"&amp;(YEAR(C867)-1988),"昭和"&amp;(YEAR(C867)-1925)))&amp;"年"&amp;MONTH(C867)&amp;"月")</f>
        <v/>
      </c>
    </row>
    <row r="868">
      <c r="A868" t="n">
        <v>34</v>
      </c>
      <c r="B868" t="n">
        <v>8</v>
      </c>
      <c r="C868">
        <f>IFERROR(INDEX(資格取込!$S$6:$S$405,MATCH(34&amp;"_"&amp;2,資格取込!$Z$6:$Z$405,0)),"")</f>
        <v/>
      </c>
      <c r="D868">
        <f>IFERROR(INDEX(資格取込!$R$6:$R$405,MATCH(34&amp;"_"&amp;2,資格取込!$Z$6:$Z$405,0)),"")</f>
        <v/>
      </c>
      <c r="E868">
        <f>IF(D868="","",IFERROR(INDEX(資格マスタ!$B:$B,MATCH(ASC(SUBSTITUTE(SUBSTITUTE(D868," ",""),"　","")),資格マスタ!$D:$D,0)),D868))</f>
        <v/>
      </c>
      <c r="F868">
        <f>IF(E868="","",IF(C868="",DATE(9999,1,1),C868))</f>
        <v/>
      </c>
      <c r="G868">
        <f>IF(E868="","",COUNTIFS($F$861:$F$886,"&lt;"&amp;F868,$F$861:$F$886,"&lt;&gt;")+COUNTIFS($F$861:$F$886,F868,$B$861:$B$886,"&lt;"&amp;B868)+1)</f>
        <v/>
      </c>
      <c r="H868">
        <f>IF(OR(E868="",C868=""),"",IF(C868&gt;=DATE(2019,5,1),"令和"&amp;(YEAR(C868)-2018),IF(C868&gt;=DATE(1989,1,8),"平成"&amp;(YEAR(C868)-1988),"昭和"&amp;(YEAR(C868)-1925)))&amp;"年"&amp;MONTH(C868)&amp;"月")</f>
        <v/>
      </c>
    </row>
    <row r="869">
      <c r="A869" t="n">
        <v>34</v>
      </c>
      <c r="B869" t="n">
        <v>9</v>
      </c>
      <c r="C869">
        <f>IFERROR(INDEX(資格取込!$S$6:$S$405,MATCH(34&amp;"_"&amp;3,資格取込!$Z$6:$Z$405,0)),"")</f>
        <v/>
      </c>
      <c r="D869">
        <f>IFERROR(INDEX(資格取込!$R$6:$R$405,MATCH(34&amp;"_"&amp;3,資格取込!$Z$6:$Z$405,0)),"")</f>
        <v/>
      </c>
      <c r="E869">
        <f>IF(D869="","",IFERROR(INDEX(資格マスタ!$B:$B,MATCH(ASC(SUBSTITUTE(SUBSTITUTE(D869," ",""),"　","")),資格マスタ!$D:$D,0)),D869))</f>
        <v/>
      </c>
      <c r="F869">
        <f>IF(E869="","",IF(C869="",DATE(9999,1,1),C869))</f>
        <v/>
      </c>
      <c r="G869">
        <f>IF(E869="","",COUNTIFS($F$861:$F$886,"&lt;"&amp;F869,$F$861:$F$886,"&lt;&gt;")+COUNTIFS($F$861:$F$886,F869,$B$861:$B$886,"&lt;"&amp;B869)+1)</f>
        <v/>
      </c>
      <c r="H869">
        <f>IF(OR(E869="",C869=""),"",IF(C869&gt;=DATE(2019,5,1),"令和"&amp;(YEAR(C869)-2018),IF(C869&gt;=DATE(1989,1,8),"平成"&amp;(YEAR(C869)-1988),"昭和"&amp;(YEAR(C869)-1925)))&amp;"年"&amp;MONTH(C869)&amp;"月")</f>
        <v/>
      </c>
    </row>
    <row r="870">
      <c r="A870" t="n">
        <v>34</v>
      </c>
      <c r="B870" t="n">
        <v>10</v>
      </c>
      <c r="C870">
        <f>IFERROR(INDEX(資格取込!$S$6:$S$405,MATCH(34&amp;"_"&amp;4,資格取込!$Z$6:$Z$405,0)),"")</f>
        <v/>
      </c>
      <c r="D870">
        <f>IFERROR(INDEX(資格取込!$R$6:$R$405,MATCH(34&amp;"_"&amp;4,資格取込!$Z$6:$Z$405,0)),"")</f>
        <v/>
      </c>
      <c r="E870">
        <f>IF(D870="","",IFERROR(INDEX(資格マスタ!$B:$B,MATCH(ASC(SUBSTITUTE(SUBSTITUTE(D870," ",""),"　","")),資格マスタ!$D:$D,0)),D870))</f>
        <v/>
      </c>
      <c r="F870">
        <f>IF(E870="","",IF(C870="",DATE(9999,1,1),C870))</f>
        <v/>
      </c>
      <c r="G870">
        <f>IF(E870="","",COUNTIFS($F$861:$F$886,"&lt;"&amp;F870,$F$861:$F$886,"&lt;&gt;")+COUNTIFS($F$861:$F$886,F870,$B$861:$B$886,"&lt;"&amp;B870)+1)</f>
        <v/>
      </c>
      <c r="H870">
        <f>IF(OR(E870="",C870=""),"",IF(C870&gt;=DATE(2019,5,1),"令和"&amp;(YEAR(C870)-2018),IF(C870&gt;=DATE(1989,1,8),"平成"&amp;(YEAR(C870)-1988),"昭和"&amp;(YEAR(C870)-1925)))&amp;"年"&amp;MONTH(C870)&amp;"月")</f>
        <v/>
      </c>
    </row>
    <row r="871">
      <c r="A871" t="n">
        <v>34</v>
      </c>
      <c r="B871" t="n">
        <v>11</v>
      </c>
      <c r="C871">
        <f>IFERROR(INDEX(資格取込!$S$6:$S$405,MATCH(34&amp;"_"&amp;5,資格取込!$Z$6:$Z$405,0)),"")</f>
        <v/>
      </c>
      <c r="D871">
        <f>IFERROR(INDEX(資格取込!$R$6:$R$405,MATCH(34&amp;"_"&amp;5,資格取込!$Z$6:$Z$405,0)),"")</f>
        <v/>
      </c>
      <c r="E871">
        <f>IF(D871="","",IFERROR(INDEX(資格マスタ!$B:$B,MATCH(ASC(SUBSTITUTE(SUBSTITUTE(D871," ",""),"　","")),資格マスタ!$D:$D,0)),D871))</f>
        <v/>
      </c>
      <c r="F871">
        <f>IF(E871="","",IF(C871="",DATE(9999,1,1),C871))</f>
        <v/>
      </c>
      <c r="G871">
        <f>IF(E871="","",COUNTIFS($F$861:$F$886,"&lt;"&amp;F871,$F$861:$F$886,"&lt;&gt;")+COUNTIFS($F$861:$F$886,F871,$B$861:$B$886,"&lt;"&amp;B871)+1)</f>
        <v/>
      </c>
      <c r="H871">
        <f>IF(OR(E871="",C871=""),"",IF(C871&gt;=DATE(2019,5,1),"令和"&amp;(YEAR(C871)-2018),IF(C871&gt;=DATE(1989,1,8),"平成"&amp;(YEAR(C871)-1988),"昭和"&amp;(YEAR(C871)-1925)))&amp;"年"&amp;MONTH(C871)&amp;"月")</f>
        <v/>
      </c>
    </row>
    <row r="872">
      <c r="A872" t="n">
        <v>34</v>
      </c>
      <c r="B872" t="n">
        <v>12</v>
      </c>
      <c r="C872">
        <f>IFERROR(INDEX(資格取込!$S$6:$S$405,MATCH(34&amp;"_"&amp;6,資格取込!$Z$6:$Z$405,0)),"")</f>
        <v/>
      </c>
      <c r="D872">
        <f>IFERROR(INDEX(資格取込!$R$6:$R$405,MATCH(34&amp;"_"&amp;6,資格取込!$Z$6:$Z$405,0)),"")</f>
        <v/>
      </c>
      <c r="E872">
        <f>IF(D872="","",IFERROR(INDEX(資格マスタ!$B:$B,MATCH(ASC(SUBSTITUTE(SUBSTITUTE(D872," ",""),"　","")),資格マスタ!$D:$D,0)),D872))</f>
        <v/>
      </c>
      <c r="F872">
        <f>IF(E872="","",IF(C872="",DATE(9999,1,1),C872))</f>
        <v/>
      </c>
      <c r="G872">
        <f>IF(E872="","",COUNTIFS($F$861:$F$886,"&lt;"&amp;F872,$F$861:$F$886,"&lt;&gt;")+COUNTIFS($F$861:$F$886,F872,$B$861:$B$886,"&lt;"&amp;B872)+1)</f>
        <v/>
      </c>
      <c r="H872">
        <f>IF(OR(E872="",C872=""),"",IF(C872&gt;=DATE(2019,5,1),"令和"&amp;(YEAR(C872)-2018),IF(C872&gt;=DATE(1989,1,8),"平成"&amp;(YEAR(C872)-1988),"昭和"&amp;(YEAR(C872)-1925)))&amp;"年"&amp;MONTH(C872)&amp;"月")</f>
        <v/>
      </c>
    </row>
    <row r="873">
      <c r="A873" t="n">
        <v>34</v>
      </c>
      <c r="B873" t="n">
        <v>13</v>
      </c>
      <c r="C873">
        <f>IFERROR(INDEX(資格取込!$S$6:$S$405,MATCH(34&amp;"_"&amp;7,資格取込!$Z$6:$Z$405,0)),"")</f>
        <v/>
      </c>
      <c r="D873">
        <f>IFERROR(INDEX(資格取込!$R$6:$R$405,MATCH(34&amp;"_"&amp;7,資格取込!$Z$6:$Z$405,0)),"")</f>
        <v/>
      </c>
      <c r="E873">
        <f>IF(D873="","",IFERROR(INDEX(資格マスタ!$B:$B,MATCH(ASC(SUBSTITUTE(SUBSTITUTE(D873," ",""),"　","")),資格マスタ!$D:$D,0)),D873))</f>
        <v/>
      </c>
      <c r="F873">
        <f>IF(E873="","",IF(C873="",DATE(9999,1,1),C873))</f>
        <v/>
      </c>
      <c r="G873">
        <f>IF(E873="","",COUNTIFS($F$861:$F$886,"&lt;"&amp;F873,$F$861:$F$886,"&lt;&gt;")+COUNTIFS($F$861:$F$886,F873,$B$861:$B$886,"&lt;"&amp;B873)+1)</f>
        <v/>
      </c>
      <c r="H873">
        <f>IF(OR(E873="",C873=""),"",IF(C873&gt;=DATE(2019,5,1),"令和"&amp;(YEAR(C873)-2018),IF(C873&gt;=DATE(1989,1,8),"平成"&amp;(YEAR(C873)-1988),"昭和"&amp;(YEAR(C873)-1925)))&amp;"年"&amp;MONTH(C873)&amp;"月")</f>
        <v/>
      </c>
    </row>
    <row r="874">
      <c r="A874" t="n">
        <v>34</v>
      </c>
      <c r="B874" t="n">
        <v>14</v>
      </c>
      <c r="C874">
        <f>IFERROR(INDEX(資格取込!$S$6:$S$405,MATCH(34&amp;"_"&amp;8,資格取込!$Z$6:$Z$405,0)),"")</f>
        <v/>
      </c>
      <c r="D874">
        <f>IFERROR(INDEX(資格取込!$R$6:$R$405,MATCH(34&amp;"_"&amp;8,資格取込!$Z$6:$Z$405,0)),"")</f>
        <v/>
      </c>
      <c r="E874">
        <f>IF(D874="","",IFERROR(INDEX(資格マスタ!$B:$B,MATCH(ASC(SUBSTITUTE(SUBSTITUTE(D874," ",""),"　","")),資格マスタ!$D:$D,0)),D874))</f>
        <v/>
      </c>
      <c r="F874">
        <f>IF(E874="","",IF(C874="",DATE(9999,1,1),C874))</f>
        <v/>
      </c>
      <c r="G874">
        <f>IF(E874="","",COUNTIFS($F$861:$F$886,"&lt;"&amp;F874,$F$861:$F$886,"&lt;&gt;")+COUNTIFS($F$861:$F$886,F874,$B$861:$B$886,"&lt;"&amp;B874)+1)</f>
        <v/>
      </c>
      <c r="H874">
        <f>IF(OR(E874="",C874=""),"",IF(C874&gt;=DATE(2019,5,1),"令和"&amp;(YEAR(C874)-2018),IF(C874&gt;=DATE(1989,1,8),"平成"&amp;(YEAR(C874)-1988),"昭和"&amp;(YEAR(C874)-1925)))&amp;"年"&amp;MONTH(C874)&amp;"月")</f>
        <v/>
      </c>
    </row>
    <row r="875">
      <c r="A875" t="n">
        <v>34</v>
      </c>
      <c r="B875" t="n">
        <v>15</v>
      </c>
      <c r="C875">
        <f>IFERROR(INDEX(資格取込!$S$6:$S$405,MATCH(34&amp;"_"&amp;9,資格取込!$Z$6:$Z$405,0)),"")</f>
        <v/>
      </c>
      <c r="D875">
        <f>IFERROR(INDEX(資格取込!$R$6:$R$405,MATCH(34&amp;"_"&amp;9,資格取込!$Z$6:$Z$405,0)),"")</f>
        <v/>
      </c>
      <c r="E875">
        <f>IF(D875="","",IFERROR(INDEX(資格マスタ!$B:$B,MATCH(ASC(SUBSTITUTE(SUBSTITUTE(D875," ",""),"　","")),資格マスタ!$D:$D,0)),D875))</f>
        <v/>
      </c>
      <c r="F875">
        <f>IF(E875="","",IF(C875="",DATE(9999,1,1),C875))</f>
        <v/>
      </c>
      <c r="G875">
        <f>IF(E875="","",COUNTIFS($F$861:$F$886,"&lt;"&amp;F875,$F$861:$F$886,"&lt;&gt;")+COUNTIFS($F$861:$F$886,F875,$B$861:$B$886,"&lt;"&amp;B875)+1)</f>
        <v/>
      </c>
      <c r="H875">
        <f>IF(OR(E875="",C875=""),"",IF(C875&gt;=DATE(2019,5,1),"令和"&amp;(YEAR(C875)-2018),IF(C875&gt;=DATE(1989,1,8),"平成"&amp;(YEAR(C875)-1988),"昭和"&amp;(YEAR(C875)-1925)))&amp;"年"&amp;MONTH(C875)&amp;"月")</f>
        <v/>
      </c>
    </row>
    <row r="876">
      <c r="A876" t="n">
        <v>34</v>
      </c>
      <c r="B876" t="n">
        <v>16</v>
      </c>
      <c r="C876">
        <f>IFERROR(INDEX(資格取込!$S$6:$S$405,MATCH(34&amp;"_"&amp;10,資格取込!$Z$6:$Z$405,0)),"")</f>
        <v/>
      </c>
      <c r="D876">
        <f>IFERROR(INDEX(資格取込!$R$6:$R$405,MATCH(34&amp;"_"&amp;10,資格取込!$Z$6:$Z$405,0)),"")</f>
        <v/>
      </c>
      <c r="E876">
        <f>IF(D876="","",IFERROR(INDEX(資格マスタ!$B:$B,MATCH(ASC(SUBSTITUTE(SUBSTITUTE(D876," ",""),"　","")),資格マスタ!$D:$D,0)),D876))</f>
        <v/>
      </c>
      <c r="F876">
        <f>IF(E876="","",IF(C876="",DATE(9999,1,1),C876))</f>
        <v/>
      </c>
      <c r="G876">
        <f>IF(E876="","",COUNTIFS($F$861:$F$886,"&lt;"&amp;F876,$F$861:$F$886,"&lt;&gt;")+COUNTIFS($F$861:$F$886,F876,$B$861:$B$886,"&lt;"&amp;B876)+1)</f>
        <v/>
      </c>
      <c r="H876">
        <f>IF(OR(E876="",C876=""),"",IF(C876&gt;=DATE(2019,5,1),"令和"&amp;(YEAR(C876)-2018),IF(C876&gt;=DATE(1989,1,8),"平成"&amp;(YEAR(C876)-1988),"昭和"&amp;(YEAR(C876)-1925)))&amp;"年"&amp;MONTH(C876)&amp;"月")</f>
        <v/>
      </c>
    </row>
    <row r="877">
      <c r="A877" t="n">
        <v>34</v>
      </c>
      <c r="B877" t="n">
        <v>17</v>
      </c>
      <c r="C877">
        <f>IFERROR(INDEX(資格取込!$S$6:$S$405,MATCH(34&amp;"_"&amp;11,資格取込!$Z$6:$Z$405,0)),"")</f>
        <v/>
      </c>
      <c r="D877">
        <f>IFERROR(INDEX(資格取込!$R$6:$R$405,MATCH(34&amp;"_"&amp;11,資格取込!$Z$6:$Z$405,0)),"")</f>
        <v/>
      </c>
      <c r="E877">
        <f>IF(D877="","",IFERROR(INDEX(資格マスタ!$B:$B,MATCH(ASC(SUBSTITUTE(SUBSTITUTE(D877," ",""),"　","")),資格マスタ!$D:$D,0)),D877))</f>
        <v/>
      </c>
      <c r="F877">
        <f>IF(E877="","",IF(C877="",DATE(9999,1,1),C877))</f>
        <v/>
      </c>
      <c r="G877">
        <f>IF(E877="","",COUNTIFS($F$861:$F$886,"&lt;"&amp;F877,$F$861:$F$886,"&lt;&gt;")+COUNTIFS($F$861:$F$886,F877,$B$861:$B$886,"&lt;"&amp;B877)+1)</f>
        <v/>
      </c>
      <c r="H877">
        <f>IF(OR(E877="",C877=""),"",IF(C877&gt;=DATE(2019,5,1),"令和"&amp;(YEAR(C877)-2018),IF(C877&gt;=DATE(1989,1,8),"平成"&amp;(YEAR(C877)-1988),"昭和"&amp;(YEAR(C877)-1925)))&amp;"年"&amp;MONTH(C877)&amp;"月")</f>
        <v/>
      </c>
    </row>
    <row r="878">
      <c r="A878" t="n">
        <v>34</v>
      </c>
      <c r="B878" t="n">
        <v>18</v>
      </c>
      <c r="C878">
        <f>IFERROR(INDEX(資格取込!$S$6:$S$405,MATCH(34&amp;"_"&amp;12,資格取込!$Z$6:$Z$405,0)),"")</f>
        <v/>
      </c>
      <c r="D878">
        <f>IFERROR(INDEX(資格取込!$R$6:$R$405,MATCH(34&amp;"_"&amp;12,資格取込!$Z$6:$Z$405,0)),"")</f>
        <v/>
      </c>
      <c r="E878">
        <f>IF(D878="","",IFERROR(INDEX(資格マスタ!$B:$B,MATCH(ASC(SUBSTITUTE(SUBSTITUTE(D878," ",""),"　","")),資格マスタ!$D:$D,0)),D878))</f>
        <v/>
      </c>
      <c r="F878">
        <f>IF(E878="","",IF(C878="",DATE(9999,1,1),C878))</f>
        <v/>
      </c>
      <c r="G878">
        <f>IF(E878="","",COUNTIFS($F$861:$F$886,"&lt;"&amp;F878,$F$861:$F$886,"&lt;&gt;")+COUNTIFS($F$861:$F$886,F878,$B$861:$B$886,"&lt;"&amp;B878)+1)</f>
        <v/>
      </c>
      <c r="H878">
        <f>IF(OR(E878="",C878=""),"",IF(C878&gt;=DATE(2019,5,1),"令和"&amp;(YEAR(C878)-2018),IF(C878&gt;=DATE(1989,1,8),"平成"&amp;(YEAR(C878)-1988),"昭和"&amp;(YEAR(C878)-1925)))&amp;"年"&amp;MONTH(C878)&amp;"月")</f>
        <v/>
      </c>
    </row>
    <row r="879">
      <c r="A879" t="n">
        <v>34</v>
      </c>
      <c r="B879" t="n">
        <v>19</v>
      </c>
      <c r="C879">
        <f>IFERROR(INDEX(資格取込!$S$6:$S$405,MATCH(34&amp;"_"&amp;13,資格取込!$Z$6:$Z$405,0)),"")</f>
        <v/>
      </c>
      <c r="D879">
        <f>IFERROR(INDEX(資格取込!$R$6:$R$405,MATCH(34&amp;"_"&amp;13,資格取込!$Z$6:$Z$405,0)),"")</f>
        <v/>
      </c>
      <c r="E879">
        <f>IF(D879="","",IFERROR(INDEX(資格マスタ!$B:$B,MATCH(ASC(SUBSTITUTE(SUBSTITUTE(D879," ",""),"　","")),資格マスタ!$D:$D,0)),D879))</f>
        <v/>
      </c>
      <c r="F879">
        <f>IF(E879="","",IF(C879="",DATE(9999,1,1),C879))</f>
        <v/>
      </c>
      <c r="G879">
        <f>IF(E879="","",COUNTIFS($F$861:$F$886,"&lt;"&amp;F879,$F$861:$F$886,"&lt;&gt;")+COUNTIFS($F$861:$F$886,F879,$B$861:$B$886,"&lt;"&amp;B879)+1)</f>
        <v/>
      </c>
      <c r="H879">
        <f>IF(OR(E879="",C879=""),"",IF(C879&gt;=DATE(2019,5,1),"令和"&amp;(YEAR(C879)-2018),IF(C879&gt;=DATE(1989,1,8),"平成"&amp;(YEAR(C879)-1988),"昭和"&amp;(YEAR(C879)-1925)))&amp;"年"&amp;MONTH(C879)&amp;"月")</f>
        <v/>
      </c>
    </row>
    <row r="880">
      <c r="A880" t="n">
        <v>34</v>
      </c>
      <c r="B880" t="n">
        <v>20</v>
      </c>
      <c r="C880">
        <f>IFERROR(INDEX(資格取込!$S$6:$S$405,MATCH(34&amp;"_"&amp;14,資格取込!$Z$6:$Z$405,0)),"")</f>
        <v/>
      </c>
      <c r="D880">
        <f>IFERROR(INDEX(資格取込!$R$6:$R$405,MATCH(34&amp;"_"&amp;14,資格取込!$Z$6:$Z$405,0)),"")</f>
        <v/>
      </c>
      <c r="E880">
        <f>IF(D880="","",IFERROR(INDEX(資格マスタ!$B:$B,MATCH(ASC(SUBSTITUTE(SUBSTITUTE(D880," ",""),"　","")),資格マスタ!$D:$D,0)),D880))</f>
        <v/>
      </c>
      <c r="F880">
        <f>IF(E880="","",IF(C880="",DATE(9999,1,1),C880))</f>
        <v/>
      </c>
      <c r="G880">
        <f>IF(E880="","",COUNTIFS($F$861:$F$886,"&lt;"&amp;F880,$F$861:$F$886,"&lt;&gt;")+COUNTIFS($F$861:$F$886,F880,$B$861:$B$886,"&lt;"&amp;B880)+1)</f>
        <v/>
      </c>
      <c r="H880">
        <f>IF(OR(E880="",C880=""),"",IF(C880&gt;=DATE(2019,5,1),"令和"&amp;(YEAR(C880)-2018),IF(C880&gt;=DATE(1989,1,8),"平成"&amp;(YEAR(C880)-1988),"昭和"&amp;(YEAR(C880)-1925)))&amp;"年"&amp;MONTH(C880)&amp;"月")</f>
        <v/>
      </c>
    </row>
    <row r="881">
      <c r="A881" t="n">
        <v>34</v>
      </c>
      <c r="B881" t="n">
        <v>21</v>
      </c>
      <c r="C881">
        <f>IFERROR(INDEX(資格取込!$S$6:$S$405,MATCH(34&amp;"_"&amp;15,資格取込!$Z$6:$Z$405,0)),"")</f>
        <v/>
      </c>
      <c r="D881">
        <f>IFERROR(INDEX(資格取込!$R$6:$R$405,MATCH(34&amp;"_"&amp;15,資格取込!$Z$6:$Z$405,0)),"")</f>
        <v/>
      </c>
      <c r="E881">
        <f>IF(D881="","",IFERROR(INDEX(資格マスタ!$B:$B,MATCH(ASC(SUBSTITUTE(SUBSTITUTE(D881," ",""),"　","")),資格マスタ!$D:$D,0)),D881))</f>
        <v/>
      </c>
      <c r="F881">
        <f>IF(E881="","",IF(C881="",DATE(9999,1,1),C881))</f>
        <v/>
      </c>
      <c r="G881">
        <f>IF(E881="","",COUNTIFS($F$861:$F$886,"&lt;"&amp;F881,$F$861:$F$886,"&lt;&gt;")+COUNTIFS($F$861:$F$886,F881,$B$861:$B$886,"&lt;"&amp;B881)+1)</f>
        <v/>
      </c>
      <c r="H881">
        <f>IF(OR(E881="",C881=""),"",IF(C881&gt;=DATE(2019,5,1),"令和"&amp;(YEAR(C881)-2018),IF(C881&gt;=DATE(1989,1,8),"平成"&amp;(YEAR(C881)-1988),"昭和"&amp;(YEAR(C881)-1925)))&amp;"年"&amp;MONTH(C881)&amp;"月")</f>
        <v/>
      </c>
    </row>
    <row r="882">
      <c r="A882" t="n">
        <v>34</v>
      </c>
      <c r="B882" t="n">
        <v>22</v>
      </c>
      <c r="C882">
        <f>IFERROR(INDEX(資格取込!$S$6:$S$405,MATCH(34&amp;"_"&amp;16,資格取込!$Z$6:$Z$405,0)),"")</f>
        <v/>
      </c>
      <c r="D882">
        <f>IFERROR(INDEX(資格取込!$R$6:$R$405,MATCH(34&amp;"_"&amp;16,資格取込!$Z$6:$Z$405,0)),"")</f>
        <v/>
      </c>
      <c r="E882">
        <f>IF(D882="","",IFERROR(INDEX(資格マスタ!$B:$B,MATCH(ASC(SUBSTITUTE(SUBSTITUTE(D882," ",""),"　","")),資格マスタ!$D:$D,0)),D882))</f>
        <v/>
      </c>
      <c r="F882">
        <f>IF(E882="","",IF(C882="",DATE(9999,1,1),C882))</f>
        <v/>
      </c>
      <c r="G882">
        <f>IF(E882="","",COUNTIFS($F$861:$F$886,"&lt;"&amp;F882,$F$861:$F$886,"&lt;&gt;")+COUNTIFS($F$861:$F$886,F882,$B$861:$B$886,"&lt;"&amp;B882)+1)</f>
        <v/>
      </c>
      <c r="H882">
        <f>IF(OR(E882="",C882=""),"",IF(C882&gt;=DATE(2019,5,1),"令和"&amp;(YEAR(C882)-2018),IF(C882&gt;=DATE(1989,1,8),"平成"&amp;(YEAR(C882)-1988),"昭和"&amp;(YEAR(C882)-1925)))&amp;"年"&amp;MONTH(C882)&amp;"月")</f>
        <v/>
      </c>
    </row>
    <row r="883">
      <c r="A883" t="n">
        <v>34</v>
      </c>
      <c r="B883" t="n">
        <v>23</v>
      </c>
      <c r="C883">
        <f>IFERROR(INDEX(資格取込!$S$6:$S$405,MATCH(34&amp;"_"&amp;17,資格取込!$Z$6:$Z$405,0)),"")</f>
        <v/>
      </c>
      <c r="D883">
        <f>IFERROR(INDEX(資格取込!$R$6:$R$405,MATCH(34&amp;"_"&amp;17,資格取込!$Z$6:$Z$405,0)),"")</f>
        <v/>
      </c>
      <c r="E883">
        <f>IF(D883="","",IFERROR(INDEX(資格マスタ!$B:$B,MATCH(ASC(SUBSTITUTE(SUBSTITUTE(D883," ",""),"　","")),資格マスタ!$D:$D,0)),D883))</f>
        <v/>
      </c>
      <c r="F883">
        <f>IF(E883="","",IF(C883="",DATE(9999,1,1),C883))</f>
        <v/>
      </c>
      <c r="G883">
        <f>IF(E883="","",COUNTIFS($F$861:$F$886,"&lt;"&amp;F883,$F$861:$F$886,"&lt;&gt;")+COUNTIFS($F$861:$F$886,F883,$B$861:$B$886,"&lt;"&amp;B883)+1)</f>
        <v/>
      </c>
      <c r="H883">
        <f>IF(OR(E883="",C883=""),"",IF(C883&gt;=DATE(2019,5,1),"令和"&amp;(YEAR(C883)-2018),IF(C883&gt;=DATE(1989,1,8),"平成"&amp;(YEAR(C883)-1988),"昭和"&amp;(YEAR(C883)-1925)))&amp;"年"&amp;MONTH(C883)&amp;"月")</f>
        <v/>
      </c>
    </row>
    <row r="884">
      <c r="A884" t="n">
        <v>34</v>
      </c>
      <c r="B884" t="n">
        <v>24</v>
      </c>
      <c r="C884">
        <f>IFERROR(INDEX(資格取込!$S$6:$S$405,MATCH(34&amp;"_"&amp;18,資格取込!$Z$6:$Z$405,0)),"")</f>
        <v/>
      </c>
      <c r="D884">
        <f>IFERROR(INDEX(資格取込!$R$6:$R$405,MATCH(34&amp;"_"&amp;18,資格取込!$Z$6:$Z$405,0)),"")</f>
        <v/>
      </c>
      <c r="E884">
        <f>IF(D884="","",IFERROR(INDEX(資格マスタ!$B:$B,MATCH(ASC(SUBSTITUTE(SUBSTITUTE(D884," ",""),"　","")),資格マスタ!$D:$D,0)),D884))</f>
        <v/>
      </c>
      <c r="F884">
        <f>IF(E884="","",IF(C884="",DATE(9999,1,1),C884))</f>
        <v/>
      </c>
      <c r="G884">
        <f>IF(E884="","",COUNTIFS($F$861:$F$886,"&lt;"&amp;F884,$F$861:$F$886,"&lt;&gt;")+COUNTIFS($F$861:$F$886,F884,$B$861:$B$886,"&lt;"&amp;B884)+1)</f>
        <v/>
      </c>
      <c r="H884">
        <f>IF(OR(E884="",C884=""),"",IF(C884&gt;=DATE(2019,5,1),"令和"&amp;(YEAR(C884)-2018),IF(C884&gt;=DATE(1989,1,8),"平成"&amp;(YEAR(C884)-1988),"昭和"&amp;(YEAR(C884)-1925)))&amp;"年"&amp;MONTH(C884)&amp;"月")</f>
        <v/>
      </c>
    </row>
    <row r="885">
      <c r="A885" t="n">
        <v>34</v>
      </c>
      <c r="B885" t="n">
        <v>25</v>
      </c>
      <c r="C885">
        <f>IFERROR(INDEX(資格取込!$S$6:$S$405,MATCH(34&amp;"_"&amp;19,資格取込!$Z$6:$Z$405,0)),"")</f>
        <v/>
      </c>
      <c r="D885">
        <f>IFERROR(INDEX(資格取込!$R$6:$R$405,MATCH(34&amp;"_"&amp;19,資格取込!$Z$6:$Z$405,0)),"")</f>
        <v/>
      </c>
      <c r="E885">
        <f>IF(D885="","",IFERROR(INDEX(資格マスタ!$B:$B,MATCH(ASC(SUBSTITUTE(SUBSTITUTE(D885," ",""),"　","")),資格マスタ!$D:$D,0)),D885))</f>
        <v/>
      </c>
      <c r="F885">
        <f>IF(E885="","",IF(C885="",DATE(9999,1,1),C885))</f>
        <v/>
      </c>
      <c r="G885">
        <f>IF(E885="","",COUNTIFS($F$861:$F$886,"&lt;"&amp;F885,$F$861:$F$886,"&lt;&gt;")+COUNTIFS($F$861:$F$886,F885,$B$861:$B$886,"&lt;"&amp;B885)+1)</f>
        <v/>
      </c>
      <c r="H885">
        <f>IF(OR(E885="",C885=""),"",IF(C885&gt;=DATE(2019,5,1),"令和"&amp;(YEAR(C885)-2018),IF(C885&gt;=DATE(1989,1,8),"平成"&amp;(YEAR(C885)-1988),"昭和"&amp;(YEAR(C885)-1925)))&amp;"年"&amp;MONTH(C885)&amp;"月")</f>
        <v/>
      </c>
    </row>
    <row r="886">
      <c r="A886" t="n">
        <v>34</v>
      </c>
      <c r="B886" t="n">
        <v>26</v>
      </c>
      <c r="C886">
        <f>IFERROR(INDEX(資格取込!$S$6:$S$405,MATCH(34&amp;"_"&amp;20,資格取込!$Z$6:$Z$405,0)),"")</f>
        <v/>
      </c>
      <c r="D886">
        <f>IFERROR(INDEX(資格取込!$R$6:$R$405,MATCH(34&amp;"_"&amp;20,資格取込!$Z$6:$Z$405,0)),"")</f>
        <v/>
      </c>
      <c r="E886">
        <f>IF(D886="","",IFERROR(INDEX(資格マスタ!$B:$B,MATCH(ASC(SUBSTITUTE(SUBSTITUTE(D886," ",""),"　","")),資格マスタ!$D:$D,0)),D886))</f>
        <v/>
      </c>
      <c r="F886">
        <f>IF(E886="","",IF(C886="",DATE(9999,1,1),C886))</f>
        <v/>
      </c>
      <c r="G886">
        <f>IF(E886="","",COUNTIFS($F$861:$F$886,"&lt;"&amp;F886,$F$861:$F$886,"&lt;&gt;")+COUNTIFS($F$861:$F$886,F886,$B$861:$B$886,"&lt;"&amp;B886)+1)</f>
        <v/>
      </c>
      <c r="H886">
        <f>IF(OR(E886="",C886=""),"",IF(C886&gt;=DATE(2019,5,1),"令和"&amp;(YEAR(C886)-2018),IF(C886&gt;=DATE(1989,1,8),"平成"&amp;(YEAR(C886)-1988),"昭和"&amp;(YEAR(C886)-1925)))&amp;"年"&amp;MONTH(C886)&amp;"月")</f>
        <v/>
      </c>
    </row>
    <row r="887">
      <c r="A887" t="n">
        <v>35</v>
      </c>
      <c r="B887" t="n">
        <v>1</v>
      </c>
      <c r="C887"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887">
        <f>IF(入力!N39="","",入力!N39)</f>
        <v/>
      </c>
      <c r="E887">
        <f>IF(D887="","",IFERROR(INDEX(資格マスタ!$B:$B,MATCH(ASC(SUBSTITUTE(SUBSTITUTE(D887," ",""),"　","")),資格マスタ!$D:$D,0)),D887))</f>
        <v/>
      </c>
      <c r="F887">
        <f>IF(E887="","",IF(C887="",DATE(9999,1,1),C887))</f>
        <v/>
      </c>
      <c r="G887">
        <f>IF(E887="","",COUNTIFS($F$887:$F$912,"&lt;"&amp;F887,$F$887:$F$912,"&lt;&gt;")+COUNTIFS($F$887:$F$912,F887,$B$887:$B$912,"&lt;"&amp;B887)+1)</f>
        <v/>
      </c>
      <c r="H887">
        <f>IF(OR(E887="",C887=""),"",IF(C887&gt;=DATE(2019,5,1),"令和"&amp;(YEAR(C887)-2018),IF(C887&gt;=DATE(1989,1,8),"平成"&amp;(YEAR(C887)-1988),"昭和"&amp;(YEAR(C887)-1925)))&amp;"年"&amp;MONTH(C887)&amp;"月")</f>
        <v/>
      </c>
    </row>
    <row r="888">
      <c r="A888" t="n">
        <v>35</v>
      </c>
      <c r="B888" t="n">
        <v>2</v>
      </c>
      <c r="C888">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888">
        <f>IF(入力!P39="","",入力!P39)</f>
        <v/>
      </c>
      <c r="E888">
        <f>IF(D888="","",IFERROR(INDEX(資格マスタ!$B:$B,MATCH(ASC(SUBSTITUTE(SUBSTITUTE(D888," ",""),"　","")),資格マスタ!$D:$D,0)),D888))</f>
        <v/>
      </c>
      <c r="F888">
        <f>IF(E888="","",IF(C888="",DATE(9999,1,1),C888))</f>
        <v/>
      </c>
      <c r="G888">
        <f>IF(E888="","",COUNTIFS($F$887:$F$912,"&lt;"&amp;F888,$F$887:$F$912,"&lt;&gt;")+COUNTIFS($F$887:$F$912,F888,$B$887:$B$912,"&lt;"&amp;B888)+1)</f>
        <v/>
      </c>
      <c r="H888">
        <f>IF(OR(E888="",C888=""),"",IF(C888&gt;=DATE(2019,5,1),"令和"&amp;(YEAR(C888)-2018),IF(C888&gt;=DATE(1989,1,8),"平成"&amp;(YEAR(C888)-1988),"昭和"&amp;(YEAR(C888)-1925)))&amp;"年"&amp;MONTH(C888)&amp;"月")</f>
        <v/>
      </c>
    </row>
    <row r="889">
      <c r="A889" t="n">
        <v>35</v>
      </c>
      <c r="B889" t="n">
        <v>3</v>
      </c>
      <c r="C889">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889">
        <f>IF(入力!R39="","",入力!R39)</f>
        <v/>
      </c>
      <c r="E889">
        <f>IF(D889="","",IFERROR(INDEX(資格マスタ!$B:$B,MATCH(ASC(SUBSTITUTE(SUBSTITUTE(D889," ",""),"　","")),資格マスタ!$D:$D,0)),D889))</f>
        <v/>
      </c>
      <c r="F889">
        <f>IF(E889="","",IF(C889="",DATE(9999,1,1),C889))</f>
        <v/>
      </c>
      <c r="G889">
        <f>IF(E889="","",COUNTIFS($F$887:$F$912,"&lt;"&amp;F889,$F$887:$F$912,"&lt;&gt;")+COUNTIFS($F$887:$F$912,F889,$B$887:$B$912,"&lt;"&amp;B889)+1)</f>
        <v/>
      </c>
      <c r="H889">
        <f>IF(OR(E889="",C889=""),"",IF(C889&gt;=DATE(2019,5,1),"令和"&amp;(YEAR(C889)-2018),IF(C889&gt;=DATE(1989,1,8),"平成"&amp;(YEAR(C889)-1988),"昭和"&amp;(YEAR(C889)-1925)))&amp;"年"&amp;MONTH(C889)&amp;"月")</f>
        <v/>
      </c>
    </row>
    <row r="890">
      <c r="A890" t="n">
        <v>35</v>
      </c>
      <c r="B890" t="n">
        <v>4</v>
      </c>
      <c r="C890">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890">
        <f>IF(入力!T39="","",入力!T39)</f>
        <v/>
      </c>
      <c r="E890">
        <f>IF(D890="","",IFERROR(INDEX(資格マスタ!$B:$B,MATCH(ASC(SUBSTITUTE(SUBSTITUTE(D890," ",""),"　","")),資格マスタ!$D:$D,0)),D890))</f>
        <v/>
      </c>
      <c r="F890">
        <f>IF(E890="","",IF(C890="",DATE(9999,1,1),C890))</f>
        <v/>
      </c>
      <c r="G890">
        <f>IF(E890="","",COUNTIFS($F$887:$F$912,"&lt;"&amp;F890,$F$887:$F$912,"&lt;&gt;")+COUNTIFS($F$887:$F$912,F890,$B$887:$B$912,"&lt;"&amp;B890)+1)</f>
        <v/>
      </c>
      <c r="H890">
        <f>IF(OR(E890="",C890=""),"",IF(C890&gt;=DATE(2019,5,1),"令和"&amp;(YEAR(C890)-2018),IF(C890&gt;=DATE(1989,1,8),"平成"&amp;(YEAR(C890)-1988),"昭和"&amp;(YEAR(C890)-1925)))&amp;"年"&amp;MONTH(C890)&amp;"月")</f>
        <v/>
      </c>
    </row>
    <row r="891">
      <c r="A891" t="n">
        <v>35</v>
      </c>
      <c r="B891" t="n">
        <v>5</v>
      </c>
      <c r="C891">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891">
        <f>IF(入力!V39="","",入力!V39)</f>
        <v/>
      </c>
      <c r="E891">
        <f>IF(D891="","",IFERROR(INDEX(資格マスタ!$B:$B,MATCH(ASC(SUBSTITUTE(SUBSTITUTE(D891," ",""),"　","")),資格マスタ!$D:$D,0)),D891))</f>
        <v/>
      </c>
      <c r="F891">
        <f>IF(E891="","",IF(C891="",DATE(9999,1,1),C891))</f>
        <v/>
      </c>
      <c r="G891">
        <f>IF(E891="","",COUNTIFS($F$887:$F$912,"&lt;"&amp;F891,$F$887:$F$912,"&lt;&gt;")+COUNTIFS($F$887:$F$912,F891,$B$887:$B$912,"&lt;"&amp;B891)+1)</f>
        <v/>
      </c>
      <c r="H891">
        <f>IF(OR(E891="",C891=""),"",IF(C891&gt;=DATE(2019,5,1),"令和"&amp;(YEAR(C891)-2018),IF(C891&gt;=DATE(1989,1,8),"平成"&amp;(YEAR(C891)-1988),"昭和"&amp;(YEAR(C891)-1925)))&amp;"年"&amp;MONTH(C891)&amp;"月")</f>
        <v/>
      </c>
    </row>
    <row r="892">
      <c r="A892" t="n">
        <v>35</v>
      </c>
      <c r="B892" t="n">
        <v>6</v>
      </c>
      <c r="C892">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892">
        <f>IF(入力!X39="","",入力!X39)</f>
        <v/>
      </c>
      <c r="E892">
        <f>IF(D892="","",IFERROR(INDEX(資格マスタ!$B:$B,MATCH(ASC(SUBSTITUTE(SUBSTITUTE(D892," ",""),"　","")),資格マスタ!$D:$D,0)),D892))</f>
        <v/>
      </c>
      <c r="F892">
        <f>IF(E892="","",IF(C892="",DATE(9999,1,1),C892))</f>
        <v/>
      </c>
      <c r="G892">
        <f>IF(E892="","",COUNTIFS($F$887:$F$912,"&lt;"&amp;F892,$F$887:$F$912,"&lt;&gt;")+COUNTIFS($F$887:$F$912,F892,$B$887:$B$912,"&lt;"&amp;B892)+1)</f>
        <v/>
      </c>
      <c r="H892">
        <f>IF(OR(E892="",C892=""),"",IF(C892&gt;=DATE(2019,5,1),"令和"&amp;(YEAR(C892)-2018),IF(C892&gt;=DATE(1989,1,8),"平成"&amp;(YEAR(C892)-1988),"昭和"&amp;(YEAR(C892)-1925)))&amp;"年"&amp;MONTH(C892)&amp;"月")</f>
        <v/>
      </c>
    </row>
    <row r="893">
      <c r="A893" t="n">
        <v>35</v>
      </c>
      <c r="B893" t="n">
        <v>7</v>
      </c>
      <c r="C893">
        <f>IFERROR(INDEX(資格取込!$S$6:$S$405,MATCH(35&amp;"_"&amp;1,資格取込!$Z$6:$Z$405,0)),"")</f>
        <v/>
      </c>
      <c r="D893">
        <f>IFERROR(INDEX(資格取込!$R$6:$R$405,MATCH(35&amp;"_"&amp;1,資格取込!$Z$6:$Z$405,0)),"")</f>
        <v/>
      </c>
      <c r="E893">
        <f>IF(D893="","",IFERROR(INDEX(資格マスタ!$B:$B,MATCH(ASC(SUBSTITUTE(SUBSTITUTE(D893," ",""),"　","")),資格マスタ!$D:$D,0)),D893))</f>
        <v/>
      </c>
      <c r="F893">
        <f>IF(E893="","",IF(C893="",DATE(9999,1,1),C893))</f>
        <v/>
      </c>
      <c r="G893">
        <f>IF(E893="","",COUNTIFS($F$887:$F$912,"&lt;"&amp;F893,$F$887:$F$912,"&lt;&gt;")+COUNTIFS($F$887:$F$912,F893,$B$887:$B$912,"&lt;"&amp;B893)+1)</f>
        <v/>
      </c>
      <c r="H893">
        <f>IF(OR(E893="",C893=""),"",IF(C893&gt;=DATE(2019,5,1),"令和"&amp;(YEAR(C893)-2018),IF(C893&gt;=DATE(1989,1,8),"平成"&amp;(YEAR(C893)-1988),"昭和"&amp;(YEAR(C893)-1925)))&amp;"年"&amp;MONTH(C893)&amp;"月")</f>
        <v/>
      </c>
    </row>
    <row r="894">
      <c r="A894" t="n">
        <v>35</v>
      </c>
      <c r="B894" t="n">
        <v>8</v>
      </c>
      <c r="C894">
        <f>IFERROR(INDEX(資格取込!$S$6:$S$405,MATCH(35&amp;"_"&amp;2,資格取込!$Z$6:$Z$405,0)),"")</f>
        <v/>
      </c>
      <c r="D894">
        <f>IFERROR(INDEX(資格取込!$R$6:$R$405,MATCH(35&amp;"_"&amp;2,資格取込!$Z$6:$Z$405,0)),"")</f>
        <v/>
      </c>
      <c r="E894">
        <f>IF(D894="","",IFERROR(INDEX(資格マスタ!$B:$B,MATCH(ASC(SUBSTITUTE(SUBSTITUTE(D894," ",""),"　","")),資格マスタ!$D:$D,0)),D894))</f>
        <v/>
      </c>
      <c r="F894">
        <f>IF(E894="","",IF(C894="",DATE(9999,1,1),C894))</f>
        <v/>
      </c>
      <c r="G894">
        <f>IF(E894="","",COUNTIFS($F$887:$F$912,"&lt;"&amp;F894,$F$887:$F$912,"&lt;&gt;")+COUNTIFS($F$887:$F$912,F894,$B$887:$B$912,"&lt;"&amp;B894)+1)</f>
        <v/>
      </c>
      <c r="H894">
        <f>IF(OR(E894="",C894=""),"",IF(C894&gt;=DATE(2019,5,1),"令和"&amp;(YEAR(C894)-2018),IF(C894&gt;=DATE(1989,1,8),"平成"&amp;(YEAR(C894)-1988),"昭和"&amp;(YEAR(C894)-1925)))&amp;"年"&amp;MONTH(C894)&amp;"月")</f>
        <v/>
      </c>
    </row>
    <row r="895">
      <c r="A895" t="n">
        <v>35</v>
      </c>
      <c r="B895" t="n">
        <v>9</v>
      </c>
      <c r="C895">
        <f>IFERROR(INDEX(資格取込!$S$6:$S$405,MATCH(35&amp;"_"&amp;3,資格取込!$Z$6:$Z$405,0)),"")</f>
        <v/>
      </c>
      <c r="D895">
        <f>IFERROR(INDEX(資格取込!$R$6:$R$405,MATCH(35&amp;"_"&amp;3,資格取込!$Z$6:$Z$405,0)),"")</f>
        <v/>
      </c>
      <c r="E895">
        <f>IF(D895="","",IFERROR(INDEX(資格マスタ!$B:$B,MATCH(ASC(SUBSTITUTE(SUBSTITUTE(D895," ",""),"　","")),資格マスタ!$D:$D,0)),D895))</f>
        <v/>
      </c>
      <c r="F895">
        <f>IF(E895="","",IF(C895="",DATE(9999,1,1),C895))</f>
        <v/>
      </c>
      <c r="G895">
        <f>IF(E895="","",COUNTIFS($F$887:$F$912,"&lt;"&amp;F895,$F$887:$F$912,"&lt;&gt;")+COUNTIFS($F$887:$F$912,F895,$B$887:$B$912,"&lt;"&amp;B895)+1)</f>
        <v/>
      </c>
      <c r="H895">
        <f>IF(OR(E895="",C895=""),"",IF(C895&gt;=DATE(2019,5,1),"令和"&amp;(YEAR(C895)-2018),IF(C895&gt;=DATE(1989,1,8),"平成"&amp;(YEAR(C895)-1988),"昭和"&amp;(YEAR(C895)-1925)))&amp;"年"&amp;MONTH(C895)&amp;"月")</f>
        <v/>
      </c>
    </row>
    <row r="896">
      <c r="A896" t="n">
        <v>35</v>
      </c>
      <c r="B896" t="n">
        <v>10</v>
      </c>
      <c r="C896">
        <f>IFERROR(INDEX(資格取込!$S$6:$S$405,MATCH(35&amp;"_"&amp;4,資格取込!$Z$6:$Z$405,0)),"")</f>
        <v/>
      </c>
      <c r="D896">
        <f>IFERROR(INDEX(資格取込!$R$6:$R$405,MATCH(35&amp;"_"&amp;4,資格取込!$Z$6:$Z$405,0)),"")</f>
        <v/>
      </c>
      <c r="E896">
        <f>IF(D896="","",IFERROR(INDEX(資格マスタ!$B:$B,MATCH(ASC(SUBSTITUTE(SUBSTITUTE(D896," ",""),"　","")),資格マスタ!$D:$D,0)),D896))</f>
        <v/>
      </c>
      <c r="F896">
        <f>IF(E896="","",IF(C896="",DATE(9999,1,1),C896))</f>
        <v/>
      </c>
      <c r="G896">
        <f>IF(E896="","",COUNTIFS($F$887:$F$912,"&lt;"&amp;F896,$F$887:$F$912,"&lt;&gt;")+COUNTIFS($F$887:$F$912,F896,$B$887:$B$912,"&lt;"&amp;B896)+1)</f>
        <v/>
      </c>
      <c r="H896">
        <f>IF(OR(E896="",C896=""),"",IF(C896&gt;=DATE(2019,5,1),"令和"&amp;(YEAR(C896)-2018),IF(C896&gt;=DATE(1989,1,8),"平成"&amp;(YEAR(C896)-1988),"昭和"&amp;(YEAR(C896)-1925)))&amp;"年"&amp;MONTH(C896)&amp;"月")</f>
        <v/>
      </c>
    </row>
    <row r="897">
      <c r="A897" t="n">
        <v>35</v>
      </c>
      <c r="B897" t="n">
        <v>11</v>
      </c>
      <c r="C897">
        <f>IFERROR(INDEX(資格取込!$S$6:$S$405,MATCH(35&amp;"_"&amp;5,資格取込!$Z$6:$Z$405,0)),"")</f>
        <v/>
      </c>
      <c r="D897">
        <f>IFERROR(INDEX(資格取込!$R$6:$R$405,MATCH(35&amp;"_"&amp;5,資格取込!$Z$6:$Z$405,0)),"")</f>
        <v/>
      </c>
      <c r="E897">
        <f>IF(D897="","",IFERROR(INDEX(資格マスタ!$B:$B,MATCH(ASC(SUBSTITUTE(SUBSTITUTE(D897," ",""),"　","")),資格マスタ!$D:$D,0)),D897))</f>
        <v/>
      </c>
      <c r="F897">
        <f>IF(E897="","",IF(C897="",DATE(9999,1,1),C897))</f>
        <v/>
      </c>
      <c r="G897">
        <f>IF(E897="","",COUNTIFS($F$887:$F$912,"&lt;"&amp;F897,$F$887:$F$912,"&lt;&gt;")+COUNTIFS($F$887:$F$912,F897,$B$887:$B$912,"&lt;"&amp;B897)+1)</f>
        <v/>
      </c>
      <c r="H897">
        <f>IF(OR(E897="",C897=""),"",IF(C897&gt;=DATE(2019,5,1),"令和"&amp;(YEAR(C897)-2018),IF(C897&gt;=DATE(1989,1,8),"平成"&amp;(YEAR(C897)-1988),"昭和"&amp;(YEAR(C897)-1925)))&amp;"年"&amp;MONTH(C897)&amp;"月")</f>
        <v/>
      </c>
    </row>
    <row r="898">
      <c r="A898" t="n">
        <v>35</v>
      </c>
      <c r="B898" t="n">
        <v>12</v>
      </c>
      <c r="C898">
        <f>IFERROR(INDEX(資格取込!$S$6:$S$405,MATCH(35&amp;"_"&amp;6,資格取込!$Z$6:$Z$405,0)),"")</f>
        <v/>
      </c>
      <c r="D898">
        <f>IFERROR(INDEX(資格取込!$R$6:$R$405,MATCH(35&amp;"_"&amp;6,資格取込!$Z$6:$Z$405,0)),"")</f>
        <v/>
      </c>
      <c r="E898">
        <f>IF(D898="","",IFERROR(INDEX(資格マスタ!$B:$B,MATCH(ASC(SUBSTITUTE(SUBSTITUTE(D898," ",""),"　","")),資格マスタ!$D:$D,0)),D898))</f>
        <v/>
      </c>
      <c r="F898">
        <f>IF(E898="","",IF(C898="",DATE(9999,1,1),C898))</f>
        <v/>
      </c>
      <c r="G898">
        <f>IF(E898="","",COUNTIFS($F$887:$F$912,"&lt;"&amp;F898,$F$887:$F$912,"&lt;&gt;")+COUNTIFS($F$887:$F$912,F898,$B$887:$B$912,"&lt;"&amp;B898)+1)</f>
        <v/>
      </c>
      <c r="H898">
        <f>IF(OR(E898="",C898=""),"",IF(C898&gt;=DATE(2019,5,1),"令和"&amp;(YEAR(C898)-2018),IF(C898&gt;=DATE(1989,1,8),"平成"&amp;(YEAR(C898)-1988),"昭和"&amp;(YEAR(C898)-1925)))&amp;"年"&amp;MONTH(C898)&amp;"月")</f>
        <v/>
      </c>
    </row>
    <row r="899">
      <c r="A899" t="n">
        <v>35</v>
      </c>
      <c r="B899" t="n">
        <v>13</v>
      </c>
      <c r="C899">
        <f>IFERROR(INDEX(資格取込!$S$6:$S$405,MATCH(35&amp;"_"&amp;7,資格取込!$Z$6:$Z$405,0)),"")</f>
        <v/>
      </c>
      <c r="D899">
        <f>IFERROR(INDEX(資格取込!$R$6:$R$405,MATCH(35&amp;"_"&amp;7,資格取込!$Z$6:$Z$405,0)),"")</f>
        <v/>
      </c>
      <c r="E899">
        <f>IF(D899="","",IFERROR(INDEX(資格マスタ!$B:$B,MATCH(ASC(SUBSTITUTE(SUBSTITUTE(D899," ",""),"　","")),資格マスタ!$D:$D,0)),D899))</f>
        <v/>
      </c>
      <c r="F899">
        <f>IF(E899="","",IF(C899="",DATE(9999,1,1),C899))</f>
        <v/>
      </c>
      <c r="G899">
        <f>IF(E899="","",COUNTIFS($F$887:$F$912,"&lt;"&amp;F899,$F$887:$F$912,"&lt;&gt;")+COUNTIFS($F$887:$F$912,F899,$B$887:$B$912,"&lt;"&amp;B899)+1)</f>
        <v/>
      </c>
      <c r="H899">
        <f>IF(OR(E899="",C899=""),"",IF(C899&gt;=DATE(2019,5,1),"令和"&amp;(YEAR(C899)-2018),IF(C899&gt;=DATE(1989,1,8),"平成"&amp;(YEAR(C899)-1988),"昭和"&amp;(YEAR(C899)-1925)))&amp;"年"&amp;MONTH(C899)&amp;"月")</f>
        <v/>
      </c>
    </row>
    <row r="900">
      <c r="A900" t="n">
        <v>35</v>
      </c>
      <c r="B900" t="n">
        <v>14</v>
      </c>
      <c r="C900">
        <f>IFERROR(INDEX(資格取込!$S$6:$S$405,MATCH(35&amp;"_"&amp;8,資格取込!$Z$6:$Z$405,0)),"")</f>
        <v/>
      </c>
      <c r="D900">
        <f>IFERROR(INDEX(資格取込!$R$6:$R$405,MATCH(35&amp;"_"&amp;8,資格取込!$Z$6:$Z$405,0)),"")</f>
        <v/>
      </c>
      <c r="E900">
        <f>IF(D900="","",IFERROR(INDEX(資格マスタ!$B:$B,MATCH(ASC(SUBSTITUTE(SUBSTITUTE(D900," ",""),"　","")),資格マスタ!$D:$D,0)),D900))</f>
        <v/>
      </c>
      <c r="F900">
        <f>IF(E900="","",IF(C900="",DATE(9999,1,1),C900))</f>
        <v/>
      </c>
      <c r="G900">
        <f>IF(E900="","",COUNTIFS($F$887:$F$912,"&lt;"&amp;F900,$F$887:$F$912,"&lt;&gt;")+COUNTIFS($F$887:$F$912,F900,$B$887:$B$912,"&lt;"&amp;B900)+1)</f>
        <v/>
      </c>
      <c r="H900">
        <f>IF(OR(E900="",C900=""),"",IF(C900&gt;=DATE(2019,5,1),"令和"&amp;(YEAR(C900)-2018),IF(C900&gt;=DATE(1989,1,8),"平成"&amp;(YEAR(C900)-1988),"昭和"&amp;(YEAR(C900)-1925)))&amp;"年"&amp;MONTH(C900)&amp;"月")</f>
        <v/>
      </c>
    </row>
    <row r="901">
      <c r="A901" t="n">
        <v>35</v>
      </c>
      <c r="B901" t="n">
        <v>15</v>
      </c>
      <c r="C901">
        <f>IFERROR(INDEX(資格取込!$S$6:$S$405,MATCH(35&amp;"_"&amp;9,資格取込!$Z$6:$Z$405,0)),"")</f>
        <v/>
      </c>
      <c r="D901">
        <f>IFERROR(INDEX(資格取込!$R$6:$R$405,MATCH(35&amp;"_"&amp;9,資格取込!$Z$6:$Z$405,0)),"")</f>
        <v/>
      </c>
      <c r="E901">
        <f>IF(D901="","",IFERROR(INDEX(資格マスタ!$B:$B,MATCH(ASC(SUBSTITUTE(SUBSTITUTE(D901," ",""),"　","")),資格マスタ!$D:$D,0)),D901))</f>
        <v/>
      </c>
      <c r="F901">
        <f>IF(E901="","",IF(C901="",DATE(9999,1,1),C901))</f>
        <v/>
      </c>
      <c r="G901">
        <f>IF(E901="","",COUNTIFS($F$887:$F$912,"&lt;"&amp;F901,$F$887:$F$912,"&lt;&gt;")+COUNTIFS($F$887:$F$912,F901,$B$887:$B$912,"&lt;"&amp;B901)+1)</f>
        <v/>
      </c>
      <c r="H901">
        <f>IF(OR(E901="",C901=""),"",IF(C901&gt;=DATE(2019,5,1),"令和"&amp;(YEAR(C901)-2018),IF(C901&gt;=DATE(1989,1,8),"平成"&amp;(YEAR(C901)-1988),"昭和"&amp;(YEAR(C901)-1925)))&amp;"年"&amp;MONTH(C901)&amp;"月")</f>
        <v/>
      </c>
    </row>
    <row r="902">
      <c r="A902" t="n">
        <v>35</v>
      </c>
      <c r="B902" t="n">
        <v>16</v>
      </c>
      <c r="C902">
        <f>IFERROR(INDEX(資格取込!$S$6:$S$405,MATCH(35&amp;"_"&amp;10,資格取込!$Z$6:$Z$405,0)),"")</f>
        <v/>
      </c>
      <c r="D902">
        <f>IFERROR(INDEX(資格取込!$R$6:$R$405,MATCH(35&amp;"_"&amp;10,資格取込!$Z$6:$Z$405,0)),"")</f>
        <v/>
      </c>
      <c r="E902">
        <f>IF(D902="","",IFERROR(INDEX(資格マスタ!$B:$B,MATCH(ASC(SUBSTITUTE(SUBSTITUTE(D902," ",""),"　","")),資格マスタ!$D:$D,0)),D902))</f>
        <v/>
      </c>
      <c r="F902">
        <f>IF(E902="","",IF(C902="",DATE(9999,1,1),C902))</f>
        <v/>
      </c>
      <c r="G902">
        <f>IF(E902="","",COUNTIFS($F$887:$F$912,"&lt;"&amp;F902,$F$887:$F$912,"&lt;&gt;")+COUNTIFS($F$887:$F$912,F902,$B$887:$B$912,"&lt;"&amp;B902)+1)</f>
        <v/>
      </c>
      <c r="H902">
        <f>IF(OR(E902="",C902=""),"",IF(C902&gt;=DATE(2019,5,1),"令和"&amp;(YEAR(C902)-2018),IF(C902&gt;=DATE(1989,1,8),"平成"&amp;(YEAR(C902)-1988),"昭和"&amp;(YEAR(C902)-1925)))&amp;"年"&amp;MONTH(C902)&amp;"月")</f>
        <v/>
      </c>
    </row>
    <row r="903">
      <c r="A903" t="n">
        <v>35</v>
      </c>
      <c r="B903" t="n">
        <v>17</v>
      </c>
      <c r="C903">
        <f>IFERROR(INDEX(資格取込!$S$6:$S$405,MATCH(35&amp;"_"&amp;11,資格取込!$Z$6:$Z$405,0)),"")</f>
        <v/>
      </c>
      <c r="D903">
        <f>IFERROR(INDEX(資格取込!$R$6:$R$405,MATCH(35&amp;"_"&amp;11,資格取込!$Z$6:$Z$405,0)),"")</f>
        <v/>
      </c>
      <c r="E903">
        <f>IF(D903="","",IFERROR(INDEX(資格マスタ!$B:$B,MATCH(ASC(SUBSTITUTE(SUBSTITUTE(D903," ",""),"　","")),資格マスタ!$D:$D,0)),D903))</f>
        <v/>
      </c>
      <c r="F903">
        <f>IF(E903="","",IF(C903="",DATE(9999,1,1),C903))</f>
        <v/>
      </c>
      <c r="G903">
        <f>IF(E903="","",COUNTIFS($F$887:$F$912,"&lt;"&amp;F903,$F$887:$F$912,"&lt;&gt;")+COUNTIFS($F$887:$F$912,F903,$B$887:$B$912,"&lt;"&amp;B903)+1)</f>
        <v/>
      </c>
      <c r="H903">
        <f>IF(OR(E903="",C903=""),"",IF(C903&gt;=DATE(2019,5,1),"令和"&amp;(YEAR(C903)-2018),IF(C903&gt;=DATE(1989,1,8),"平成"&amp;(YEAR(C903)-1988),"昭和"&amp;(YEAR(C903)-1925)))&amp;"年"&amp;MONTH(C903)&amp;"月")</f>
        <v/>
      </c>
    </row>
    <row r="904">
      <c r="A904" t="n">
        <v>35</v>
      </c>
      <c r="B904" t="n">
        <v>18</v>
      </c>
      <c r="C904">
        <f>IFERROR(INDEX(資格取込!$S$6:$S$405,MATCH(35&amp;"_"&amp;12,資格取込!$Z$6:$Z$405,0)),"")</f>
        <v/>
      </c>
      <c r="D904">
        <f>IFERROR(INDEX(資格取込!$R$6:$R$405,MATCH(35&amp;"_"&amp;12,資格取込!$Z$6:$Z$405,0)),"")</f>
        <v/>
      </c>
      <c r="E904">
        <f>IF(D904="","",IFERROR(INDEX(資格マスタ!$B:$B,MATCH(ASC(SUBSTITUTE(SUBSTITUTE(D904," ",""),"　","")),資格マスタ!$D:$D,0)),D904))</f>
        <v/>
      </c>
      <c r="F904">
        <f>IF(E904="","",IF(C904="",DATE(9999,1,1),C904))</f>
        <v/>
      </c>
      <c r="G904">
        <f>IF(E904="","",COUNTIFS($F$887:$F$912,"&lt;"&amp;F904,$F$887:$F$912,"&lt;&gt;")+COUNTIFS($F$887:$F$912,F904,$B$887:$B$912,"&lt;"&amp;B904)+1)</f>
        <v/>
      </c>
      <c r="H904">
        <f>IF(OR(E904="",C904=""),"",IF(C904&gt;=DATE(2019,5,1),"令和"&amp;(YEAR(C904)-2018),IF(C904&gt;=DATE(1989,1,8),"平成"&amp;(YEAR(C904)-1988),"昭和"&amp;(YEAR(C904)-1925)))&amp;"年"&amp;MONTH(C904)&amp;"月")</f>
        <v/>
      </c>
    </row>
    <row r="905">
      <c r="A905" t="n">
        <v>35</v>
      </c>
      <c r="B905" t="n">
        <v>19</v>
      </c>
      <c r="C905">
        <f>IFERROR(INDEX(資格取込!$S$6:$S$405,MATCH(35&amp;"_"&amp;13,資格取込!$Z$6:$Z$405,0)),"")</f>
        <v/>
      </c>
      <c r="D905">
        <f>IFERROR(INDEX(資格取込!$R$6:$R$405,MATCH(35&amp;"_"&amp;13,資格取込!$Z$6:$Z$405,0)),"")</f>
        <v/>
      </c>
      <c r="E905">
        <f>IF(D905="","",IFERROR(INDEX(資格マスタ!$B:$B,MATCH(ASC(SUBSTITUTE(SUBSTITUTE(D905," ",""),"　","")),資格マスタ!$D:$D,0)),D905))</f>
        <v/>
      </c>
      <c r="F905">
        <f>IF(E905="","",IF(C905="",DATE(9999,1,1),C905))</f>
        <v/>
      </c>
      <c r="G905">
        <f>IF(E905="","",COUNTIFS($F$887:$F$912,"&lt;"&amp;F905,$F$887:$F$912,"&lt;&gt;")+COUNTIFS($F$887:$F$912,F905,$B$887:$B$912,"&lt;"&amp;B905)+1)</f>
        <v/>
      </c>
      <c r="H905">
        <f>IF(OR(E905="",C905=""),"",IF(C905&gt;=DATE(2019,5,1),"令和"&amp;(YEAR(C905)-2018),IF(C905&gt;=DATE(1989,1,8),"平成"&amp;(YEAR(C905)-1988),"昭和"&amp;(YEAR(C905)-1925)))&amp;"年"&amp;MONTH(C905)&amp;"月")</f>
        <v/>
      </c>
    </row>
    <row r="906">
      <c r="A906" t="n">
        <v>35</v>
      </c>
      <c r="B906" t="n">
        <v>20</v>
      </c>
      <c r="C906">
        <f>IFERROR(INDEX(資格取込!$S$6:$S$405,MATCH(35&amp;"_"&amp;14,資格取込!$Z$6:$Z$405,0)),"")</f>
        <v/>
      </c>
      <c r="D906">
        <f>IFERROR(INDEX(資格取込!$R$6:$R$405,MATCH(35&amp;"_"&amp;14,資格取込!$Z$6:$Z$405,0)),"")</f>
        <v/>
      </c>
      <c r="E906">
        <f>IF(D906="","",IFERROR(INDEX(資格マスタ!$B:$B,MATCH(ASC(SUBSTITUTE(SUBSTITUTE(D906," ",""),"　","")),資格マスタ!$D:$D,0)),D906))</f>
        <v/>
      </c>
      <c r="F906">
        <f>IF(E906="","",IF(C906="",DATE(9999,1,1),C906))</f>
        <v/>
      </c>
      <c r="G906">
        <f>IF(E906="","",COUNTIFS($F$887:$F$912,"&lt;"&amp;F906,$F$887:$F$912,"&lt;&gt;")+COUNTIFS($F$887:$F$912,F906,$B$887:$B$912,"&lt;"&amp;B906)+1)</f>
        <v/>
      </c>
      <c r="H906">
        <f>IF(OR(E906="",C906=""),"",IF(C906&gt;=DATE(2019,5,1),"令和"&amp;(YEAR(C906)-2018),IF(C906&gt;=DATE(1989,1,8),"平成"&amp;(YEAR(C906)-1988),"昭和"&amp;(YEAR(C906)-1925)))&amp;"年"&amp;MONTH(C906)&amp;"月")</f>
        <v/>
      </c>
    </row>
    <row r="907">
      <c r="A907" t="n">
        <v>35</v>
      </c>
      <c r="B907" t="n">
        <v>21</v>
      </c>
      <c r="C907">
        <f>IFERROR(INDEX(資格取込!$S$6:$S$405,MATCH(35&amp;"_"&amp;15,資格取込!$Z$6:$Z$405,0)),"")</f>
        <v/>
      </c>
      <c r="D907">
        <f>IFERROR(INDEX(資格取込!$R$6:$R$405,MATCH(35&amp;"_"&amp;15,資格取込!$Z$6:$Z$405,0)),"")</f>
        <v/>
      </c>
      <c r="E907">
        <f>IF(D907="","",IFERROR(INDEX(資格マスタ!$B:$B,MATCH(ASC(SUBSTITUTE(SUBSTITUTE(D907," ",""),"　","")),資格マスタ!$D:$D,0)),D907))</f>
        <v/>
      </c>
      <c r="F907">
        <f>IF(E907="","",IF(C907="",DATE(9999,1,1),C907))</f>
        <v/>
      </c>
      <c r="G907">
        <f>IF(E907="","",COUNTIFS($F$887:$F$912,"&lt;"&amp;F907,$F$887:$F$912,"&lt;&gt;")+COUNTIFS($F$887:$F$912,F907,$B$887:$B$912,"&lt;"&amp;B907)+1)</f>
        <v/>
      </c>
      <c r="H907">
        <f>IF(OR(E907="",C907=""),"",IF(C907&gt;=DATE(2019,5,1),"令和"&amp;(YEAR(C907)-2018),IF(C907&gt;=DATE(1989,1,8),"平成"&amp;(YEAR(C907)-1988),"昭和"&amp;(YEAR(C907)-1925)))&amp;"年"&amp;MONTH(C907)&amp;"月")</f>
        <v/>
      </c>
    </row>
    <row r="908">
      <c r="A908" t="n">
        <v>35</v>
      </c>
      <c r="B908" t="n">
        <v>22</v>
      </c>
      <c r="C908">
        <f>IFERROR(INDEX(資格取込!$S$6:$S$405,MATCH(35&amp;"_"&amp;16,資格取込!$Z$6:$Z$405,0)),"")</f>
        <v/>
      </c>
      <c r="D908">
        <f>IFERROR(INDEX(資格取込!$R$6:$R$405,MATCH(35&amp;"_"&amp;16,資格取込!$Z$6:$Z$405,0)),"")</f>
        <v/>
      </c>
      <c r="E908">
        <f>IF(D908="","",IFERROR(INDEX(資格マスタ!$B:$B,MATCH(ASC(SUBSTITUTE(SUBSTITUTE(D908," ",""),"　","")),資格マスタ!$D:$D,0)),D908))</f>
        <v/>
      </c>
      <c r="F908">
        <f>IF(E908="","",IF(C908="",DATE(9999,1,1),C908))</f>
        <v/>
      </c>
      <c r="G908">
        <f>IF(E908="","",COUNTIFS($F$887:$F$912,"&lt;"&amp;F908,$F$887:$F$912,"&lt;&gt;")+COUNTIFS($F$887:$F$912,F908,$B$887:$B$912,"&lt;"&amp;B908)+1)</f>
        <v/>
      </c>
      <c r="H908">
        <f>IF(OR(E908="",C908=""),"",IF(C908&gt;=DATE(2019,5,1),"令和"&amp;(YEAR(C908)-2018),IF(C908&gt;=DATE(1989,1,8),"平成"&amp;(YEAR(C908)-1988),"昭和"&amp;(YEAR(C908)-1925)))&amp;"年"&amp;MONTH(C908)&amp;"月")</f>
        <v/>
      </c>
    </row>
    <row r="909">
      <c r="A909" t="n">
        <v>35</v>
      </c>
      <c r="B909" t="n">
        <v>23</v>
      </c>
      <c r="C909">
        <f>IFERROR(INDEX(資格取込!$S$6:$S$405,MATCH(35&amp;"_"&amp;17,資格取込!$Z$6:$Z$405,0)),"")</f>
        <v/>
      </c>
      <c r="D909">
        <f>IFERROR(INDEX(資格取込!$R$6:$R$405,MATCH(35&amp;"_"&amp;17,資格取込!$Z$6:$Z$405,0)),"")</f>
        <v/>
      </c>
      <c r="E909">
        <f>IF(D909="","",IFERROR(INDEX(資格マスタ!$B:$B,MATCH(ASC(SUBSTITUTE(SUBSTITUTE(D909," ",""),"　","")),資格マスタ!$D:$D,0)),D909))</f>
        <v/>
      </c>
      <c r="F909">
        <f>IF(E909="","",IF(C909="",DATE(9999,1,1),C909))</f>
        <v/>
      </c>
      <c r="G909">
        <f>IF(E909="","",COUNTIFS($F$887:$F$912,"&lt;"&amp;F909,$F$887:$F$912,"&lt;&gt;")+COUNTIFS($F$887:$F$912,F909,$B$887:$B$912,"&lt;"&amp;B909)+1)</f>
        <v/>
      </c>
      <c r="H909">
        <f>IF(OR(E909="",C909=""),"",IF(C909&gt;=DATE(2019,5,1),"令和"&amp;(YEAR(C909)-2018),IF(C909&gt;=DATE(1989,1,8),"平成"&amp;(YEAR(C909)-1988),"昭和"&amp;(YEAR(C909)-1925)))&amp;"年"&amp;MONTH(C909)&amp;"月")</f>
        <v/>
      </c>
    </row>
    <row r="910">
      <c r="A910" t="n">
        <v>35</v>
      </c>
      <c r="B910" t="n">
        <v>24</v>
      </c>
      <c r="C910">
        <f>IFERROR(INDEX(資格取込!$S$6:$S$405,MATCH(35&amp;"_"&amp;18,資格取込!$Z$6:$Z$405,0)),"")</f>
        <v/>
      </c>
      <c r="D910">
        <f>IFERROR(INDEX(資格取込!$R$6:$R$405,MATCH(35&amp;"_"&amp;18,資格取込!$Z$6:$Z$405,0)),"")</f>
        <v/>
      </c>
      <c r="E910">
        <f>IF(D910="","",IFERROR(INDEX(資格マスタ!$B:$B,MATCH(ASC(SUBSTITUTE(SUBSTITUTE(D910," ",""),"　","")),資格マスタ!$D:$D,0)),D910))</f>
        <v/>
      </c>
      <c r="F910">
        <f>IF(E910="","",IF(C910="",DATE(9999,1,1),C910))</f>
        <v/>
      </c>
      <c r="G910">
        <f>IF(E910="","",COUNTIFS($F$887:$F$912,"&lt;"&amp;F910,$F$887:$F$912,"&lt;&gt;")+COUNTIFS($F$887:$F$912,F910,$B$887:$B$912,"&lt;"&amp;B910)+1)</f>
        <v/>
      </c>
      <c r="H910">
        <f>IF(OR(E910="",C910=""),"",IF(C910&gt;=DATE(2019,5,1),"令和"&amp;(YEAR(C910)-2018),IF(C910&gt;=DATE(1989,1,8),"平成"&amp;(YEAR(C910)-1988),"昭和"&amp;(YEAR(C910)-1925)))&amp;"年"&amp;MONTH(C910)&amp;"月")</f>
        <v/>
      </c>
    </row>
    <row r="911">
      <c r="A911" t="n">
        <v>35</v>
      </c>
      <c r="B911" t="n">
        <v>25</v>
      </c>
      <c r="C911">
        <f>IFERROR(INDEX(資格取込!$S$6:$S$405,MATCH(35&amp;"_"&amp;19,資格取込!$Z$6:$Z$405,0)),"")</f>
        <v/>
      </c>
      <c r="D911">
        <f>IFERROR(INDEX(資格取込!$R$6:$R$405,MATCH(35&amp;"_"&amp;19,資格取込!$Z$6:$Z$405,0)),"")</f>
        <v/>
      </c>
      <c r="E911">
        <f>IF(D911="","",IFERROR(INDEX(資格マスタ!$B:$B,MATCH(ASC(SUBSTITUTE(SUBSTITUTE(D911," ",""),"　","")),資格マスタ!$D:$D,0)),D911))</f>
        <v/>
      </c>
      <c r="F911">
        <f>IF(E911="","",IF(C911="",DATE(9999,1,1),C911))</f>
        <v/>
      </c>
      <c r="G911">
        <f>IF(E911="","",COUNTIFS($F$887:$F$912,"&lt;"&amp;F911,$F$887:$F$912,"&lt;&gt;")+COUNTIFS($F$887:$F$912,F911,$B$887:$B$912,"&lt;"&amp;B911)+1)</f>
        <v/>
      </c>
      <c r="H911">
        <f>IF(OR(E911="",C911=""),"",IF(C911&gt;=DATE(2019,5,1),"令和"&amp;(YEAR(C911)-2018),IF(C911&gt;=DATE(1989,1,8),"平成"&amp;(YEAR(C911)-1988),"昭和"&amp;(YEAR(C911)-1925)))&amp;"年"&amp;MONTH(C911)&amp;"月")</f>
        <v/>
      </c>
    </row>
    <row r="912">
      <c r="A912" t="n">
        <v>35</v>
      </c>
      <c r="B912" t="n">
        <v>26</v>
      </c>
      <c r="C912">
        <f>IFERROR(INDEX(資格取込!$S$6:$S$405,MATCH(35&amp;"_"&amp;20,資格取込!$Z$6:$Z$405,0)),"")</f>
        <v/>
      </c>
      <c r="D912">
        <f>IFERROR(INDEX(資格取込!$R$6:$R$405,MATCH(35&amp;"_"&amp;20,資格取込!$Z$6:$Z$405,0)),"")</f>
        <v/>
      </c>
      <c r="E912">
        <f>IF(D912="","",IFERROR(INDEX(資格マスタ!$B:$B,MATCH(ASC(SUBSTITUTE(SUBSTITUTE(D912," ",""),"　","")),資格マスタ!$D:$D,0)),D912))</f>
        <v/>
      </c>
      <c r="F912">
        <f>IF(E912="","",IF(C912="",DATE(9999,1,1),C912))</f>
        <v/>
      </c>
      <c r="G912">
        <f>IF(E912="","",COUNTIFS($F$887:$F$912,"&lt;"&amp;F912,$F$887:$F$912,"&lt;&gt;")+COUNTIFS($F$887:$F$912,F912,$B$887:$B$912,"&lt;"&amp;B912)+1)</f>
        <v/>
      </c>
      <c r="H912">
        <f>IF(OR(E912="",C912=""),"",IF(C912&gt;=DATE(2019,5,1),"令和"&amp;(YEAR(C912)-2018),IF(C912&gt;=DATE(1989,1,8),"平成"&amp;(YEAR(C912)-1988),"昭和"&amp;(YEAR(C912)-1925)))&amp;"年"&amp;MONTH(C912)&amp;"月")</f>
        <v/>
      </c>
    </row>
    <row r="913">
      <c r="A913" t="n">
        <v>36</v>
      </c>
      <c r="B913" t="n">
        <v>1</v>
      </c>
      <c r="C91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913">
        <f>IF(入力!N40="","",入力!N40)</f>
        <v/>
      </c>
      <c r="E913">
        <f>IF(D913="","",IFERROR(INDEX(資格マスタ!$B:$B,MATCH(ASC(SUBSTITUTE(SUBSTITUTE(D913," ",""),"　","")),資格マスタ!$D:$D,0)),D913))</f>
        <v/>
      </c>
      <c r="F913">
        <f>IF(E913="","",IF(C913="",DATE(9999,1,1),C913))</f>
        <v/>
      </c>
      <c r="G913">
        <f>IF(E913="","",COUNTIFS($F$913:$F$938,"&lt;"&amp;F913,$F$913:$F$938,"&lt;&gt;")+COUNTIFS($F$913:$F$938,F913,$B$913:$B$938,"&lt;"&amp;B913)+1)</f>
        <v/>
      </c>
      <c r="H913">
        <f>IF(OR(E913="",C913=""),"",IF(C913&gt;=DATE(2019,5,1),"令和"&amp;(YEAR(C913)-2018),IF(C913&gt;=DATE(1989,1,8),"平成"&amp;(YEAR(C913)-1988),"昭和"&amp;(YEAR(C913)-1925)))&amp;"年"&amp;MONTH(C913)&amp;"月")</f>
        <v/>
      </c>
    </row>
    <row r="914">
      <c r="A914" t="n">
        <v>36</v>
      </c>
      <c r="B914" t="n">
        <v>2</v>
      </c>
      <c r="C91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914">
        <f>IF(入力!P40="","",入力!P40)</f>
        <v/>
      </c>
      <c r="E914">
        <f>IF(D914="","",IFERROR(INDEX(資格マスタ!$B:$B,MATCH(ASC(SUBSTITUTE(SUBSTITUTE(D914," ",""),"　","")),資格マスタ!$D:$D,0)),D914))</f>
        <v/>
      </c>
      <c r="F914">
        <f>IF(E914="","",IF(C914="",DATE(9999,1,1),C914))</f>
        <v/>
      </c>
      <c r="G914">
        <f>IF(E914="","",COUNTIFS($F$913:$F$938,"&lt;"&amp;F914,$F$913:$F$938,"&lt;&gt;")+COUNTIFS($F$913:$F$938,F914,$B$913:$B$938,"&lt;"&amp;B914)+1)</f>
        <v/>
      </c>
      <c r="H914">
        <f>IF(OR(E914="",C914=""),"",IF(C914&gt;=DATE(2019,5,1),"令和"&amp;(YEAR(C914)-2018),IF(C914&gt;=DATE(1989,1,8),"平成"&amp;(YEAR(C914)-1988),"昭和"&amp;(YEAR(C914)-1925)))&amp;"年"&amp;MONTH(C914)&amp;"月")</f>
        <v/>
      </c>
    </row>
    <row r="915">
      <c r="A915" t="n">
        <v>36</v>
      </c>
      <c r="B915" t="n">
        <v>3</v>
      </c>
      <c r="C91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915">
        <f>IF(入力!R40="","",入力!R40)</f>
        <v/>
      </c>
      <c r="E915">
        <f>IF(D915="","",IFERROR(INDEX(資格マスタ!$B:$B,MATCH(ASC(SUBSTITUTE(SUBSTITUTE(D915," ",""),"　","")),資格マスタ!$D:$D,0)),D915))</f>
        <v/>
      </c>
      <c r="F915">
        <f>IF(E915="","",IF(C915="",DATE(9999,1,1),C915))</f>
        <v/>
      </c>
      <c r="G915">
        <f>IF(E915="","",COUNTIFS($F$913:$F$938,"&lt;"&amp;F915,$F$913:$F$938,"&lt;&gt;")+COUNTIFS($F$913:$F$938,F915,$B$913:$B$938,"&lt;"&amp;B915)+1)</f>
        <v/>
      </c>
      <c r="H915">
        <f>IF(OR(E915="",C915=""),"",IF(C915&gt;=DATE(2019,5,1),"令和"&amp;(YEAR(C915)-2018),IF(C915&gt;=DATE(1989,1,8),"平成"&amp;(YEAR(C915)-1988),"昭和"&amp;(YEAR(C915)-1925)))&amp;"年"&amp;MONTH(C915)&amp;"月")</f>
        <v/>
      </c>
    </row>
    <row r="916">
      <c r="A916" t="n">
        <v>36</v>
      </c>
      <c r="B916" t="n">
        <v>4</v>
      </c>
      <c r="C91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916">
        <f>IF(入力!T40="","",入力!T40)</f>
        <v/>
      </c>
      <c r="E916">
        <f>IF(D916="","",IFERROR(INDEX(資格マスタ!$B:$B,MATCH(ASC(SUBSTITUTE(SUBSTITUTE(D916," ",""),"　","")),資格マスタ!$D:$D,0)),D916))</f>
        <v/>
      </c>
      <c r="F916">
        <f>IF(E916="","",IF(C916="",DATE(9999,1,1),C916))</f>
        <v/>
      </c>
      <c r="G916">
        <f>IF(E916="","",COUNTIFS($F$913:$F$938,"&lt;"&amp;F916,$F$913:$F$938,"&lt;&gt;")+COUNTIFS($F$913:$F$938,F916,$B$913:$B$938,"&lt;"&amp;B916)+1)</f>
        <v/>
      </c>
      <c r="H916">
        <f>IF(OR(E916="",C916=""),"",IF(C916&gt;=DATE(2019,5,1),"令和"&amp;(YEAR(C916)-2018),IF(C916&gt;=DATE(1989,1,8),"平成"&amp;(YEAR(C916)-1988),"昭和"&amp;(YEAR(C916)-1925)))&amp;"年"&amp;MONTH(C916)&amp;"月")</f>
        <v/>
      </c>
    </row>
    <row r="917">
      <c r="A917" t="n">
        <v>36</v>
      </c>
      <c r="B917" t="n">
        <v>5</v>
      </c>
      <c r="C91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917">
        <f>IF(入力!V40="","",入力!V40)</f>
        <v/>
      </c>
      <c r="E917">
        <f>IF(D917="","",IFERROR(INDEX(資格マスタ!$B:$B,MATCH(ASC(SUBSTITUTE(SUBSTITUTE(D917," ",""),"　","")),資格マスタ!$D:$D,0)),D917))</f>
        <v/>
      </c>
      <c r="F917">
        <f>IF(E917="","",IF(C917="",DATE(9999,1,1),C917))</f>
        <v/>
      </c>
      <c r="G917">
        <f>IF(E917="","",COUNTIFS($F$913:$F$938,"&lt;"&amp;F917,$F$913:$F$938,"&lt;&gt;")+COUNTIFS($F$913:$F$938,F917,$B$913:$B$938,"&lt;"&amp;B917)+1)</f>
        <v/>
      </c>
      <c r="H917">
        <f>IF(OR(E917="",C917=""),"",IF(C917&gt;=DATE(2019,5,1),"令和"&amp;(YEAR(C917)-2018),IF(C917&gt;=DATE(1989,1,8),"平成"&amp;(YEAR(C917)-1988),"昭和"&amp;(YEAR(C917)-1925)))&amp;"年"&amp;MONTH(C917)&amp;"月")</f>
        <v/>
      </c>
    </row>
    <row r="918">
      <c r="A918" t="n">
        <v>36</v>
      </c>
      <c r="B918" t="n">
        <v>6</v>
      </c>
      <c r="C91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918">
        <f>IF(入力!X40="","",入力!X40)</f>
        <v/>
      </c>
      <c r="E918">
        <f>IF(D918="","",IFERROR(INDEX(資格マスタ!$B:$B,MATCH(ASC(SUBSTITUTE(SUBSTITUTE(D918," ",""),"　","")),資格マスタ!$D:$D,0)),D918))</f>
        <v/>
      </c>
      <c r="F918">
        <f>IF(E918="","",IF(C918="",DATE(9999,1,1),C918))</f>
        <v/>
      </c>
      <c r="G918">
        <f>IF(E918="","",COUNTIFS($F$913:$F$938,"&lt;"&amp;F918,$F$913:$F$938,"&lt;&gt;")+COUNTIFS($F$913:$F$938,F918,$B$913:$B$938,"&lt;"&amp;B918)+1)</f>
        <v/>
      </c>
      <c r="H918">
        <f>IF(OR(E918="",C918=""),"",IF(C918&gt;=DATE(2019,5,1),"令和"&amp;(YEAR(C918)-2018),IF(C918&gt;=DATE(1989,1,8),"平成"&amp;(YEAR(C918)-1988),"昭和"&amp;(YEAR(C918)-1925)))&amp;"年"&amp;MONTH(C918)&amp;"月")</f>
        <v/>
      </c>
    </row>
    <row r="919">
      <c r="A919" t="n">
        <v>36</v>
      </c>
      <c r="B919" t="n">
        <v>7</v>
      </c>
      <c r="C919">
        <f>IFERROR(INDEX(資格取込!$S$6:$S$405,MATCH(36&amp;"_"&amp;1,資格取込!$Z$6:$Z$405,0)),"")</f>
        <v/>
      </c>
      <c r="D919">
        <f>IFERROR(INDEX(資格取込!$R$6:$R$405,MATCH(36&amp;"_"&amp;1,資格取込!$Z$6:$Z$405,0)),"")</f>
        <v/>
      </c>
      <c r="E919">
        <f>IF(D919="","",IFERROR(INDEX(資格マスタ!$B:$B,MATCH(ASC(SUBSTITUTE(SUBSTITUTE(D919," ",""),"　","")),資格マスタ!$D:$D,0)),D919))</f>
        <v/>
      </c>
      <c r="F919">
        <f>IF(E919="","",IF(C919="",DATE(9999,1,1),C919))</f>
        <v/>
      </c>
      <c r="G919">
        <f>IF(E919="","",COUNTIFS($F$913:$F$938,"&lt;"&amp;F919,$F$913:$F$938,"&lt;&gt;")+COUNTIFS($F$913:$F$938,F919,$B$913:$B$938,"&lt;"&amp;B919)+1)</f>
        <v/>
      </c>
      <c r="H919">
        <f>IF(OR(E919="",C919=""),"",IF(C919&gt;=DATE(2019,5,1),"令和"&amp;(YEAR(C919)-2018),IF(C919&gt;=DATE(1989,1,8),"平成"&amp;(YEAR(C919)-1988),"昭和"&amp;(YEAR(C919)-1925)))&amp;"年"&amp;MONTH(C919)&amp;"月")</f>
        <v/>
      </c>
    </row>
    <row r="920">
      <c r="A920" t="n">
        <v>36</v>
      </c>
      <c r="B920" t="n">
        <v>8</v>
      </c>
      <c r="C920">
        <f>IFERROR(INDEX(資格取込!$S$6:$S$405,MATCH(36&amp;"_"&amp;2,資格取込!$Z$6:$Z$405,0)),"")</f>
        <v/>
      </c>
      <c r="D920">
        <f>IFERROR(INDEX(資格取込!$R$6:$R$405,MATCH(36&amp;"_"&amp;2,資格取込!$Z$6:$Z$405,0)),"")</f>
        <v/>
      </c>
      <c r="E920">
        <f>IF(D920="","",IFERROR(INDEX(資格マスタ!$B:$B,MATCH(ASC(SUBSTITUTE(SUBSTITUTE(D920," ",""),"　","")),資格マスタ!$D:$D,0)),D920))</f>
        <v/>
      </c>
      <c r="F920">
        <f>IF(E920="","",IF(C920="",DATE(9999,1,1),C920))</f>
        <v/>
      </c>
      <c r="G920">
        <f>IF(E920="","",COUNTIFS($F$913:$F$938,"&lt;"&amp;F920,$F$913:$F$938,"&lt;&gt;")+COUNTIFS($F$913:$F$938,F920,$B$913:$B$938,"&lt;"&amp;B920)+1)</f>
        <v/>
      </c>
      <c r="H920">
        <f>IF(OR(E920="",C920=""),"",IF(C920&gt;=DATE(2019,5,1),"令和"&amp;(YEAR(C920)-2018),IF(C920&gt;=DATE(1989,1,8),"平成"&amp;(YEAR(C920)-1988),"昭和"&amp;(YEAR(C920)-1925)))&amp;"年"&amp;MONTH(C920)&amp;"月")</f>
        <v/>
      </c>
    </row>
    <row r="921">
      <c r="A921" t="n">
        <v>36</v>
      </c>
      <c r="B921" t="n">
        <v>9</v>
      </c>
      <c r="C921">
        <f>IFERROR(INDEX(資格取込!$S$6:$S$405,MATCH(36&amp;"_"&amp;3,資格取込!$Z$6:$Z$405,0)),"")</f>
        <v/>
      </c>
      <c r="D921">
        <f>IFERROR(INDEX(資格取込!$R$6:$R$405,MATCH(36&amp;"_"&amp;3,資格取込!$Z$6:$Z$405,0)),"")</f>
        <v/>
      </c>
      <c r="E921">
        <f>IF(D921="","",IFERROR(INDEX(資格マスタ!$B:$B,MATCH(ASC(SUBSTITUTE(SUBSTITUTE(D921," ",""),"　","")),資格マスタ!$D:$D,0)),D921))</f>
        <v/>
      </c>
      <c r="F921">
        <f>IF(E921="","",IF(C921="",DATE(9999,1,1),C921))</f>
        <v/>
      </c>
      <c r="G921">
        <f>IF(E921="","",COUNTIFS($F$913:$F$938,"&lt;"&amp;F921,$F$913:$F$938,"&lt;&gt;")+COUNTIFS($F$913:$F$938,F921,$B$913:$B$938,"&lt;"&amp;B921)+1)</f>
        <v/>
      </c>
      <c r="H921">
        <f>IF(OR(E921="",C921=""),"",IF(C921&gt;=DATE(2019,5,1),"令和"&amp;(YEAR(C921)-2018),IF(C921&gt;=DATE(1989,1,8),"平成"&amp;(YEAR(C921)-1988),"昭和"&amp;(YEAR(C921)-1925)))&amp;"年"&amp;MONTH(C921)&amp;"月")</f>
        <v/>
      </c>
    </row>
    <row r="922">
      <c r="A922" t="n">
        <v>36</v>
      </c>
      <c r="B922" t="n">
        <v>10</v>
      </c>
      <c r="C922">
        <f>IFERROR(INDEX(資格取込!$S$6:$S$405,MATCH(36&amp;"_"&amp;4,資格取込!$Z$6:$Z$405,0)),"")</f>
        <v/>
      </c>
      <c r="D922">
        <f>IFERROR(INDEX(資格取込!$R$6:$R$405,MATCH(36&amp;"_"&amp;4,資格取込!$Z$6:$Z$405,0)),"")</f>
        <v/>
      </c>
      <c r="E922">
        <f>IF(D922="","",IFERROR(INDEX(資格マスタ!$B:$B,MATCH(ASC(SUBSTITUTE(SUBSTITUTE(D922," ",""),"　","")),資格マスタ!$D:$D,0)),D922))</f>
        <v/>
      </c>
      <c r="F922">
        <f>IF(E922="","",IF(C922="",DATE(9999,1,1),C922))</f>
        <v/>
      </c>
      <c r="G922">
        <f>IF(E922="","",COUNTIFS($F$913:$F$938,"&lt;"&amp;F922,$F$913:$F$938,"&lt;&gt;")+COUNTIFS($F$913:$F$938,F922,$B$913:$B$938,"&lt;"&amp;B922)+1)</f>
        <v/>
      </c>
      <c r="H922">
        <f>IF(OR(E922="",C922=""),"",IF(C922&gt;=DATE(2019,5,1),"令和"&amp;(YEAR(C922)-2018),IF(C922&gt;=DATE(1989,1,8),"平成"&amp;(YEAR(C922)-1988),"昭和"&amp;(YEAR(C922)-1925)))&amp;"年"&amp;MONTH(C922)&amp;"月")</f>
        <v/>
      </c>
    </row>
    <row r="923">
      <c r="A923" t="n">
        <v>36</v>
      </c>
      <c r="B923" t="n">
        <v>11</v>
      </c>
      <c r="C923">
        <f>IFERROR(INDEX(資格取込!$S$6:$S$405,MATCH(36&amp;"_"&amp;5,資格取込!$Z$6:$Z$405,0)),"")</f>
        <v/>
      </c>
      <c r="D923">
        <f>IFERROR(INDEX(資格取込!$R$6:$R$405,MATCH(36&amp;"_"&amp;5,資格取込!$Z$6:$Z$405,0)),"")</f>
        <v/>
      </c>
      <c r="E923">
        <f>IF(D923="","",IFERROR(INDEX(資格マスタ!$B:$B,MATCH(ASC(SUBSTITUTE(SUBSTITUTE(D923," ",""),"　","")),資格マスタ!$D:$D,0)),D923))</f>
        <v/>
      </c>
      <c r="F923">
        <f>IF(E923="","",IF(C923="",DATE(9999,1,1),C923))</f>
        <v/>
      </c>
      <c r="G923">
        <f>IF(E923="","",COUNTIFS($F$913:$F$938,"&lt;"&amp;F923,$F$913:$F$938,"&lt;&gt;")+COUNTIFS($F$913:$F$938,F923,$B$913:$B$938,"&lt;"&amp;B923)+1)</f>
        <v/>
      </c>
      <c r="H923">
        <f>IF(OR(E923="",C923=""),"",IF(C923&gt;=DATE(2019,5,1),"令和"&amp;(YEAR(C923)-2018),IF(C923&gt;=DATE(1989,1,8),"平成"&amp;(YEAR(C923)-1988),"昭和"&amp;(YEAR(C923)-1925)))&amp;"年"&amp;MONTH(C923)&amp;"月")</f>
        <v/>
      </c>
    </row>
    <row r="924">
      <c r="A924" t="n">
        <v>36</v>
      </c>
      <c r="B924" t="n">
        <v>12</v>
      </c>
      <c r="C924">
        <f>IFERROR(INDEX(資格取込!$S$6:$S$405,MATCH(36&amp;"_"&amp;6,資格取込!$Z$6:$Z$405,0)),"")</f>
        <v/>
      </c>
      <c r="D924">
        <f>IFERROR(INDEX(資格取込!$R$6:$R$405,MATCH(36&amp;"_"&amp;6,資格取込!$Z$6:$Z$405,0)),"")</f>
        <v/>
      </c>
      <c r="E924">
        <f>IF(D924="","",IFERROR(INDEX(資格マスタ!$B:$B,MATCH(ASC(SUBSTITUTE(SUBSTITUTE(D924," ",""),"　","")),資格マスタ!$D:$D,0)),D924))</f>
        <v/>
      </c>
      <c r="F924">
        <f>IF(E924="","",IF(C924="",DATE(9999,1,1),C924))</f>
        <v/>
      </c>
      <c r="G924">
        <f>IF(E924="","",COUNTIFS($F$913:$F$938,"&lt;"&amp;F924,$F$913:$F$938,"&lt;&gt;")+COUNTIFS($F$913:$F$938,F924,$B$913:$B$938,"&lt;"&amp;B924)+1)</f>
        <v/>
      </c>
      <c r="H924">
        <f>IF(OR(E924="",C924=""),"",IF(C924&gt;=DATE(2019,5,1),"令和"&amp;(YEAR(C924)-2018),IF(C924&gt;=DATE(1989,1,8),"平成"&amp;(YEAR(C924)-1988),"昭和"&amp;(YEAR(C924)-1925)))&amp;"年"&amp;MONTH(C924)&amp;"月")</f>
        <v/>
      </c>
    </row>
    <row r="925">
      <c r="A925" t="n">
        <v>36</v>
      </c>
      <c r="B925" t="n">
        <v>13</v>
      </c>
      <c r="C925">
        <f>IFERROR(INDEX(資格取込!$S$6:$S$405,MATCH(36&amp;"_"&amp;7,資格取込!$Z$6:$Z$405,0)),"")</f>
        <v/>
      </c>
      <c r="D925">
        <f>IFERROR(INDEX(資格取込!$R$6:$R$405,MATCH(36&amp;"_"&amp;7,資格取込!$Z$6:$Z$405,0)),"")</f>
        <v/>
      </c>
      <c r="E925">
        <f>IF(D925="","",IFERROR(INDEX(資格マスタ!$B:$B,MATCH(ASC(SUBSTITUTE(SUBSTITUTE(D925," ",""),"　","")),資格マスタ!$D:$D,0)),D925))</f>
        <v/>
      </c>
      <c r="F925">
        <f>IF(E925="","",IF(C925="",DATE(9999,1,1),C925))</f>
        <v/>
      </c>
      <c r="G925">
        <f>IF(E925="","",COUNTIFS($F$913:$F$938,"&lt;"&amp;F925,$F$913:$F$938,"&lt;&gt;")+COUNTIFS($F$913:$F$938,F925,$B$913:$B$938,"&lt;"&amp;B925)+1)</f>
        <v/>
      </c>
      <c r="H925">
        <f>IF(OR(E925="",C925=""),"",IF(C925&gt;=DATE(2019,5,1),"令和"&amp;(YEAR(C925)-2018),IF(C925&gt;=DATE(1989,1,8),"平成"&amp;(YEAR(C925)-1988),"昭和"&amp;(YEAR(C925)-1925)))&amp;"年"&amp;MONTH(C925)&amp;"月")</f>
        <v/>
      </c>
    </row>
    <row r="926">
      <c r="A926" t="n">
        <v>36</v>
      </c>
      <c r="B926" t="n">
        <v>14</v>
      </c>
      <c r="C926">
        <f>IFERROR(INDEX(資格取込!$S$6:$S$405,MATCH(36&amp;"_"&amp;8,資格取込!$Z$6:$Z$405,0)),"")</f>
        <v/>
      </c>
      <c r="D926">
        <f>IFERROR(INDEX(資格取込!$R$6:$R$405,MATCH(36&amp;"_"&amp;8,資格取込!$Z$6:$Z$405,0)),"")</f>
        <v/>
      </c>
      <c r="E926">
        <f>IF(D926="","",IFERROR(INDEX(資格マスタ!$B:$B,MATCH(ASC(SUBSTITUTE(SUBSTITUTE(D926," ",""),"　","")),資格マスタ!$D:$D,0)),D926))</f>
        <v/>
      </c>
      <c r="F926">
        <f>IF(E926="","",IF(C926="",DATE(9999,1,1),C926))</f>
        <v/>
      </c>
      <c r="G926">
        <f>IF(E926="","",COUNTIFS($F$913:$F$938,"&lt;"&amp;F926,$F$913:$F$938,"&lt;&gt;")+COUNTIFS($F$913:$F$938,F926,$B$913:$B$938,"&lt;"&amp;B926)+1)</f>
        <v/>
      </c>
      <c r="H926">
        <f>IF(OR(E926="",C926=""),"",IF(C926&gt;=DATE(2019,5,1),"令和"&amp;(YEAR(C926)-2018),IF(C926&gt;=DATE(1989,1,8),"平成"&amp;(YEAR(C926)-1988),"昭和"&amp;(YEAR(C926)-1925)))&amp;"年"&amp;MONTH(C926)&amp;"月")</f>
        <v/>
      </c>
    </row>
    <row r="927">
      <c r="A927" t="n">
        <v>36</v>
      </c>
      <c r="B927" t="n">
        <v>15</v>
      </c>
      <c r="C927">
        <f>IFERROR(INDEX(資格取込!$S$6:$S$405,MATCH(36&amp;"_"&amp;9,資格取込!$Z$6:$Z$405,0)),"")</f>
        <v/>
      </c>
      <c r="D927">
        <f>IFERROR(INDEX(資格取込!$R$6:$R$405,MATCH(36&amp;"_"&amp;9,資格取込!$Z$6:$Z$405,0)),"")</f>
        <v/>
      </c>
      <c r="E927">
        <f>IF(D927="","",IFERROR(INDEX(資格マスタ!$B:$B,MATCH(ASC(SUBSTITUTE(SUBSTITUTE(D927," ",""),"　","")),資格マスタ!$D:$D,0)),D927))</f>
        <v/>
      </c>
      <c r="F927">
        <f>IF(E927="","",IF(C927="",DATE(9999,1,1),C927))</f>
        <v/>
      </c>
      <c r="G927">
        <f>IF(E927="","",COUNTIFS($F$913:$F$938,"&lt;"&amp;F927,$F$913:$F$938,"&lt;&gt;")+COUNTIFS($F$913:$F$938,F927,$B$913:$B$938,"&lt;"&amp;B927)+1)</f>
        <v/>
      </c>
      <c r="H927">
        <f>IF(OR(E927="",C927=""),"",IF(C927&gt;=DATE(2019,5,1),"令和"&amp;(YEAR(C927)-2018),IF(C927&gt;=DATE(1989,1,8),"平成"&amp;(YEAR(C927)-1988),"昭和"&amp;(YEAR(C927)-1925)))&amp;"年"&amp;MONTH(C927)&amp;"月")</f>
        <v/>
      </c>
    </row>
    <row r="928">
      <c r="A928" t="n">
        <v>36</v>
      </c>
      <c r="B928" t="n">
        <v>16</v>
      </c>
      <c r="C928">
        <f>IFERROR(INDEX(資格取込!$S$6:$S$405,MATCH(36&amp;"_"&amp;10,資格取込!$Z$6:$Z$405,0)),"")</f>
        <v/>
      </c>
      <c r="D928">
        <f>IFERROR(INDEX(資格取込!$R$6:$R$405,MATCH(36&amp;"_"&amp;10,資格取込!$Z$6:$Z$405,0)),"")</f>
        <v/>
      </c>
      <c r="E928">
        <f>IF(D928="","",IFERROR(INDEX(資格マスタ!$B:$B,MATCH(ASC(SUBSTITUTE(SUBSTITUTE(D928," ",""),"　","")),資格マスタ!$D:$D,0)),D928))</f>
        <v/>
      </c>
      <c r="F928">
        <f>IF(E928="","",IF(C928="",DATE(9999,1,1),C928))</f>
        <v/>
      </c>
      <c r="G928">
        <f>IF(E928="","",COUNTIFS($F$913:$F$938,"&lt;"&amp;F928,$F$913:$F$938,"&lt;&gt;")+COUNTIFS($F$913:$F$938,F928,$B$913:$B$938,"&lt;"&amp;B928)+1)</f>
        <v/>
      </c>
      <c r="H928">
        <f>IF(OR(E928="",C928=""),"",IF(C928&gt;=DATE(2019,5,1),"令和"&amp;(YEAR(C928)-2018),IF(C928&gt;=DATE(1989,1,8),"平成"&amp;(YEAR(C928)-1988),"昭和"&amp;(YEAR(C928)-1925)))&amp;"年"&amp;MONTH(C928)&amp;"月")</f>
        <v/>
      </c>
    </row>
    <row r="929">
      <c r="A929" t="n">
        <v>36</v>
      </c>
      <c r="B929" t="n">
        <v>17</v>
      </c>
      <c r="C929">
        <f>IFERROR(INDEX(資格取込!$S$6:$S$405,MATCH(36&amp;"_"&amp;11,資格取込!$Z$6:$Z$405,0)),"")</f>
        <v/>
      </c>
      <c r="D929">
        <f>IFERROR(INDEX(資格取込!$R$6:$R$405,MATCH(36&amp;"_"&amp;11,資格取込!$Z$6:$Z$405,0)),"")</f>
        <v/>
      </c>
      <c r="E929">
        <f>IF(D929="","",IFERROR(INDEX(資格マスタ!$B:$B,MATCH(ASC(SUBSTITUTE(SUBSTITUTE(D929," ",""),"　","")),資格マスタ!$D:$D,0)),D929))</f>
        <v/>
      </c>
      <c r="F929">
        <f>IF(E929="","",IF(C929="",DATE(9999,1,1),C929))</f>
        <v/>
      </c>
      <c r="G929">
        <f>IF(E929="","",COUNTIFS($F$913:$F$938,"&lt;"&amp;F929,$F$913:$F$938,"&lt;&gt;")+COUNTIFS($F$913:$F$938,F929,$B$913:$B$938,"&lt;"&amp;B929)+1)</f>
        <v/>
      </c>
      <c r="H929">
        <f>IF(OR(E929="",C929=""),"",IF(C929&gt;=DATE(2019,5,1),"令和"&amp;(YEAR(C929)-2018),IF(C929&gt;=DATE(1989,1,8),"平成"&amp;(YEAR(C929)-1988),"昭和"&amp;(YEAR(C929)-1925)))&amp;"年"&amp;MONTH(C929)&amp;"月")</f>
        <v/>
      </c>
    </row>
    <row r="930">
      <c r="A930" t="n">
        <v>36</v>
      </c>
      <c r="B930" t="n">
        <v>18</v>
      </c>
      <c r="C930">
        <f>IFERROR(INDEX(資格取込!$S$6:$S$405,MATCH(36&amp;"_"&amp;12,資格取込!$Z$6:$Z$405,0)),"")</f>
        <v/>
      </c>
      <c r="D930">
        <f>IFERROR(INDEX(資格取込!$R$6:$R$405,MATCH(36&amp;"_"&amp;12,資格取込!$Z$6:$Z$405,0)),"")</f>
        <v/>
      </c>
      <c r="E930">
        <f>IF(D930="","",IFERROR(INDEX(資格マスタ!$B:$B,MATCH(ASC(SUBSTITUTE(SUBSTITUTE(D930," ",""),"　","")),資格マスタ!$D:$D,0)),D930))</f>
        <v/>
      </c>
      <c r="F930">
        <f>IF(E930="","",IF(C930="",DATE(9999,1,1),C930))</f>
        <v/>
      </c>
      <c r="G930">
        <f>IF(E930="","",COUNTIFS($F$913:$F$938,"&lt;"&amp;F930,$F$913:$F$938,"&lt;&gt;")+COUNTIFS($F$913:$F$938,F930,$B$913:$B$938,"&lt;"&amp;B930)+1)</f>
        <v/>
      </c>
      <c r="H930">
        <f>IF(OR(E930="",C930=""),"",IF(C930&gt;=DATE(2019,5,1),"令和"&amp;(YEAR(C930)-2018),IF(C930&gt;=DATE(1989,1,8),"平成"&amp;(YEAR(C930)-1988),"昭和"&amp;(YEAR(C930)-1925)))&amp;"年"&amp;MONTH(C930)&amp;"月")</f>
        <v/>
      </c>
    </row>
    <row r="931">
      <c r="A931" t="n">
        <v>36</v>
      </c>
      <c r="B931" t="n">
        <v>19</v>
      </c>
      <c r="C931">
        <f>IFERROR(INDEX(資格取込!$S$6:$S$405,MATCH(36&amp;"_"&amp;13,資格取込!$Z$6:$Z$405,0)),"")</f>
        <v/>
      </c>
      <c r="D931">
        <f>IFERROR(INDEX(資格取込!$R$6:$R$405,MATCH(36&amp;"_"&amp;13,資格取込!$Z$6:$Z$405,0)),"")</f>
        <v/>
      </c>
      <c r="E931">
        <f>IF(D931="","",IFERROR(INDEX(資格マスタ!$B:$B,MATCH(ASC(SUBSTITUTE(SUBSTITUTE(D931," ",""),"　","")),資格マスタ!$D:$D,0)),D931))</f>
        <v/>
      </c>
      <c r="F931">
        <f>IF(E931="","",IF(C931="",DATE(9999,1,1),C931))</f>
        <v/>
      </c>
      <c r="G931">
        <f>IF(E931="","",COUNTIFS($F$913:$F$938,"&lt;"&amp;F931,$F$913:$F$938,"&lt;&gt;")+COUNTIFS($F$913:$F$938,F931,$B$913:$B$938,"&lt;"&amp;B931)+1)</f>
        <v/>
      </c>
      <c r="H931">
        <f>IF(OR(E931="",C931=""),"",IF(C931&gt;=DATE(2019,5,1),"令和"&amp;(YEAR(C931)-2018),IF(C931&gt;=DATE(1989,1,8),"平成"&amp;(YEAR(C931)-1988),"昭和"&amp;(YEAR(C931)-1925)))&amp;"年"&amp;MONTH(C931)&amp;"月")</f>
        <v/>
      </c>
    </row>
    <row r="932">
      <c r="A932" t="n">
        <v>36</v>
      </c>
      <c r="B932" t="n">
        <v>20</v>
      </c>
      <c r="C932">
        <f>IFERROR(INDEX(資格取込!$S$6:$S$405,MATCH(36&amp;"_"&amp;14,資格取込!$Z$6:$Z$405,0)),"")</f>
        <v/>
      </c>
      <c r="D932">
        <f>IFERROR(INDEX(資格取込!$R$6:$R$405,MATCH(36&amp;"_"&amp;14,資格取込!$Z$6:$Z$405,0)),"")</f>
        <v/>
      </c>
      <c r="E932">
        <f>IF(D932="","",IFERROR(INDEX(資格マスタ!$B:$B,MATCH(ASC(SUBSTITUTE(SUBSTITUTE(D932," ",""),"　","")),資格マスタ!$D:$D,0)),D932))</f>
        <v/>
      </c>
      <c r="F932">
        <f>IF(E932="","",IF(C932="",DATE(9999,1,1),C932))</f>
        <v/>
      </c>
      <c r="G932">
        <f>IF(E932="","",COUNTIFS($F$913:$F$938,"&lt;"&amp;F932,$F$913:$F$938,"&lt;&gt;")+COUNTIFS($F$913:$F$938,F932,$B$913:$B$938,"&lt;"&amp;B932)+1)</f>
        <v/>
      </c>
      <c r="H932">
        <f>IF(OR(E932="",C932=""),"",IF(C932&gt;=DATE(2019,5,1),"令和"&amp;(YEAR(C932)-2018),IF(C932&gt;=DATE(1989,1,8),"平成"&amp;(YEAR(C932)-1988),"昭和"&amp;(YEAR(C932)-1925)))&amp;"年"&amp;MONTH(C932)&amp;"月")</f>
        <v/>
      </c>
    </row>
    <row r="933">
      <c r="A933" t="n">
        <v>36</v>
      </c>
      <c r="B933" t="n">
        <v>21</v>
      </c>
      <c r="C933">
        <f>IFERROR(INDEX(資格取込!$S$6:$S$405,MATCH(36&amp;"_"&amp;15,資格取込!$Z$6:$Z$405,0)),"")</f>
        <v/>
      </c>
      <c r="D933">
        <f>IFERROR(INDEX(資格取込!$R$6:$R$405,MATCH(36&amp;"_"&amp;15,資格取込!$Z$6:$Z$405,0)),"")</f>
        <v/>
      </c>
      <c r="E933">
        <f>IF(D933="","",IFERROR(INDEX(資格マスタ!$B:$B,MATCH(ASC(SUBSTITUTE(SUBSTITUTE(D933," ",""),"　","")),資格マスタ!$D:$D,0)),D933))</f>
        <v/>
      </c>
      <c r="F933">
        <f>IF(E933="","",IF(C933="",DATE(9999,1,1),C933))</f>
        <v/>
      </c>
      <c r="G933">
        <f>IF(E933="","",COUNTIFS($F$913:$F$938,"&lt;"&amp;F933,$F$913:$F$938,"&lt;&gt;")+COUNTIFS($F$913:$F$938,F933,$B$913:$B$938,"&lt;"&amp;B933)+1)</f>
        <v/>
      </c>
      <c r="H933">
        <f>IF(OR(E933="",C933=""),"",IF(C933&gt;=DATE(2019,5,1),"令和"&amp;(YEAR(C933)-2018),IF(C933&gt;=DATE(1989,1,8),"平成"&amp;(YEAR(C933)-1988),"昭和"&amp;(YEAR(C933)-1925)))&amp;"年"&amp;MONTH(C933)&amp;"月")</f>
        <v/>
      </c>
    </row>
    <row r="934">
      <c r="A934" t="n">
        <v>36</v>
      </c>
      <c r="B934" t="n">
        <v>22</v>
      </c>
      <c r="C934">
        <f>IFERROR(INDEX(資格取込!$S$6:$S$405,MATCH(36&amp;"_"&amp;16,資格取込!$Z$6:$Z$405,0)),"")</f>
        <v/>
      </c>
      <c r="D934">
        <f>IFERROR(INDEX(資格取込!$R$6:$R$405,MATCH(36&amp;"_"&amp;16,資格取込!$Z$6:$Z$405,0)),"")</f>
        <v/>
      </c>
      <c r="E934">
        <f>IF(D934="","",IFERROR(INDEX(資格マスタ!$B:$B,MATCH(ASC(SUBSTITUTE(SUBSTITUTE(D934," ",""),"　","")),資格マスタ!$D:$D,0)),D934))</f>
        <v/>
      </c>
      <c r="F934">
        <f>IF(E934="","",IF(C934="",DATE(9999,1,1),C934))</f>
        <v/>
      </c>
      <c r="G934">
        <f>IF(E934="","",COUNTIFS($F$913:$F$938,"&lt;"&amp;F934,$F$913:$F$938,"&lt;&gt;")+COUNTIFS($F$913:$F$938,F934,$B$913:$B$938,"&lt;"&amp;B934)+1)</f>
        <v/>
      </c>
      <c r="H934">
        <f>IF(OR(E934="",C934=""),"",IF(C934&gt;=DATE(2019,5,1),"令和"&amp;(YEAR(C934)-2018),IF(C934&gt;=DATE(1989,1,8),"平成"&amp;(YEAR(C934)-1988),"昭和"&amp;(YEAR(C934)-1925)))&amp;"年"&amp;MONTH(C934)&amp;"月")</f>
        <v/>
      </c>
    </row>
    <row r="935">
      <c r="A935" t="n">
        <v>36</v>
      </c>
      <c r="B935" t="n">
        <v>23</v>
      </c>
      <c r="C935">
        <f>IFERROR(INDEX(資格取込!$S$6:$S$405,MATCH(36&amp;"_"&amp;17,資格取込!$Z$6:$Z$405,0)),"")</f>
        <v/>
      </c>
      <c r="D935">
        <f>IFERROR(INDEX(資格取込!$R$6:$R$405,MATCH(36&amp;"_"&amp;17,資格取込!$Z$6:$Z$405,0)),"")</f>
        <v/>
      </c>
      <c r="E935">
        <f>IF(D935="","",IFERROR(INDEX(資格マスタ!$B:$B,MATCH(ASC(SUBSTITUTE(SUBSTITUTE(D935," ",""),"　","")),資格マスタ!$D:$D,0)),D935))</f>
        <v/>
      </c>
      <c r="F935">
        <f>IF(E935="","",IF(C935="",DATE(9999,1,1),C935))</f>
        <v/>
      </c>
      <c r="G935">
        <f>IF(E935="","",COUNTIFS($F$913:$F$938,"&lt;"&amp;F935,$F$913:$F$938,"&lt;&gt;")+COUNTIFS($F$913:$F$938,F935,$B$913:$B$938,"&lt;"&amp;B935)+1)</f>
        <v/>
      </c>
      <c r="H935">
        <f>IF(OR(E935="",C935=""),"",IF(C935&gt;=DATE(2019,5,1),"令和"&amp;(YEAR(C935)-2018),IF(C935&gt;=DATE(1989,1,8),"平成"&amp;(YEAR(C935)-1988),"昭和"&amp;(YEAR(C935)-1925)))&amp;"年"&amp;MONTH(C935)&amp;"月")</f>
        <v/>
      </c>
    </row>
    <row r="936">
      <c r="A936" t="n">
        <v>36</v>
      </c>
      <c r="B936" t="n">
        <v>24</v>
      </c>
      <c r="C936">
        <f>IFERROR(INDEX(資格取込!$S$6:$S$405,MATCH(36&amp;"_"&amp;18,資格取込!$Z$6:$Z$405,0)),"")</f>
        <v/>
      </c>
      <c r="D936">
        <f>IFERROR(INDEX(資格取込!$R$6:$R$405,MATCH(36&amp;"_"&amp;18,資格取込!$Z$6:$Z$405,0)),"")</f>
        <v/>
      </c>
      <c r="E936">
        <f>IF(D936="","",IFERROR(INDEX(資格マスタ!$B:$B,MATCH(ASC(SUBSTITUTE(SUBSTITUTE(D936," ",""),"　","")),資格マスタ!$D:$D,0)),D936))</f>
        <v/>
      </c>
      <c r="F936">
        <f>IF(E936="","",IF(C936="",DATE(9999,1,1),C936))</f>
        <v/>
      </c>
      <c r="G936">
        <f>IF(E936="","",COUNTIFS($F$913:$F$938,"&lt;"&amp;F936,$F$913:$F$938,"&lt;&gt;")+COUNTIFS($F$913:$F$938,F936,$B$913:$B$938,"&lt;"&amp;B936)+1)</f>
        <v/>
      </c>
      <c r="H936">
        <f>IF(OR(E936="",C936=""),"",IF(C936&gt;=DATE(2019,5,1),"令和"&amp;(YEAR(C936)-2018),IF(C936&gt;=DATE(1989,1,8),"平成"&amp;(YEAR(C936)-1988),"昭和"&amp;(YEAR(C936)-1925)))&amp;"年"&amp;MONTH(C936)&amp;"月")</f>
        <v/>
      </c>
    </row>
    <row r="937">
      <c r="A937" t="n">
        <v>36</v>
      </c>
      <c r="B937" t="n">
        <v>25</v>
      </c>
      <c r="C937">
        <f>IFERROR(INDEX(資格取込!$S$6:$S$405,MATCH(36&amp;"_"&amp;19,資格取込!$Z$6:$Z$405,0)),"")</f>
        <v/>
      </c>
      <c r="D937">
        <f>IFERROR(INDEX(資格取込!$R$6:$R$405,MATCH(36&amp;"_"&amp;19,資格取込!$Z$6:$Z$405,0)),"")</f>
        <v/>
      </c>
      <c r="E937">
        <f>IF(D937="","",IFERROR(INDEX(資格マスタ!$B:$B,MATCH(ASC(SUBSTITUTE(SUBSTITUTE(D937," ",""),"　","")),資格マスタ!$D:$D,0)),D937))</f>
        <v/>
      </c>
      <c r="F937">
        <f>IF(E937="","",IF(C937="",DATE(9999,1,1),C937))</f>
        <v/>
      </c>
      <c r="G937">
        <f>IF(E937="","",COUNTIFS($F$913:$F$938,"&lt;"&amp;F937,$F$913:$F$938,"&lt;&gt;")+COUNTIFS($F$913:$F$938,F937,$B$913:$B$938,"&lt;"&amp;B937)+1)</f>
        <v/>
      </c>
      <c r="H937">
        <f>IF(OR(E937="",C937=""),"",IF(C937&gt;=DATE(2019,5,1),"令和"&amp;(YEAR(C937)-2018),IF(C937&gt;=DATE(1989,1,8),"平成"&amp;(YEAR(C937)-1988),"昭和"&amp;(YEAR(C937)-1925)))&amp;"年"&amp;MONTH(C937)&amp;"月")</f>
        <v/>
      </c>
    </row>
    <row r="938">
      <c r="A938" t="n">
        <v>36</v>
      </c>
      <c r="B938" t="n">
        <v>26</v>
      </c>
      <c r="C938">
        <f>IFERROR(INDEX(資格取込!$S$6:$S$405,MATCH(36&amp;"_"&amp;20,資格取込!$Z$6:$Z$405,0)),"")</f>
        <v/>
      </c>
      <c r="D938">
        <f>IFERROR(INDEX(資格取込!$R$6:$R$405,MATCH(36&amp;"_"&amp;20,資格取込!$Z$6:$Z$405,0)),"")</f>
        <v/>
      </c>
      <c r="E938">
        <f>IF(D938="","",IFERROR(INDEX(資格マスタ!$B:$B,MATCH(ASC(SUBSTITUTE(SUBSTITUTE(D938," ",""),"　","")),資格マスタ!$D:$D,0)),D938))</f>
        <v/>
      </c>
      <c r="F938">
        <f>IF(E938="","",IF(C938="",DATE(9999,1,1),C938))</f>
        <v/>
      </c>
      <c r="G938">
        <f>IF(E938="","",COUNTIFS($F$913:$F$938,"&lt;"&amp;F938,$F$913:$F$938,"&lt;&gt;")+COUNTIFS($F$913:$F$938,F938,$B$913:$B$938,"&lt;"&amp;B938)+1)</f>
        <v/>
      </c>
      <c r="H938">
        <f>IF(OR(E938="",C938=""),"",IF(C938&gt;=DATE(2019,5,1),"令和"&amp;(YEAR(C938)-2018),IF(C938&gt;=DATE(1989,1,8),"平成"&amp;(YEAR(C938)-1988),"昭和"&amp;(YEAR(C938)-1925)))&amp;"年"&amp;MONTH(C938)&amp;"月")</f>
        <v/>
      </c>
    </row>
    <row r="939">
      <c r="A939" t="n">
        <v>37</v>
      </c>
      <c r="B939" t="n">
        <v>1</v>
      </c>
      <c r="C939"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939">
        <f>IF(入力!N41="","",入力!N41)</f>
        <v/>
      </c>
      <c r="E939">
        <f>IF(D939="","",IFERROR(INDEX(資格マスタ!$B:$B,MATCH(ASC(SUBSTITUTE(SUBSTITUTE(D939," ",""),"　","")),資格マスタ!$D:$D,0)),D939))</f>
        <v/>
      </c>
      <c r="F939">
        <f>IF(E939="","",IF(C939="",DATE(9999,1,1),C939))</f>
        <v/>
      </c>
      <c r="G939">
        <f>IF(E939="","",COUNTIFS($F$939:$F$964,"&lt;"&amp;F939,$F$939:$F$964,"&lt;&gt;")+COUNTIFS($F$939:$F$964,F939,$B$939:$B$964,"&lt;"&amp;B939)+1)</f>
        <v/>
      </c>
      <c r="H939">
        <f>IF(OR(E939="",C939=""),"",IF(C939&gt;=DATE(2019,5,1),"令和"&amp;(YEAR(C939)-2018),IF(C939&gt;=DATE(1989,1,8),"平成"&amp;(YEAR(C939)-1988),"昭和"&amp;(YEAR(C939)-1925)))&amp;"年"&amp;MONTH(C939)&amp;"月")</f>
        <v/>
      </c>
    </row>
    <row r="940">
      <c r="A940" t="n">
        <v>37</v>
      </c>
      <c r="B940" t="n">
        <v>2</v>
      </c>
      <c r="C940">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940">
        <f>IF(入力!P41="","",入力!P41)</f>
        <v/>
      </c>
      <c r="E940">
        <f>IF(D940="","",IFERROR(INDEX(資格マスタ!$B:$B,MATCH(ASC(SUBSTITUTE(SUBSTITUTE(D940," ",""),"　","")),資格マスタ!$D:$D,0)),D940))</f>
        <v/>
      </c>
      <c r="F940">
        <f>IF(E940="","",IF(C940="",DATE(9999,1,1),C940))</f>
        <v/>
      </c>
      <c r="G940">
        <f>IF(E940="","",COUNTIFS($F$939:$F$964,"&lt;"&amp;F940,$F$939:$F$964,"&lt;&gt;")+COUNTIFS($F$939:$F$964,F940,$B$939:$B$964,"&lt;"&amp;B940)+1)</f>
        <v/>
      </c>
      <c r="H940">
        <f>IF(OR(E940="",C940=""),"",IF(C940&gt;=DATE(2019,5,1),"令和"&amp;(YEAR(C940)-2018),IF(C940&gt;=DATE(1989,1,8),"平成"&amp;(YEAR(C940)-1988),"昭和"&amp;(YEAR(C940)-1925)))&amp;"年"&amp;MONTH(C940)&amp;"月")</f>
        <v/>
      </c>
    </row>
    <row r="941">
      <c r="A941" t="n">
        <v>37</v>
      </c>
      <c r="B941" t="n">
        <v>3</v>
      </c>
      <c r="C941">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941">
        <f>IF(入力!R41="","",入力!R41)</f>
        <v/>
      </c>
      <c r="E941">
        <f>IF(D941="","",IFERROR(INDEX(資格マスタ!$B:$B,MATCH(ASC(SUBSTITUTE(SUBSTITUTE(D941," ",""),"　","")),資格マスタ!$D:$D,0)),D941))</f>
        <v/>
      </c>
      <c r="F941">
        <f>IF(E941="","",IF(C941="",DATE(9999,1,1),C941))</f>
        <v/>
      </c>
      <c r="G941">
        <f>IF(E941="","",COUNTIFS($F$939:$F$964,"&lt;"&amp;F941,$F$939:$F$964,"&lt;&gt;")+COUNTIFS($F$939:$F$964,F941,$B$939:$B$964,"&lt;"&amp;B941)+1)</f>
        <v/>
      </c>
      <c r="H941">
        <f>IF(OR(E941="",C941=""),"",IF(C941&gt;=DATE(2019,5,1),"令和"&amp;(YEAR(C941)-2018),IF(C941&gt;=DATE(1989,1,8),"平成"&amp;(YEAR(C941)-1988),"昭和"&amp;(YEAR(C941)-1925)))&amp;"年"&amp;MONTH(C941)&amp;"月")</f>
        <v/>
      </c>
    </row>
    <row r="942">
      <c r="A942" t="n">
        <v>37</v>
      </c>
      <c r="B942" t="n">
        <v>4</v>
      </c>
      <c r="C942">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942">
        <f>IF(入力!T41="","",入力!T41)</f>
        <v/>
      </c>
      <c r="E942">
        <f>IF(D942="","",IFERROR(INDEX(資格マスタ!$B:$B,MATCH(ASC(SUBSTITUTE(SUBSTITUTE(D942," ",""),"　","")),資格マスタ!$D:$D,0)),D942))</f>
        <v/>
      </c>
      <c r="F942">
        <f>IF(E942="","",IF(C942="",DATE(9999,1,1),C942))</f>
        <v/>
      </c>
      <c r="G942">
        <f>IF(E942="","",COUNTIFS($F$939:$F$964,"&lt;"&amp;F942,$F$939:$F$964,"&lt;&gt;")+COUNTIFS($F$939:$F$964,F942,$B$939:$B$964,"&lt;"&amp;B942)+1)</f>
        <v/>
      </c>
      <c r="H942">
        <f>IF(OR(E942="",C942=""),"",IF(C942&gt;=DATE(2019,5,1),"令和"&amp;(YEAR(C942)-2018),IF(C942&gt;=DATE(1989,1,8),"平成"&amp;(YEAR(C942)-1988),"昭和"&amp;(YEAR(C942)-1925)))&amp;"年"&amp;MONTH(C942)&amp;"月")</f>
        <v/>
      </c>
    </row>
    <row r="943">
      <c r="A943" t="n">
        <v>37</v>
      </c>
      <c r="B943" t="n">
        <v>5</v>
      </c>
      <c r="C943">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943">
        <f>IF(入力!V41="","",入力!V41)</f>
        <v/>
      </c>
      <c r="E943">
        <f>IF(D943="","",IFERROR(INDEX(資格マスタ!$B:$B,MATCH(ASC(SUBSTITUTE(SUBSTITUTE(D943," ",""),"　","")),資格マスタ!$D:$D,0)),D943))</f>
        <v/>
      </c>
      <c r="F943">
        <f>IF(E943="","",IF(C943="",DATE(9999,1,1),C943))</f>
        <v/>
      </c>
      <c r="G943">
        <f>IF(E943="","",COUNTIFS($F$939:$F$964,"&lt;"&amp;F943,$F$939:$F$964,"&lt;&gt;")+COUNTIFS($F$939:$F$964,F943,$B$939:$B$964,"&lt;"&amp;B943)+1)</f>
        <v/>
      </c>
      <c r="H943">
        <f>IF(OR(E943="",C943=""),"",IF(C943&gt;=DATE(2019,5,1),"令和"&amp;(YEAR(C943)-2018),IF(C943&gt;=DATE(1989,1,8),"平成"&amp;(YEAR(C943)-1988),"昭和"&amp;(YEAR(C943)-1925)))&amp;"年"&amp;MONTH(C943)&amp;"月")</f>
        <v/>
      </c>
    </row>
    <row r="944">
      <c r="A944" t="n">
        <v>37</v>
      </c>
      <c r="B944" t="n">
        <v>6</v>
      </c>
      <c r="C944">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944">
        <f>IF(入力!X41="","",入力!X41)</f>
        <v/>
      </c>
      <c r="E944">
        <f>IF(D944="","",IFERROR(INDEX(資格マスタ!$B:$B,MATCH(ASC(SUBSTITUTE(SUBSTITUTE(D944," ",""),"　","")),資格マスタ!$D:$D,0)),D944))</f>
        <v/>
      </c>
      <c r="F944">
        <f>IF(E944="","",IF(C944="",DATE(9999,1,1),C944))</f>
        <v/>
      </c>
      <c r="G944">
        <f>IF(E944="","",COUNTIFS($F$939:$F$964,"&lt;"&amp;F944,$F$939:$F$964,"&lt;&gt;")+COUNTIFS($F$939:$F$964,F944,$B$939:$B$964,"&lt;"&amp;B944)+1)</f>
        <v/>
      </c>
      <c r="H944">
        <f>IF(OR(E944="",C944=""),"",IF(C944&gt;=DATE(2019,5,1),"令和"&amp;(YEAR(C944)-2018),IF(C944&gt;=DATE(1989,1,8),"平成"&amp;(YEAR(C944)-1988),"昭和"&amp;(YEAR(C944)-1925)))&amp;"年"&amp;MONTH(C944)&amp;"月")</f>
        <v/>
      </c>
    </row>
    <row r="945">
      <c r="A945" t="n">
        <v>37</v>
      </c>
      <c r="B945" t="n">
        <v>7</v>
      </c>
      <c r="C945">
        <f>IFERROR(INDEX(資格取込!$S$6:$S$405,MATCH(37&amp;"_"&amp;1,資格取込!$Z$6:$Z$405,0)),"")</f>
        <v/>
      </c>
      <c r="D945">
        <f>IFERROR(INDEX(資格取込!$R$6:$R$405,MATCH(37&amp;"_"&amp;1,資格取込!$Z$6:$Z$405,0)),"")</f>
        <v/>
      </c>
      <c r="E945">
        <f>IF(D945="","",IFERROR(INDEX(資格マスタ!$B:$B,MATCH(ASC(SUBSTITUTE(SUBSTITUTE(D945," ",""),"　","")),資格マスタ!$D:$D,0)),D945))</f>
        <v/>
      </c>
      <c r="F945">
        <f>IF(E945="","",IF(C945="",DATE(9999,1,1),C945))</f>
        <v/>
      </c>
      <c r="G945">
        <f>IF(E945="","",COUNTIFS($F$939:$F$964,"&lt;"&amp;F945,$F$939:$F$964,"&lt;&gt;")+COUNTIFS($F$939:$F$964,F945,$B$939:$B$964,"&lt;"&amp;B945)+1)</f>
        <v/>
      </c>
      <c r="H945">
        <f>IF(OR(E945="",C945=""),"",IF(C945&gt;=DATE(2019,5,1),"令和"&amp;(YEAR(C945)-2018),IF(C945&gt;=DATE(1989,1,8),"平成"&amp;(YEAR(C945)-1988),"昭和"&amp;(YEAR(C945)-1925)))&amp;"年"&amp;MONTH(C945)&amp;"月")</f>
        <v/>
      </c>
    </row>
    <row r="946">
      <c r="A946" t="n">
        <v>37</v>
      </c>
      <c r="B946" t="n">
        <v>8</v>
      </c>
      <c r="C946">
        <f>IFERROR(INDEX(資格取込!$S$6:$S$405,MATCH(37&amp;"_"&amp;2,資格取込!$Z$6:$Z$405,0)),"")</f>
        <v/>
      </c>
      <c r="D946">
        <f>IFERROR(INDEX(資格取込!$R$6:$R$405,MATCH(37&amp;"_"&amp;2,資格取込!$Z$6:$Z$405,0)),"")</f>
        <v/>
      </c>
      <c r="E946">
        <f>IF(D946="","",IFERROR(INDEX(資格マスタ!$B:$B,MATCH(ASC(SUBSTITUTE(SUBSTITUTE(D946," ",""),"　","")),資格マスタ!$D:$D,0)),D946))</f>
        <v/>
      </c>
      <c r="F946">
        <f>IF(E946="","",IF(C946="",DATE(9999,1,1),C946))</f>
        <v/>
      </c>
      <c r="G946">
        <f>IF(E946="","",COUNTIFS($F$939:$F$964,"&lt;"&amp;F946,$F$939:$F$964,"&lt;&gt;")+COUNTIFS($F$939:$F$964,F946,$B$939:$B$964,"&lt;"&amp;B946)+1)</f>
        <v/>
      </c>
      <c r="H946">
        <f>IF(OR(E946="",C946=""),"",IF(C946&gt;=DATE(2019,5,1),"令和"&amp;(YEAR(C946)-2018),IF(C946&gt;=DATE(1989,1,8),"平成"&amp;(YEAR(C946)-1988),"昭和"&amp;(YEAR(C946)-1925)))&amp;"年"&amp;MONTH(C946)&amp;"月")</f>
        <v/>
      </c>
    </row>
    <row r="947">
      <c r="A947" t="n">
        <v>37</v>
      </c>
      <c r="B947" t="n">
        <v>9</v>
      </c>
      <c r="C947">
        <f>IFERROR(INDEX(資格取込!$S$6:$S$405,MATCH(37&amp;"_"&amp;3,資格取込!$Z$6:$Z$405,0)),"")</f>
        <v/>
      </c>
      <c r="D947">
        <f>IFERROR(INDEX(資格取込!$R$6:$R$405,MATCH(37&amp;"_"&amp;3,資格取込!$Z$6:$Z$405,0)),"")</f>
        <v/>
      </c>
      <c r="E947">
        <f>IF(D947="","",IFERROR(INDEX(資格マスタ!$B:$B,MATCH(ASC(SUBSTITUTE(SUBSTITUTE(D947," ",""),"　","")),資格マスタ!$D:$D,0)),D947))</f>
        <v/>
      </c>
      <c r="F947">
        <f>IF(E947="","",IF(C947="",DATE(9999,1,1),C947))</f>
        <v/>
      </c>
      <c r="G947">
        <f>IF(E947="","",COUNTIFS($F$939:$F$964,"&lt;"&amp;F947,$F$939:$F$964,"&lt;&gt;")+COUNTIFS($F$939:$F$964,F947,$B$939:$B$964,"&lt;"&amp;B947)+1)</f>
        <v/>
      </c>
      <c r="H947">
        <f>IF(OR(E947="",C947=""),"",IF(C947&gt;=DATE(2019,5,1),"令和"&amp;(YEAR(C947)-2018),IF(C947&gt;=DATE(1989,1,8),"平成"&amp;(YEAR(C947)-1988),"昭和"&amp;(YEAR(C947)-1925)))&amp;"年"&amp;MONTH(C947)&amp;"月")</f>
        <v/>
      </c>
    </row>
    <row r="948">
      <c r="A948" t="n">
        <v>37</v>
      </c>
      <c r="B948" t="n">
        <v>10</v>
      </c>
      <c r="C948">
        <f>IFERROR(INDEX(資格取込!$S$6:$S$405,MATCH(37&amp;"_"&amp;4,資格取込!$Z$6:$Z$405,0)),"")</f>
        <v/>
      </c>
      <c r="D948">
        <f>IFERROR(INDEX(資格取込!$R$6:$R$405,MATCH(37&amp;"_"&amp;4,資格取込!$Z$6:$Z$405,0)),"")</f>
        <v/>
      </c>
      <c r="E948">
        <f>IF(D948="","",IFERROR(INDEX(資格マスタ!$B:$B,MATCH(ASC(SUBSTITUTE(SUBSTITUTE(D948," ",""),"　","")),資格マスタ!$D:$D,0)),D948))</f>
        <v/>
      </c>
      <c r="F948">
        <f>IF(E948="","",IF(C948="",DATE(9999,1,1),C948))</f>
        <v/>
      </c>
      <c r="G948">
        <f>IF(E948="","",COUNTIFS($F$939:$F$964,"&lt;"&amp;F948,$F$939:$F$964,"&lt;&gt;")+COUNTIFS($F$939:$F$964,F948,$B$939:$B$964,"&lt;"&amp;B948)+1)</f>
        <v/>
      </c>
      <c r="H948">
        <f>IF(OR(E948="",C948=""),"",IF(C948&gt;=DATE(2019,5,1),"令和"&amp;(YEAR(C948)-2018),IF(C948&gt;=DATE(1989,1,8),"平成"&amp;(YEAR(C948)-1988),"昭和"&amp;(YEAR(C948)-1925)))&amp;"年"&amp;MONTH(C948)&amp;"月")</f>
        <v/>
      </c>
    </row>
    <row r="949">
      <c r="A949" t="n">
        <v>37</v>
      </c>
      <c r="B949" t="n">
        <v>11</v>
      </c>
      <c r="C949">
        <f>IFERROR(INDEX(資格取込!$S$6:$S$405,MATCH(37&amp;"_"&amp;5,資格取込!$Z$6:$Z$405,0)),"")</f>
        <v/>
      </c>
      <c r="D949">
        <f>IFERROR(INDEX(資格取込!$R$6:$R$405,MATCH(37&amp;"_"&amp;5,資格取込!$Z$6:$Z$405,0)),"")</f>
        <v/>
      </c>
      <c r="E949">
        <f>IF(D949="","",IFERROR(INDEX(資格マスタ!$B:$B,MATCH(ASC(SUBSTITUTE(SUBSTITUTE(D949," ",""),"　","")),資格マスタ!$D:$D,0)),D949))</f>
        <v/>
      </c>
      <c r="F949">
        <f>IF(E949="","",IF(C949="",DATE(9999,1,1),C949))</f>
        <v/>
      </c>
      <c r="G949">
        <f>IF(E949="","",COUNTIFS($F$939:$F$964,"&lt;"&amp;F949,$F$939:$F$964,"&lt;&gt;")+COUNTIFS($F$939:$F$964,F949,$B$939:$B$964,"&lt;"&amp;B949)+1)</f>
        <v/>
      </c>
      <c r="H949">
        <f>IF(OR(E949="",C949=""),"",IF(C949&gt;=DATE(2019,5,1),"令和"&amp;(YEAR(C949)-2018),IF(C949&gt;=DATE(1989,1,8),"平成"&amp;(YEAR(C949)-1988),"昭和"&amp;(YEAR(C949)-1925)))&amp;"年"&amp;MONTH(C949)&amp;"月")</f>
        <v/>
      </c>
    </row>
    <row r="950">
      <c r="A950" t="n">
        <v>37</v>
      </c>
      <c r="B950" t="n">
        <v>12</v>
      </c>
      <c r="C950">
        <f>IFERROR(INDEX(資格取込!$S$6:$S$405,MATCH(37&amp;"_"&amp;6,資格取込!$Z$6:$Z$405,0)),"")</f>
        <v/>
      </c>
      <c r="D950">
        <f>IFERROR(INDEX(資格取込!$R$6:$R$405,MATCH(37&amp;"_"&amp;6,資格取込!$Z$6:$Z$405,0)),"")</f>
        <v/>
      </c>
      <c r="E950">
        <f>IF(D950="","",IFERROR(INDEX(資格マスタ!$B:$B,MATCH(ASC(SUBSTITUTE(SUBSTITUTE(D950," ",""),"　","")),資格マスタ!$D:$D,0)),D950))</f>
        <v/>
      </c>
      <c r="F950">
        <f>IF(E950="","",IF(C950="",DATE(9999,1,1),C950))</f>
        <v/>
      </c>
      <c r="G950">
        <f>IF(E950="","",COUNTIFS($F$939:$F$964,"&lt;"&amp;F950,$F$939:$F$964,"&lt;&gt;")+COUNTIFS($F$939:$F$964,F950,$B$939:$B$964,"&lt;"&amp;B950)+1)</f>
        <v/>
      </c>
      <c r="H950">
        <f>IF(OR(E950="",C950=""),"",IF(C950&gt;=DATE(2019,5,1),"令和"&amp;(YEAR(C950)-2018),IF(C950&gt;=DATE(1989,1,8),"平成"&amp;(YEAR(C950)-1988),"昭和"&amp;(YEAR(C950)-1925)))&amp;"年"&amp;MONTH(C950)&amp;"月")</f>
        <v/>
      </c>
    </row>
    <row r="951">
      <c r="A951" t="n">
        <v>37</v>
      </c>
      <c r="B951" t="n">
        <v>13</v>
      </c>
      <c r="C951">
        <f>IFERROR(INDEX(資格取込!$S$6:$S$405,MATCH(37&amp;"_"&amp;7,資格取込!$Z$6:$Z$405,0)),"")</f>
        <v/>
      </c>
      <c r="D951">
        <f>IFERROR(INDEX(資格取込!$R$6:$R$405,MATCH(37&amp;"_"&amp;7,資格取込!$Z$6:$Z$405,0)),"")</f>
        <v/>
      </c>
      <c r="E951">
        <f>IF(D951="","",IFERROR(INDEX(資格マスタ!$B:$B,MATCH(ASC(SUBSTITUTE(SUBSTITUTE(D951," ",""),"　","")),資格マスタ!$D:$D,0)),D951))</f>
        <v/>
      </c>
      <c r="F951">
        <f>IF(E951="","",IF(C951="",DATE(9999,1,1),C951))</f>
        <v/>
      </c>
      <c r="G951">
        <f>IF(E951="","",COUNTIFS($F$939:$F$964,"&lt;"&amp;F951,$F$939:$F$964,"&lt;&gt;")+COUNTIFS($F$939:$F$964,F951,$B$939:$B$964,"&lt;"&amp;B951)+1)</f>
        <v/>
      </c>
      <c r="H951">
        <f>IF(OR(E951="",C951=""),"",IF(C951&gt;=DATE(2019,5,1),"令和"&amp;(YEAR(C951)-2018),IF(C951&gt;=DATE(1989,1,8),"平成"&amp;(YEAR(C951)-1988),"昭和"&amp;(YEAR(C951)-1925)))&amp;"年"&amp;MONTH(C951)&amp;"月")</f>
        <v/>
      </c>
    </row>
    <row r="952">
      <c r="A952" t="n">
        <v>37</v>
      </c>
      <c r="B952" t="n">
        <v>14</v>
      </c>
      <c r="C952">
        <f>IFERROR(INDEX(資格取込!$S$6:$S$405,MATCH(37&amp;"_"&amp;8,資格取込!$Z$6:$Z$405,0)),"")</f>
        <v/>
      </c>
      <c r="D952">
        <f>IFERROR(INDEX(資格取込!$R$6:$R$405,MATCH(37&amp;"_"&amp;8,資格取込!$Z$6:$Z$405,0)),"")</f>
        <v/>
      </c>
      <c r="E952">
        <f>IF(D952="","",IFERROR(INDEX(資格マスタ!$B:$B,MATCH(ASC(SUBSTITUTE(SUBSTITUTE(D952," ",""),"　","")),資格マスタ!$D:$D,0)),D952))</f>
        <v/>
      </c>
      <c r="F952">
        <f>IF(E952="","",IF(C952="",DATE(9999,1,1),C952))</f>
        <v/>
      </c>
      <c r="G952">
        <f>IF(E952="","",COUNTIFS($F$939:$F$964,"&lt;"&amp;F952,$F$939:$F$964,"&lt;&gt;")+COUNTIFS($F$939:$F$964,F952,$B$939:$B$964,"&lt;"&amp;B952)+1)</f>
        <v/>
      </c>
      <c r="H952">
        <f>IF(OR(E952="",C952=""),"",IF(C952&gt;=DATE(2019,5,1),"令和"&amp;(YEAR(C952)-2018),IF(C952&gt;=DATE(1989,1,8),"平成"&amp;(YEAR(C952)-1988),"昭和"&amp;(YEAR(C952)-1925)))&amp;"年"&amp;MONTH(C952)&amp;"月")</f>
        <v/>
      </c>
    </row>
    <row r="953">
      <c r="A953" t="n">
        <v>37</v>
      </c>
      <c r="B953" t="n">
        <v>15</v>
      </c>
      <c r="C953">
        <f>IFERROR(INDEX(資格取込!$S$6:$S$405,MATCH(37&amp;"_"&amp;9,資格取込!$Z$6:$Z$405,0)),"")</f>
        <v/>
      </c>
      <c r="D953">
        <f>IFERROR(INDEX(資格取込!$R$6:$R$405,MATCH(37&amp;"_"&amp;9,資格取込!$Z$6:$Z$405,0)),"")</f>
        <v/>
      </c>
      <c r="E953">
        <f>IF(D953="","",IFERROR(INDEX(資格マスタ!$B:$B,MATCH(ASC(SUBSTITUTE(SUBSTITUTE(D953," ",""),"　","")),資格マスタ!$D:$D,0)),D953))</f>
        <v/>
      </c>
      <c r="F953">
        <f>IF(E953="","",IF(C953="",DATE(9999,1,1),C953))</f>
        <v/>
      </c>
      <c r="G953">
        <f>IF(E953="","",COUNTIFS($F$939:$F$964,"&lt;"&amp;F953,$F$939:$F$964,"&lt;&gt;")+COUNTIFS($F$939:$F$964,F953,$B$939:$B$964,"&lt;"&amp;B953)+1)</f>
        <v/>
      </c>
      <c r="H953">
        <f>IF(OR(E953="",C953=""),"",IF(C953&gt;=DATE(2019,5,1),"令和"&amp;(YEAR(C953)-2018),IF(C953&gt;=DATE(1989,1,8),"平成"&amp;(YEAR(C953)-1988),"昭和"&amp;(YEAR(C953)-1925)))&amp;"年"&amp;MONTH(C953)&amp;"月")</f>
        <v/>
      </c>
    </row>
    <row r="954">
      <c r="A954" t="n">
        <v>37</v>
      </c>
      <c r="B954" t="n">
        <v>16</v>
      </c>
      <c r="C954">
        <f>IFERROR(INDEX(資格取込!$S$6:$S$405,MATCH(37&amp;"_"&amp;10,資格取込!$Z$6:$Z$405,0)),"")</f>
        <v/>
      </c>
      <c r="D954">
        <f>IFERROR(INDEX(資格取込!$R$6:$R$405,MATCH(37&amp;"_"&amp;10,資格取込!$Z$6:$Z$405,0)),"")</f>
        <v/>
      </c>
      <c r="E954">
        <f>IF(D954="","",IFERROR(INDEX(資格マスタ!$B:$B,MATCH(ASC(SUBSTITUTE(SUBSTITUTE(D954," ",""),"　","")),資格マスタ!$D:$D,0)),D954))</f>
        <v/>
      </c>
      <c r="F954">
        <f>IF(E954="","",IF(C954="",DATE(9999,1,1),C954))</f>
        <v/>
      </c>
      <c r="G954">
        <f>IF(E954="","",COUNTIFS($F$939:$F$964,"&lt;"&amp;F954,$F$939:$F$964,"&lt;&gt;")+COUNTIFS($F$939:$F$964,F954,$B$939:$B$964,"&lt;"&amp;B954)+1)</f>
        <v/>
      </c>
      <c r="H954">
        <f>IF(OR(E954="",C954=""),"",IF(C954&gt;=DATE(2019,5,1),"令和"&amp;(YEAR(C954)-2018),IF(C954&gt;=DATE(1989,1,8),"平成"&amp;(YEAR(C954)-1988),"昭和"&amp;(YEAR(C954)-1925)))&amp;"年"&amp;MONTH(C954)&amp;"月")</f>
        <v/>
      </c>
    </row>
    <row r="955">
      <c r="A955" t="n">
        <v>37</v>
      </c>
      <c r="B955" t="n">
        <v>17</v>
      </c>
      <c r="C955">
        <f>IFERROR(INDEX(資格取込!$S$6:$S$405,MATCH(37&amp;"_"&amp;11,資格取込!$Z$6:$Z$405,0)),"")</f>
        <v/>
      </c>
      <c r="D955">
        <f>IFERROR(INDEX(資格取込!$R$6:$R$405,MATCH(37&amp;"_"&amp;11,資格取込!$Z$6:$Z$405,0)),"")</f>
        <v/>
      </c>
      <c r="E955">
        <f>IF(D955="","",IFERROR(INDEX(資格マスタ!$B:$B,MATCH(ASC(SUBSTITUTE(SUBSTITUTE(D955," ",""),"　","")),資格マスタ!$D:$D,0)),D955))</f>
        <v/>
      </c>
      <c r="F955">
        <f>IF(E955="","",IF(C955="",DATE(9999,1,1),C955))</f>
        <v/>
      </c>
      <c r="G955">
        <f>IF(E955="","",COUNTIFS($F$939:$F$964,"&lt;"&amp;F955,$F$939:$F$964,"&lt;&gt;")+COUNTIFS($F$939:$F$964,F955,$B$939:$B$964,"&lt;"&amp;B955)+1)</f>
        <v/>
      </c>
      <c r="H955">
        <f>IF(OR(E955="",C955=""),"",IF(C955&gt;=DATE(2019,5,1),"令和"&amp;(YEAR(C955)-2018),IF(C955&gt;=DATE(1989,1,8),"平成"&amp;(YEAR(C955)-1988),"昭和"&amp;(YEAR(C955)-1925)))&amp;"年"&amp;MONTH(C955)&amp;"月")</f>
        <v/>
      </c>
    </row>
    <row r="956">
      <c r="A956" t="n">
        <v>37</v>
      </c>
      <c r="B956" t="n">
        <v>18</v>
      </c>
      <c r="C956">
        <f>IFERROR(INDEX(資格取込!$S$6:$S$405,MATCH(37&amp;"_"&amp;12,資格取込!$Z$6:$Z$405,0)),"")</f>
        <v/>
      </c>
      <c r="D956">
        <f>IFERROR(INDEX(資格取込!$R$6:$R$405,MATCH(37&amp;"_"&amp;12,資格取込!$Z$6:$Z$405,0)),"")</f>
        <v/>
      </c>
      <c r="E956">
        <f>IF(D956="","",IFERROR(INDEX(資格マスタ!$B:$B,MATCH(ASC(SUBSTITUTE(SUBSTITUTE(D956," ",""),"　","")),資格マスタ!$D:$D,0)),D956))</f>
        <v/>
      </c>
      <c r="F956">
        <f>IF(E956="","",IF(C956="",DATE(9999,1,1),C956))</f>
        <v/>
      </c>
      <c r="G956">
        <f>IF(E956="","",COUNTIFS($F$939:$F$964,"&lt;"&amp;F956,$F$939:$F$964,"&lt;&gt;")+COUNTIFS($F$939:$F$964,F956,$B$939:$B$964,"&lt;"&amp;B956)+1)</f>
        <v/>
      </c>
      <c r="H956">
        <f>IF(OR(E956="",C956=""),"",IF(C956&gt;=DATE(2019,5,1),"令和"&amp;(YEAR(C956)-2018),IF(C956&gt;=DATE(1989,1,8),"平成"&amp;(YEAR(C956)-1988),"昭和"&amp;(YEAR(C956)-1925)))&amp;"年"&amp;MONTH(C956)&amp;"月")</f>
        <v/>
      </c>
    </row>
    <row r="957">
      <c r="A957" t="n">
        <v>37</v>
      </c>
      <c r="B957" t="n">
        <v>19</v>
      </c>
      <c r="C957">
        <f>IFERROR(INDEX(資格取込!$S$6:$S$405,MATCH(37&amp;"_"&amp;13,資格取込!$Z$6:$Z$405,0)),"")</f>
        <v/>
      </c>
      <c r="D957">
        <f>IFERROR(INDEX(資格取込!$R$6:$R$405,MATCH(37&amp;"_"&amp;13,資格取込!$Z$6:$Z$405,0)),"")</f>
        <v/>
      </c>
      <c r="E957">
        <f>IF(D957="","",IFERROR(INDEX(資格マスタ!$B:$B,MATCH(ASC(SUBSTITUTE(SUBSTITUTE(D957," ",""),"　","")),資格マスタ!$D:$D,0)),D957))</f>
        <v/>
      </c>
      <c r="F957">
        <f>IF(E957="","",IF(C957="",DATE(9999,1,1),C957))</f>
        <v/>
      </c>
      <c r="G957">
        <f>IF(E957="","",COUNTIFS($F$939:$F$964,"&lt;"&amp;F957,$F$939:$F$964,"&lt;&gt;")+COUNTIFS($F$939:$F$964,F957,$B$939:$B$964,"&lt;"&amp;B957)+1)</f>
        <v/>
      </c>
      <c r="H957">
        <f>IF(OR(E957="",C957=""),"",IF(C957&gt;=DATE(2019,5,1),"令和"&amp;(YEAR(C957)-2018),IF(C957&gt;=DATE(1989,1,8),"平成"&amp;(YEAR(C957)-1988),"昭和"&amp;(YEAR(C957)-1925)))&amp;"年"&amp;MONTH(C957)&amp;"月")</f>
        <v/>
      </c>
    </row>
    <row r="958">
      <c r="A958" t="n">
        <v>37</v>
      </c>
      <c r="B958" t="n">
        <v>20</v>
      </c>
      <c r="C958">
        <f>IFERROR(INDEX(資格取込!$S$6:$S$405,MATCH(37&amp;"_"&amp;14,資格取込!$Z$6:$Z$405,0)),"")</f>
        <v/>
      </c>
      <c r="D958">
        <f>IFERROR(INDEX(資格取込!$R$6:$R$405,MATCH(37&amp;"_"&amp;14,資格取込!$Z$6:$Z$405,0)),"")</f>
        <v/>
      </c>
      <c r="E958">
        <f>IF(D958="","",IFERROR(INDEX(資格マスタ!$B:$B,MATCH(ASC(SUBSTITUTE(SUBSTITUTE(D958," ",""),"　","")),資格マスタ!$D:$D,0)),D958))</f>
        <v/>
      </c>
      <c r="F958">
        <f>IF(E958="","",IF(C958="",DATE(9999,1,1),C958))</f>
        <v/>
      </c>
      <c r="G958">
        <f>IF(E958="","",COUNTIFS($F$939:$F$964,"&lt;"&amp;F958,$F$939:$F$964,"&lt;&gt;")+COUNTIFS($F$939:$F$964,F958,$B$939:$B$964,"&lt;"&amp;B958)+1)</f>
        <v/>
      </c>
      <c r="H958">
        <f>IF(OR(E958="",C958=""),"",IF(C958&gt;=DATE(2019,5,1),"令和"&amp;(YEAR(C958)-2018),IF(C958&gt;=DATE(1989,1,8),"平成"&amp;(YEAR(C958)-1988),"昭和"&amp;(YEAR(C958)-1925)))&amp;"年"&amp;MONTH(C958)&amp;"月")</f>
        <v/>
      </c>
    </row>
    <row r="959">
      <c r="A959" t="n">
        <v>37</v>
      </c>
      <c r="B959" t="n">
        <v>21</v>
      </c>
      <c r="C959">
        <f>IFERROR(INDEX(資格取込!$S$6:$S$405,MATCH(37&amp;"_"&amp;15,資格取込!$Z$6:$Z$405,0)),"")</f>
        <v/>
      </c>
      <c r="D959">
        <f>IFERROR(INDEX(資格取込!$R$6:$R$405,MATCH(37&amp;"_"&amp;15,資格取込!$Z$6:$Z$405,0)),"")</f>
        <v/>
      </c>
      <c r="E959">
        <f>IF(D959="","",IFERROR(INDEX(資格マスタ!$B:$B,MATCH(ASC(SUBSTITUTE(SUBSTITUTE(D959," ",""),"　","")),資格マスタ!$D:$D,0)),D959))</f>
        <v/>
      </c>
      <c r="F959">
        <f>IF(E959="","",IF(C959="",DATE(9999,1,1),C959))</f>
        <v/>
      </c>
      <c r="G959">
        <f>IF(E959="","",COUNTIFS($F$939:$F$964,"&lt;"&amp;F959,$F$939:$F$964,"&lt;&gt;")+COUNTIFS($F$939:$F$964,F959,$B$939:$B$964,"&lt;"&amp;B959)+1)</f>
        <v/>
      </c>
      <c r="H959">
        <f>IF(OR(E959="",C959=""),"",IF(C959&gt;=DATE(2019,5,1),"令和"&amp;(YEAR(C959)-2018),IF(C959&gt;=DATE(1989,1,8),"平成"&amp;(YEAR(C959)-1988),"昭和"&amp;(YEAR(C959)-1925)))&amp;"年"&amp;MONTH(C959)&amp;"月")</f>
        <v/>
      </c>
    </row>
    <row r="960">
      <c r="A960" t="n">
        <v>37</v>
      </c>
      <c r="B960" t="n">
        <v>22</v>
      </c>
      <c r="C960">
        <f>IFERROR(INDEX(資格取込!$S$6:$S$405,MATCH(37&amp;"_"&amp;16,資格取込!$Z$6:$Z$405,0)),"")</f>
        <v/>
      </c>
      <c r="D960">
        <f>IFERROR(INDEX(資格取込!$R$6:$R$405,MATCH(37&amp;"_"&amp;16,資格取込!$Z$6:$Z$405,0)),"")</f>
        <v/>
      </c>
      <c r="E960">
        <f>IF(D960="","",IFERROR(INDEX(資格マスタ!$B:$B,MATCH(ASC(SUBSTITUTE(SUBSTITUTE(D960," ",""),"　","")),資格マスタ!$D:$D,0)),D960))</f>
        <v/>
      </c>
      <c r="F960">
        <f>IF(E960="","",IF(C960="",DATE(9999,1,1),C960))</f>
        <v/>
      </c>
      <c r="G960">
        <f>IF(E960="","",COUNTIFS($F$939:$F$964,"&lt;"&amp;F960,$F$939:$F$964,"&lt;&gt;")+COUNTIFS($F$939:$F$964,F960,$B$939:$B$964,"&lt;"&amp;B960)+1)</f>
        <v/>
      </c>
      <c r="H960">
        <f>IF(OR(E960="",C960=""),"",IF(C960&gt;=DATE(2019,5,1),"令和"&amp;(YEAR(C960)-2018),IF(C960&gt;=DATE(1989,1,8),"平成"&amp;(YEAR(C960)-1988),"昭和"&amp;(YEAR(C960)-1925)))&amp;"年"&amp;MONTH(C960)&amp;"月")</f>
        <v/>
      </c>
    </row>
    <row r="961">
      <c r="A961" t="n">
        <v>37</v>
      </c>
      <c r="B961" t="n">
        <v>23</v>
      </c>
      <c r="C961">
        <f>IFERROR(INDEX(資格取込!$S$6:$S$405,MATCH(37&amp;"_"&amp;17,資格取込!$Z$6:$Z$405,0)),"")</f>
        <v/>
      </c>
      <c r="D961">
        <f>IFERROR(INDEX(資格取込!$R$6:$R$405,MATCH(37&amp;"_"&amp;17,資格取込!$Z$6:$Z$405,0)),"")</f>
        <v/>
      </c>
      <c r="E961">
        <f>IF(D961="","",IFERROR(INDEX(資格マスタ!$B:$B,MATCH(ASC(SUBSTITUTE(SUBSTITUTE(D961," ",""),"　","")),資格マスタ!$D:$D,0)),D961))</f>
        <v/>
      </c>
      <c r="F961">
        <f>IF(E961="","",IF(C961="",DATE(9999,1,1),C961))</f>
        <v/>
      </c>
      <c r="G961">
        <f>IF(E961="","",COUNTIFS($F$939:$F$964,"&lt;"&amp;F961,$F$939:$F$964,"&lt;&gt;")+COUNTIFS($F$939:$F$964,F961,$B$939:$B$964,"&lt;"&amp;B961)+1)</f>
        <v/>
      </c>
      <c r="H961">
        <f>IF(OR(E961="",C961=""),"",IF(C961&gt;=DATE(2019,5,1),"令和"&amp;(YEAR(C961)-2018),IF(C961&gt;=DATE(1989,1,8),"平成"&amp;(YEAR(C961)-1988),"昭和"&amp;(YEAR(C961)-1925)))&amp;"年"&amp;MONTH(C961)&amp;"月")</f>
        <v/>
      </c>
    </row>
    <row r="962">
      <c r="A962" t="n">
        <v>37</v>
      </c>
      <c r="B962" t="n">
        <v>24</v>
      </c>
      <c r="C962">
        <f>IFERROR(INDEX(資格取込!$S$6:$S$405,MATCH(37&amp;"_"&amp;18,資格取込!$Z$6:$Z$405,0)),"")</f>
        <v/>
      </c>
      <c r="D962">
        <f>IFERROR(INDEX(資格取込!$R$6:$R$405,MATCH(37&amp;"_"&amp;18,資格取込!$Z$6:$Z$405,0)),"")</f>
        <v/>
      </c>
      <c r="E962">
        <f>IF(D962="","",IFERROR(INDEX(資格マスタ!$B:$B,MATCH(ASC(SUBSTITUTE(SUBSTITUTE(D962," ",""),"　","")),資格マスタ!$D:$D,0)),D962))</f>
        <v/>
      </c>
      <c r="F962">
        <f>IF(E962="","",IF(C962="",DATE(9999,1,1),C962))</f>
        <v/>
      </c>
      <c r="G962">
        <f>IF(E962="","",COUNTIFS($F$939:$F$964,"&lt;"&amp;F962,$F$939:$F$964,"&lt;&gt;")+COUNTIFS($F$939:$F$964,F962,$B$939:$B$964,"&lt;"&amp;B962)+1)</f>
        <v/>
      </c>
      <c r="H962">
        <f>IF(OR(E962="",C962=""),"",IF(C962&gt;=DATE(2019,5,1),"令和"&amp;(YEAR(C962)-2018),IF(C962&gt;=DATE(1989,1,8),"平成"&amp;(YEAR(C962)-1988),"昭和"&amp;(YEAR(C962)-1925)))&amp;"年"&amp;MONTH(C962)&amp;"月")</f>
        <v/>
      </c>
    </row>
    <row r="963">
      <c r="A963" t="n">
        <v>37</v>
      </c>
      <c r="B963" t="n">
        <v>25</v>
      </c>
      <c r="C963">
        <f>IFERROR(INDEX(資格取込!$S$6:$S$405,MATCH(37&amp;"_"&amp;19,資格取込!$Z$6:$Z$405,0)),"")</f>
        <v/>
      </c>
      <c r="D963">
        <f>IFERROR(INDEX(資格取込!$R$6:$R$405,MATCH(37&amp;"_"&amp;19,資格取込!$Z$6:$Z$405,0)),"")</f>
        <v/>
      </c>
      <c r="E963">
        <f>IF(D963="","",IFERROR(INDEX(資格マスタ!$B:$B,MATCH(ASC(SUBSTITUTE(SUBSTITUTE(D963," ",""),"　","")),資格マスタ!$D:$D,0)),D963))</f>
        <v/>
      </c>
      <c r="F963">
        <f>IF(E963="","",IF(C963="",DATE(9999,1,1),C963))</f>
        <v/>
      </c>
      <c r="G963">
        <f>IF(E963="","",COUNTIFS($F$939:$F$964,"&lt;"&amp;F963,$F$939:$F$964,"&lt;&gt;")+COUNTIFS($F$939:$F$964,F963,$B$939:$B$964,"&lt;"&amp;B963)+1)</f>
        <v/>
      </c>
      <c r="H963">
        <f>IF(OR(E963="",C963=""),"",IF(C963&gt;=DATE(2019,5,1),"令和"&amp;(YEAR(C963)-2018),IF(C963&gt;=DATE(1989,1,8),"平成"&amp;(YEAR(C963)-1988),"昭和"&amp;(YEAR(C963)-1925)))&amp;"年"&amp;MONTH(C963)&amp;"月")</f>
        <v/>
      </c>
    </row>
    <row r="964">
      <c r="A964" t="n">
        <v>37</v>
      </c>
      <c r="B964" t="n">
        <v>26</v>
      </c>
      <c r="C964">
        <f>IFERROR(INDEX(資格取込!$S$6:$S$405,MATCH(37&amp;"_"&amp;20,資格取込!$Z$6:$Z$405,0)),"")</f>
        <v/>
      </c>
      <c r="D964">
        <f>IFERROR(INDEX(資格取込!$R$6:$R$405,MATCH(37&amp;"_"&amp;20,資格取込!$Z$6:$Z$405,0)),"")</f>
        <v/>
      </c>
      <c r="E964">
        <f>IF(D964="","",IFERROR(INDEX(資格マスタ!$B:$B,MATCH(ASC(SUBSTITUTE(SUBSTITUTE(D964," ",""),"　","")),資格マスタ!$D:$D,0)),D964))</f>
        <v/>
      </c>
      <c r="F964">
        <f>IF(E964="","",IF(C964="",DATE(9999,1,1),C964))</f>
        <v/>
      </c>
      <c r="G964">
        <f>IF(E964="","",COUNTIFS($F$939:$F$964,"&lt;"&amp;F964,$F$939:$F$964,"&lt;&gt;")+COUNTIFS($F$939:$F$964,F964,$B$939:$B$964,"&lt;"&amp;B964)+1)</f>
        <v/>
      </c>
      <c r="H964">
        <f>IF(OR(E964="",C964=""),"",IF(C964&gt;=DATE(2019,5,1),"令和"&amp;(YEAR(C964)-2018),IF(C964&gt;=DATE(1989,1,8),"平成"&amp;(YEAR(C964)-1988),"昭和"&amp;(YEAR(C964)-1925)))&amp;"年"&amp;MONTH(C964)&amp;"月")</f>
        <v/>
      </c>
    </row>
    <row r="965">
      <c r="A965" t="n">
        <v>38</v>
      </c>
      <c r="B965" t="n">
        <v>1</v>
      </c>
      <c r="C965"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965">
        <f>IF(入力!N42="","",入力!N42)</f>
        <v/>
      </c>
      <c r="E965">
        <f>IF(D965="","",IFERROR(INDEX(資格マスタ!$B:$B,MATCH(ASC(SUBSTITUTE(SUBSTITUTE(D965," ",""),"　","")),資格マスタ!$D:$D,0)),D965))</f>
        <v/>
      </c>
      <c r="F965">
        <f>IF(E965="","",IF(C965="",DATE(9999,1,1),C965))</f>
        <v/>
      </c>
      <c r="G965">
        <f>IF(E965="","",COUNTIFS($F$965:$F$990,"&lt;"&amp;F965,$F$965:$F$990,"&lt;&gt;")+COUNTIFS($F$965:$F$990,F965,$B$965:$B$990,"&lt;"&amp;B965)+1)</f>
        <v/>
      </c>
      <c r="H965">
        <f>IF(OR(E965="",C965=""),"",IF(C965&gt;=DATE(2019,5,1),"令和"&amp;(YEAR(C965)-2018),IF(C965&gt;=DATE(1989,1,8),"平成"&amp;(YEAR(C965)-1988),"昭和"&amp;(YEAR(C965)-1925)))&amp;"年"&amp;MONTH(C965)&amp;"月")</f>
        <v/>
      </c>
    </row>
    <row r="966">
      <c r="A966" t="n">
        <v>38</v>
      </c>
      <c r="B966" t="n">
        <v>2</v>
      </c>
      <c r="C966">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966">
        <f>IF(入力!P42="","",入力!P42)</f>
        <v/>
      </c>
      <c r="E966">
        <f>IF(D966="","",IFERROR(INDEX(資格マスタ!$B:$B,MATCH(ASC(SUBSTITUTE(SUBSTITUTE(D966," ",""),"　","")),資格マスタ!$D:$D,0)),D966))</f>
        <v/>
      </c>
      <c r="F966">
        <f>IF(E966="","",IF(C966="",DATE(9999,1,1),C966))</f>
        <v/>
      </c>
      <c r="G966">
        <f>IF(E966="","",COUNTIFS($F$965:$F$990,"&lt;"&amp;F966,$F$965:$F$990,"&lt;&gt;")+COUNTIFS($F$965:$F$990,F966,$B$965:$B$990,"&lt;"&amp;B966)+1)</f>
        <v/>
      </c>
      <c r="H966">
        <f>IF(OR(E966="",C966=""),"",IF(C966&gt;=DATE(2019,5,1),"令和"&amp;(YEAR(C966)-2018),IF(C966&gt;=DATE(1989,1,8),"平成"&amp;(YEAR(C966)-1988),"昭和"&amp;(YEAR(C966)-1925)))&amp;"年"&amp;MONTH(C966)&amp;"月")</f>
        <v/>
      </c>
    </row>
    <row r="967">
      <c r="A967" t="n">
        <v>38</v>
      </c>
      <c r="B967" t="n">
        <v>3</v>
      </c>
      <c r="C967">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967">
        <f>IF(入力!R42="","",入力!R42)</f>
        <v/>
      </c>
      <c r="E967">
        <f>IF(D967="","",IFERROR(INDEX(資格マスタ!$B:$B,MATCH(ASC(SUBSTITUTE(SUBSTITUTE(D967," ",""),"　","")),資格マスタ!$D:$D,0)),D967))</f>
        <v/>
      </c>
      <c r="F967">
        <f>IF(E967="","",IF(C967="",DATE(9999,1,1),C967))</f>
        <v/>
      </c>
      <c r="G967">
        <f>IF(E967="","",COUNTIFS($F$965:$F$990,"&lt;"&amp;F967,$F$965:$F$990,"&lt;&gt;")+COUNTIFS($F$965:$F$990,F967,$B$965:$B$990,"&lt;"&amp;B967)+1)</f>
        <v/>
      </c>
      <c r="H967">
        <f>IF(OR(E967="",C967=""),"",IF(C967&gt;=DATE(2019,5,1),"令和"&amp;(YEAR(C967)-2018),IF(C967&gt;=DATE(1989,1,8),"平成"&amp;(YEAR(C967)-1988),"昭和"&amp;(YEAR(C967)-1925)))&amp;"年"&amp;MONTH(C967)&amp;"月")</f>
        <v/>
      </c>
    </row>
    <row r="968">
      <c r="A968" t="n">
        <v>38</v>
      </c>
      <c r="B968" t="n">
        <v>4</v>
      </c>
      <c r="C968">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968">
        <f>IF(入力!T42="","",入力!T42)</f>
        <v/>
      </c>
      <c r="E968">
        <f>IF(D968="","",IFERROR(INDEX(資格マスタ!$B:$B,MATCH(ASC(SUBSTITUTE(SUBSTITUTE(D968," ",""),"　","")),資格マスタ!$D:$D,0)),D968))</f>
        <v/>
      </c>
      <c r="F968">
        <f>IF(E968="","",IF(C968="",DATE(9999,1,1),C968))</f>
        <v/>
      </c>
      <c r="G968">
        <f>IF(E968="","",COUNTIFS($F$965:$F$990,"&lt;"&amp;F968,$F$965:$F$990,"&lt;&gt;")+COUNTIFS($F$965:$F$990,F968,$B$965:$B$990,"&lt;"&amp;B968)+1)</f>
        <v/>
      </c>
      <c r="H968">
        <f>IF(OR(E968="",C968=""),"",IF(C968&gt;=DATE(2019,5,1),"令和"&amp;(YEAR(C968)-2018),IF(C968&gt;=DATE(1989,1,8),"平成"&amp;(YEAR(C968)-1988),"昭和"&amp;(YEAR(C968)-1925)))&amp;"年"&amp;MONTH(C968)&amp;"月")</f>
        <v/>
      </c>
    </row>
    <row r="969">
      <c r="A969" t="n">
        <v>38</v>
      </c>
      <c r="B969" t="n">
        <v>5</v>
      </c>
      <c r="C969">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969">
        <f>IF(入力!V42="","",入力!V42)</f>
        <v/>
      </c>
      <c r="E969">
        <f>IF(D969="","",IFERROR(INDEX(資格マスタ!$B:$B,MATCH(ASC(SUBSTITUTE(SUBSTITUTE(D969," ",""),"　","")),資格マスタ!$D:$D,0)),D969))</f>
        <v/>
      </c>
      <c r="F969">
        <f>IF(E969="","",IF(C969="",DATE(9999,1,1),C969))</f>
        <v/>
      </c>
      <c r="G969">
        <f>IF(E969="","",COUNTIFS($F$965:$F$990,"&lt;"&amp;F969,$F$965:$F$990,"&lt;&gt;")+COUNTIFS($F$965:$F$990,F969,$B$965:$B$990,"&lt;"&amp;B969)+1)</f>
        <v/>
      </c>
      <c r="H969">
        <f>IF(OR(E969="",C969=""),"",IF(C969&gt;=DATE(2019,5,1),"令和"&amp;(YEAR(C969)-2018),IF(C969&gt;=DATE(1989,1,8),"平成"&amp;(YEAR(C969)-1988),"昭和"&amp;(YEAR(C969)-1925)))&amp;"年"&amp;MONTH(C969)&amp;"月")</f>
        <v/>
      </c>
    </row>
    <row r="970">
      <c r="A970" t="n">
        <v>38</v>
      </c>
      <c r="B970" t="n">
        <v>6</v>
      </c>
      <c r="C970">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970">
        <f>IF(入力!X42="","",入力!X42)</f>
        <v/>
      </c>
      <c r="E970">
        <f>IF(D970="","",IFERROR(INDEX(資格マスタ!$B:$B,MATCH(ASC(SUBSTITUTE(SUBSTITUTE(D970," ",""),"　","")),資格マスタ!$D:$D,0)),D970))</f>
        <v/>
      </c>
      <c r="F970">
        <f>IF(E970="","",IF(C970="",DATE(9999,1,1),C970))</f>
        <v/>
      </c>
      <c r="G970">
        <f>IF(E970="","",COUNTIFS($F$965:$F$990,"&lt;"&amp;F970,$F$965:$F$990,"&lt;&gt;")+COUNTIFS($F$965:$F$990,F970,$B$965:$B$990,"&lt;"&amp;B970)+1)</f>
        <v/>
      </c>
      <c r="H970">
        <f>IF(OR(E970="",C970=""),"",IF(C970&gt;=DATE(2019,5,1),"令和"&amp;(YEAR(C970)-2018),IF(C970&gt;=DATE(1989,1,8),"平成"&amp;(YEAR(C970)-1988),"昭和"&amp;(YEAR(C970)-1925)))&amp;"年"&amp;MONTH(C970)&amp;"月")</f>
        <v/>
      </c>
    </row>
    <row r="971">
      <c r="A971" t="n">
        <v>38</v>
      </c>
      <c r="B971" t="n">
        <v>7</v>
      </c>
      <c r="C971">
        <f>IFERROR(INDEX(資格取込!$S$6:$S$405,MATCH(38&amp;"_"&amp;1,資格取込!$Z$6:$Z$405,0)),"")</f>
        <v/>
      </c>
      <c r="D971">
        <f>IFERROR(INDEX(資格取込!$R$6:$R$405,MATCH(38&amp;"_"&amp;1,資格取込!$Z$6:$Z$405,0)),"")</f>
        <v/>
      </c>
      <c r="E971">
        <f>IF(D971="","",IFERROR(INDEX(資格マスタ!$B:$B,MATCH(ASC(SUBSTITUTE(SUBSTITUTE(D971," ",""),"　","")),資格マスタ!$D:$D,0)),D971))</f>
        <v/>
      </c>
      <c r="F971">
        <f>IF(E971="","",IF(C971="",DATE(9999,1,1),C971))</f>
        <v/>
      </c>
      <c r="G971">
        <f>IF(E971="","",COUNTIFS($F$965:$F$990,"&lt;"&amp;F971,$F$965:$F$990,"&lt;&gt;")+COUNTIFS($F$965:$F$990,F971,$B$965:$B$990,"&lt;"&amp;B971)+1)</f>
        <v/>
      </c>
      <c r="H971">
        <f>IF(OR(E971="",C971=""),"",IF(C971&gt;=DATE(2019,5,1),"令和"&amp;(YEAR(C971)-2018),IF(C971&gt;=DATE(1989,1,8),"平成"&amp;(YEAR(C971)-1988),"昭和"&amp;(YEAR(C971)-1925)))&amp;"年"&amp;MONTH(C971)&amp;"月")</f>
        <v/>
      </c>
    </row>
    <row r="972">
      <c r="A972" t="n">
        <v>38</v>
      </c>
      <c r="B972" t="n">
        <v>8</v>
      </c>
      <c r="C972">
        <f>IFERROR(INDEX(資格取込!$S$6:$S$405,MATCH(38&amp;"_"&amp;2,資格取込!$Z$6:$Z$405,0)),"")</f>
        <v/>
      </c>
      <c r="D972">
        <f>IFERROR(INDEX(資格取込!$R$6:$R$405,MATCH(38&amp;"_"&amp;2,資格取込!$Z$6:$Z$405,0)),"")</f>
        <v/>
      </c>
      <c r="E972">
        <f>IF(D972="","",IFERROR(INDEX(資格マスタ!$B:$B,MATCH(ASC(SUBSTITUTE(SUBSTITUTE(D972," ",""),"　","")),資格マスタ!$D:$D,0)),D972))</f>
        <v/>
      </c>
      <c r="F972">
        <f>IF(E972="","",IF(C972="",DATE(9999,1,1),C972))</f>
        <v/>
      </c>
      <c r="G972">
        <f>IF(E972="","",COUNTIFS($F$965:$F$990,"&lt;"&amp;F972,$F$965:$F$990,"&lt;&gt;")+COUNTIFS($F$965:$F$990,F972,$B$965:$B$990,"&lt;"&amp;B972)+1)</f>
        <v/>
      </c>
      <c r="H972">
        <f>IF(OR(E972="",C972=""),"",IF(C972&gt;=DATE(2019,5,1),"令和"&amp;(YEAR(C972)-2018),IF(C972&gt;=DATE(1989,1,8),"平成"&amp;(YEAR(C972)-1988),"昭和"&amp;(YEAR(C972)-1925)))&amp;"年"&amp;MONTH(C972)&amp;"月")</f>
        <v/>
      </c>
    </row>
    <row r="973">
      <c r="A973" t="n">
        <v>38</v>
      </c>
      <c r="B973" t="n">
        <v>9</v>
      </c>
      <c r="C973">
        <f>IFERROR(INDEX(資格取込!$S$6:$S$405,MATCH(38&amp;"_"&amp;3,資格取込!$Z$6:$Z$405,0)),"")</f>
        <v/>
      </c>
      <c r="D973">
        <f>IFERROR(INDEX(資格取込!$R$6:$R$405,MATCH(38&amp;"_"&amp;3,資格取込!$Z$6:$Z$405,0)),"")</f>
        <v/>
      </c>
      <c r="E973">
        <f>IF(D973="","",IFERROR(INDEX(資格マスタ!$B:$B,MATCH(ASC(SUBSTITUTE(SUBSTITUTE(D973," ",""),"　","")),資格マスタ!$D:$D,0)),D973))</f>
        <v/>
      </c>
      <c r="F973">
        <f>IF(E973="","",IF(C973="",DATE(9999,1,1),C973))</f>
        <v/>
      </c>
      <c r="G973">
        <f>IF(E973="","",COUNTIFS($F$965:$F$990,"&lt;"&amp;F973,$F$965:$F$990,"&lt;&gt;")+COUNTIFS($F$965:$F$990,F973,$B$965:$B$990,"&lt;"&amp;B973)+1)</f>
        <v/>
      </c>
      <c r="H973">
        <f>IF(OR(E973="",C973=""),"",IF(C973&gt;=DATE(2019,5,1),"令和"&amp;(YEAR(C973)-2018),IF(C973&gt;=DATE(1989,1,8),"平成"&amp;(YEAR(C973)-1988),"昭和"&amp;(YEAR(C973)-1925)))&amp;"年"&amp;MONTH(C973)&amp;"月")</f>
        <v/>
      </c>
    </row>
    <row r="974">
      <c r="A974" t="n">
        <v>38</v>
      </c>
      <c r="B974" t="n">
        <v>10</v>
      </c>
      <c r="C974">
        <f>IFERROR(INDEX(資格取込!$S$6:$S$405,MATCH(38&amp;"_"&amp;4,資格取込!$Z$6:$Z$405,0)),"")</f>
        <v/>
      </c>
      <c r="D974">
        <f>IFERROR(INDEX(資格取込!$R$6:$R$405,MATCH(38&amp;"_"&amp;4,資格取込!$Z$6:$Z$405,0)),"")</f>
        <v/>
      </c>
      <c r="E974">
        <f>IF(D974="","",IFERROR(INDEX(資格マスタ!$B:$B,MATCH(ASC(SUBSTITUTE(SUBSTITUTE(D974," ",""),"　","")),資格マスタ!$D:$D,0)),D974))</f>
        <v/>
      </c>
      <c r="F974">
        <f>IF(E974="","",IF(C974="",DATE(9999,1,1),C974))</f>
        <v/>
      </c>
      <c r="G974">
        <f>IF(E974="","",COUNTIFS($F$965:$F$990,"&lt;"&amp;F974,$F$965:$F$990,"&lt;&gt;")+COUNTIFS($F$965:$F$990,F974,$B$965:$B$990,"&lt;"&amp;B974)+1)</f>
        <v/>
      </c>
      <c r="H974">
        <f>IF(OR(E974="",C974=""),"",IF(C974&gt;=DATE(2019,5,1),"令和"&amp;(YEAR(C974)-2018),IF(C974&gt;=DATE(1989,1,8),"平成"&amp;(YEAR(C974)-1988),"昭和"&amp;(YEAR(C974)-1925)))&amp;"年"&amp;MONTH(C974)&amp;"月")</f>
        <v/>
      </c>
    </row>
    <row r="975">
      <c r="A975" t="n">
        <v>38</v>
      </c>
      <c r="B975" t="n">
        <v>11</v>
      </c>
      <c r="C975">
        <f>IFERROR(INDEX(資格取込!$S$6:$S$405,MATCH(38&amp;"_"&amp;5,資格取込!$Z$6:$Z$405,0)),"")</f>
        <v/>
      </c>
      <c r="D975">
        <f>IFERROR(INDEX(資格取込!$R$6:$R$405,MATCH(38&amp;"_"&amp;5,資格取込!$Z$6:$Z$405,0)),"")</f>
        <v/>
      </c>
      <c r="E975">
        <f>IF(D975="","",IFERROR(INDEX(資格マスタ!$B:$B,MATCH(ASC(SUBSTITUTE(SUBSTITUTE(D975," ",""),"　","")),資格マスタ!$D:$D,0)),D975))</f>
        <v/>
      </c>
      <c r="F975">
        <f>IF(E975="","",IF(C975="",DATE(9999,1,1),C975))</f>
        <v/>
      </c>
      <c r="G975">
        <f>IF(E975="","",COUNTIFS($F$965:$F$990,"&lt;"&amp;F975,$F$965:$F$990,"&lt;&gt;")+COUNTIFS($F$965:$F$990,F975,$B$965:$B$990,"&lt;"&amp;B975)+1)</f>
        <v/>
      </c>
      <c r="H975">
        <f>IF(OR(E975="",C975=""),"",IF(C975&gt;=DATE(2019,5,1),"令和"&amp;(YEAR(C975)-2018),IF(C975&gt;=DATE(1989,1,8),"平成"&amp;(YEAR(C975)-1988),"昭和"&amp;(YEAR(C975)-1925)))&amp;"年"&amp;MONTH(C975)&amp;"月")</f>
        <v/>
      </c>
    </row>
    <row r="976">
      <c r="A976" t="n">
        <v>38</v>
      </c>
      <c r="B976" t="n">
        <v>12</v>
      </c>
      <c r="C976">
        <f>IFERROR(INDEX(資格取込!$S$6:$S$405,MATCH(38&amp;"_"&amp;6,資格取込!$Z$6:$Z$405,0)),"")</f>
        <v/>
      </c>
      <c r="D976">
        <f>IFERROR(INDEX(資格取込!$R$6:$R$405,MATCH(38&amp;"_"&amp;6,資格取込!$Z$6:$Z$405,0)),"")</f>
        <v/>
      </c>
      <c r="E976">
        <f>IF(D976="","",IFERROR(INDEX(資格マスタ!$B:$B,MATCH(ASC(SUBSTITUTE(SUBSTITUTE(D976," ",""),"　","")),資格マスタ!$D:$D,0)),D976))</f>
        <v/>
      </c>
      <c r="F976">
        <f>IF(E976="","",IF(C976="",DATE(9999,1,1),C976))</f>
        <v/>
      </c>
      <c r="G976">
        <f>IF(E976="","",COUNTIFS($F$965:$F$990,"&lt;"&amp;F976,$F$965:$F$990,"&lt;&gt;")+COUNTIFS($F$965:$F$990,F976,$B$965:$B$990,"&lt;"&amp;B976)+1)</f>
        <v/>
      </c>
      <c r="H976">
        <f>IF(OR(E976="",C976=""),"",IF(C976&gt;=DATE(2019,5,1),"令和"&amp;(YEAR(C976)-2018),IF(C976&gt;=DATE(1989,1,8),"平成"&amp;(YEAR(C976)-1988),"昭和"&amp;(YEAR(C976)-1925)))&amp;"年"&amp;MONTH(C976)&amp;"月")</f>
        <v/>
      </c>
    </row>
    <row r="977">
      <c r="A977" t="n">
        <v>38</v>
      </c>
      <c r="B977" t="n">
        <v>13</v>
      </c>
      <c r="C977">
        <f>IFERROR(INDEX(資格取込!$S$6:$S$405,MATCH(38&amp;"_"&amp;7,資格取込!$Z$6:$Z$405,0)),"")</f>
        <v/>
      </c>
      <c r="D977">
        <f>IFERROR(INDEX(資格取込!$R$6:$R$405,MATCH(38&amp;"_"&amp;7,資格取込!$Z$6:$Z$405,0)),"")</f>
        <v/>
      </c>
      <c r="E977">
        <f>IF(D977="","",IFERROR(INDEX(資格マスタ!$B:$B,MATCH(ASC(SUBSTITUTE(SUBSTITUTE(D977," ",""),"　","")),資格マスタ!$D:$D,0)),D977))</f>
        <v/>
      </c>
      <c r="F977">
        <f>IF(E977="","",IF(C977="",DATE(9999,1,1),C977))</f>
        <v/>
      </c>
      <c r="G977">
        <f>IF(E977="","",COUNTIFS($F$965:$F$990,"&lt;"&amp;F977,$F$965:$F$990,"&lt;&gt;")+COUNTIFS($F$965:$F$990,F977,$B$965:$B$990,"&lt;"&amp;B977)+1)</f>
        <v/>
      </c>
      <c r="H977">
        <f>IF(OR(E977="",C977=""),"",IF(C977&gt;=DATE(2019,5,1),"令和"&amp;(YEAR(C977)-2018),IF(C977&gt;=DATE(1989,1,8),"平成"&amp;(YEAR(C977)-1988),"昭和"&amp;(YEAR(C977)-1925)))&amp;"年"&amp;MONTH(C977)&amp;"月")</f>
        <v/>
      </c>
    </row>
    <row r="978">
      <c r="A978" t="n">
        <v>38</v>
      </c>
      <c r="B978" t="n">
        <v>14</v>
      </c>
      <c r="C978">
        <f>IFERROR(INDEX(資格取込!$S$6:$S$405,MATCH(38&amp;"_"&amp;8,資格取込!$Z$6:$Z$405,0)),"")</f>
        <v/>
      </c>
      <c r="D978">
        <f>IFERROR(INDEX(資格取込!$R$6:$R$405,MATCH(38&amp;"_"&amp;8,資格取込!$Z$6:$Z$405,0)),"")</f>
        <v/>
      </c>
      <c r="E978">
        <f>IF(D978="","",IFERROR(INDEX(資格マスタ!$B:$B,MATCH(ASC(SUBSTITUTE(SUBSTITUTE(D978," ",""),"　","")),資格マスタ!$D:$D,0)),D978))</f>
        <v/>
      </c>
      <c r="F978">
        <f>IF(E978="","",IF(C978="",DATE(9999,1,1),C978))</f>
        <v/>
      </c>
      <c r="G978">
        <f>IF(E978="","",COUNTIFS($F$965:$F$990,"&lt;"&amp;F978,$F$965:$F$990,"&lt;&gt;")+COUNTIFS($F$965:$F$990,F978,$B$965:$B$990,"&lt;"&amp;B978)+1)</f>
        <v/>
      </c>
      <c r="H978">
        <f>IF(OR(E978="",C978=""),"",IF(C978&gt;=DATE(2019,5,1),"令和"&amp;(YEAR(C978)-2018),IF(C978&gt;=DATE(1989,1,8),"平成"&amp;(YEAR(C978)-1988),"昭和"&amp;(YEAR(C978)-1925)))&amp;"年"&amp;MONTH(C978)&amp;"月")</f>
        <v/>
      </c>
    </row>
    <row r="979">
      <c r="A979" t="n">
        <v>38</v>
      </c>
      <c r="B979" t="n">
        <v>15</v>
      </c>
      <c r="C979">
        <f>IFERROR(INDEX(資格取込!$S$6:$S$405,MATCH(38&amp;"_"&amp;9,資格取込!$Z$6:$Z$405,0)),"")</f>
        <v/>
      </c>
      <c r="D979">
        <f>IFERROR(INDEX(資格取込!$R$6:$R$405,MATCH(38&amp;"_"&amp;9,資格取込!$Z$6:$Z$405,0)),"")</f>
        <v/>
      </c>
      <c r="E979">
        <f>IF(D979="","",IFERROR(INDEX(資格マスタ!$B:$B,MATCH(ASC(SUBSTITUTE(SUBSTITUTE(D979," ",""),"　","")),資格マスタ!$D:$D,0)),D979))</f>
        <v/>
      </c>
      <c r="F979">
        <f>IF(E979="","",IF(C979="",DATE(9999,1,1),C979))</f>
        <v/>
      </c>
      <c r="G979">
        <f>IF(E979="","",COUNTIFS($F$965:$F$990,"&lt;"&amp;F979,$F$965:$F$990,"&lt;&gt;")+COUNTIFS($F$965:$F$990,F979,$B$965:$B$990,"&lt;"&amp;B979)+1)</f>
        <v/>
      </c>
      <c r="H979">
        <f>IF(OR(E979="",C979=""),"",IF(C979&gt;=DATE(2019,5,1),"令和"&amp;(YEAR(C979)-2018),IF(C979&gt;=DATE(1989,1,8),"平成"&amp;(YEAR(C979)-1988),"昭和"&amp;(YEAR(C979)-1925)))&amp;"年"&amp;MONTH(C979)&amp;"月")</f>
        <v/>
      </c>
    </row>
    <row r="980">
      <c r="A980" t="n">
        <v>38</v>
      </c>
      <c r="B980" t="n">
        <v>16</v>
      </c>
      <c r="C980">
        <f>IFERROR(INDEX(資格取込!$S$6:$S$405,MATCH(38&amp;"_"&amp;10,資格取込!$Z$6:$Z$405,0)),"")</f>
        <v/>
      </c>
      <c r="D980">
        <f>IFERROR(INDEX(資格取込!$R$6:$R$405,MATCH(38&amp;"_"&amp;10,資格取込!$Z$6:$Z$405,0)),"")</f>
        <v/>
      </c>
      <c r="E980">
        <f>IF(D980="","",IFERROR(INDEX(資格マスタ!$B:$B,MATCH(ASC(SUBSTITUTE(SUBSTITUTE(D980," ",""),"　","")),資格マスタ!$D:$D,0)),D980))</f>
        <v/>
      </c>
      <c r="F980">
        <f>IF(E980="","",IF(C980="",DATE(9999,1,1),C980))</f>
        <v/>
      </c>
      <c r="G980">
        <f>IF(E980="","",COUNTIFS($F$965:$F$990,"&lt;"&amp;F980,$F$965:$F$990,"&lt;&gt;")+COUNTIFS($F$965:$F$990,F980,$B$965:$B$990,"&lt;"&amp;B980)+1)</f>
        <v/>
      </c>
      <c r="H980">
        <f>IF(OR(E980="",C980=""),"",IF(C980&gt;=DATE(2019,5,1),"令和"&amp;(YEAR(C980)-2018),IF(C980&gt;=DATE(1989,1,8),"平成"&amp;(YEAR(C980)-1988),"昭和"&amp;(YEAR(C980)-1925)))&amp;"年"&amp;MONTH(C980)&amp;"月")</f>
        <v/>
      </c>
    </row>
    <row r="981">
      <c r="A981" t="n">
        <v>38</v>
      </c>
      <c r="B981" t="n">
        <v>17</v>
      </c>
      <c r="C981">
        <f>IFERROR(INDEX(資格取込!$S$6:$S$405,MATCH(38&amp;"_"&amp;11,資格取込!$Z$6:$Z$405,0)),"")</f>
        <v/>
      </c>
      <c r="D981">
        <f>IFERROR(INDEX(資格取込!$R$6:$R$405,MATCH(38&amp;"_"&amp;11,資格取込!$Z$6:$Z$405,0)),"")</f>
        <v/>
      </c>
      <c r="E981">
        <f>IF(D981="","",IFERROR(INDEX(資格マスタ!$B:$B,MATCH(ASC(SUBSTITUTE(SUBSTITUTE(D981," ",""),"　","")),資格マスタ!$D:$D,0)),D981))</f>
        <v/>
      </c>
      <c r="F981">
        <f>IF(E981="","",IF(C981="",DATE(9999,1,1),C981))</f>
        <v/>
      </c>
      <c r="G981">
        <f>IF(E981="","",COUNTIFS($F$965:$F$990,"&lt;"&amp;F981,$F$965:$F$990,"&lt;&gt;")+COUNTIFS($F$965:$F$990,F981,$B$965:$B$990,"&lt;"&amp;B981)+1)</f>
        <v/>
      </c>
      <c r="H981">
        <f>IF(OR(E981="",C981=""),"",IF(C981&gt;=DATE(2019,5,1),"令和"&amp;(YEAR(C981)-2018),IF(C981&gt;=DATE(1989,1,8),"平成"&amp;(YEAR(C981)-1988),"昭和"&amp;(YEAR(C981)-1925)))&amp;"年"&amp;MONTH(C981)&amp;"月")</f>
        <v/>
      </c>
    </row>
    <row r="982">
      <c r="A982" t="n">
        <v>38</v>
      </c>
      <c r="B982" t="n">
        <v>18</v>
      </c>
      <c r="C982">
        <f>IFERROR(INDEX(資格取込!$S$6:$S$405,MATCH(38&amp;"_"&amp;12,資格取込!$Z$6:$Z$405,0)),"")</f>
        <v/>
      </c>
      <c r="D982">
        <f>IFERROR(INDEX(資格取込!$R$6:$R$405,MATCH(38&amp;"_"&amp;12,資格取込!$Z$6:$Z$405,0)),"")</f>
        <v/>
      </c>
      <c r="E982">
        <f>IF(D982="","",IFERROR(INDEX(資格マスタ!$B:$B,MATCH(ASC(SUBSTITUTE(SUBSTITUTE(D982," ",""),"　","")),資格マスタ!$D:$D,0)),D982))</f>
        <v/>
      </c>
      <c r="F982">
        <f>IF(E982="","",IF(C982="",DATE(9999,1,1),C982))</f>
        <v/>
      </c>
      <c r="G982">
        <f>IF(E982="","",COUNTIFS($F$965:$F$990,"&lt;"&amp;F982,$F$965:$F$990,"&lt;&gt;")+COUNTIFS($F$965:$F$990,F982,$B$965:$B$990,"&lt;"&amp;B982)+1)</f>
        <v/>
      </c>
      <c r="H982">
        <f>IF(OR(E982="",C982=""),"",IF(C982&gt;=DATE(2019,5,1),"令和"&amp;(YEAR(C982)-2018),IF(C982&gt;=DATE(1989,1,8),"平成"&amp;(YEAR(C982)-1988),"昭和"&amp;(YEAR(C982)-1925)))&amp;"年"&amp;MONTH(C982)&amp;"月")</f>
        <v/>
      </c>
    </row>
    <row r="983">
      <c r="A983" t="n">
        <v>38</v>
      </c>
      <c r="B983" t="n">
        <v>19</v>
      </c>
      <c r="C983">
        <f>IFERROR(INDEX(資格取込!$S$6:$S$405,MATCH(38&amp;"_"&amp;13,資格取込!$Z$6:$Z$405,0)),"")</f>
        <v/>
      </c>
      <c r="D983">
        <f>IFERROR(INDEX(資格取込!$R$6:$R$405,MATCH(38&amp;"_"&amp;13,資格取込!$Z$6:$Z$405,0)),"")</f>
        <v/>
      </c>
      <c r="E983">
        <f>IF(D983="","",IFERROR(INDEX(資格マスタ!$B:$B,MATCH(ASC(SUBSTITUTE(SUBSTITUTE(D983," ",""),"　","")),資格マスタ!$D:$D,0)),D983))</f>
        <v/>
      </c>
      <c r="F983">
        <f>IF(E983="","",IF(C983="",DATE(9999,1,1),C983))</f>
        <v/>
      </c>
      <c r="G983">
        <f>IF(E983="","",COUNTIFS($F$965:$F$990,"&lt;"&amp;F983,$F$965:$F$990,"&lt;&gt;")+COUNTIFS($F$965:$F$990,F983,$B$965:$B$990,"&lt;"&amp;B983)+1)</f>
        <v/>
      </c>
      <c r="H983">
        <f>IF(OR(E983="",C983=""),"",IF(C983&gt;=DATE(2019,5,1),"令和"&amp;(YEAR(C983)-2018),IF(C983&gt;=DATE(1989,1,8),"平成"&amp;(YEAR(C983)-1988),"昭和"&amp;(YEAR(C983)-1925)))&amp;"年"&amp;MONTH(C983)&amp;"月")</f>
        <v/>
      </c>
    </row>
    <row r="984">
      <c r="A984" t="n">
        <v>38</v>
      </c>
      <c r="B984" t="n">
        <v>20</v>
      </c>
      <c r="C984">
        <f>IFERROR(INDEX(資格取込!$S$6:$S$405,MATCH(38&amp;"_"&amp;14,資格取込!$Z$6:$Z$405,0)),"")</f>
        <v/>
      </c>
      <c r="D984">
        <f>IFERROR(INDEX(資格取込!$R$6:$R$405,MATCH(38&amp;"_"&amp;14,資格取込!$Z$6:$Z$405,0)),"")</f>
        <v/>
      </c>
      <c r="E984">
        <f>IF(D984="","",IFERROR(INDEX(資格マスタ!$B:$B,MATCH(ASC(SUBSTITUTE(SUBSTITUTE(D984," ",""),"　","")),資格マスタ!$D:$D,0)),D984))</f>
        <v/>
      </c>
      <c r="F984">
        <f>IF(E984="","",IF(C984="",DATE(9999,1,1),C984))</f>
        <v/>
      </c>
      <c r="G984">
        <f>IF(E984="","",COUNTIFS($F$965:$F$990,"&lt;"&amp;F984,$F$965:$F$990,"&lt;&gt;")+COUNTIFS($F$965:$F$990,F984,$B$965:$B$990,"&lt;"&amp;B984)+1)</f>
        <v/>
      </c>
      <c r="H984">
        <f>IF(OR(E984="",C984=""),"",IF(C984&gt;=DATE(2019,5,1),"令和"&amp;(YEAR(C984)-2018),IF(C984&gt;=DATE(1989,1,8),"平成"&amp;(YEAR(C984)-1988),"昭和"&amp;(YEAR(C984)-1925)))&amp;"年"&amp;MONTH(C984)&amp;"月")</f>
        <v/>
      </c>
    </row>
    <row r="985">
      <c r="A985" t="n">
        <v>38</v>
      </c>
      <c r="B985" t="n">
        <v>21</v>
      </c>
      <c r="C985">
        <f>IFERROR(INDEX(資格取込!$S$6:$S$405,MATCH(38&amp;"_"&amp;15,資格取込!$Z$6:$Z$405,0)),"")</f>
        <v/>
      </c>
      <c r="D985">
        <f>IFERROR(INDEX(資格取込!$R$6:$R$405,MATCH(38&amp;"_"&amp;15,資格取込!$Z$6:$Z$405,0)),"")</f>
        <v/>
      </c>
      <c r="E985">
        <f>IF(D985="","",IFERROR(INDEX(資格マスタ!$B:$B,MATCH(ASC(SUBSTITUTE(SUBSTITUTE(D985," ",""),"　","")),資格マスタ!$D:$D,0)),D985))</f>
        <v/>
      </c>
      <c r="F985">
        <f>IF(E985="","",IF(C985="",DATE(9999,1,1),C985))</f>
        <v/>
      </c>
      <c r="G985">
        <f>IF(E985="","",COUNTIFS($F$965:$F$990,"&lt;"&amp;F985,$F$965:$F$990,"&lt;&gt;")+COUNTIFS($F$965:$F$990,F985,$B$965:$B$990,"&lt;"&amp;B985)+1)</f>
        <v/>
      </c>
      <c r="H985">
        <f>IF(OR(E985="",C985=""),"",IF(C985&gt;=DATE(2019,5,1),"令和"&amp;(YEAR(C985)-2018),IF(C985&gt;=DATE(1989,1,8),"平成"&amp;(YEAR(C985)-1988),"昭和"&amp;(YEAR(C985)-1925)))&amp;"年"&amp;MONTH(C985)&amp;"月")</f>
        <v/>
      </c>
    </row>
    <row r="986">
      <c r="A986" t="n">
        <v>38</v>
      </c>
      <c r="B986" t="n">
        <v>22</v>
      </c>
      <c r="C986">
        <f>IFERROR(INDEX(資格取込!$S$6:$S$405,MATCH(38&amp;"_"&amp;16,資格取込!$Z$6:$Z$405,0)),"")</f>
        <v/>
      </c>
      <c r="D986">
        <f>IFERROR(INDEX(資格取込!$R$6:$R$405,MATCH(38&amp;"_"&amp;16,資格取込!$Z$6:$Z$405,0)),"")</f>
        <v/>
      </c>
      <c r="E986">
        <f>IF(D986="","",IFERROR(INDEX(資格マスタ!$B:$B,MATCH(ASC(SUBSTITUTE(SUBSTITUTE(D986," ",""),"　","")),資格マスタ!$D:$D,0)),D986))</f>
        <v/>
      </c>
      <c r="F986">
        <f>IF(E986="","",IF(C986="",DATE(9999,1,1),C986))</f>
        <v/>
      </c>
      <c r="G986">
        <f>IF(E986="","",COUNTIFS($F$965:$F$990,"&lt;"&amp;F986,$F$965:$F$990,"&lt;&gt;")+COUNTIFS($F$965:$F$990,F986,$B$965:$B$990,"&lt;"&amp;B986)+1)</f>
        <v/>
      </c>
      <c r="H986">
        <f>IF(OR(E986="",C986=""),"",IF(C986&gt;=DATE(2019,5,1),"令和"&amp;(YEAR(C986)-2018),IF(C986&gt;=DATE(1989,1,8),"平成"&amp;(YEAR(C986)-1988),"昭和"&amp;(YEAR(C986)-1925)))&amp;"年"&amp;MONTH(C986)&amp;"月")</f>
        <v/>
      </c>
    </row>
    <row r="987">
      <c r="A987" t="n">
        <v>38</v>
      </c>
      <c r="B987" t="n">
        <v>23</v>
      </c>
      <c r="C987">
        <f>IFERROR(INDEX(資格取込!$S$6:$S$405,MATCH(38&amp;"_"&amp;17,資格取込!$Z$6:$Z$405,0)),"")</f>
        <v/>
      </c>
      <c r="D987">
        <f>IFERROR(INDEX(資格取込!$R$6:$R$405,MATCH(38&amp;"_"&amp;17,資格取込!$Z$6:$Z$405,0)),"")</f>
        <v/>
      </c>
      <c r="E987">
        <f>IF(D987="","",IFERROR(INDEX(資格マスタ!$B:$B,MATCH(ASC(SUBSTITUTE(SUBSTITUTE(D987," ",""),"　","")),資格マスタ!$D:$D,0)),D987))</f>
        <v/>
      </c>
      <c r="F987">
        <f>IF(E987="","",IF(C987="",DATE(9999,1,1),C987))</f>
        <v/>
      </c>
      <c r="G987">
        <f>IF(E987="","",COUNTIFS($F$965:$F$990,"&lt;"&amp;F987,$F$965:$F$990,"&lt;&gt;")+COUNTIFS($F$965:$F$990,F987,$B$965:$B$990,"&lt;"&amp;B987)+1)</f>
        <v/>
      </c>
      <c r="H987">
        <f>IF(OR(E987="",C987=""),"",IF(C987&gt;=DATE(2019,5,1),"令和"&amp;(YEAR(C987)-2018),IF(C987&gt;=DATE(1989,1,8),"平成"&amp;(YEAR(C987)-1988),"昭和"&amp;(YEAR(C987)-1925)))&amp;"年"&amp;MONTH(C987)&amp;"月")</f>
        <v/>
      </c>
    </row>
    <row r="988">
      <c r="A988" t="n">
        <v>38</v>
      </c>
      <c r="B988" t="n">
        <v>24</v>
      </c>
      <c r="C988">
        <f>IFERROR(INDEX(資格取込!$S$6:$S$405,MATCH(38&amp;"_"&amp;18,資格取込!$Z$6:$Z$405,0)),"")</f>
        <v/>
      </c>
      <c r="D988">
        <f>IFERROR(INDEX(資格取込!$R$6:$R$405,MATCH(38&amp;"_"&amp;18,資格取込!$Z$6:$Z$405,0)),"")</f>
        <v/>
      </c>
      <c r="E988">
        <f>IF(D988="","",IFERROR(INDEX(資格マスタ!$B:$B,MATCH(ASC(SUBSTITUTE(SUBSTITUTE(D988," ",""),"　","")),資格マスタ!$D:$D,0)),D988))</f>
        <v/>
      </c>
      <c r="F988">
        <f>IF(E988="","",IF(C988="",DATE(9999,1,1),C988))</f>
        <v/>
      </c>
      <c r="G988">
        <f>IF(E988="","",COUNTIFS($F$965:$F$990,"&lt;"&amp;F988,$F$965:$F$990,"&lt;&gt;")+COUNTIFS($F$965:$F$990,F988,$B$965:$B$990,"&lt;"&amp;B988)+1)</f>
        <v/>
      </c>
      <c r="H988">
        <f>IF(OR(E988="",C988=""),"",IF(C988&gt;=DATE(2019,5,1),"令和"&amp;(YEAR(C988)-2018),IF(C988&gt;=DATE(1989,1,8),"平成"&amp;(YEAR(C988)-1988),"昭和"&amp;(YEAR(C988)-1925)))&amp;"年"&amp;MONTH(C988)&amp;"月")</f>
        <v/>
      </c>
    </row>
    <row r="989">
      <c r="A989" t="n">
        <v>38</v>
      </c>
      <c r="B989" t="n">
        <v>25</v>
      </c>
      <c r="C989">
        <f>IFERROR(INDEX(資格取込!$S$6:$S$405,MATCH(38&amp;"_"&amp;19,資格取込!$Z$6:$Z$405,0)),"")</f>
        <v/>
      </c>
      <c r="D989">
        <f>IFERROR(INDEX(資格取込!$R$6:$R$405,MATCH(38&amp;"_"&amp;19,資格取込!$Z$6:$Z$405,0)),"")</f>
        <v/>
      </c>
      <c r="E989">
        <f>IF(D989="","",IFERROR(INDEX(資格マスタ!$B:$B,MATCH(ASC(SUBSTITUTE(SUBSTITUTE(D989," ",""),"　","")),資格マスタ!$D:$D,0)),D989))</f>
        <v/>
      </c>
      <c r="F989">
        <f>IF(E989="","",IF(C989="",DATE(9999,1,1),C989))</f>
        <v/>
      </c>
      <c r="G989">
        <f>IF(E989="","",COUNTIFS($F$965:$F$990,"&lt;"&amp;F989,$F$965:$F$990,"&lt;&gt;")+COUNTIFS($F$965:$F$990,F989,$B$965:$B$990,"&lt;"&amp;B989)+1)</f>
        <v/>
      </c>
      <c r="H989">
        <f>IF(OR(E989="",C989=""),"",IF(C989&gt;=DATE(2019,5,1),"令和"&amp;(YEAR(C989)-2018),IF(C989&gt;=DATE(1989,1,8),"平成"&amp;(YEAR(C989)-1988),"昭和"&amp;(YEAR(C989)-1925)))&amp;"年"&amp;MONTH(C989)&amp;"月")</f>
        <v/>
      </c>
    </row>
    <row r="990">
      <c r="A990" t="n">
        <v>38</v>
      </c>
      <c r="B990" t="n">
        <v>26</v>
      </c>
      <c r="C990">
        <f>IFERROR(INDEX(資格取込!$S$6:$S$405,MATCH(38&amp;"_"&amp;20,資格取込!$Z$6:$Z$405,0)),"")</f>
        <v/>
      </c>
      <c r="D990">
        <f>IFERROR(INDEX(資格取込!$R$6:$R$405,MATCH(38&amp;"_"&amp;20,資格取込!$Z$6:$Z$405,0)),"")</f>
        <v/>
      </c>
      <c r="E990">
        <f>IF(D990="","",IFERROR(INDEX(資格マスタ!$B:$B,MATCH(ASC(SUBSTITUTE(SUBSTITUTE(D990," ",""),"　","")),資格マスタ!$D:$D,0)),D990))</f>
        <v/>
      </c>
      <c r="F990">
        <f>IF(E990="","",IF(C990="",DATE(9999,1,1),C990))</f>
        <v/>
      </c>
      <c r="G990">
        <f>IF(E990="","",COUNTIFS($F$965:$F$990,"&lt;"&amp;F990,$F$965:$F$990,"&lt;&gt;")+COUNTIFS($F$965:$F$990,F990,$B$965:$B$990,"&lt;"&amp;B990)+1)</f>
        <v/>
      </c>
      <c r="H990">
        <f>IF(OR(E990="",C990=""),"",IF(C990&gt;=DATE(2019,5,1),"令和"&amp;(YEAR(C990)-2018),IF(C990&gt;=DATE(1989,1,8),"平成"&amp;(YEAR(C990)-1988),"昭和"&amp;(YEAR(C990)-1925)))&amp;"年"&amp;MONTH(C990)&amp;"月")</f>
        <v/>
      </c>
    </row>
    <row r="991">
      <c r="A991" t="n">
        <v>39</v>
      </c>
      <c r="B991" t="n">
        <v>1</v>
      </c>
      <c r="C991"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991">
        <f>IF(入力!N43="","",入力!N43)</f>
        <v/>
      </c>
      <c r="E991">
        <f>IF(D991="","",IFERROR(INDEX(資格マスタ!$B:$B,MATCH(ASC(SUBSTITUTE(SUBSTITUTE(D991," ",""),"　","")),資格マスタ!$D:$D,0)),D991))</f>
        <v/>
      </c>
      <c r="F991">
        <f>IF(E991="","",IF(C991="",DATE(9999,1,1),C991))</f>
        <v/>
      </c>
      <c r="G991">
        <f>IF(E991="","",COUNTIFS($F$991:$F$1016,"&lt;"&amp;F991,$F$991:$F$1016,"&lt;&gt;")+COUNTIFS($F$991:$F$1016,F991,$B$991:$B$1016,"&lt;"&amp;B991)+1)</f>
        <v/>
      </c>
      <c r="H991">
        <f>IF(OR(E991="",C991=""),"",IF(C991&gt;=DATE(2019,5,1),"令和"&amp;(YEAR(C991)-2018),IF(C991&gt;=DATE(1989,1,8),"平成"&amp;(YEAR(C991)-1988),"昭和"&amp;(YEAR(C991)-1925)))&amp;"年"&amp;MONTH(C991)&amp;"月")</f>
        <v/>
      </c>
    </row>
    <row r="992">
      <c r="A992" t="n">
        <v>39</v>
      </c>
      <c r="B992" t="n">
        <v>2</v>
      </c>
      <c r="C992">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992">
        <f>IF(入力!P43="","",入力!P43)</f>
        <v/>
      </c>
      <c r="E992">
        <f>IF(D992="","",IFERROR(INDEX(資格マスタ!$B:$B,MATCH(ASC(SUBSTITUTE(SUBSTITUTE(D992," ",""),"　","")),資格マスタ!$D:$D,0)),D992))</f>
        <v/>
      </c>
      <c r="F992">
        <f>IF(E992="","",IF(C992="",DATE(9999,1,1),C992))</f>
        <v/>
      </c>
      <c r="G992">
        <f>IF(E992="","",COUNTIFS($F$991:$F$1016,"&lt;"&amp;F992,$F$991:$F$1016,"&lt;&gt;")+COUNTIFS($F$991:$F$1016,F992,$B$991:$B$1016,"&lt;"&amp;B992)+1)</f>
        <v/>
      </c>
      <c r="H992">
        <f>IF(OR(E992="",C992=""),"",IF(C992&gt;=DATE(2019,5,1),"令和"&amp;(YEAR(C992)-2018),IF(C992&gt;=DATE(1989,1,8),"平成"&amp;(YEAR(C992)-1988),"昭和"&amp;(YEAR(C992)-1925)))&amp;"年"&amp;MONTH(C992)&amp;"月")</f>
        <v/>
      </c>
    </row>
    <row r="993">
      <c r="A993" t="n">
        <v>39</v>
      </c>
      <c r="B993" t="n">
        <v>3</v>
      </c>
      <c r="C993">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993">
        <f>IF(入力!R43="","",入力!R43)</f>
        <v/>
      </c>
      <c r="E993">
        <f>IF(D993="","",IFERROR(INDEX(資格マスタ!$B:$B,MATCH(ASC(SUBSTITUTE(SUBSTITUTE(D993," ",""),"　","")),資格マスタ!$D:$D,0)),D993))</f>
        <v/>
      </c>
      <c r="F993">
        <f>IF(E993="","",IF(C993="",DATE(9999,1,1),C993))</f>
        <v/>
      </c>
      <c r="G993">
        <f>IF(E993="","",COUNTIFS($F$991:$F$1016,"&lt;"&amp;F993,$F$991:$F$1016,"&lt;&gt;")+COUNTIFS($F$991:$F$1016,F993,$B$991:$B$1016,"&lt;"&amp;B993)+1)</f>
        <v/>
      </c>
      <c r="H993">
        <f>IF(OR(E993="",C993=""),"",IF(C993&gt;=DATE(2019,5,1),"令和"&amp;(YEAR(C993)-2018),IF(C993&gt;=DATE(1989,1,8),"平成"&amp;(YEAR(C993)-1988),"昭和"&amp;(YEAR(C993)-1925)))&amp;"年"&amp;MONTH(C993)&amp;"月")</f>
        <v/>
      </c>
    </row>
    <row r="994">
      <c r="A994" t="n">
        <v>39</v>
      </c>
      <c r="B994" t="n">
        <v>4</v>
      </c>
      <c r="C994">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994">
        <f>IF(入力!T43="","",入力!T43)</f>
        <v/>
      </c>
      <c r="E994">
        <f>IF(D994="","",IFERROR(INDEX(資格マスタ!$B:$B,MATCH(ASC(SUBSTITUTE(SUBSTITUTE(D994," ",""),"　","")),資格マスタ!$D:$D,0)),D994))</f>
        <v/>
      </c>
      <c r="F994">
        <f>IF(E994="","",IF(C994="",DATE(9999,1,1),C994))</f>
        <v/>
      </c>
      <c r="G994">
        <f>IF(E994="","",COUNTIFS($F$991:$F$1016,"&lt;"&amp;F994,$F$991:$F$1016,"&lt;&gt;")+COUNTIFS($F$991:$F$1016,F994,$B$991:$B$1016,"&lt;"&amp;B994)+1)</f>
        <v/>
      </c>
      <c r="H994">
        <f>IF(OR(E994="",C994=""),"",IF(C994&gt;=DATE(2019,5,1),"令和"&amp;(YEAR(C994)-2018),IF(C994&gt;=DATE(1989,1,8),"平成"&amp;(YEAR(C994)-1988),"昭和"&amp;(YEAR(C994)-1925)))&amp;"年"&amp;MONTH(C994)&amp;"月")</f>
        <v/>
      </c>
    </row>
    <row r="995">
      <c r="A995" t="n">
        <v>39</v>
      </c>
      <c r="B995" t="n">
        <v>5</v>
      </c>
      <c r="C995">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995">
        <f>IF(入力!V43="","",入力!V43)</f>
        <v/>
      </c>
      <c r="E995">
        <f>IF(D995="","",IFERROR(INDEX(資格マスタ!$B:$B,MATCH(ASC(SUBSTITUTE(SUBSTITUTE(D995," ",""),"　","")),資格マスタ!$D:$D,0)),D995))</f>
        <v/>
      </c>
      <c r="F995">
        <f>IF(E995="","",IF(C995="",DATE(9999,1,1),C995))</f>
        <v/>
      </c>
      <c r="G995">
        <f>IF(E995="","",COUNTIFS($F$991:$F$1016,"&lt;"&amp;F995,$F$991:$F$1016,"&lt;&gt;")+COUNTIFS($F$991:$F$1016,F995,$B$991:$B$1016,"&lt;"&amp;B995)+1)</f>
        <v/>
      </c>
      <c r="H995">
        <f>IF(OR(E995="",C995=""),"",IF(C995&gt;=DATE(2019,5,1),"令和"&amp;(YEAR(C995)-2018),IF(C995&gt;=DATE(1989,1,8),"平成"&amp;(YEAR(C995)-1988),"昭和"&amp;(YEAR(C995)-1925)))&amp;"年"&amp;MONTH(C995)&amp;"月")</f>
        <v/>
      </c>
    </row>
    <row r="996">
      <c r="A996" t="n">
        <v>39</v>
      </c>
      <c r="B996" t="n">
        <v>6</v>
      </c>
      <c r="C996">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996">
        <f>IF(入力!X43="","",入力!X43)</f>
        <v/>
      </c>
      <c r="E996">
        <f>IF(D996="","",IFERROR(INDEX(資格マスタ!$B:$B,MATCH(ASC(SUBSTITUTE(SUBSTITUTE(D996," ",""),"　","")),資格マスタ!$D:$D,0)),D996))</f>
        <v/>
      </c>
      <c r="F996">
        <f>IF(E996="","",IF(C996="",DATE(9999,1,1),C996))</f>
        <v/>
      </c>
      <c r="G996">
        <f>IF(E996="","",COUNTIFS($F$991:$F$1016,"&lt;"&amp;F996,$F$991:$F$1016,"&lt;&gt;")+COUNTIFS($F$991:$F$1016,F996,$B$991:$B$1016,"&lt;"&amp;B996)+1)</f>
        <v/>
      </c>
      <c r="H996">
        <f>IF(OR(E996="",C996=""),"",IF(C996&gt;=DATE(2019,5,1),"令和"&amp;(YEAR(C996)-2018),IF(C996&gt;=DATE(1989,1,8),"平成"&amp;(YEAR(C996)-1988),"昭和"&amp;(YEAR(C996)-1925)))&amp;"年"&amp;MONTH(C996)&amp;"月")</f>
        <v/>
      </c>
    </row>
    <row r="997">
      <c r="A997" t="n">
        <v>39</v>
      </c>
      <c r="B997" t="n">
        <v>7</v>
      </c>
      <c r="C997">
        <f>IFERROR(INDEX(資格取込!$S$6:$S$405,MATCH(39&amp;"_"&amp;1,資格取込!$Z$6:$Z$405,0)),"")</f>
        <v/>
      </c>
      <c r="D997">
        <f>IFERROR(INDEX(資格取込!$R$6:$R$405,MATCH(39&amp;"_"&amp;1,資格取込!$Z$6:$Z$405,0)),"")</f>
        <v/>
      </c>
      <c r="E997">
        <f>IF(D997="","",IFERROR(INDEX(資格マスタ!$B:$B,MATCH(ASC(SUBSTITUTE(SUBSTITUTE(D997," ",""),"　","")),資格マスタ!$D:$D,0)),D997))</f>
        <v/>
      </c>
      <c r="F997">
        <f>IF(E997="","",IF(C997="",DATE(9999,1,1),C997))</f>
        <v/>
      </c>
      <c r="G997">
        <f>IF(E997="","",COUNTIFS($F$991:$F$1016,"&lt;"&amp;F997,$F$991:$F$1016,"&lt;&gt;")+COUNTIFS($F$991:$F$1016,F997,$B$991:$B$1016,"&lt;"&amp;B997)+1)</f>
        <v/>
      </c>
      <c r="H997">
        <f>IF(OR(E997="",C997=""),"",IF(C997&gt;=DATE(2019,5,1),"令和"&amp;(YEAR(C997)-2018),IF(C997&gt;=DATE(1989,1,8),"平成"&amp;(YEAR(C997)-1988),"昭和"&amp;(YEAR(C997)-1925)))&amp;"年"&amp;MONTH(C997)&amp;"月")</f>
        <v/>
      </c>
    </row>
    <row r="998">
      <c r="A998" t="n">
        <v>39</v>
      </c>
      <c r="B998" t="n">
        <v>8</v>
      </c>
      <c r="C998">
        <f>IFERROR(INDEX(資格取込!$S$6:$S$405,MATCH(39&amp;"_"&amp;2,資格取込!$Z$6:$Z$405,0)),"")</f>
        <v/>
      </c>
      <c r="D998">
        <f>IFERROR(INDEX(資格取込!$R$6:$R$405,MATCH(39&amp;"_"&amp;2,資格取込!$Z$6:$Z$405,0)),"")</f>
        <v/>
      </c>
      <c r="E998">
        <f>IF(D998="","",IFERROR(INDEX(資格マスタ!$B:$B,MATCH(ASC(SUBSTITUTE(SUBSTITUTE(D998," ",""),"　","")),資格マスタ!$D:$D,0)),D998))</f>
        <v/>
      </c>
      <c r="F998">
        <f>IF(E998="","",IF(C998="",DATE(9999,1,1),C998))</f>
        <v/>
      </c>
      <c r="G998">
        <f>IF(E998="","",COUNTIFS($F$991:$F$1016,"&lt;"&amp;F998,$F$991:$F$1016,"&lt;&gt;")+COUNTIFS($F$991:$F$1016,F998,$B$991:$B$1016,"&lt;"&amp;B998)+1)</f>
        <v/>
      </c>
      <c r="H998">
        <f>IF(OR(E998="",C998=""),"",IF(C998&gt;=DATE(2019,5,1),"令和"&amp;(YEAR(C998)-2018),IF(C998&gt;=DATE(1989,1,8),"平成"&amp;(YEAR(C998)-1988),"昭和"&amp;(YEAR(C998)-1925)))&amp;"年"&amp;MONTH(C998)&amp;"月")</f>
        <v/>
      </c>
    </row>
    <row r="999">
      <c r="A999" t="n">
        <v>39</v>
      </c>
      <c r="B999" t="n">
        <v>9</v>
      </c>
      <c r="C999">
        <f>IFERROR(INDEX(資格取込!$S$6:$S$405,MATCH(39&amp;"_"&amp;3,資格取込!$Z$6:$Z$405,0)),"")</f>
        <v/>
      </c>
      <c r="D999">
        <f>IFERROR(INDEX(資格取込!$R$6:$R$405,MATCH(39&amp;"_"&amp;3,資格取込!$Z$6:$Z$405,0)),"")</f>
        <v/>
      </c>
      <c r="E999">
        <f>IF(D999="","",IFERROR(INDEX(資格マスタ!$B:$B,MATCH(ASC(SUBSTITUTE(SUBSTITUTE(D999," ",""),"　","")),資格マスタ!$D:$D,0)),D999))</f>
        <v/>
      </c>
      <c r="F999">
        <f>IF(E999="","",IF(C999="",DATE(9999,1,1),C999))</f>
        <v/>
      </c>
      <c r="G999">
        <f>IF(E999="","",COUNTIFS($F$991:$F$1016,"&lt;"&amp;F999,$F$991:$F$1016,"&lt;&gt;")+COUNTIFS($F$991:$F$1016,F999,$B$991:$B$1016,"&lt;"&amp;B999)+1)</f>
        <v/>
      </c>
      <c r="H999">
        <f>IF(OR(E999="",C999=""),"",IF(C999&gt;=DATE(2019,5,1),"令和"&amp;(YEAR(C999)-2018),IF(C999&gt;=DATE(1989,1,8),"平成"&amp;(YEAR(C999)-1988),"昭和"&amp;(YEAR(C999)-1925)))&amp;"年"&amp;MONTH(C999)&amp;"月")</f>
        <v/>
      </c>
    </row>
    <row r="1000">
      <c r="A1000" t="n">
        <v>39</v>
      </c>
      <c r="B1000" t="n">
        <v>10</v>
      </c>
      <c r="C1000">
        <f>IFERROR(INDEX(資格取込!$S$6:$S$405,MATCH(39&amp;"_"&amp;4,資格取込!$Z$6:$Z$405,0)),"")</f>
        <v/>
      </c>
      <c r="D1000">
        <f>IFERROR(INDEX(資格取込!$R$6:$R$405,MATCH(39&amp;"_"&amp;4,資格取込!$Z$6:$Z$405,0)),"")</f>
        <v/>
      </c>
      <c r="E1000">
        <f>IF(D1000="","",IFERROR(INDEX(資格マスタ!$B:$B,MATCH(ASC(SUBSTITUTE(SUBSTITUTE(D1000," ",""),"　","")),資格マスタ!$D:$D,0)),D1000))</f>
        <v/>
      </c>
      <c r="F1000">
        <f>IF(E1000="","",IF(C1000="",DATE(9999,1,1),C1000))</f>
        <v/>
      </c>
      <c r="G1000">
        <f>IF(E1000="","",COUNTIFS($F$991:$F$1016,"&lt;"&amp;F1000,$F$991:$F$1016,"&lt;&gt;")+COUNTIFS($F$991:$F$1016,F1000,$B$991:$B$1016,"&lt;"&amp;B1000)+1)</f>
        <v/>
      </c>
      <c r="H1000">
        <f>IF(OR(E1000="",C1000=""),"",IF(C1000&gt;=DATE(2019,5,1),"令和"&amp;(YEAR(C1000)-2018),IF(C1000&gt;=DATE(1989,1,8),"平成"&amp;(YEAR(C1000)-1988),"昭和"&amp;(YEAR(C1000)-1925)))&amp;"年"&amp;MONTH(C1000)&amp;"月")</f>
        <v/>
      </c>
    </row>
    <row r="1001">
      <c r="A1001" t="n">
        <v>39</v>
      </c>
      <c r="B1001" t="n">
        <v>11</v>
      </c>
      <c r="C1001">
        <f>IFERROR(INDEX(資格取込!$S$6:$S$405,MATCH(39&amp;"_"&amp;5,資格取込!$Z$6:$Z$405,0)),"")</f>
        <v/>
      </c>
      <c r="D1001">
        <f>IFERROR(INDEX(資格取込!$R$6:$R$405,MATCH(39&amp;"_"&amp;5,資格取込!$Z$6:$Z$405,0)),"")</f>
        <v/>
      </c>
      <c r="E1001">
        <f>IF(D1001="","",IFERROR(INDEX(資格マスタ!$B:$B,MATCH(ASC(SUBSTITUTE(SUBSTITUTE(D1001," ",""),"　","")),資格マスタ!$D:$D,0)),D1001))</f>
        <v/>
      </c>
      <c r="F1001">
        <f>IF(E1001="","",IF(C1001="",DATE(9999,1,1),C1001))</f>
        <v/>
      </c>
      <c r="G1001">
        <f>IF(E1001="","",COUNTIFS($F$991:$F$1016,"&lt;"&amp;F1001,$F$991:$F$1016,"&lt;&gt;")+COUNTIFS($F$991:$F$1016,F1001,$B$991:$B$1016,"&lt;"&amp;B1001)+1)</f>
        <v/>
      </c>
      <c r="H1001">
        <f>IF(OR(E1001="",C1001=""),"",IF(C1001&gt;=DATE(2019,5,1),"令和"&amp;(YEAR(C1001)-2018),IF(C1001&gt;=DATE(1989,1,8),"平成"&amp;(YEAR(C1001)-1988),"昭和"&amp;(YEAR(C1001)-1925)))&amp;"年"&amp;MONTH(C1001)&amp;"月")</f>
        <v/>
      </c>
    </row>
    <row r="1002">
      <c r="A1002" t="n">
        <v>39</v>
      </c>
      <c r="B1002" t="n">
        <v>12</v>
      </c>
      <c r="C1002">
        <f>IFERROR(INDEX(資格取込!$S$6:$S$405,MATCH(39&amp;"_"&amp;6,資格取込!$Z$6:$Z$405,0)),"")</f>
        <v/>
      </c>
      <c r="D1002">
        <f>IFERROR(INDEX(資格取込!$R$6:$R$405,MATCH(39&amp;"_"&amp;6,資格取込!$Z$6:$Z$405,0)),"")</f>
        <v/>
      </c>
      <c r="E1002">
        <f>IF(D1002="","",IFERROR(INDEX(資格マスタ!$B:$B,MATCH(ASC(SUBSTITUTE(SUBSTITUTE(D1002," ",""),"　","")),資格マスタ!$D:$D,0)),D1002))</f>
        <v/>
      </c>
      <c r="F1002">
        <f>IF(E1002="","",IF(C1002="",DATE(9999,1,1),C1002))</f>
        <v/>
      </c>
      <c r="G1002">
        <f>IF(E1002="","",COUNTIFS($F$991:$F$1016,"&lt;"&amp;F1002,$F$991:$F$1016,"&lt;&gt;")+COUNTIFS($F$991:$F$1016,F1002,$B$991:$B$1016,"&lt;"&amp;B1002)+1)</f>
        <v/>
      </c>
      <c r="H1002">
        <f>IF(OR(E1002="",C1002=""),"",IF(C1002&gt;=DATE(2019,5,1),"令和"&amp;(YEAR(C1002)-2018),IF(C1002&gt;=DATE(1989,1,8),"平成"&amp;(YEAR(C1002)-1988),"昭和"&amp;(YEAR(C1002)-1925)))&amp;"年"&amp;MONTH(C1002)&amp;"月")</f>
        <v/>
      </c>
    </row>
    <row r="1003">
      <c r="A1003" t="n">
        <v>39</v>
      </c>
      <c r="B1003" t="n">
        <v>13</v>
      </c>
      <c r="C1003">
        <f>IFERROR(INDEX(資格取込!$S$6:$S$405,MATCH(39&amp;"_"&amp;7,資格取込!$Z$6:$Z$405,0)),"")</f>
        <v/>
      </c>
      <c r="D1003">
        <f>IFERROR(INDEX(資格取込!$R$6:$R$405,MATCH(39&amp;"_"&amp;7,資格取込!$Z$6:$Z$405,0)),"")</f>
        <v/>
      </c>
      <c r="E1003">
        <f>IF(D1003="","",IFERROR(INDEX(資格マスタ!$B:$B,MATCH(ASC(SUBSTITUTE(SUBSTITUTE(D1003," ",""),"　","")),資格マスタ!$D:$D,0)),D1003))</f>
        <v/>
      </c>
      <c r="F1003">
        <f>IF(E1003="","",IF(C1003="",DATE(9999,1,1),C1003))</f>
        <v/>
      </c>
      <c r="G1003">
        <f>IF(E1003="","",COUNTIFS($F$991:$F$1016,"&lt;"&amp;F1003,$F$991:$F$1016,"&lt;&gt;")+COUNTIFS($F$991:$F$1016,F1003,$B$991:$B$1016,"&lt;"&amp;B1003)+1)</f>
        <v/>
      </c>
      <c r="H1003">
        <f>IF(OR(E1003="",C1003=""),"",IF(C1003&gt;=DATE(2019,5,1),"令和"&amp;(YEAR(C1003)-2018),IF(C1003&gt;=DATE(1989,1,8),"平成"&amp;(YEAR(C1003)-1988),"昭和"&amp;(YEAR(C1003)-1925)))&amp;"年"&amp;MONTH(C1003)&amp;"月")</f>
        <v/>
      </c>
    </row>
    <row r="1004">
      <c r="A1004" t="n">
        <v>39</v>
      </c>
      <c r="B1004" t="n">
        <v>14</v>
      </c>
      <c r="C1004">
        <f>IFERROR(INDEX(資格取込!$S$6:$S$405,MATCH(39&amp;"_"&amp;8,資格取込!$Z$6:$Z$405,0)),"")</f>
        <v/>
      </c>
      <c r="D1004">
        <f>IFERROR(INDEX(資格取込!$R$6:$R$405,MATCH(39&amp;"_"&amp;8,資格取込!$Z$6:$Z$405,0)),"")</f>
        <v/>
      </c>
      <c r="E1004">
        <f>IF(D1004="","",IFERROR(INDEX(資格マスタ!$B:$B,MATCH(ASC(SUBSTITUTE(SUBSTITUTE(D1004," ",""),"　","")),資格マスタ!$D:$D,0)),D1004))</f>
        <v/>
      </c>
      <c r="F1004">
        <f>IF(E1004="","",IF(C1004="",DATE(9999,1,1),C1004))</f>
        <v/>
      </c>
      <c r="G1004">
        <f>IF(E1004="","",COUNTIFS($F$991:$F$1016,"&lt;"&amp;F1004,$F$991:$F$1016,"&lt;&gt;")+COUNTIFS($F$991:$F$1016,F1004,$B$991:$B$1016,"&lt;"&amp;B1004)+1)</f>
        <v/>
      </c>
      <c r="H1004">
        <f>IF(OR(E1004="",C1004=""),"",IF(C1004&gt;=DATE(2019,5,1),"令和"&amp;(YEAR(C1004)-2018),IF(C1004&gt;=DATE(1989,1,8),"平成"&amp;(YEAR(C1004)-1988),"昭和"&amp;(YEAR(C1004)-1925)))&amp;"年"&amp;MONTH(C1004)&amp;"月")</f>
        <v/>
      </c>
    </row>
    <row r="1005">
      <c r="A1005" t="n">
        <v>39</v>
      </c>
      <c r="B1005" t="n">
        <v>15</v>
      </c>
      <c r="C1005">
        <f>IFERROR(INDEX(資格取込!$S$6:$S$405,MATCH(39&amp;"_"&amp;9,資格取込!$Z$6:$Z$405,0)),"")</f>
        <v/>
      </c>
      <c r="D1005">
        <f>IFERROR(INDEX(資格取込!$R$6:$R$405,MATCH(39&amp;"_"&amp;9,資格取込!$Z$6:$Z$405,0)),"")</f>
        <v/>
      </c>
      <c r="E1005">
        <f>IF(D1005="","",IFERROR(INDEX(資格マスタ!$B:$B,MATCH(ASC(SUBSTITUTE(SUBSTITUTE(D1005," ",""),"　","")),資格マスタ!$D:$D,0)),D1005))</f>
        <v/>
      </c>
      <c r="F1005">
        <f>IF(E1005="","",IF(C1005="",DATE(9999,1,1),C1005))</f>
        <v/>
      </c>
      <c r="G1005">
        <f>IF(E1005="","",COUNTIFS($F$991:$F$1016,"&lt;"&amp;F1005,$F$991:$F$1016,"&lt;&gt;")+COUNTIFS($F$991:$F$1016,F1005,$B$991:$B$1016,"&lt;"&amp;B1005)+1)</f>
        <v/>
      </c>
      <c r="H1005">
        <f>IF(OR(E1005="",C1005=""),"",IF(C1005&gt;=DATE(2019,5,1),"令和"&amp;(YEAR(C1005)-2018),IF(C1005&gt;=DATE(1989,1,8),"平成"&amp;(YEAR(C1005)-1988),"昭和"&amp;(YEAR(C1005)-1925)))&amp;"年"&amp;MONTH(C1005)&amp;"月")</f>
        <v/>
      </c>
    </row>
    <row r="1006">
      <c r="A1006" t="n">
        <v>39</v>
      </c>
      <c r="B1006" t="n">
        <v>16</v>
      </c>
      <c r="C1006">
        <f>IFERROR(INDEX(資格取込!$S$6:$S$405,MATCH(39&amp;"_"&amp;10,資格取込!$Z$6:$Z$405,0)),"")</f>
        <v/>
      </c>
      <c r="D1006">
        <f>IFERROR(INDEX(資格取込!$R$6:$R$405,MATCH(39&amp;"_"&amp;10,資格取込!$Z$6:$Z$405,0)),"")</f>
        <v/>
      </c>
      <c r="E1006">
        <f>IF(D1006="","",IFERROR(INDEX(資格マスタ!$B:$B,MATCH(ASC(SUBSTITUTE(SUBSTITUTE(D1006," ",""),"　","")),資格マスタ!$D:$D,0)),D1006))</f>
        <v/>
      </c>
      <c r="F1006">
        <f>IF(E1006="","",IF(C1006="",DATE(9999,1,1),C1006))</f>
        <v/>
      </c>
      <c r="G1006">
        <f>IF(E1006="","",COUNTIFS($F$991:$F$1016,"&lt;"&amp;F1006,$F$991:$F$1016,"&lt;&gt;")+COUNTIFS($F$991:$F$1016,F1006,$B$991:$B$1016,"&lt;"&amp;B1006)+1)</f>
        <v/>
      </c>
      <c r="H1006">
        <f>IF(OR(E1006="",C1006=""),"",IF(C1006&gt;=DATE(2019,5,1),"令和"&amp;(YEAR(C1006)-2018),IF(C1006&gt;=DATE(1989,1,8),"平成"&amp;(YEAR(C1006)-1988),"昭和"&amp;(YEAR(C1006)-1925)))&amp;"年"&amp;MONTH(C1006)&amp;"月")</f>
        <v/>
      </c>
    </row>
    <row r="1007">
      <c r="A1007" t="n">
        <v>39</v>
      </c>
      <c r="B1007" t="n">
        <v>17</v>
      </c>
      <c r="C1007">
        <f>IFERROR(INDEX(資格取込!$S$6:$S$405,MATCH(39&amp;"_"&amp;11,資格取込!$Z$6:$Z$405,0)),"")</f>
        <v/>
      </c>
      <c r="D1007">
        <f>IFERROR(INDEX(資格取込!$R$6:$R$405,MATCH(39&amp;"_"&amp;11,資格取込!$Z$6:$Z$405,0)),"")</f>
        <v/>
      </c>
      <c r="E1007">
        <f>IF(D1007="","",IFERROR(INDEX(資格マスタ!$B:$B,MATCH(ASC(SUBSTITUTE(SUBSTITUTE(D1007," ",""),"　","")),資格マスタ!$D:$D,0)),D1007))</f>
        <v/>
      </c>
      <c r="F1007">
        <f>IF(E1007="","",IF(C1007="",DATE(9999,1,1),C1007))</f>
        <v/>
      </c>
      <c r="G1007">
        <f>IF(E1007="","",COUNTIFS($F$991:$F$1016,"&lt;"&amp;F1007,$F$991:$F$1016,"&lt;&gt;")+COUNTIFS($F$991:$F$1016,F1007,$B$991:$B$1016,"&lt;"&amp;B1007)+1)</f>
        <v/>
      </c>
      <c r="H1007">
        <f>IF(OR(E1007="",C1007=""),"",IF(C1007&gt;=DATE(2019,5,1),"令和"&amp;(YEAR(C1007)-2018),IF(C1007&gt;=DATE(1989,1,8),"平成"&amp;(YEAR(C1007)-1988),"昭和"&amp;(YEAR(C1007)-1925)))&amp;"年"&amp;MONTH(C1007)&amp;"月")</f>
        <v/>
      </c>
    </row>
    <row r="1008">
      <c r="A1008" t="n">
        <v>39</v>
      </c>
      <c r="B1008" t="n">
        <v>18</v>
      </c>
      <c r="C1008">
        <f>IFERROR(INDEX(資格取込!$S$6:$S$405,MATCH(39&amp;"_"&amp;12,資格取込!$Z$6:$Z$405,0)),"")</f>
        <v/>
      </c>
      <c r="D1008">
        <f>IFERROR(INDEX(資格取込!$R$6:$R$405,MATCH(39&amp;"_"&amp;12,資格取込!$Z$6:$Z$405,0)),"")</f>
        <v/>
      </c>
      <c r="E1008">
        <f>IF(D1008="","",IFERROR(INDEX(資格マスタ!$B:$B,MATCH(ASC(SUBSTITUTE(SUBSTITUTE(D1008," ",""),"　","")),資格マスタ!$D:$D,0)),D1008))</f>
        <v/>
      </c>
      <c r="F1008">
        <f>IF(E1008="","",IF(C1008="",DATE(9999,1,1),C1008))</f>
        <v/>
      </c>
      <c r="G1008">
        <f>IF(E1008="","",COUNTIFS($F$991:$F$1016,"&lt;"&amp;F1008,$F$991:$F$1016,"&lt;&gt;")+COUNTIFS($F$991:$F$1016,F1008,$B$991:$B$1016,"&lt;"&amp;B1008)+1)</f>
        <v/>
      </c>
      <c r="H1008">
        <f>IF(OR(E1008="",C1008=""),"",IF(C1008&gt;=DATE(2019,5,1),"令和"&amp;(YEAR(C1008)-2018),IF(C1008&gt;=DATE(1989,1,8),"平成"&amp;(YEAR(C1008)-1988),"昭和"&amp;(YEAR(C1008)-1925)))&amp;"年"&amp;MONTH(C1008)&amp;"月")</f>
        <v/>
      </c>
    </row>
    <row r="1009">
      <c r="A1009" t="n">
        <v>39</v>
      </c>
      <c r="B1009" t="n">
        <v>19</v>
      </c>
      <c r="C1009">
        <f>IFERROR(INDEX(資格取込!$S$6:$S$405,MATCH(39&amp;"_"&amp;13,資格取込!$Z$6:$Z$405,0)),"")</f>
        <v/>
      </c>
      <c r="D1009">
        <f>IFERROR(INDEX(資格取込!$R$6:$R$405,MATCH(39&amp;"_"&amp;13,資格取込!$Z$6:$Z$405,0)),"")</f>
        <v/>
      </c>
      <c r="E1009">
        <f>IF(D1009="","",IFERROR(INDEX(資格マスタ!$B:$B,MATCH(ASC(SUBSTITUTE(SUBSTITUTE(D1009," ",""),"　","")),資格マスタ!$D:$D,0)),D1009))</f>
        <v/>
      </c>
      <c r="F1009">
        <f>IF(E1009="","",IF(C1009="",DATE(9999,1,1),C1009))</f>
        <v/>
      </c>
      <c r="G1009">
        <f>IF(E1009="","",COUNTIFS($F$991:$F$1016,"&lt;"&amp;F1009,$F$991:$F$1016,"&lt;&gt;")+COUNTIFS($F$991:$F$1016,F1009,$B$991:$B$1016,"&lt;"&amp;B1009)+1)</f>
        <v/>
      </c>
      <c r="H1009">
        <f>IF(OR(E1009="",C1009=""),"",IF(C1009&gt;=DATE(2019,5,1),"令和"&amp;(YEAR(C1009)-2018),IF(C1009&gt;=DATE(1989,1,8),"平成"&amp;(YEAR(C1009)-1988),"昭和"&amp;(YEAR(C1009)-1925)))&amp;"年"&amp;MONTH(C1009)&amp;"月")</f>
        <v/>
      </c>
    </row>
    <row r="1010">
      <c r="A1010" t="n">
        <v>39</v>
      </c>
      <c r="B1010" t="n">
        <v>20</v>
      </c>
      <c r="C1010">
        <f>IFERROR(INDEX(資格取込!$S$6:$S$405,MATCH(39&amp;"_"&amp;14,資格取込!$Z$6:$Z$405,0)),"")</f>
        <v/>
      </c>
      <c r="D1010">
        <f>IFERROR(INDEX(資格取込!$R$6:$R$405,MATCH(39&amp;"_"&amp;14,資格取込!$Z$6:$Z$405,0)),"")</f>
        <v/>
      </c>
      <c r="E1010">
        <f>IF(D1010="","",IFERROR(INDEX(資格マスタ!$B:$B,MATCH(ASC(SUBSTITUTE(SUBSTITUTE(D1010," ",""),"　","")),資格マスタ!$D:$D,0)),D1010))</f>
        <v/>
      </c>
      <c r="F1010">
        <f>IF(E1010="","",IF(C1010="",DATE(9999,1,1),C1010))</f>
        <v/>
      </c>
      <c r="G1010">
        <f>IF(E1010="","",COUNTIFS($F$991:$F$1016,"&lt;"&amp;F1010,$F$991:$F$1016,"&lt;&gt;")+COUNTIFS($F$991:$F$1016,F1010,$B$991:$B$1016,"&lt;"&amp;B1010)+1)</f>
        <v/>
      </c>
      <c r="H1010">
        <f>IF(OR(E1010="",C1010=""),"",IF(C1010&gt;=DATE(2019,5,1),"令和"&amp;(YEAR(C1010)-2018),IF(C1010&gt;=DATE(1989,1,8),"平成"&amp;(YEAR(C1010)-1988),"昭和"&amp;(YEAR(C1010)-1925)))&amp;"年"&amp;MONTH(C1010)&amp;"月")</f>
        <v/>
      </c>
    </row>
    <row r="1011">
      <c r="A1011" t="n">
        <v>39</v>
      </c>
      <c r="B1011" t="n">
        <v>21</v>
      </c>
      <c r="C1011">
        <f>IFERROR(INDEX(資格取込!$S$6:$S$405,MATCH(39&amp;"_"&amp;15,資格取込!$Z$6:$Z$405,0)),"")</f>
        <v/>
      </c>
      <c r="D1011">
        <f>IFERROR(INDEX(資格取込!$R$6:$R$405,MATCH(39&amp;"_"&amp;15,資格取込!$Z$6:$Z$405,0)),"")</f>
        <v/>
      </c>
      <c r="E1011">
        <f>IF(D1011="","",IFERROR(INDEX(資格マスタ!$B:$B,MATCH(ASC(SUBSTITUTE(SUBSTITUTE(D1011," ",""),"　","")),資格マスタ!$D:$D,0)),D1011))</f>
        <v/>
      </c>
      <c r="F1011">
        <f>IF(E1011="","",IF(C1011="",DATE(9999,1,1),C1011))</f>
        <v/>
      </c>
      <c r="G1011">
        <f>IF(E1011="","",COUNTIFS($F$991:$F$1016,"&lt;"&amp;F1011,$F$991:$F$1016,"&lt;&gt;")+COUNTIFS($F$991:$F$1016,F1011,$B$991:$B$1016,"&lt;"&amp;B1011)+1)</f>
        <v/>
      </c>
      <c r="H1011">
        <f>IF(OR(E1011="",C1011=""),"",IF(C1011&gt;=DATE(2019,5,1),"令和"&amp;(YEAR(C1011)-2018),IF(C1011&gt;=DATE(1989,1,8),"平成"&amp;(YEAR(C1011)-1988),"昭和"&amp;(YEAR(C1011)-1925)))&amp;"年"&amp;MONTH(C1011)&amp;"月")</f>
        <v/>
      </c>
    </row>
    <row r="1012">
      <c r="A1012" t="n">
        <v>39</v>
      </c>
      <c r="B1012" t="n">
        <v>22</v>
      </c>
      <c r="C1012">
        <f>IFERROR(INDEX(資格取込!$S$6:$S$405,MATCH(39&amp;"_"&amp;16,資格取込!$Z$6:$Z$405,0)),"")</f>
        <v/>
      </c>
      <c r="D1012">
        <f>IFERROR(INDEX(資格取込!$R$6:$R$405,MATCH(39&amp;"_"&amp;16,資格取込!$Z$6:$Z$405,0)),"")</f>
        <v/>
      </c>
      <c r="E1012">
        <f>IF(D1012="","",IFERROR(INDEX(資格マスタ!$B:$B,MATCH(ASC(SUBSTITUTE(SUBSTITUTE(D1012," ",""),"　","")),資格マスタ!$D:$D,0)),D1012))</f>
        <v/>
      </c>
      <c r="F1012">
        <f>IF(E1012="","",IF(C1012="",DATE(9999,1,1),C1012))</f>
        <v/>
      </c>
      <c r="G1012">
        <f>IF(E1012="","",COUNTIFS($F$991:$F$1016,"&lt;"&amp;F1012,$F$991:$F$1016,"&lt;&gt;")+COUNTIFS($F$991:$F$1016,F1012,$B$991:$B$1016,"&lt;"&amp;B1012)+1)</f>
        <v/>
      </c>
      <c r="H1012">
        <f>IF(OR(E1012="",C1012=""),"",IF(C1012&gt;=DATE(2019,5,1),"令和"&amp;(YEAR(C1012)-2018),IF(C1012&gt;=DATE(1989,1,8),"平成"&amp;(YEAR(C1012)-1988),"昭和"&amp;(YEAR(C1012)-1925)))&amp;"年"&amp;MONTH(C1012)&amp;"月")</f>
        <v/>
      </c>
    </row>
    <row r="1013">
      <c r="A1013" t="n">
        <v>39</v>
      </c>
      <c r="B1013" t="n">
        <v>23</v>
      </c>
      <c r="C1013">
        <f>IFERROR(INDEX(資格取込!$S$6:$S$405,MATCH(39&amp;"_"&amp;17,資格取込!$Z$6:$Z$405,0)),"")</f>
        <v/>
      </c>
      <c r="D1013">
        <f>IFERROR(INDEX(資格取込!$R$6:$R$405,MATCH(39&amp;"_"&amp;17,資格取込!$Z$6:$Z$405,0)),"")</f>
        <v/>
      </c>
      <c r="E1013">
        <f>IF(D1013="","",IFERROR(INDEX(資格マスタ!$B:$B,MATCH(ASC(SUBSTITUTE(SUBSTITUTE(D1013," ",""),"　","")),資格マスタ!$D:$D,0)),D1013))</f>
        <v/>
      </c>
      <c r="F1013">
        <f>IF(E1013="","",IF(C1013="",DATE(9999,1,1),C1013))</f>
        <v/>
      </c>
      <c r="G1013">
        <f>IF(E1013="","",COUNTIFS($F$991:$F$1016,"&lt;"&amp;F1013,$F$991:$F$1016,"&lt;&gt;")+COUNTIFS($F$991:$F$1016,F1013,$B$991:$B$1016,"&lt;"&amp;B1013)+1)</f>
        <v/>
      </c>
      <c r="H1013">
        <f>IF(OR(E1013="",C1013=""),"",IF(C1013&gt;=DATE(2019,5,1),"令和"&amp;(YEAR(C1013)-2018),IF(C1013&gt;=DATE(1989,1,8),"平成"&amp;(YEAR(C1013)-1988),"昭和"&amp;(YEAR(C1013)-1925)))&amp;"年"&amp;MONTH(C1013)&amp;"月")</f>
        <v/>
      </c>
    </row>
    <row r="1014">
      <c r="A1014" t="n">
        <v>39</v>
      </c>
      <c r="B1014" t="n">
        <v>24</v>
      </c>
      <c r="C1014">
        <f>IFERROR(INDEX(資格取込!$S$6:$S$405,MATCH(39&amp;"_"&amp;18,資格取込!$Z$6:$Z$405,0)),"")</f>
        <v/>
      </c>
      <c r="D1014">
        <f>IFERROR(INDEX(資格取込!$R$6:$R$405,MATCH(39&amp;"_"&amp;18,資格取込!$Z$6:$Z$405,0)),"")</f>
        <v/>
      </c>
      <c r="E1014">
        <f>IF(D1014="","",IFERROR(INDEX(資格マスタ!$B:$B,MATCH(ASC(SUBSTITUTE(SUBSTITUTE(D1014," ",""),"　","")),資格マスタ!$D:$D,0)),D1014))</f>
        <v/>
      </c>
      <c r="F1014">
        <f>IF(E1014="","",IF(C1014="",DATE(9999,1,1),C1014))</f>
        <v/>
      </c>
      <c r="G1014">
        <f>IF(E1014="","",COUNTIFS($F$991:$F$1016,"&lt;"&amp;F1014,$F$991:$F$1016,"&lt;&gt;")+COUNTIFS($F$991:$F$1016,F1014,$B$991:$B$1016,"&lt;"&amp;B1014)+1)</f>
        <v/>
      </c>
      <c r="H1014">
        <f>IF(OR(E1014="",C1014=""),"",IF(C1014&gt;=DATE(2019,5,1),"令和"&amp;(YEAR(C1014)-2018),IF(C1014&gt;=DATE(1989,1,8),"平成"&amp;(YEAR(C1014)-1988),"昭和"&amp;(YEAR(C1014)-1925)))&amp;"年"&amp;MONTH(C1014)&amp;"月")</f>
        <v/>
      </c>
    </row>
    <row r="1015">
      <c r="A1015" t="n">
        <v>39</v>
      </c>
      <c r="B1015" t="n">
        <v>25</v>
      </c>
      <c r="C1015">
        <f>IFERROR(INDEX(資格取込!$S$6:$S$405,MATCH(39&amp;"_"&amp;19,資格取込!$Z$6:$Z$405,0)),"")</f>
        <v/>
      </c>
      <c r="D1015">
        <f>IFERROR(INDEX(資格取込!$R$6:$R$405,MATCH(39&amp;"_"&amp;19,資格取込!$Z$6:$Z$405,0)),"")</f>
        <v/>
      </c>
      <c r="E1015">
        <f>IF(D1015="","",IFERROR(INDEX(資格マスタ!$B:$B,MATCH(ASC(SUBSTITUTE(SUBSTITUTE(D1015," ",""),"　","")),資格マスタ!$D:$D,0)),D1015))</f>
        <v/>
      </c>
      <c r="F1015">
        <f>IF(E1015="","",IF(C1015="",DATE(9999,1,1),C1015))</f>
        <v/>
      </c>
      <c r="G1015">
        <f>IF(E1015="","",COUNTIFS($F$991:$F$1016,"&lt;"&amp;F1015,$F$991:$F$1016,"&lt;&gt;")+COUNTIFS($F$991:$F$1016,F1015,$B$991:$B$1016,"&lt;"&amp;B1015)+1)</f>
        <v/>
      </c>
      <c r="H1015">
        <f>IF(OR(E1015="",C1015=""),"",IF(C1015&gt;=DATE(2019,5,1),"令和"&amp;(YEAR(C1015)-2018),IF(C1015&gt;=DATE(1989,1,8),"平成"&amp;(YEAR(C1015)-1988),"昭和"&amp;(YEAR(C1015)-1925)))&amp;"年"&amp;MONTH(C1015)&amp;"月")</f>
        <v/>
      </c>
    </row>
    <row r="1016">
      <c r="A1016" t="n">
        <v>39</v>
      </c>
      <c r="B1016" t="n">
        <v>26</v>
      </c>
      <c r="C1016">
        <f>IFERROR(INDEX(資格取込!$S$6:$S$405,MATCH(39&amp;"_"&amp;20,資格取込!$Z$6:$Z$405,0)),"")</f>
        <v/>
      </c>
      <c r="D1016">
        <f>IFERROR(INDEX(資格取込!$R$6:$R$405,MATCH(39&amp;"_"&amp;20,資格取込!$Z$6:$Z$405,0)),"")</f>
        <v/>
      </c>
      <c r="E1016">
        <f>IF(D1016="","",IFERROR(INDEX(資格マスタ!$B:$B,MATCH(ASC(SUBSTITUTE(SUBSTITUTE(D1016," ",""),"　","")),資格マスタ!$D:$D,0)),D1016))</f>
        <v/>
      </c>
      <c r="F1016">
        <f>IF(E1016="","",IF(C1016="",DATE(9999,1,1),C1016))</f>
        <v/>
      </c>
      <c r="G1016">
        <f>IF(E1016="","",COUNTIFS($F$991:$F$1016,"&lt;"&amp;F1016,$F$991:$F$1016,"&lt;&gt;")+COUNTIFS($F$991:$F$1016,F1016,$B$991:$B$1016,"&lt;"&amp;B1016)+1)</f>
        <v/>
      </c>
      <c r="H1016">
        <f>IF(OR(E1016="",C1016=""),"",IF(C1016&gt;=DATE(2019,5,1),"令和"&amp;(YEAR(C1016)-2018),IF(C1016&gt;=DATE(1989,1,8),"平成"&amp;(YEAR(C1016)-1988),"昭和"&amp;(YEAR(C1016)-1925)))&amp;"年"&amp;MONTH(C1016)&amp;"月")</f>
        <v/>
      </c>
    </row>
    <row r="1017">
      <c r="A1017" t="n">
        <v>40</v>
      </c>
      <c r="B1017" t="n">
        <v>1</v>
      </c>
      <c r="C1017"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1017">
        <f>IF(入力!N44="","",入力!N44)</f>
        <v/>
      </c>
      <c r="E1017">
        <f>IF(D1017="","",IFERROR(INDEX(資格マスタ!$B:$B,MATCH(ASC(SUBSTITUTE(SUBSTITUTE(D1017," ",""),"　","")),資格マスタ!$D:$D,0)),D1017))</f>
        <v/>
      </c>
      <c r="F1017">
        <f>IF(E1017="","",IF(C1017="",DATE(9999,1,1),C1017))</f>
        <v/>
      </c>
      <c r="G1017">
        <f>IF(E1017="","",COUNTIFS($F$1017:$F$1042,"&lt;"&amp;F1017,$F$1017:$F$1042,"&lt;&gt;")+COUNTIFS($F$1017:$F$1042,F1017,$B$1017:$B$1042,"&lt;"&amp;B1017)+1)</f>
        <v/>
      </c>
      <c r="H1017">
        <f>IF(OR(E1017="",C1017=""),"",IF(C1017&gt;=DATE(2019,5,1),"令和"&amp;(YEAR(C1017)-2018),IF(C1017&gt;=DATE(1989,1,8),"平成"&amp;(YEAR(C1017)-1988),"昭和"&amp;(YEAR(C1017)-1925)))&amp;"年"&amp;MONTH(C1017)&amp;"月")</f>
        <v/>
      </c>
    </row>
    <row r="1018">
      <c r="A1018" t="n">
        <v>40</v>
      </c>
      <c r="B1018" t="n">
        <v>2</v>
      </c>
      <c r="C1018">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1018">
        <f>IF(入力!P44="","",入力!P44)</f>
        <v/>
      </c>
      <c r="E1018">
        <f>IF(D1018="","",IFERROR(INDEX(資格マスタ!$B:$B,MATCH(ASC(SUBSTITUTE(SUBSTITUTE(D1018," ",""),"　","")),資格マスタ!$D:$D,0)),D1018))</f>
        <v/>
      </c>
      <c r="F1018">
        <f>IF(E1018="","",IF(C1018="",DATE(9999,1,1),C1018))</f>
        <v/>
      </c>
      <c r="G1018">
        <f>IF(E1018="","",COUNTIFS($F$1017:$F$1042,"&lt;"&amp;F1018,$F$1017:$F$1042,"&lt;&gt;")+COUNTIFS($F$1017:$F$1042,F1018,$B$1017:$B$1042,"&lt;"&amp;B1018)+1)</f>
        <v/>
      </c>
      <c r="H1018">
        <f>IF(OR(E1018="",C1018=""),"",IF(C1018&gt;=DATE(2019,5,1),"令和"&amp;(YEAR(C1018)-2018),IF(C1018&gt;=DATE(1989,1,8),"平成"&amp;(YEAR(C1018)-1988),"昭和"&amp;(YEAR(C1018)-1925)))&amp;"年"&amp;MONTH(C1018)&amp;"月")</f>
        <v/>
      </c>
    </row>
    <row r="1019">
      <c r="A1019" t="n">
        <v>40</v>
      </c>
      <c r="B1019" t="n">
        <v>3</v>
      </c>
      <c r="C1019">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1019">
        <f>IF(入力!R44="","",入力!R44)</f>
        <v/>
      </c>
      <c r="E1019">
        <f>IF(D1019="","",IFERROR(INDEX(資格マスタ!$B:$B,MATCH(ASC(SUBSTITUTE(SUBSTITUTE(D1019," ",""),"　","")),資格マスタ!$D:$D,0)),D1019))</f>
        <v/>
      </c>
      <c r="F1019">
        <f>IF(E1019="","",IF(C1019="",DATE(9999,1,1),C1019))</f>
        <v/>
      </c>
      <c r="G1019">
        <f>IF(E1019="","",COUNTIFS($F$1017:$F$1042,"&lt;"&amp;F1019,$F$1017:$F$1042,"&lt;&gt;")+COUNTIFS($F$1017:$F$1042,F1019,$B$1017:$B$1042,"&lt;"&amp;B1019)+1)</f>
        <v/>
      </c>
      <c r="H1019">
        <f>IF(OR(E1019="",C1019=""),"",IF(C1019&gt;=DATE(2019,5,1),"令和"&amp;(YEAR(C1019)-2018),IF(C1019&gt;=DATE(1989,1,8),"平成"&amp;(YEAR(C1019)-1988),"昭和"&amp;(YEAR(C1019)-1925)))&amp;"年"&amp;MONTH(C1019)&amp;"月")</f>
        <v/>
      </c>
    </row>
    <row r="1020">
      <c r="A1020" t="n">
        <v>40</v>
      </c>
      <c r="B1020" t="n">
        <v>4</v>
      </c>
      <c r="C1020">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1020">
        <f>IF(入力!T44="","",入力!T44)</f>
        <v/>
      </c>
      <c r="E1020">
        <f>IF(D1020="","",IFERROR(INDEX(資格マスタ!$B:$B,MATCH(ASC(SUBSTITUTE(SUBSTITUTE(D1020," ",""),"　","")),資格マスタ!$D:$D,0)),D1020))</f>
        <v/>
      </c>
      <c r="F1020">
        <f>IF(E1020="","",IF(C1020="",DATE(9999,1,1),C1020))</f>
        <v/>
      </c>
      <c r="G1020">
        <f>IF(E1020="","",COUNTIFS($F$1017:$F$1042,"&lt;"&amp;F1020,$F$1017:$F$1042,"&lt;&gt;")+COUNTIFS($F$1017:$F$1042,F1020,$B$1017:$B$1042,"&lt;"&amp;B1020)+1)</f>
        <v/>
      </c>
      <c r="H1020">
        <f>IF(OR(E1020="",C1020=""),"",IF(C1020&gt;=DATE(2019,5,1),"令和"&amp;(YEAR(C1020)-2018),IF(C1020&gt;=DATE(1989,1,8),"平成"&amp;(YEAR(C1020)-1988),"昭和"&amp;(YEAR(C1020)-1925)))&amp;"年"&amp;MONTH(C1020)&amp;"月")</f>
        <v/>
      </c>
    </row>
    <row r="1021">
      <c r="A1021" t="n">
        <v>40</v>
      </c>
      <c r="B1021" t="n">
        <v>5</v>
      </c>
      <c r="C1021">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1021">
        <f>IF(入力!V44="","",入力!V44)</f>
        <v/>
      </c>
      <c r="E1021">
        <f>IF(D1021="","",IFERROR(INDEX(資格マスタ!$B:$B,MATCH(ASC(SUBSTITUTE(SUBSTITUTE(D1021," ",""),"　","")),資格マスタ!$D:$D,0)),D1021))</f>
        <v/>
      </c>
      <c r="F1021">
        <f>IF(E1021="","",IF(C1021="",DATE(9999,1,1),C1021))</f>
        <v/>
      </c>
      <c r="G1021">
        <f>IF(E1021="","",COUNTIFS($F$1017:$F$1042,"&lt;"&amp;F1021,$F$1017:$F$1042,"&lt;&gt;")+COUNTIFS($F$1017:$F$1042,F1021,$B$1017:$B$1042,"&lt;"&amp;B1021)+1)</f>
        <v/>
      </c>
      <c r="H1021">
        <f>IF(OR(E1021="",C1021=""),"",IF(C1021&gt;=DATE(2019,5,1),"令和"&amp;(YEAR(C1021)-2018),IF(C1021&gt;=DATE(1989,1,8),"平成"&amp;(YEAR(C1021)-1988),"昭和"&amp;(YEAR(C1021)-1925)))&amp;"年"&amp;MONTH(C1021)&amp;"月")</f>
        <v/>
      </c>
    </row>
    <row r="1022">
      <c r="A1022" t="n">
        <v>40</v>
      </c>
      <c r="B1022" t="n">
        <v>6</v>
      </c>
      <c r="C1022">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1022">
        <f>IF(入力!X44="","",入力!X44)</f>
        <v/>
      </c>
      <c r="E1022">
        <f>IF(D1022="","",IFERROR(INDEX(資格マスタ!$B:$B,MATCH(ASC(SUBSTITUTE(SUBSTITUTE(D1022," ",""),"　","")),資格マスタ!$D:$D,0)),D1022))</f>
        <v/>
      </c>
      <c r="F1022">
        <f>IF(E1022="","",IF(C1022="",DATE(9999,1,1),C1022))</f>
        <v/>
      </c>
      <c r="G1022">
        <f>IF(E1022="","",COUNTIFS($F$1017:$F$1042,"&lt;"&amp;F1022,$F$1017:$F$1042,"&lt;&gt;")+COUNTIFS($F$1017:$F$1042,F1022,$B$1017:$B$1042,"&lt;"&amp;B1022)+1)</f>
        <v/>
      </c>
      <c r="H1022">
        <f>IF(OR(E1022="",C1022=""),"",IF(C1022&gt;=DATE(2019,5,1),"令和"&amp;(YEAR(C1022)-2018),IF(C1022&gt;=DATE(1989,1,8),"平成"&amp;(YEAR(C1022)-1988),"昭和"&amp;(YEAR(C1022)-1925)))&amp;"年"&amp;MONTH(C1022)&amp;"月")</f>
        <v/>
      </c>
    </row>
    <row r="1023">
      <c r="A1023" t="n">
        <v>40</v>
      </c>
      <c r="B1023" t="n">
        <v>7</v>
      </c>
      <c r="C1023">
        <f>IFERROR(INDEX(資格取込!$S$6:$S$405,MATCH(40&amp;"_"&amp;1,資格取込!$Z$6:$Z$405,0)),"")</f>
        <v/>
      </c>
      <c r="D1023">
        <f>IFERROR(INDEX(資格取込!$R$6:$R$405,MATCH(40&amp;"_"&amp;1,資格取込!$Z$6:$Z$405,0)),"")</f>
        <v/>
      </c>
      <c r="E1023">
        <f>IF(D1023="","",IFERROR(INDEX(資格マスタ!$B:$B,MATCH(ASC(SUBSTITUTE(SUBSTITUTE(D1023," ",""),"　","")),資格マスタ!$D:$D,0)),D1023))</f>
        <v/>
      </c>
      <c r="F1023">
        <f>IF(E1023="","",IF(C1023="",DATE(9999,1,1),C1023))</f>
        <v/>
      </c>
      <c r="G1023">
        <f>IF(E1023="","",COUNTIFS($F$1017:$F$1042,"&lt;"&amp;F1023,$F$1017:$F$1042,"&lt;&gt;")+COUNTIFS($F$1017:$F$1042,F1023,$B$1017:$B$1042,"&lt;"&amp;B1023)+1)</f>
        <v/>
      </c>
      <c r="H1023">
        <f>IF(OR(E1023="",C1023=""),"",IF(C1023&gt;=DATE(2019,5,1),"令和"&amp;(YEAR(C1023)-2018),IF(C1023&gt;=DATE(1989,1,8),"平成"&amp;(YEAR(C1023)-1988),"昭和"&amp;(YEAR(C1023)-1925)))&amp;"年"&amp;MONTH(C1023)&amp;"月")</f>
        <v/>
      </c>
    </row>
    <row r="1024">
      <c r="A1024" t="n">
        <v>40</v>
      </c>
      <c r="B1024" t="n">
        <v>8</v>
      </c>
      <c r="C1024">
        <f>IFERROR(INDEX(資格取込!$S$6:$S$405,MATCH(40&amp;"_"&amp;2,資格取込!$Z$6:$Z$405,0)),"")</f>
        <v/>
      </c>
      <c r="D1024">
        <f>IFERROR(INDEX(資格取込!$R$6:$R$405,MATCH(40&amp;"_"&amp;2,資格取込!$Z$6:$Z$405,0)),"")</f>
        <v/>
      </c>
      <c r="E1024">
        <f>IF(D1024="","",IFERROR(INDEX(資格マスタ!$B:$B,MATCH(ASC(SUBSTITUTE(SUBSTITUTE(D1024," ",""),"　","")),資格マスタ!$D:$D,0)),D1024))</f>
        <v/>
      </c>
      <c r="F1024">
        <f>IF(E1024="","",IF(C1024="",DATE(9999,1,1),C1024))</f>
        <v/>
      </c>
      <c r="G1024">
        <f>IF(E1024="","",COUNTIFS($F$1017:$F$1042,"&lt;"&amp;F1024,$F$1017:$F$1042,"&lt;&gt;")+COUNTIFS($F$1017:$F$1042,F1024,$B$1017:$B$1042,"&lt;"&amp;B1024)+1)</f>
        <v/>
      </c>
      <c r="H1024">
        <f>IF(OR(E1024="",C1024=""),"",IF(C1024&gt;=DATE(2019,5,1),"令和"&amp;(YEAR(C1024)-2018),IF(C1024&gt;=DATE(1989,1,8),"平成"&amp;(YEAR(C1024)-1988),"昭和"&amp;(YEAR(C1024)-1925)))&amp;"年"&amp;MONTH(C1024)&amp;"月")</f>
        <v/>
      </c>
    </row>
    <row r="1025">
      <c r="A1025" t="n">
        <v>40</v>
      </c>
      <c r="B1025" t="n">
        <v>9</v>
      </c>
      <c r="C1025">
        <f>IFERROR(INDEX(資格取込!$S$6:$S$405,MATCH(40&amp;"_"&amp;3,資格取込!$Z$6:$Z$405,0)),"")</f>
        <v/>
      </c>
      <c r="D1025">
        <f>IFERROR(INDEX(資格取込!$R$6:$R$405,MATCH(40&amp;"_"&amp;3,資格取込!$Z$6:$Z$405,0)),"")</f>
        <v/>
      </c>
      <c r="E1025">
        <f>IF(D1025="","",IFERROR(INDEX(資格マスタ!$B:$B,MATCH(ASC(SUBSTITUTE(SUBSTITUTE(D1025," ",""),"　","")),資格マスタ!$D:$D,0)),D1025))</f>
        <v/>
      </c>
      <c r="F1025">
        <f>IF(E1025="","",IF(C1025="",DATE(9999,1,1),C1025))</f>
        <v/>
      </c>
      <c r="G1025">
        <f>IF(E1025="","",COUNTIFS($F$1017:$F$1042,"&lt;"&amp;F1025,$F$1017:$F$1042,"&lt;&gt;")+COUNTIFS($F$1017:$F$1042,F1025,$B$1017:$B$1042,"&lt;"&amp;B1025)+1)</f>
        <v/>
      </c>
      <c r="H1025">
        <f>IF(OR(E1025="",C1025=""),"",IF(C1025&gt;=DATE(2019,5,1),"令和"&amp;(YEAR(C1025)-2018),IF(C1025&gt;=DATE(1989,1,8),"平成"&amp;(YEAR(C1025)-1988),"昭和"&amp;(YEAR(C1025)-1925)))&amp;"年"&amp;MONTH(C1025)&amp;"月")</f>
        <v/>
      </c>
    </row>
    <row r="1026">
      <c r="A1026" t="n">
        <v>40</v>
      </c>
      <c r="B1026" t="n">
        <v>10</v>
      </c>
      <c r="C1026">
        <f>IFERROR(INDEX(資格取込!$S$6:$S$405,MATCH(40&amp;"_"&amp;4,資格取込!$Z$6:$Z$405,0)),"")</f>
        <v/>
      </c>
      <c r="D1026">
        <f>IFERROR(INDEX(資格取込!$R$6:$R$405,MATCH(40&amp;"_"&amp;4,資格取込!$Z$6:$Z$405,0)),"")</f>
        <v/>
      </c>
      <c r="E1026">
        <f>IF(D1026="","",IFERROR(INDEX(資格マスタ!$B:$B,MATCH(ASC(SUBSTITUTE(SUBSTITUTE(D1026," ",""),"　","")),資格マスタ!$D:$D,0)),D1026))</f>
        <v/>
      </c>
      <c r="F1026">
        <f>IF(E1026="","",IF(C1026="",DATE(9999,1,1),C1026))</f>
        <v/>
      </c>
      <c r="G1026">
        <f>IF(E1026="","",COUNTIFS($F$1017:$F$1042,"&lt;"&amp;F1026,$F$1017:$F$1042,"&lt;&gt;")+COUNTIFS($F$1017:$F$1042,F1026,$B$1017:$B$1042,"&lt;"&amp;B1026)+1)</f>
        <v/>
      </c>
      <c r="H1026">
        <f>IF(OR(E1026="",C1026=""),"",IF(C1026&gt;=DATE(2019,5,1),"令和"&amp;(YEAR(C1026)-2018),IF(C1026&gt;=DATE(1989,1,8),"平成"&amp;(YEAR(C1026)-1988),"昭和"&amp;(YEAR(C1026)-1925)))&amp;"年"&amp;MONTH(C1026)&amp;"月")</f>
        <v/>
      </c>
    </row>
    <row r="1027">
      <c r="A1027" t="n">
        <v>40</v>
      </c>
      <c r="B1027" t="n">
        <v>11</v>
      </c>
      <c r="C1027">
        <f>IFERROR(INDEX(資格取込!$S$6:$S$405,MATCH(40&amp;"_"&amp;5,資格取込!$Z$6:$Z$405,0)),"")</f>
        <v/>
      </c>
      <c r="D1027">
        <f>IFERROR(INDEX(資格取込!$R$6:$R$405,MATCH(40&amp;"_"&amp;5,資格取込!$Z$6:$Z$405,0)),"")</f>
        <v/>
      </c>
      <c r="E1027">
        <f>IF(D1027="","",IFERROR(INDEX(資格マスタ!$B:$B,MATCH(ASC(SUBSTITUTE(SUBSTITUTE(D1027," ",""),"　","")),資格マスタ!$D:$D,0)),D1027))</f>
        <v/>
      </c>
      <c r="F1027">
        <f>IF(E1027="","",IF(C1027="",DATE(9999,1,1),C1027))</f>
        <v/>
      </c>
      <c r="G1027">
        <f>IF(E1027="","",COUNTIFS($F$1017:$F$1042,"&lt;"&amp;F1027,$F$1017:$F$1042,"&lt;&gt;")+COUNTIFS($F$1017:$F$1042,F1027,$B$1017:$B$1042,"&lt;"&amp;B1027)+1)</f>
        <v/>
      </c>
      <c r="H1027">
        <f>IF(OR(E1027="",C1027=""),"",IF(C1027&gt;=DATE(2019,5,1),"令和"&amp;(YEAR(C1027)-2018),IF(C1027&gt;=DATE(1989,1,8),"平成"&amp;(YEAR(C1027)-1988),"昭和"&amp;(YEAR(C1027)-1925)))&amp;"年"&amp;MONTH(C1027)&amp;"月")</f>
        <v/>
      </c>
    </row>
    <row r="1028">
      <c r="A1028" t="n">
        <v>40</v>
      </c>
      <c r="B1028" t="n">
        <v>12</v>
      </c>
      <c r="C1028">
        <f>IFERROR(INDEX(資格取込!$S$6:$S$405,MATCH(40&amp;"_"&amp;6,資格取込!$Z$6:$Z$405,0)),"")</f>
        <v/>
      </c>
      <c r="D1028">
        <f>IFERROR(INDEX(資格取込!$R$6:$R$405,MATCH(40&amp;"_"&amp;6,資格取込!$Z$6:$Z$405,0)),"")</f>
        <v/>
      </c>
      <c r="E1028">
        <f>IF(D1028="","",IFERROR(INDEX(資格マスタ!$B:$B,MATCH(ASC(SUBSTITUTE(SUBSTITUTE(D1028," ",""),"　","")),資格マスタ!$D:$D,0)),D1028))</f>
        <v/>
      </c>
      <c r="F1028">
        <f>IF(E1028="","",IF(C1028="",DATE(9999,1,1),C1028))</f>
        <v/>
      </c>
      <c r="G1028">
        <f>IF(E1028="","",COUNTIFS($F$1017:$F$1042,"&lt;"&amp;F1028,$F$1017:$F$1042,"&lt;&gt;")+COUNTIFS($F$1017:$F$1042,F1028,$B$1017:$B$1042,"&lt;"&amp;B1028)+1)</f>
        <v/>
      </c>
      <c r="H1028">
        <f>IF(OR(E1028="",C1028=""),"",IF(C1028&gt;=DATE(2019,5,1),"令和"&amp;(YEAR(C1028)-2018),IF(C1028&gt;=DATE(1989,1,8),"平成"&amp;(YEAR(C1028)-1988),"昭和"&amp;(YEAR(C1028)-1925)))&amp;"年"&amp;MONTH(C1028)&amp;"月")</f>
        <v/>
      </c>
    </row>
    <row r="1029">
      <c r="A1029" t="n">
        <v>40</v>
      </c>
      <c r="B1029" t="n">
        <v>13</v>
      </c>
      <c r="C1029">
        <f>IFERROR(INDEX(資格取込!$S$6:$S$405,MATCH(40&amp;"_"&amp;7,資格取込!$Z$6:$Z$405,0)),"")</f>
        <v/>
      </c>
      <c r="D1029">
        <f>IFERROR(INDEX(資格取込!$R$6:$R$405,MATCH(40&amp;"_"&amp;7,資格取込!$Z$6:$Z$405,0)),"")</f>
        <v/>
      </c>
      <c r="E1029">
        <f>IF(D1029="","",IFERROR(INDEX(資格マスタ!$B:$B,MATCH(ASC(SUBSTITUTE(SUBSTITUTE(D1029," ",""),"　","")),資格マスタ!$D:$D,0)),D1029))</f>
        <v/>
      </c>
      <c r="F1029">
        <f>IF(E1029="","",IF(C1029="",DATE(9999,1,1),C1029))</f>
        <v/>
      </c>
      <c r="G1029">
        <f>IF(E1029="","",COUNTIFS($F$1017:$F$1042,"&lt;"&amp;F1029,$F$1017:$F$1042,"&lt;&gt;")+COUNTIFS($F$1017:$F$1042,F1029,$B$1017:$B$1042,"&lt;"&amp;B1029)+1)</f>
        <v/>
      </c>
      <c r="H1029">
        <f>IF(OR(E1029="",C1029=""),"",IF(C1029&gt;=DATE(2019,5,1),"令和"&amp;(YEAR(C1029)-2018),IF(C1029&gt;=DATE(1989,1,8),"平成"&amp;(YEAR(C1029)-1988),"昭和"&amp;(YEAR(C1029)-1925)))&amp;"年"&amp;MONTH(C1029)&amp;"月")</f>
        <v/>
      </c>
    </row>
    <row r="1030">
      <c r="A1030" t="n">
        <v>40</v>
      </c>
      <c r="B1030" t="n">
        <v>14</v>
      </c>
      <c r="C1030">
        <f>IFERROR(INDEX(資格取込!$S$6:$S$405,MATCH(40&amp;"_"&amp;8,資格取込!$Z$6:$Z$405,0)),"")</f>
        <v/>
      </c>
      <c r="D1030">
        <f>IFERROR(INDEX(資格取込!$R$6:$R$405,MATCH(40&amp;"_"&amp;8,資格取込!$Z$6:$Z$405,0)),"")</f>
        <v/>
      </c>
      <c r="E1030">
        <f>IF(D1030="","",IFERROR(INDEX(資格マスタ!$B:$B,MATCH(ASC(SUBSTITUTE(SUBSTITUTE(D1030," ",""),"　","")),資格マスタ!$D:$D,0)),D1030))</f>
        <v/>
      </c>
      <c r="F1030">
        <f>IF(E1030="","",IF(C1030="",DATE(9999,1,1),C1030))</f>
        <v/>
      </c>
      <c r="G1030">
        <f>IF(E1030="","",COUNTIFS($F$1017:$F$1042,"&lt;"&amp;F1030,$F$1017:$F$1042,"&lt;&gt;")+COUNTIFS($F$1017:$F$1042,F1030,$B$1017:$B$1042,"&lt;"&amp;B1030)+1)</f>
        <v/>
      </c>
      <c r="H1030">
        <f>IF(OR(E1030="",C1030=""),"",IF(C1030&gt;=DATE(2019,5,1),"令和"&amp;(YEAR(C1030)-2018),IF(C1030&gt;=DATE(1989,1,8),"平成"&amp;(YEAR(C1030)-1988),"昭和"&amp;(YEAR(C1030)-1925)))&amp;"年"&amp;MONTH(C1030)&amp;"月")</f>
        <v/>
      </c>
    </row>
    <row r="1031">
      <c r="A1031" t="n">
        <v>40</v>
      </c>
      <c r="B1031" t="n">
        <v>15</v>
      </c>
      <c r="C1031">
        <f>IFERROR(INDEX(資格取込!$S$6:$S$405,MATCH(40&amp;"_"&amp;9,資格取込!$Z$6:$Z$405,0)),"")</f>
        <v/>
      </c>
      <c r="D1031">
        <f>IFERROR(INDEX(資格取込!$R$6:$R$405,MATCH(40&amp;"_"&amp;9,資格取込!$Z$6:$Z$405,0)),"")</f>
        <v/>
      </c>
      <c r="E1031">
        <f>IF(D1031="","",IFERROR(INDEX(資格マスタ!$B:$B,MATCH(ASC(SUBSTITUTE(SUBSTITUTE(D1031," ",""),"　","")),資格マスタ!$D:$D,0)),D1031))</f>
        <v/>
      </c>
      <c r="F1031">
        <f>IF(E1031="","",IF(C1031="",DATE(9999,1,1),C1031))</f>
        <v/>
      </c>
      <c r="G1031">
        <f>IF(E1031="","",COUNTIFS($F$1017:$F$1042,"&lt;"&amp;F1031,$F$1017:$F$1042,"&lt;&gt;")+COUNTIFS($F$1017:$F$1042,F1031,$B$1017:$B$1042,"&lt;"&amp;B1031)+1)</f>
        <v/>
      </c>
      <c r="H1031">
        <f>IF(OR(E1031="",C1031=""),"",IF(C1031&gt;=DATE(2019,5,1),"令和"&amp;(YEAR(C1031)-2018),IF(C1031&gt;=DATE(1989,1,8),"平成"&amp;(YEAR(C1031)-1988),"昭和"&amp;(YEAR(C1031)-1925)))&amp;"年"&amp;MONTH(C1031)&amp;"月")</f>
        <v/>
      </c>
    </row>
    <row r="1032">
      <c r="A1032" t="n">
        <v>40</v>
      </c>
      <c r="B1032" t="n">
        <v>16</v>
      </c>
      <c r="C1032">
        <f>IFERROR(INDEX(資格取込!$S$6:$S$405,MATCH(40&amp;"_"&amp;10,資格取込!$Z$6:$Z$405,0)),"")</f>
        <v/>
      </c>
      <c r="D1032">
        <f>IFERROR(INDEX(資格取込!$R$6:$R$405,MATCH(40&amp;"_"&amp;10,資格取込!$Z$6:$Z$405,0)),"")</f>
        <v/>
      </c>
      <c r="E1032">
        <f>IF(D1032="","",IFERROR(INDEX(資格マスタ!$B:$B,MATCH(ASC(SUBSTITUTE(SUBSTITUTE(D1032," ",""),"　","")),資格マスタ!$D:$D,0)),D1032))</f>
        <v/>
      </c>
      <c r="F1032">
        <f>IF(E1032="","",IF(C1032="",DATE(9999,1,1),C1032))</f>
        <v/>
      </c>
      <c r="G1032">
        <f>IF(E1032="","",COUNTIFS($F$1017:$F$1042,"&lt;"&amp;F1032,$F$1017:$F$1042,"&lt;&gt;")+COUNTIFS($F$1017:$F$1042,F1032,$B$1017:$B$1042,"&lt;"&amp;B1032)+1)</f>
        <v/>
      </c>
      <c r="H1032">
        <f>IF(OR(E1032="",C1032=""),"",IF(C1032&gt;=DATE(2019,5,1),"令和"&amp;(YEAR(C1032)-2018),IF(C1032&gt;=DATE(1989,1,8),"平成"&amp;(YEAR(C1032)-1988),"昭和"&amp;(YEAR(C1032)-1925)))&amp;"年"&amp;MONTH(C1032)&amp;"月")</f>
        <v/>
      </c>
    </row>
    <row r="1033">
      <c r="A1033" t="n">
        <v>40</v>
      </c>
      <c r="B1033" t="n">
        <v>17</v>
      </c>
      <c r="C1033">
        <f>IFERROR(INDEX(資格取込!$S$6:$S$405,MATCH(40&amp;"_"&amp;11,資格取込!$Z$6:$Z$405,0)),"")</f>
        <v/>
      </c>
      <c r="D1033">
        <f>IFERROR(INDEX(資格取込!$R$6:$R$405,MATCH(40&amp;"_"&amp;11,資格取込!$Z$6:$Z$405,0)),"")</f>
        <v/>
      </c>
      <c r="E1033">
        <f>IF(D1033="","",IFERROR(INDEX(資格マスタ!$B:$B,MATCH(ASC(SUBSTITUTE(SUBSTITUTE(D1033," ",""),"　","")),資格マスタ!$D:$D,0)),D1033))</f>
        <v/>
      </c>
      <c r="F1033">
        <f>IF(E1033="","",IF(C1033="",DATE(9999,1,1),C1033))</f>
        <v/>
      </c>
      <c r="G1033">
        <f>IF(E1033="","",COUNTIFS($F$1017:$F$1042,"&lt;"&amp;F1033,$F$1017:$F$1042,"&lt;&gt;")+COUNTIFS($F$1017:$F$1042,F1033,$B$1017:$B$1042,"&lt;"&amp;B1033)+1)</f>
        <v/>
      </c>
      <c r="H1033">
        <f>IF(OR(E1033="",C1033=""),"",IF(C1033&gt;=DATE(2019,5,1),"令和"&amp;(YEAR(C1033)-2018),IF(C1033&gt;=DATE(1989,1,8),"平成"&amp;(YEAR(C1033)-1988),"昭和"&amp;(YEAR(C1033)-1925)))&amp;"年"&amp;MONTH(C1033)&amp;"月")</f>
        <v/>
      </c>
    </row>
    <row r="1034">
      <c r="A1034" t="n">
        <v>40</v>
      </c>
      <c r="B1034" t="n">
        <v>18</v>
      </c>
      <c r="C1034">
        <f>IFERROR(INDEX(資格取込!$S$6:$S$405,MATCH(40&amp;"_"&amp;12,資格取込!$Z$6:$Z$405,0)),"")</f>
        <v/>
      </c>
      <c r="D1034">
        <f>IFERROR(INDEX(資格取込!$R$6:$R$405,MATCH(40&amp;"_"&amp;12,資格取込!$Z$6:$Z$405,0)),"")</f>
        <v/>
      </c>
      <c r="E1034">
        <f>IF(D1034="","",IFERROR(INDEX(資格マスタ!$B:$B,MATCH(ASC(SUBSTITUTE(SUBSTITUTE(D1034," ",""),"　","")),資格マスタ!$D:$D,0)),D1034))</f>
        <v/>
      </c>
      <c r="F1034">
        <f>IF(E1034="","",IF(C1034="",DATE(9999,1,1),C1034))</f>
        <v/>
      </c>
      <c r="G1034">
        <f>IF(E1034="","",COUNTIFS($F$1017:$F$1042,"&lt;"&amp;F1034,$F$1017:$F$1042,"&lt;&gt;")+COUNTIFS($F$1017:$F$1042,F1034,$B$1017:$B$1042,"&lt;"&amp;B1034)+1)</f>
        <v/>
      </c>
      <c r="H1034">
        <f>IF(OR(E1034="",C1034=""),"",IF(C1034&gt;=DATE(2019,5,1),"令和"&amp;(YEAR(C1034)-2018),IF(C1034&gt;=DATE(1989,1,8),"平成"&amp;(YEAR(C1034)-1988),"昭和"&amp;(YEAR(C1034)-1925)))&amp;"年"&amp;MONTH(C1034)&amp;"月")</f>
        <v/>
      </c>
    </row>
    <row r="1035">
      <c r="A1035" t="n">
        <v>40</v>
      </c>
      <c r="B1035" t="n">
        <v>19</v>
      </c>
      <c r="C1035">
        <f>IFERROR(INDEX(資格取込!$S$6:$S$405,MATCH(40&amp;"_"&amp;13,資格取込!$Z$6:$Z$405,0)),"")</f>
        <v/>
      </c>
      <c r="D1035">
        <f>IFERROR(INDEX(資格取込!$R$6:$R$405,MATCH(40&amp;"_"&amp;13,資格取込!$Z$6:$Z$405,0)),"")</f>
        <v/>
      </c>
      <c r="E1035">
        <f>IF(D1035="","",IFERROR(INDEX(資格マスタ!$B:$B,MATCH(ASC(SUBSTITUTE(SUBSTITUTE(D1035," ",""),"　","")),資格マスタ!$D:$D,0)),D1035))</f>
        <v/>
      </c>
      <c r="F1035">
        <f>IF(E1035="","",IF(C1035="",DATE(9999,1,1),C1035))</f>
        <v/>
      </c>
      <c r="G1035">
        <f>IF(E1035="","",COUNTIFS($F$1017:$F$1042,"&lt;"&amp;F1035,$F$1017:$F$1042,"&lt;&gt;")+COUNTIFS($F$1017:$F$1042,F1035,$B$1017:$B$1042,"&lt;"&amp;B1035)+1)</f>
        <v/>
      </c>
      <c r="H1035">
        <f>IF(OR(E1035="",C1035=""),"",IF(C1035&gt;=DATE(2019,5,1),"令和"&amp;(YEAR(C1035)-2018),IF(C1035&gt;=DATE(1989,1,8),"平成"&amp;(YEAR(C1035)-1988),"昭和"&amp;(YEAR(C1035)-1925)))&amp;"年"&amp;MONTH(C1035)&amp;"月")</f>
        <v/>
      </c>
    </row>
    <row r="1036">
      <c r="A1036" t="n">
        <v>40</v>
      </c>
      <c r="B1036" t="n">
        <v>20</v>
      </c>
      <c r="C1036">
        <f>IFERROR(INDEX(資格取込!$S$6:$S$405,MATCH(40&amp;"_"&amp;14,資格取込!$Z$6:$Z$405,0)),"")</f>
        <v/>
      </c>
      <c r="D1036">
        <f>IFERROR(INDEX(資格取込!$R$6:$R$405,MATCH(40&amp;"_"&amp;14,資格取込!$Z$6:$Z$405,0)),"")</f>
        <v/>
      </c>
      <c r="E1036">
        <f>IF(D1036="","",IFERROR(INDEX(資格マスタ!$B:$B,MATCH(ASC(SUBSTITUTE(SUBSTITUTE(D1036," ",""),"　","")),資格マスタ!$D:$D,0)),D1036))</f>
        <v/>
      </c>
      <c r="F1036">
        <f>IF(E1036="","",IF(C1036="",DATE(9999,1,1),C1036))</f>
        <v/>
      </c>
      <c r="G1036">
        <f>IF(E1036="","",COUNTIFS($F$1017:$F$1042,"&lt;"&amp;F1036,$F$1017:$F$1042,"&lt;&gt;")+COUNTIFS($F$1017:$F$1042,F1036,$B$1017:$B$1042,"&lt;"&amp;B1036)+1)</f>
        <v/>
      </c>
      <c r="H1036">
        <f>IF(OR(E1036="",C1036=""),"",IF(C1036&gt;=DATE(2019,5,1),"令和"&amp;(YEAR(C1036)-2018),IF(C1036&gt;=DATE(1989,1,8),"平成"&amp;(YEAR(C1036)-1988),"昭和"&amp;(YEAR(C1036)-1925)))&amp;"年"&amp;MONTH(C1036)&amp;"月")</f>
        <v/>
      </c>
    </row>
    <row r="1037">
      <c r="A1037" t="n">
        <v>40</v>
      </c>
      <c r="B1037" t="n">
        <v>21</v>
      </c>
      <c r="C1037">
        <f>IFERROR(INDEX(資格取込!$S$6:$S$405,MATCH(40&amp;"_"&amp;15,資格取込!$Z$6:$Z$405,0)),"")</f>
        <v/>
      </c>
      <c r="D1037">
        <f>IFERROR(INDEX(資格取込!$R$6:$R$405,MATCH(40&amp;"_"&amp;15,資格取込!$Z$6:$Z$405,0)),"")</f>
        <v/>
      </c>
      <c r="E1037">
        <f>IF(D1037="","",IFERROR(INDEX(資格マスタ!$B:$B,MATCH(ASC(SUBSTITUTE(SUBSTITUTE(D1037," ",""),"　","")),資格マスタ!$D:$D,0)),D1037))</f>
        <v/>
      </c>
      <c r="F1037">
        <f>IF(E1037="","",IF(C1037="",DATE(9999,1,1),C1037))</f>
        <v/>
      </c>
      <c r="G1037">
        <f>IF(E1037="","",COUNTIFS($F$1017:$F$1042,"&lt;"&amp;F1037,$F$1017:$F$1042,"&lt;&gt;")+COUNTIFS($F$1017:$F$1042,F1037,$B$1017:$B$1042,"&lt;"&amp;B1037)+1)</f>
        <v/>
      </c>
      <c r="H1037">
        <f>IF(OR(E1037="",C1037=""),"",IF(C1037&gt;=DATE(2019,5,1),"令和"&amp;(YEAR(C1037)-2018),IF(C1037&gt;=DATE(1989,1,8),"平成"&amp;(YEAR(C1037)-1988),"昭和"&amp;(YEAR(C1037)-1925)))&amp;"年"&amp;MONTH(C1037)&amp;"月")</f>
        <v/>
      </c>
    </row>
    <row r="1038">
      <c r="A1038" t="n">
        <v>40</v>
      </c>
      <c r="B1038" t="n">
        <v>22</v>
      </c>
      <c r="C1038">
        <f>IFERROR(INDEX(資格取込!$S$6:$S$405,MATCH(40&amp;"_"&amp;16,資格取込!$Z$6:$Z$405,0)),"")</f>
        <v/>
      </c>
      <c r="D1038">
        <f>IFERROR(INDEX(資格取込!$R$6:$R$405,MATCH(40&amp;"_"&amp;16,資格取込!$Z$6:$Z$405,0)),"")</f>
        <v/>
      </c>
      <c r="E1038">
        <f>IF(D1038="","",IFERROR(INDEX(資格マスタ!$B:$B,MATCH(ASC(SUBSTITUTE(SUBSTITUTE(D1038," ",""),"　","")),資格マスタ!$D:$D,0)),D1038))</f>
        <v/>
      </c>
      <c r="F1038">
        <f>IF(E1038="","",IF(C1038="",DATE(9999,1,1),C1038))</f>
        <v/>
      </c>
      <c r="G1038">
        <f>IF(E1038="","",COUNTIFS($F$1017:$F$1042,"&lt;"&amp;F1038,$F$1017:$F$1042,"&lt;&gt;")+COUNTIFS($F$1017:$F$1042,F1038,$B$1017:$B$1042,"&lt;"&amp;B1038)+1)</f>
        <v/>
      </c>
      <c r="H1038">
        <f>IF(OR(E1038="",C1038=""),"",IF(C1038&gt;=DATE(2019,5,1),"令和"&amp;(YEAR(C1038)-2018),IF(C1038&gt;=DATE(1989,1,8),"平成"&amp;(YEAR(C1038)-1988),"昭和"&amp;(YEAR(C1038)-1925)))&amp;"年"&amp;MONTH(C1038)&amp;"月")</f>
        <v/>
      </c>
    </row>
    <row r="1039">
      <c r="A1039" t="n">
        <v>40</v>
      </c>
      <c r="B1039" t="n">
        <v>23</v>
      </c>
      <c r="C1039">
        <f>IFERROR(INDEX(資格取込!$S$6:$S$405,MATCH(40&amp;"_"&amp;17,資格取込!$Z$6:$Z$405,0)),"")</f>
        <v/>
      </c>
      <c r="D1039">
        <f>IFERROR(INDEX(資格取込!$R$6:$R$405,MATCH(40&amp;"_"&amp;17,資格取込!$Z$6:$Z$405,0)),"")</f>
        <v/>
      </c>
      <c r="E1039">
        <f>IF(D1039="","",IFERROR(INDEX(資格マスタ!$B:$B,MATCH(ASC(SUBSTITUTE(SUBSTITUTE(D1039," ",""),"　","")),資格マスタ!$D:$D,0)),D1039))</f>
        <v/>
      </c>
      <c r="F1039">
        <f>IF(E1039="","",IF(C1039="",DATE(9999,1,1),C1039))</f>
        <v/>
      </c>
      <c r="G1039">
        <f>IF(E1039="","",COUNTIFS($F$1017:$F$1042,"&lt;"&amp;F1039,$F$1017:$F$1042,"&lt;&gt;")+COUNTIFS($F$1017:$F$1042,F1039,$B$1017:$B$1042,"&lt;"&amp;B1039)+1)</f>
        <v/>
      </c>
      <c r="H1039">
        <f>IF(OR(E1039="",C1039=""),"",IF(C1039&gt;=DATE(2019,5,1),"令和"&amp;(YEAR(C1039)-2018),IF(C1039&gt;=DATE(1989,1,8),"平成"&amp;(YEAR(C1039)-1988),"昭和"&amp;(YEAR(C1039)-1925)))&amp;"年"&amp;MONTH(C1039)&amp;"月")</f>
        <v/>
      </c>
    </row>
    <row r="1040">
      <c r="A1040" t="n">
        <v>40</v>
      </c>
      <c r="B1040" t="n">
        <v>24</v>
      </c>
      <c r="C1040">
        <f>IFERROR(INDEX(資格取込!$S$6:$S$405,MATCH(40&amp;"_"&amp;18,資格取込!$Z$6:$Z$405,0)),"")</f>
        <v/>
      </c>
      <c r="D1040">
        <f>IFERROR(INDEX(資格取込!$R$6:$R$405,MATCH(40&amp;"_"&amp;18,資格取込!$Z$6:$Z$405,0)),"")</f>
        <v/>
      </c>
      <c r="E1040">
        <f>IF(D1040="","",IFERROR(INDEX(資格マスタ!$B:$B,MATCH(ASC(SUBSTITUTE(SUBSTITUTE(D1040," ",""),"　","")),資格マスタ!$D:$D,0)),D1040))</f>
        <v/>
      </c>
      <c r="F1040">
        <f>IF(E1040="","",IF(C1040="",DATE(9999,1,1),C1040))</f>
        <v/>
      </c>
      <c r="G1040">
        <f>IF(E1040="","",COUNTIFS($F$1017:$F$1042,"&lt;"&amp;F1040,$F$1017:$F$1042,"&lt;&gt;")+COUNTIFS($F$1017:$F$1042,F1040,$B$1017:$B$1042,"&lt;"&amp;B1040)+1)</f>
        <v/>
      </c>
      <c r="H1040">
        <f>IF(OR(E1040="",C1040=""),"",IF(C1040&gt;=DATE(2019,5,1),"令和"&amp;(YEAR(C1040)-2018),IF(C1040&gt;=DATE(1989,1,8),"平成"&amp;(YEAR(C1040)-1988),"昭和"&amp;(YEAR(C1040)-1925)))&amp;"年"&amp;MONTH(C1040)&amp;"月")</f>
        <v/>
      </c>
    </row>
    <row r="1041">
      <c r="A1041" t="n">
        <v>40</v>
      </c>
      <c r="B1041" t="n">
        <v>25</v>
      </c>
      <c r="C1041">
        <f>IFERROR(INDEX(資格取込!$S$6:$S$405,MATCH(40&amp;"_"&amp;19,資格取込!$Z$6:$Z$405,0)),"")</f>
        <v/>
      </c>
      <c r="D1041">
        <f>IFERROR(INDEX(資格取込!$R$6:$R$405,MATCH(40&amp;"_"&amp;19,資格取込!$Z$6:$Z$405,0)),"")</f>
        <v/>
      </c>
      <c r="E1041">
        <f>IF(D1041="","",IFERROR(INDEX(資格マスタ!$B:$B,MATCH(ASC(SUBSTITUTE(SUBSTITUTE(D1041," ",""),"　","")),資格マスタ!$D:$D,0)),D1041))</f>
        <v/>
      </c>
      <c r="F1041">
        <f>IF(E1041="","",IF(C1041="",DATE(9999,1,1),C1041))</f>
        <v/>
      </c>
      <c r="G1041">
        <f>IF(E1041="","",COUNTIFS($F$1017:$F$1042,"&lt;"&amp;F1041,$F$1017:$F$1042,"&lt;&gt;")+COUNTIFS($F$1017:$F$1042,F1041,$B$1017:$B$1042,"&lt;"&amp;B1041)+1)</f>
        <v/>
      </c>
      <c r="H1041">
        <f>IF(OR(E1041="",C1041=""),"",IF(C1041&gt;=DATE(2019,5,1),"令和"&amp;(YEAR(C1041)-2018),IF(C1041&gt;=DATE(1989,1,8),"平成"&amp;(YEAR(C1041)-1988),"昭和"&amp;(YEAR(C1041)-1925)))&amp;"年"&amp;MONTH(C1041)&amp;"月")</f>
        <v/>
      </c>
    </row>
    <row r="1042">
      <c r="A1042" t="n">
        <v>40</v>
      </c>
      <c r="B1042" t="n">
        <v>26</v>
      </c>
      <c r="C1042">
        <f>IFERROR(INDEX(資格取込!$S$6:$S$405,MATCH(40&amp;"_"&amp;20,資格取込!$Z$6:$Z$405,0)),"")</f>
        <v/>
      </c>
      <c r="D1042">
        <f>IFERROR(INDEX(資格取込!$R$6:$R$405,MATCH(40&amp;"_"&amp;20,資格取込!$Z$6:$Z$405,0)),"")</f>
        <v/>
      </c>
      <c r="E1042">
        <f>IF(D1042="","",IFERROR(INDEX(資格マスタ!$B:$B,MATCH(ASC(SUBSTITUTE(SUBSTITUTE(D1042," ",""),"　","")),資格マスタ!$D:$D,0)),D1042))</f>
        <v/>
      </c>
      <c r="F1042">
        <f>IF(E1042="","",IF(C1042="",DATE(9999,1,1),C1042))</f>
        <v/>
      </c>
      <c r="G1042">
        <f>IF(E1042="","",COUNTIFS($F$1017:$F$1042,"&lt;"&amp;F1042,$F$1017:$F$1042,"&lt;&gt;")+COUNTIFS($F$1017:$F$1042,F1042,$B$1017:$B$1042,"&lt;"&amp;B1042)+1)</f>
        <v/>
      </c>
      <c r="H1042">
        <f>IF(OR(E1042="",C1042=""),"",IF(C1042&gt;=DATE(2019,5,1),"令和"&amp;(YEAR(C1042)-2018),IF(C1042&gt;=DATE(1989,1,8),"平成"&amp;(YEAR(C1042)-1988),"昭和"&amp;(YEAR(C1042)-1925)))&amp;"年"&amp;MONTH(C1042)&amp;"月")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CD42"/>
  <sheetViews>
    <sheetView workbookViewId="0">
      <selection activeCell="A1" sqref="A1"/>
    </sheetView>
  </sheetViews>
  <sheetFormatPr baseColWidth="8" defaultRowHeight="15"/>
  <cols>
    <col hidden="1" width="13" customWidth="1" style="118" min="77" max="77"/>
    <col hidden="1" width="13" customWidth="1" style="118" min="78" max="78"/>
    <col hidden="1" width="13" customWidth="1" style="118" min="79" max="79"/>
  </cols>
  <sheetData>
    <row r="1">
      <c r="A1" s="147" t="inlineStr">
        <is>
          <t>計算（自動・さわらないでください）</t>
        </is>
      </c>
    </row>
    <row r="2">
      <c r="A2" s="193" t="inlineStr">
        <is>
          <t>No</t>
        </is>
      </c>
      <c r="B2" s="193" t="inlineStr">
        <is>
          <t>氏名</t>
        </is>
      </c>
      <c r="C2" s="193" t="inlineStr">
        <is>
          <t>ふりがな</t>
        </is>
      </c>
      <c r="D2" s="193" t="inlineStr">
        <is>
          <t>生年(和暦)</t>
        </is>
      </c>
      <c r="E2" s="193" t="inlineStr">
        <is>
          <t>生月</t>
        </is>
      </c>
      <c r="F2" s="193" t="inlineStr">
        <is>
          <t>生日</t>
        </is>
      </c>
      <c r="G2" s="193" t="inlineStr">
        <is>
          <t>満年齢</t>
        </is>
      </c>
      <c r="H2" s="193" t="inlineStr">
        <is>
          <t>郵便番号</t>
        </is>
      </c>
      <c r="I2" s="193" t="inlineStr">
        <is>
          <t>住所</t>
        </is>
      </c>
      <c r="J2" s="193" t="inlineStr">
        <is>
          <t>住所ふりがな</t>
        </is>
      </c>
      <c r="K2" s="193" t="inlineStr">
        <is>
          <t>連絡先〒</t>
        </is>
      </c>
      <c r="L2" s="193" t="inlineStr">
        <is>
          <t>連絡先</t>
        </is>
      </c>
      <c r="M2" s="193" t="inlineStr">
        <is>
          <t>連絡先ふりがな</t>
        </is>
      </c>
      <c r="N2" s="193" t="inlineStr">
        <is>
          <t>在籍校</t>
        </is>
      </c>
      <c r="O2" s="193" t="inlineStr">
        <is>
          <t>資格1年月</t>
        </is>
      </c>
      <c r="P2" s="193" t="inlineStr">
        <is>
          <t>資格1名称</t>
        </is>
      </c>
      <c r="Q2" s="193" t="inlineStr">
        <is>
          <t>資格2年月</t>
        </is>
      </c>
      <c r="R2" s="193" t="inlineStr">
        <is>
          <t>資格2名称</t>
        </is>
      </c>
      <c r="S2" s="193" t="inlineStr">
        <is>
          <t>資格3年月</t>
        </is>
      </c>
      <c r="T2" s="193" t="inlineStr">
        <is>
          <t>資格3名称</t>
        </is>
      </c>
      <c r="U2" s="193" t="inlineStr">
        <is>
          <t>資格4年月</t>
        </is>
      </c>
      <c r="V2" s="193" t="inlineStr">
        <is>
          <t>資格4名称</t>
        </is>
      </c>
      <c r="W2" s="193" t="inlineStr">
        <is>
          <t>資格5年月</t>
        </is>
      </c>
      <c r="X2" s="193" t="inlineStr">
        <is>
          <t>資格5名称</t>
        </is>
      </c>
      <c r="Y2" s="193" t="inlineStr">
        <is>
          <t>資格6年月</t>
        </is>
      </c>
      <c r="Z2" s="193" t="inlineStr">
        <is>
          <t>資格6名称</t>
        </is>
      </c>
      <c r="AA2" s="193" t="inlineStr">
        <is>
          <t>資格7年月</t>
        </is>
      </c>
      <c r="AB2" s="193" t="inlineStr">
        <is>
          <t>資格7名称</t>
        </is>
      </c>
      <c r="AC2" s="193" t="inlineStr">
        <is>
          <t>資格8年月</t>
        </is>
      </c>
      <c r="AD2" s="193" t="inlineStr">
        <is>
          <t>資格8名称</t>
        </is>
      </c>
      <c r="AE2" s="193" t="inlineStr">
        <is>
          <t>資格9年月</t>
        </is>
      </c>
      <c r="AF2" s="193" t="inlineStr">
        <is>
          <t>資格9名称</t>
        </is>
      </c>
      <c r="AG2" s="193" t="inlineStr">
        <is>
          <t>資格10年月</t>
        </is>
      </c>
      <c r="AH2" s="193" t="inlineStr">
        <is>
          <t>資格10名称</t>
        </is>
      </c>
      <c r="AI2" s="193" t="inlineStr">
        <is>
          <t>資格11年月</t>
        </is>
      </c>
      <c r="AJ2" s="193" t="inlineStr">
        <is>
          <t>資格11名称</t>
        </is>
      </c>
      <c r="AK2" s="193" t="inlineStr">
        <is>
          <t>資格12年月</t>
        </is>
      </c>
      <c r="AL2" s="193" t="inlineStr">
        <is>
          <t>資格12名称</t>
        </is>
      </c>
      <c r="AM2" s="193" t="inlineStr">
        <is>
          <t>資格13年月</t>
        </is>
      </c>
      <c r="AN2" s="193" t="inlineStr">
        <is>
          <t>資格13名称</t>
        </is>
      </c>
      <c r="AO2" s="193" t="inlineStr">
        <is>
          <t>資格14年月</t>
        </is>
      </c>
      <c r="AP2" s="193" t="inlineStr">
        <is>
          <t>資格14名称</t>
        </is>
      </c>
      <c r="AQ2" s="193" t="inlineStr">
        <is>
          <t>資格15年月</t>
        </is>
      </c>
      <c r="AR2" s="193" t="inlineStr">
        <is>
          <t>資格15名称</t>
        </is>
      </c>
      <c r="AS2" s="193" t="inlineStr">
        <is>
          <t>資格16年月</t>
        </is>
      </c>
      <c r="AT2" s="193" t="inlineStr">
        <is>
          <t>資格16名称</t>
        </is>
      </c>
      <c r="AU2" s="193" t="inlineStr">
        <is>
          <t>資格17年月</t>
        </is>
      </c>
      <c r="AV2" s="193" t="inlineStr">
        <is>
          <t>資格17名称</t>
        </is>
      </c>
      <c r="AW2" s="193" t="inlineStr">
        <is>
          <t>資格18年月</t>
        </is>
      </c>
      <c r="AX2" s="193" t="inlineStr">
        <is>
          <t>資格18名称</t>
        </is>
      </c>
      <c r="AY2" s="193" t="inlineStr">
        <is>
          <t>資格19年月</t>
        </is>
      </c>
      <c r="AZ2" s="193" t="inlineStr">
        <is>
          <t>資格19名称</t>
        </is>
      </c>
      <c r="BA2" s="193" t="inlineStr">
        <is>
          <t>資格20年月</t>
        </is>
      </c>
      <c r="BB2" s="193" t="inlineStr">
        <is>
          <t>資格20名称</t>
        </is>
      </c>
      <c r="BC2" s="193" t="inlineStr">
        <is>
          <t>資格21年月</t>
        </is>
      </c>
      <c r="BD2" s="193" t="inlineStr">
        <is>
          <t>資格21名称</t>
        </is>
      </c>
      <c r="BE2" s="193" t="inlineStr">
        <is>
          <t>資格22年月</t>
        </is>
      </c>
      <c r="BF2" s="193" t="inlineStr">
        <is>
          <t>資格22名称</t>
        </is>
      </c>
      <c r="BG2" s="193" t="inlineStr">
        <is>
          <t>資格23年月</t>
        </is>
      </c>
      <c r="BH2" s="193" t="inlineStr">
        <is>
          <t>資格23名称</t>
        </is>
      </c>
      <c r="BI2" s="193" t="inlineStr">
        <is>
          <t>資格24年月</t>
        </is>
      </c>
      <c r="BJ2" s="193" t="inlineStr">
        <is>
          <t>資格24名称</t>
        </is>
      </c>
      <c r="BK2" s="193" t="inlineStr">
        <is>
          <t>資格25年月</t>
        </is>
      </c>
      <c r="BL2" s="193" t="inlineStr">
        <is>
          <t>資格25名称</t>
        </is>
      </c>
      <c r="BM2" s="193" t="inlineStr">
        <is>
          <t>資格26年月</t>
        </is>
      </c>
      <c r="BN2" s="193" t="inlineStr">
        <is>
          <t>資格26名称</t>
        </is>
      </c>
      <c r="BO2" s="193" t="inlineStr">
        <is>
          <t>諸活動</t>
        </is>
      </c>
      <c r="BP2" s="193" t="inlineStr">
        <is>
          <t>志望の動機など</t>
        </is>
      </c>
      <c r="BQ2" s="193" t="inlineStr">
        <is>
          <t>備考</t>
        </is>
      </c>
      <c r="BR2" s="193" t="inlineStr">
        <is>
          <t>職歴1年</t>
        </is>
      </c>
      <c r="BS2" s="193" t="inlineStr">
        <is>
          <t>職歴1月</t>
        </is>
      </c>
      <c r="BT2" s="193" t="inlineStr">
        <is>
          <t>職歴1内容</t>
        </is>
      </c>
      <c r="BU2" s="193" t="inlineStr">
        <is>
          <t>職歴2年</t>
        </is>
      </c>
      <c r="BV2" s="193" t="inlineStr">
        <is>
          <t>職歴2月</t>
        </is>
      </c>
      <c r="BW2" s="193" t="inlineStr">
        <is>
          <t>職歴2内容</t>
        </is>
      </c>
      <c r="CB2" s="193" t="inlineStr">
        <is>
          <t>資格一覧(年月)</t>
        </is>
      </c>
      <c r="CC2" s="193" t="inlineStr">
        <is>
          <t>資格一覧(名称)</t>
        </is>
      </c>
      <c r="CD2" s="193" t="inlineStr">
        <is>
          <t>資格件数</t>
        </is>
      </c>
    </row>
    <row r="3">
      <c r="A3" t="n">
        <v>1</v>
      </c>
      <c r="B3">
        <f>IF(入力!$D$5="","",IF(OR(反映項目!$B$4="×",入力!$D$5=""),"",入力!$D$5))</f>
        <v/>
      </c>
      <c r="C3">
        <f>IF(入力!$D$5="","",IF(OR(反映項目!$B$5="×",入力!$E$5=""),"",入力!$E$5))</f>
        <v/>
      </c>
      <c r="D3">
        <f>IF(入力!$D$5="","",IF(OR(反映項目!$B$6="×",N($BY$3)=0),"",YEAR($BY$3)-IF($BY$3&gt;=DATE(2019,5,1),2018,IF($BY$3&gt;=DATE(1989,1,8),1988,1925))))&amp;""</f>
        <v/>
      </c>
      <c r="E3">
        <f>IF(入力!$D$5="","",IF(OR(反映項目!$B$6="×",N($BY$3)=0),"",MONTH($BY$3)))&amp;""</f>
        <v/>
      </c>
      <c r="F3">
        <f>IF(入力!$D$5="","",IF(OR(反映項目!$B$6="×",N($BY$3)=0),"",DAY($BY$3)))&amp;""</f>
        <v/>
      </c>
      <c r="G3">
        <f>IF(入力!$D$5="","",IF(OR(反映項目!$B$6="×",OR(N($BY$3)=0,N(設定!$B$3)=0)),"",DATEDIF($BY$3,設定!$B$3,"Y")))&amp;""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IF(入力!$D$5="","",IF(OR(反映項目!$B$10="×",入力!$K$5=""),"",入力!$K$5))</f>
        <v/>
      </c>
      <c r="M3">
        <f>IF(入力!$D$5="","",IF(OR(反映項目!$B$10="×",入力!$L$5=""),"",入力!$L$5))</f>
        <v/>
      </c>
      <c r="N3">
        <f>IF(入力!$D$5="","",設定!$B$4&amp;CHAR(10)&amp;IF(入力!$M$5="",設定!$B$5,入力!$M$5))</f>
        <v/>
      </c>
      <c r="O3">
        <f>IF(入力!$D$5="","",IF(反映項目!$B$11="×","",IFERROR(INDEX(資格集約!$H$3:$H$28,MATCH(1,資格集約!$G$3:$G$28,0)),"")))</f>
        <v/>
      </c>
      <c r="P3">
        <f>IF(入力!$D$5="","",IF(反映項目!$B$11="×","",IFERROR(INDEX(資格集約!$E$3:$E$28,MATCH(1,資格集約!$G$3:$G$28,0)),"")))</f>
        <v/>
      </c>
      <c r="Q3">
        <f>IF(入力!$D$5="","",IF(反映項目!$B$11="×","",IFERROR(INDEX(資格集約!$H$3:$H$28,MATCH(2,資格集約!$G$3:$G$28,0)),"")))</f>
        <v/>
      </c>
      <c r="R3">
        <f>IF(入力!$D$5="","",IF(反映項目!$B$11="×","",IFERROR(INDEX(資格集約!$E$3:$E$28,MATCH(2,資格集約!$G$3:$G$28,0)),"")))</f>
        <v/>
      </c>
      <c r="S3">
        <f>IF(入力!$D$5="","",IF(反映項目!$B$11="×","",IFERROR(INDEX(資格集約!$H$3:$H$28,MATCH(3,資格集約!$G$3:$G$28,0)),"")))</f>
        <v/>
      </c>
      <c r="T3">
        <f>IF(入力!$D$5="","",IF(反映項目!$B$11="×","",IFERROR(INDEX(資格集約!$E$3:$E$28,MATCH(3,資格集約!$G$3:$G$28,0)),"")))</f>
        <v/>
      </c>
      <c r="U3">
        <f>IF(入力!$D$5="","",IF(反映項目!$B$11="×","",IFERROR(INDEX(資格集約!$H$3:$H$28,MATCH(4,資格集約!$G$3:$G$28,0)),"")))</f>
        <v/>
      </c>
      <c r="V3">
        <f>IF(入力!$D$5="","",IF(反映項目!$B$11="×","",IFERROR(INDEX(資格集約!$E$3:$E$28,MATCH(4,資格集約!$G$3:$G$28,0)),"")))</f>
        <v/>
      </c>
      <c r="W3">
        <f>IF(入力!$D$5="","",IF(反映項目!$B$11="×","",IFERROR(INDEX(資格集約!$H$3:$H$28,MATCH(5,資格集約!$G$3:$G$28,0)),"")))</f>
        <v/>
      </c>
      <c r="X3">
        <f>IF(入力!$D$5="","",IF(反映項目!$B$11="×","",IFERROR(INDEX(資格集約!$E$3:$E$28,MATCH(5,資格集約!$G$3:$G$28,0)),"")))</f>
        <v/>
      </c>
      <c r="Y3">
        <f>IF(入力!$D$5="","",IF(反映項目!$B$11="×","",IFERROR(INDEX(資格集約!$H$3:$H$28,MATCH(6,資格集約!$G$3:$G$28,0)),"")))</f>
        <v/>
      </c>
      <c r="Z3">
        <f>IF(入力!$D$5="","",IF(反映項目!$B$11="×","",IFERROR(INDEX(資格集約!$E$3:$E$28,MATCH(6,資格集約!$G$3:$G$28,0)),"")))</f>
        <v/>
      </c>
      <c r="AA3">
        <f>IF(入力!$D$5="","",IF(反映項目!$B$11="×","",IFERROR(INDEX(資格集約!$H$3:$H$28,MATCH(7,資格集約!$G$3:$G$28,0)),"")))</f>
        <v/>
      </c>
      <c r="AB3">
        <f>IF(入力!$D$5="","",IF(反映項目!$B$11="×","",IFERROR(INDEX(資格集約!$E$3:$E$28,MATCH(7,資格集約!$G$3:$G$28,0)),"")))</f>
        <v/>
      </c>
      <c r="AC3">
        <f>IF(入力!$D$5="","",IF(反映項目!$B$11="×","",IFERROR(INDEX(資格集約!$H$3:$H$28,MATCH(8,資格集約!$G$3:$G$28,0)),"")))</f>
        <v/>
      </c>
      <c r="AD3">
        <f>IF(入力!$D$5="","",IF(反映項目!$B$11="×","",IFERROR(INDEX(資格集約!$E$3:$E$28,MATCH(8,資格集約!$G$3:$G$28,0)),"")))</f>
        <v/>
      </c>
      <c r="AE3">
        <f>IF(入力!$D$5="","",IF(反映項目!$B$11="×","",IFERROR(INDEX(資格集約!$H$3:$H$28,MATCH(9,資格集約!$G$3:$G$28,0)),"")))</f>
        <v/>
      </c>
      <c r="AF3">
        <f>IF(入力!$D$5="","",IF(反映項目!$B$11="×","",IFERROR(INDEX(資格集約!$E$3:$E$28,MATCH(9,資格集約!$G$3:$G$28,0)),"")))</f>
        <v/>
      </c>
      <c r="AG3">
        <f>IF(入力!$D$5="","",IF(反映項目!$B$11="×","",IFERROR(INDEX(資格集約!$H$3:$H$28,MATCH(10,資格集約!$G$3:$G$28,0)),"")))</f>
        <v/>
      </c>
      <c r="AH3">
        <f>IF(入力!$D$5="","",IF(反映項目!$B$11="×","",IFERROR(INDEX(資格集約!$E$3:$E$28,MATCH(10,資格集約!$G$3:$G$28,0)),"")))</f>
        <v/>
      </c>
      <c r="AI3">
        <f>IF(入力!$D$5="","",IF(反映項目!$B$11="×","",IFERROR(INDEX(資格集約!$H$3:$H$28,MATCH(11,資格集約!$G$3:$G$28,0)),"")))</f>
        <v/>
      </c>
      <c r="AJ3">
        <f>IF(入力!$D$5="","",IF(反映項目!$B$11="×","",IFERROR(INDEX(資格集約!$E$3:$E$28,MATCH(11,資格集約!$G$3:$G$28,0)),"")))</f>
        <v/>
      </c>
      <c r="AK3">
        <f>IF(入力!$D$5="","",IF(反映項目!$B$11="×","",IFERROR(INDEX(資格集約!$H$3:$H$28,MATCH(12,資格集約!$G$3:$G$28,0)),"")))</f>
        <v/>
      </c>
      <c r="AL3">
        <f>IF(入力!$D$5="","",IF(反映項目!$B$11="×","",IFERROR(INDEX(資格集約!$E$3:$E$28,MATCH(12,資格集約!$G$3:$G$28,0)),"")))</f>
        <v/>
      </c>
      <c r="AM3">
        <f>IF(入力!$D$5="","",IF(反映項目!$B$11="×","",IFERROR(INDEX(資格集約!$H$3:$H$28,MATCH(13,資格集約!$G$3:$G$28,0)),"")))</f>
        <v/>
      </c>
      <c r="AN3">
        <f>IF(入力!$D$5="","",IF(反映項目!$B$11="×","",IFERROR(INDEX(資格集約!$E$3:$E$28,MATCH(13,資格集約!$G$3:$G$28,0)),"")))</f>
        <v/>
      </c>
      <c r="AO3">
        <f>IF(入力!$D$5="","",IF(反映項目!$B$11="×","",IFERROR(INDEX(資格集約!$H$3:$H$28,MATCH(14,資格集約!$G$3:$G$28,0)),"")))</f>
        <v/>
      </c>
      <c r="AP3">
        <f>IF(入力!$D$5="","",IF(反映項目!$B$11="×","",IFERROR(INDEX(資格集約!$E$3:$E$28,MATCH(14,資格集約!$G$3:$G$28,0)),"")))</f>
        <v/>
      </c>
      <c r="AQ3">
        <f>IF(入力!$D$5="","",IF(反映項目!$B$11="×","",IFERROR(INDEX(資格集約!$H$3:$H$28,MATCH(15,資格集約!$G$3:$G$28,0)),"")))</f>
        <v/>
      </c>
      <c r="AR3">
        <f>IF(入力!$D$5="","",IF(反映項目!$B$11="×","",IFERROR(INDEX(資格集約!$E$3:$E$28,MATCH(15,資格集約!$G$3:$G$28,0)),"")))</f>
        <v/>
      </c>
      <c r="AS3">
        <f>IF(入力!$D$5="","",IF(反映項目!$B$11="×","",IFERROR(INDEX(資格集約!$H$3:$H$28,MATCH(16,資格集約!$G$3:$G$28,0)),"")))</f>
        <v/>
      </c>
      <c r="AT3">
        <f>IF(入力!$D$5="","",IF(反映項目!$B$11="×","",IFERROR(INDEX(資格集約!$E$3:$E$28,MATCH(16,資格集約!$G$3:$G$28,0)),"")))</f>
        <v/>
      </c>
      <c r="AU3">
        <f>IF(入力!$D$5="","",IF(反映項目!$B$11="×","",IFERROR(INDEX(資格集約!$H$3:$H$28,MATCH(17,資格集約!$G$3:$G$28,0)),"")))</f>
        <v/>
      </c>
      <c r="AV3">
        <f>IF(入力!$D$5="","",IF(反映項目!$B$11="×","",IFERROR(INDEX(資格集約!$E$3:$E$28,MATCH(17,資格集約!$G$3:$G$28,0)),"")))</f>
        <v/>
      </c>
      <c r="AW3">
        <f>IF(入力!$D$5="","",IF(反映項目!$B$11="×","",IFERROR(INDEX(資格集約!$H$3:$H$28,MATCH(18,資格集約!$G$3:$G$28,0)),"")))</f>
        <v/>
      </c>
      <c r="AX3">
        <f>IF(入力!$D$5="","",IF(反映項目!$B$11="×","",IFERROR(INDEX(資格集約!$E$3:$E$28,MATCH(18,資格集約!$G$3:$G$28,0)),"")))</f>
        <v/>
      </c>
      <c r="AY3">
        <f>IF(入力!$D$5="","",IF(反映項目!$B$11="×","",IFERROR(INDEX(資格集約!$H$3:$H$28,MATCH(19,資格集約!$G$3:$G$28,0)),"")))</f>
        <v/>
      </c>
      <c r="AZ3">
        <f>IF(入力!$D$5="","",IF(反映項目!$B$11="×","",IFERROR(INDEX(資格集約!$E$3:$E$28,MATCH(19,資格集約!$G$3:$G$28,0)),"")))</f>
        <v/>
      </c>
      <c r="BA3">
        <f>IF(入力!$D$5="","",IF(反映項目!$B$11="×","",IFERROR(INDEX(資格集約!$H$3:$H$28,MATCH(20,資格集約!$G$3:$G$28,0)),"")))</f>
        <v/>
      </c>
      <c r="BB3">
        <f>IF(入力!$D$5="","",IF(反映項目!$B$11="×","",IFERROR(INDEX(資格集約!$E$3:$E$28,MATCH(20,資格集約!$G$3:$G$28,0)),"")))</f>
        <v/>
      </c>
      <c r="BC3">
        <f>IF(入力!$D$5="","",IF(反映項目!$B$11="×","",IFERROR(INDEX(資格集約!$H$3:$H$28,MATCH(21,資格集約!$G$3:$G$28,0)),"")))</f>
        <v/>
      </c>
      <c r="BD3">
        <f>IF(入力!$D$5="","",IF(反映項目!$B$11="×","",IFERROR(INDEX(資格集約!$E$3:$E$28,MATCH(21,資格集約!$G$3:$G$28,0)),"")))</f>
        <v/>
      </c>
      <c r="BE3">
        <f>IF(入力!$D$5="","",IF(反映項目!$B$11="×","",IFERROR(INDEX(資格集約!$H$3:$H$28,MATCH(22,資格集約!$G$3:$G$28,0)),"")))</f>
        <v/>
      </c>
      <c r="BF3">
        <f>IF(入力!$D$5="","",IF(反映項目!$B$11="×","",IFERROR(INDEX(資格集約!$E$3:$E$28,MATCH(22,資格集約!$G$3:$G$28,0)),"")))</f>
        <v/>
      </c>
      <c r="BG3">
        <f>IF(入力!$D$5="","",IF(反映項目!$B$11="×","",IFERROR(INDEX(資格集約!$H$3:$H$28,MATCH(23,資格集約!$G$3:$G$28,0)),"")))</f>
        <v/>
      </c>
      <c r="BH3">
        <f>IF(入力!$D$5="","",IF(反映項目!$B$11="×","",IFERROR(INDEX(資格集約!$E$3:$E$28,MATCH(23,資格集約!$G$3:$G$28,0)),"")))</f>
        <v/>
      </c>
      <c r="BI3">
        <f>IF(入力!$D$5="","",IF(反映項目!$B$11="×","",IFERROR(INDEX(資格集約!$H$3:$H$28,MATCH(24,資格集約!$G$3:$G$28,0)),"")))</f>
        <v/>
      </c>
      <c r="BJ3">
        <f>IF(入力!$D$5="","",IF(反映項目!$B$11="×","",IFERROR(INDEX(資格集約!$E$3:$E$28,MATCH(24,資格集約!$G$3:$G$28,0)),"")))</f>
        <v/>
      </c>
      <c r="BK3">
        <f>IF(入力!$D$5="","",IF(反映項目!$B$11="×","",IFERROR(INDEX(資格集約!$H$3:$H$28,MATCH(25,資格集約!$G$3:$G$28,0)),"")))</f>
        <v/>
      </c>
      <c r="BL3">
        <f>IF(入力!$D$5="","",IF(反映項目!$B$11="×","",IFERROR(INDEX(資格集約!$E$3:$E$28,MATCH(25,資格集約!$G$3:$G$28,0)),"")))</f>
        <v/>
      </c>
      <c r="BM3">
        <f>IF(入力!$D$5="","",IF(反映項目!$B$11="×","",IFERROR(INDEX(資格集約!$H$3:$H$28,MATCH(26,資格集約!$G$3:$G$28,0)),"")))</f>
        <v/>
      </c>
      <c r="BN3">
        <f>IF(入力!$D$5="","",IF(反映項目!$B$11="×","",IFERROR(INDEX(資格集約!$E$3:$E$28,MATCH(26,資格集約!$G$3:$G$28,0)),"")))</f>
        <v/>
      </c>
      <c r="BO3">
        <f>IF(入力!$D$5="","",IF(OR(反映項目!$B$12="×",入力!$Z$5=""),"",入力!$Z$5))</f>
        <v/>
      </c>
      <c r="BP3">
        <f>IF(入力!$D$5="","",IF(OR(反映項目!$B$13="×",入力!$AA$5=""),"",入力!$AA$5))</f>
        <v/>
      </c>
      <c r="BQ3">
        <f>IF(入力!$D$5="","",IF(OR(反映項目!$B$15="×",入力!$AF$5=""),"",入力!$AF$5))</f>
        <v/>
      </c>
      <c r="BR3">
        <f>IF(入力!$D$5="","",IF(OR(反映項目!$B$14="×",N($BZ$3)=0),"",YEAR($BZ$3)-IF($BZ$3&gt;=DATE(2019,5,1),2018,1988)))&amp;""</f>
        <v/>
      </c>
      <c r="BS3">
        <f>IF(入力!$D$5="","",IF(OR(反映項目!$B$14="×",N($BZ$3)=0),"",MONTH($BZ$3)))&amp;""</f>
        <v/>
      </c>
      <c r="BT3">
        <f>IF(入力!$D$5="","",IF(OR(反映項目!$B$14="×",入力!$AC$5=""),"",入力!$AC$5))</f>
        <v/>
      </c>
      <c r="BU3">
        <f>IF(入力!$D$5="","",IF(OR(反映項目!$B$14="×",N($CA$3)=0),"",YEAR($CA$3)-IF($CA$3&gt;=DATE(2019,5,1),2018,1988)))&amp;""</f>
        <v/>
      </c>
      <c r="BV3">
        <f>IF(入力!$D$5="","",IF(OR(反映項目!$B$14="×",N($CA$3)=0),"",MONTH($CA$3)))&amp;""</f>
        <v/>
      </c>
      <c r="BW3">
        <f>IF(入力!$D$5="","",IF(OR(反映項目!$B$14="×",入力!$AE$5=""),"",入力!$AE$5))</f>
        <v/>
      </c>
      <c r="BY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Z3">
        <f>IF(入力!$D$5="","",IF(入力!$AB$5="","",IF(ISNUMBER(入力!$AB$5),入力!$AB$5,IFERROR(IF(OR(LEFT(入力!$AB$5,2)="令和",LEFT(入力!$AB$5,2)="平成",LEFT(入力!$AB$5,2)="昭和",LEFT(入力!$AB$5,2)="大正"),DATE(VALUE(MID(入力!$AB$5,3,FIND("年",入力!$AB$5)-3))+IF(LEFT(入力!$AB$5,2)="令和",2018,IF(LEFT(入力!$AB$5,2)="平成",1988,IF(LEFT(入力!$AB$5,2)="昭和",1925,IF(LEFT(入力!$AB$5,2)="大正",1911,0)))),VALUE(MID(入力!$AB$5,FIND("年",入力!$AB$5)+1,FIND("月",入力!$AB$5)-FIND("年",入力!$AB$5)-1)),IFERROR(VALUE(SUBSTITUTE(MID(入力!$AB$5,FIND("月",入力!$AB$5)+1,10),"日","")),1)),DATE(VALUE(TRIM(MID(SUBSTITUTE(SUBSTITUTE(SUBSTITUTE(SUBSTITUTE(SUBSTITUTE(SUBSTITUTE(入力!$AB$5,"年","/"),"月","/"),"日",""),"-","/"),".","/"),"/",REPT(" ",50)),1,50))),VALUE(TRIM(MID(SUBSTITUTE(SUBSTITUTE(SUBSTITUTE(SUBSTITUTE(SUBSTITUTE(SUBSTITUTE(入力!$AB$5,"年","/"),"月","/"),"日",""),"-","/"),".","/"),"/",REPT(" ",50)),51,50))),IFERROR(VALUE(TRIM(MID(SUBSTITUTE(SUBSTITUTE(SUBSTITUTE(SUBSTITUTE(SUBSTITUTE(SUBSTITUTE(入力!$AB$5,"年","/"),"月","/"),"日",""),"-","/"),".","/"),"/",REPT(" ",50)),101,50))),1))),IFERROR(DATEVALUE(入力!$AB$5),"")))))</f>
        <v/>
      </c>
      <c r="CA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CB3">
        <f>IF(入力!$D$5="","",$O3&amp;IF($R3="","",CHAR(10)&amp;$Q3)&amp;IF($T3="","",CHAR(10)&amp;$S3)&amp;IF($V3="","",CHAR(10)&amp;$U3)&amp;IF($X3="","",CHAR(10)&amp;$W3)&amp;IF($Z3="","",CHAR(10)&amp;$Y3)&amp;IF($AB3="","",CHAR(10)&amp;$AA3)&amp;IF($AD3="","",CHAR(10)&amp;$AC3)&amp;IF($AF3="","",CHAR(10)&amp;$AE3)&amp;IF($AH3="","",CHAR(10)&amp;$AG3)&amp;IF($AJ3="","",CHAR(10)&amp;$AI3)&amp;IF($AL3="","",CHAR(10)&amp;$AK3)&amp;IF($AN3="","",CHAR(10)&amp;$AM3)&amp;IF($AP3="","",CHAR(10)&amp;$AO3)&amp;IF($AR3="","",CHAR(10)&amp;$AQ3)&amp;IF($AT3="","",CHAR(10)&amp;$AS3)&amp;IF($AV3="","",CHAR(10)&amp;$AU3)&amp;IF($AX3="","",CHAR(10)&amp;$AW3)&amp;IF($AZ3="","",CHAR(10)&amp;$AY3)&amp;IF($BB3="","",CHAR(10)&amp;$BA3)&amp;IF($BD3="","",CHAR(10)&amp;$BC3)&amp;IF($BF3="","",CHAR(10)&amp;$BE3)&amp;IF($BH3="","",CHAR(10)&amp;$BG3)&amp;IF($BJ3="","",CHAR(10)&amp;$BI3)&amp;IF($BL3="","",CHAR(10)&amp;$BK3)&amp;IF($BN3="","",CHAR(10)&amp;$BM3))</f>
        <v/>
      </c>
      <c r="CC3">
        <f>IF(入力!$D$5="","",$P3&amp;IF($R3="","",CHAR(10)&amp;$R3)&amp;IF($T3="","",CHAR(10)&amp;$T3)&amp;IF($V3="","",CHAR(10)&amp;$V3)&amp;IF($X3="","",CHAR(10)&amp;$X3)&amp;IF($Z3="","",CHAR(10)&amp;$Z3)&amp;IF($AB3="","",CHAR(10)&amp;$AB3)&amp;IF($AD3="","",CHAR(10)&amp;$AD3)&amp;IF($AF3="","",CHAR(10)&amp;$AF3)&amp;IF($AH3="","",CHAR(10)&amp;$AH3)&amp;IF($AJ3="","",CHAR(10)&amp;$AJ3)&amp;IF($AL3="","",CHAR(10)&amp;$AL3)&amp;IF($AN3="","",CHAR(10)&amp;$AN3)&amp;IF($AP3="","",CHAR(10)&amp;$AP3)&amp;IF($AR3="","",CHAR(10)&amp;$AR3)&amp;IF($AT3="","",CHAR(10)&amp;$AT3)&amp;IF($AV3="","",CHAR(10)&amp;$AV3)&amp;IF($AX3="","",CHAR(10)&amp;$AX3)&amp;IF($AZ3="","",CHAR(10)&amp;$AZ3)&amp;IF($BB3="","",CHAR(10)&amp;$BB3)&amp;IF($BD3="","",CHAR(10)&amp;$BD3)&amp;IF($BF3="","",CHAR(10)&amp;$BF3)&amp;IF($BH3="","",CHAR(10)&amp;$BH3)&amp;IF($BJ3="","",CHAR(10)&amp;$BJ3)&amp;IF($BL3="","",CHAR(10)&amp;$BL3)&amp;IF($BN3="","",CHAR(10)&amp;$BN3))</f>
        <v/>
      </c>
      <c r="CD3">
        <f>IF(入力!$D$5="","",IF($P3="",0,1)+IF($R3="",0,1)+IF($T3="",0,1)+IF($V3="",0,1)+IF($X3="",0,1)+IF($Z3="",0,1)+IF($AB3="",0,1)+IF($AD3="",0,1)+IF($AF3="",0,1)+IF($AH3="",0,1)+IF($AJ3="",0,1)+IF($AL3="",0,1)+IF($AN3="",0,1)+IF($AP3="",0,1)+IF($AR3="",0,1)+IF($AT3="",0,1)+IF($AV3="",0,1)+IF($AX3="",0,1)+IF($AZ3="",0,1)+IF($BB3="",0,1)+IF($BD3="",0,1)+IF($BF3="",0,1)+IF($BH3="",0,1)+IF($BJ3="",0,1)+IF($BL3="",0,1)+IF($BN3="",0,1))</f>
        <v/>
      </c>
    </row>
    <row r="4">
      <c r="A4" t="n">
        <v>2</v>
      </c>
      <c r="B4">
        <f>IF(入力!$D$6="","",IF(OR(反映項目!$B$4="×",入力!$D$6=""),"",入力!$D$6))</f>
        <v/>
      </c>
      <c r="C4">
        <f>IF(入力!$D$6="","",IF(OR(反映項目!$B$5="×",入力!$E$6=""),"",入力!$E$6))</f>
        <v/>
      </c>
      <c r="D4">
        <f>IF(入力!$D$6="","",IF(OR(反映項目!$B$6="×",N($BY$4)=0),"",YEAR($BY$4)-IF($BY$4&gt;=DATE(2019,5,1),2018,IF($BY$4&gt;=DATE(1989,1,8),1988,1925))))&amp;""</f>
        <v/>
      </c>
      <c r="E4">
        <f>IF(入力!$D$6="","",IF(OR(反映項目!$B$6="×",N($BY$4)=0),"",MONTH($BY$4)))&amp;""</f>
        <v/>
      </c>
      <c r="F4">
        <f>IF(入力!$D$6="","",IF(OR(反映項目!$B$6="×",N($BY$4)=0),"",DAY($BY$4)))&amp;""</f>
        <v/>
      </c>
      <c r="G4">
        <f>IF(入力!$D$6="","",IF(OR(反映項目!$B$6="×",OR(N($BY$4)=0,N(設定!$B$3)=0)),"",DATEDIF($BY$4,設定!$B$3,"Y")))&amp;""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IF(入力!$D$6="","",IF(OR(反映項目!$B$10="×",入力!$K$6=""),"",入力!$K$6))</f>
        <v/>
      </c>
      <c r="M4">
        <f>IF(入力!$D$6="","",IF(OR(反映項目!$B$10="×",入力!$L$6=""),"",入力!$L$6))</f>
        <v/>
      </c>
      <c r="N4">
        <f>IF(入力!$D$6="","",設定!$B$4&amp;CHAR(10)&amp;IF(入力!$M$6="",設定!$B$5,入力!$M$6))</f>
        <v/>
      </c>
      <c r="O4">
        <f>IF(入力!$D$6="","",IF(反映項目!$B$11="×","",IFERROR(INDEX(資格集約!$H$29:$H$54,MATCH(1,資格集約!$G$29:$G$54,0)),"")))</f>
        <v/>
      </c>
      <c r="P4">
        <f>IF(入力!$D$6="","",IF(反映項目!$B$11="×","",IFERROR(INDEX(資格集約!$E$29:$E$54,MATCH(1,資格集約!$G$29:$G$54,0)),"")))</f>
        <v/>
      </c>
      <c r="Q4">
        <f>IF(入力!$D$6="","",IF(反映項目!$B$11="×","",IFERROR(INDEX(資格集約!$H$29:$H$54,MATCH(2,資格集約!$G$29:$G$54,0)),"")))</f>
        <v/>
      </c>
      <c r="R4">
        <f>IF(入力!$D$6="","",IF(反映項目!$B$11="×","",IFERROR(INDEX(資格集約!$E$29:$E$54,MATCH(2,資格集約!$G$29:$G$54,0)),"")))</f>
        <v/>
      </c>
      <c r="S4">
        <f>IF(入力!$D$6="","",IF(反映項目!$B$11="×","",IFERROR(INDEX(資格集約!$H$29:$H$54,MATCH(3,資格集約!$G$29:$G$54,0)),"")))</f>
        <v/>
      </c>
      <c r="T4">
        <f>IF(入力!$D$6="","",IF(反映項目!$B$11="×","",IFERROR(INDEX(資格集約!$E$29:$E$54,MATCH(3,資格集約!$G$29:$G$54,0)),"")))</f>
        <v/>
      </c>
      <c r="U4">
        <f>IF(入力!$D$6="","",IF(反映項目!$B$11="×","",IFERROR(INDEX(資格集約!$H$29:$H$54,MATCH(4,資格集約!$G$29:$G$54,0)),"")))</f>
        <v/>
      </c>
      <c r="V4">
        <f>IF(入力!$D$6="","",IF(反映項目!$B$11="×","",IFERROR(INDEX(資格集約!$E$29:$E$54,MATCH(4,資格集約!$G$29:$G$54,0)),"")))</f>
        <v/>
      </c>
      <c r="W4">
        <f>IF(入力!$D$6="","",IF(反映項目!$B$11="×","",IFERROR(INDEX(資格集約!$H$29:$H$54,MATCH(5,資格集約!$G$29:$G$54,0)),"")))</f>
        <v/>
      </c>
      <c r="X4">
        <f>IF(入力!$D$6="","",IF(反映項目!$B$11="×","",IFERROR(INDEX(資格集約!$E$29:$E$54,MATCH(5,資格集約!$G$29:$G$54,0)),"")))</f>
        <v/>
      </c>
      <c r="Y4">
        <f>IF(入力!$D$6="","",IF(反映項目!$B$11="×","",IFERROR(INDEX(資格集約!$H$29:$H$54,MATCH(6,資格集約!$G$29:$G$54,0)),"")))</f>
        <v/>
      </c>
      <c r="Z4">
        <f>IF(入力!$D$6="","",IF(反映項目!$B$11="×","",IFERROR(INDEX(資格集約!$E$29:$E$54,MATCH(6,資格集約!$G$29:$G$54,0)),"")))</f>
        <v/>
      </c>
      <c r="AA4">
        <f>IF(入力!$D$6="","",IF(反映項目!$B$11="×","",IFERROR(INDEX(資格集約!$H$29:$H$54,MATCH(7,資格集約!$G$29:$G$54,0)),"")))</f>
        <v/>
      </c>
      <c r="AB4">
        <f>IF(入力!$D$6="","",IF(反映項目!$B$11="×","",IFERROR(INDEX(資格集約!$E$29:$E$54,MATCH(7,資格集約!$G$29:$G$54,0)),"")))</f>
        <v/>
      </c>
      <c r="AC4">
        <f>IF(入力!$D$6="","",IF(反映項目!$B$11="×","",IFERROR(INDEX(資格集約!$H$29:$H$54,MATCH(8,資格集約!$G$29:$G$54,0)),"")))</f>
        <v/>
      </c>
      <c r="AD4">
        <f>IF(入力!$D$6="","",IF(反映項目!$B$11="×","",IFERROR(INDEX(資格集約!$E$29:$E$54,MATCH(8,資格集約!$G$29:$G$54,0)),"")))</f>
        <v/>
      </c>
      <c r="AE4">
        <f>IF(入力!$D$6="","",IF(反映項目!$B$11="×","",IFERROR(INDEX(資格集約!$H$29:$H$54,MATCH(9,資格集約!$G$29:$G$54,0)),"")))</f>
        <v/>
      </c>
      <c r="AF4">
        <f>IF(入力!$D$6="","",IF(反映項目!$B$11="×","",IFERROR(INDEX(資格集約!$E$29:$E$54,MATCH(9,資格集約!$G$29:$G$54,0)),"")))</f>
        <v/>
      </c>
      <c r="AG4">
        <f>IF(入力!$D$6="","",IF(反映項目!$B$11="×","",IFERROR(INDEX(資格集約!$H$29:$H$54,MATCH(10,資格集約!$G$29:$G$54,0)),"")))</f>
        <v/>
      </c>
      <c r="AH4">
        <f>IF(入力!$D$6="","",IF(反映項目!$B$11="×","",IFERROR(INDEX(資格集約!$E$29:$E$54,MATCH(10,資格集約!$G$29:$G$54,0)),"")))</f>
        <v/>
      </c>
      <c r="AI4">
        <f>IF(入力!$D$6="","",IF(反映項目!$B$11="×","",IFERROR(INDEX(資格集約!$H$29:$H$54,MATCH(11,資格集約!$G$29:$G$54,0)),"")))</f>
        <v/>
      </c>
      <c r="AJ4">
        <f>IF(入力!$D$6="","",IF(反映項目!$B$11="×","",IFERROR(INDEX(資格集約!$E$29:$E$54,MATCH(11,資格集約!$G$29:$G$54,0)),"")))</f>
        <v/>
      </c>
      <c r="AK4">
        <f>IF(入力!$D$6="","",IF(反映項目!$B$11="×","",IFERROR(INDEX(資格集約!$H$29:$H$54,MATCH(12,資格集約!$G$29:$G$54,0)),"")))</f>
        <v/>
      </c>
      <c r="AL4">
        <f>IF(入力!$D$6="","",IF(反映項目!$B$11="×","",IFERROR(INDEX(資格集約!$E$29:$E$54,MATCH(12,資格集約!$G$29:$G$54,0)),"")))</f>
        <v/>
      </c>
      <c r="AM4">
        <f>IF(入力!$D$6="","",IF(反映項目!$B$11="×","",IFERROR(INDEX(資格集約!$H$29:$H$54,MATCH(13,資格集約!$G$29:$G$54,0)),"")))</f>
        <v/>
      </c>
      <c r="AN4">
        <f>IF(入力!$D$6="","",IF(反映項目!$B$11="×","",IFERROR(INDEX(資格集約!$E$29:$E$54,MATCH(13,資格集約!$G$29:$G$54,0)),"")))</f>
        <v/>
      </c>
      <c r="AO4">
        <f>IF(入力!$D$6="","",IF(反映項目!$B$11="×","",IFERROR(INDEX(資格集約!$H$29:$H$54,MATCH(14,資格集約!$G$29:$G$54,0)),"")))</f>
        <v/>
      </c>
      <c r="AP4">
        <f>IF(入力!$D$6="","",IF(反映項目!$B$11="×","",IFERROR(INDEX(資格集約!$E$29:$E$54,MATCH(14,資格集約!$G$29:$G$54,0)),"")))</f>
        <v/>
      </c>
      <c r="AQ4">
        <f>IF(入力!$D$6="","",IF(反映項目!$B$11="×","",IFERROR(INDEX(資格集約!$H$29:$H$54,MATCH(15,資格集約!$G$29:$G$54,0)),"")))</f>
        <v/>
      </c>
      <c r="AR4">
        <f>IF(入力!$D$6="","",IF(反映項目!$B$11="×","",IFERROR(INDEX(資格集約!$E$29:$E$54,MATCH(15,資格集約!$G$29:$G$54,0)),"")))</f>
        <v/>
      </c>
      <c r="AS4">
        <f>IF(入力!$D$6="","",IF(反映項目!$B$11="×","",IFERROR(INDEX(資格集約!$H$29:$H$54,MATCH(16,資格集約!$G$29:$G$54,0)),"")))</f>
        <v/>
      </c>
      <c r="AT4">
        <f>IF(入力!$D$6="","",IF(反映項目!$B$11="×","",IFERROR(INDEX(資格集約!$E$29:$E$54,MATCH(16,資格集約!$G$29:$G$54,0)),"")))</f>
        <v/>
      </c>
      <c r="AU4">
        <f>IF(入力!$D$6="","",IF(反映項目!$B$11="×","",IFERROR(INDEX(資格集約!$H$29:$H$54,MATCH(17,資格集約!$G$29:$G$54,0)),"")))</f>
        <v/>
      </c>
      <c r="AV4">
        <f>IF(入力!$D$6="","",IF(反映項目!$B$11="×","",IFERROR(INDEX(資格集約!$E$29:$E$54,MATCH(17,資格集約!$G$29:$G$54,0)),"")))</f>
        <v/>
      </c>
      <c r="AW4">
        <f>IF(入力!$D$6="","",IF(反映項目!$B$11="×","",IFERROR(INDEX(資格集約!$H$29:$H$54,MATCH(18,資格集約!$G$29:$G$54,0)),"")))</f>
        <v/>
      </c>
      <c r="AX4">
        <f>IF(入力!$D$6="","",IF(反映項目!$B$11="×","",IFERROR(INDEX(資格集約!$E$29:$E$54,MATCH(18,資格集約!$G$29:$G$54,0)),"")))</f>
        <v/>
      </c>
      <c r="AY4">
        <f>IF(入力!$D$6="","",IF(反映項目!$B$11="×","",IFERROR(INDEX(資格集約!$H$29:$H$54,MATCH(19,資格集約!$G$29:$G$54,0)),"")))</f>
        <v/>
      </c>
      <c r="AZ4">
        <f>IF(入力!$D$6="","",IF(反映項目!$B$11="×","",IFERROR(INDEX(資格集約!$E$29:$E$54,MATCH(19,資格集約!$G$29:$G$54,0)),"")))</f>
        <v/>
      </c>
      <c r="BA4">
        <f>IF(入力!$D$6="","",IF(反映項目!$B$11="×","",IFERROR(INDEX(資格集約!$H$29:$H$54,MATCH(20,資格集約!$G$29:$G$54,0)),"")))</f>
        <v/>
      </c>
      <c r="BB4">
        <f>IF(入力!$D$6="","",IF(反映項目!$B$11="×","",IFERROR(INDEX(資格集約!$E$29:$E$54,MATCH(20,資格集約!$G$29:$G$54,0)),"")))</f>
        <v/>
      </c>
      <c r="BC4">
        <f>IF(入力!$D$6="","",IF(反映項目!$B$11="×","",IFERROR(INDEX(資格集約!$H$29:$H$54,MATCH(21,資格集約!$G$29:$G$54,0)),"")))</f>
        <v/>
      </c>
      <c r="BD4">
        <f>IF(入力!$D$6="","",IF(反映項目!$B$11="×","",IFERROR(INDEX(資格集約!$E$29:$E$54,MATCH(21,資格集約!$G$29:$G$54,0)),"")))</f>
        <v/>
      </c>
      <c r="BE4">
        <f>IF(入力!$D$6="","",IF(反映項目!$B$11="×","",IFERROR(INDEX(資格集約!$H$29:$H$54,MATCH(22,資格集約!$G$29:$G$54,0)),"")))</f>
        <v/>
      </c>
      <c r="BF4">
        <f>IF(入力!$D$6="","",IF(反映項目!$B$11="×","",IFERROR(INDEX(資格集約!$E$29:$E$54,MATCH(22,資格集約!$G$29:$G$54,0)),"")))</f>
        <v/>
      </c>
      <c r="BG4">
        <f>IF(入力!$D$6="","",IF(反映項目!$B$11="×","",IFERROR(INDEX(資格集約!$H$29:$H$54,MATCH(23,資格集約!$G$29:$G$54,0)),"")))</f>
        <v/>
      </c>
      <c r="BH4">
        <f>IF(入力!$D$6="","",IF(反映項目!$B$11="×","",IFERROR(INDEX(資格集約!$E$29:$E$54,MATCH(23,資格集約!$G$29:$G$54,0)),"")))</f>
        <v/>
      </c>
      <c r="BI4">
        <f>IF(入力!$D$6="","",IF(反映項目!$B$11="×","",IFERROR(INDEX(資格集約!$H$29:$H$54,MATCH(24,資格集約!$G$29:$G$54,0)),"")))</f>
        <v/>
      </c>
      <c r="BJ4">
        <f>IF(入力!$D$6="","",IF(反映項目!$B$11="×","",IFERROR(INDEX(資格集約!$E$29:$E$54,MATCH(24,資格集約!$G$29:$G$54,0)),"")))</f>
        <v/>
      </c>
      <c r="BK4">
        <f>IF(入力!$D$6="","",IF(反映項目!$B$11="×","",IFERROR(INDEX(資格集約!$H$29:$H$54,MATCH(25,資格集約!$G$29:$G$54,0)),"")))</f>
        <v/>
      </c>
      <c r="BL4">
        <f>IF(入力!$D$6="","",IF(反映項目!$B$11="×","",IFERROR(INDEX(資格集約!$E$29:$E$54,MATCH(25,資格集約!$G$29:$G$54,0)),"")))</f>
        <v/>
      </c>
      <c r="BM4">
        <f>IF(入力!$D$6="","",IF(反映項目!$B$11="×","",IFERROR(INDEX(資格集約!$H$29:$H$54,MATCH(26,資格集約!$G$29:$G$54,0)),"")))</f>
        <v/>
      </c>
      <c r="BN4">
        <f>IF(入力!$D$6="","",IF(反映項目!$B$11="×","",IFERROR(INDEX(資格集約!$E$29:$E$54,MATCH(26,資格集約!$G$29:$G$54,0)),"")))</f>
        <v/>
      </c>
      <c r="BO4">
        <f>IF(入力!$D$6="","",IF(OR(反映項目!$B$12="×",入力!$Z$6=""),"",入力!$Z$6))</f>
        <v/>
      </c>
      <c r="BP4">
        <f>IF(入力!$D$6="","",IF(OR(反映項目!$B$13="×",入力!$AA$6=""),"",入力!$AA$6))</f>
        <v/>
      </c>
      <c r="BQ4">
        <f>IF(入力!$D$6="","",IF(OR(反映項目!$B$15="×",入力!$AF$6=""),"",入力!$AF$6))</f>
        <v/>
      </c>
      <c r="BR4">
        <f>IF(入力!$D$6="","",IF(OR(反映項目!$B$14="×",N($BZ$4)=0),"",YEAR($BZ$4)-IF($BZ$4&gt;=DATE(2019,5,1),2018,1988)))&amp;""</f>
        <v/>
      </c>
      <c r="BS4">
        <f>IF(入力!$D$6="","",IF(OR(反映項目!$B$14="×",N($BZ$4)=0),"",MONTH($BZ$4)))&amp;""</f>
        <v/>
      </c>
      <c r="BT4">
        <f>IF(入力!$D$6="","",IF(OR(反映項目!$B$14="×",入力!$AC$6=""),"",入力!$AC$6))</f>
        <v/>
      </c>
      <c r="BU4">
        <f>IF(入力!$D$6="","",IF(OR(反映項目!$B$14="×",N($CA$4)=0),"",YEAR($CA$4)-IF($CA$4&gt;=DATE(2019,5,1),2018,1988)))&amp;""</f>
        <v/>
      </c>
      <c r="BV4">
        <f>IF(入力!$D$6="","",IF(OR(反映項目!$B$14="×",N($CA$4)=0),"",MONTH($CA$4)))&amp;""</f>
        <v/>
      </c>
      <c r="BW4">
        <f>IF(入力!$D$6="","",IF(OR(反映項目!$B$14="×",入力!$AE$6=""),"",入力!$AE$6))</f>
        <v/>
      </c>
      <c r="BY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Z4">
        <f>IF(入力!$D$6="","",IF(入力!$AB$6="","",IF(ISNUMBER(入力!$AB$6),入力!$AB$6,IFERROR(IF(OR(LEFT(入力!$AB$6,2)="令和",LEFT(入力!$AB$6,2)="平成",LEFT(入力!$AB$6,2)="昭和",LEFT(入力!$AB$6,2)="大正"),DATE(VALUE(MID(入力!$AB$6,3,FIND("年",入力!$AB$6)-3))+IF(LEFT(入力!$AB$6,2)="令和",2018,IF(LEFT(入力!$AB$6,2)="平成",1988,IF(LEFT(入力!$AB$6,2)="昭和",1925,IF(LEFT(入力!$AB$6,2)="大正",1911,0)))),VALUE(MID(入力!$AB$6,FIND("年",入力!$AB$6)+1,FIND("月",入力!$AB$6)-FIND("年",入力!$AB$6)-1)),IFERROR(VALUE(SUBSTITUTE(MID(入力!$AB$6,FIND("月",入力!$AB$6)+1,10),"日","")),1)),DATE(VALUE(TRIM(MID(SUBSTITUTE(SUBSTITUTE(SUBSTITUTE(SUBSTITUTE(SUBSTITUTE(SUBSTITUTE(入力!$AB$6,"年","/"),"月","/"),"日",""),"-","/"),".","/"),"/",REPT(" ",50)),1,50))),VALUE(TRIM(MID(SUBSTITUTE(SUBSTITUTE(SUBSTITUTE(SUBSTITUTE(SUBSTITUTE(SUBSTITUTE(入力!$AB$6,"年","/"),"月","/"),"日",""),"-","/"),".","/"),"/",REPT(" ",50)),51,50))),IFERROR(VALUE(TRIM(MID(SUBSTITUTE(SUBSTITUTE(SUBSTITUTE(SUBSTITUTE(SUBSTITUTE(SUBSTITUTE(入力!$AB$6,"年","/"),"月","/"),"日",""),"-","/"),".","/"),"/",REPT(" ",50)),101,50))),1))),IFERROR(DATEVALUE(入力!$AB$6),"")))))</f>
        <v/>
      </c>
      <c r="CA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CB4">
        <f>IF(入力!$D$6="","",$O4&amp;IF($R4="","",CHAR(10)&amp;$Q4)&amp;IF($T4="","",CHAR(10)&amp;$S4)&amp;IF($V4="","",CHAR(10)&amp;$U4)&amp;IF($X4="","",CHAR(10)&amp;$W4)&amp;IF($Z4="","",CHAR(10)&amp;$Y4)&amp;IF($AB4="","",CHAR(10)&amp;$AA4)&amp;IF($AD4="","",CHAR(10)&amp;$AC4)&amp;IF($AF4="","",CHAR(10)&amp;$AE4)&amp;IF($AH4="","",CHAR(10)&amp;$AG4)&amp;IF($AJ4="","",CHAR(10)&amp;$AI4)&amp;IF($AL4="","",CHAR(10)&amp;$AK4)&amp;IF($AN4="","",CHAR(10)&amp;$AM4)&amp;IF($AP4="","",CHAR(10)&amp;$AO4)&amp;IF($AR4="","",CHAR(10)&amp;$AQ4)&amp;IF($AT4="","",CHAR(10)&amp;$AS4)&amp;IF($AV4="","",CHAR(10)&amp;$AU4)&amp;IF($AX4="","",CHAR(10)&amp;$AW4)&amp;IF($AZ4="","",CHAR(10)&amp;$AY4)&amp;IF($BB4="","",CHAR(10)&amp;$BA4)&amp;IF($BD4="","",CHAR(10)&amp;$BC4)&amp;IF($BF4="","",CHAR(10)&amp;$BE4)&amp;IF($BH4="","",CHAR(10)&amp;$BG4)&amp;IF($BJ4="","",CHAR(10)&amp;$BI4)&amp;IF($BL4="","",CHAR(10)&amp;$BK4)&amp;IF($BN4="","",CHAR(10)&amp;$BM4))</f>
        <v/>
      </c>
      <c r="CC4">
        <f>IF(入力!$D$6="","",$P4&amp;IF($R4="","",CHAR(10)&amp;$R4)&amp;IF($T4="","",CHAR(10)&amp;$T4)&amp;IF($V4="","",CHAR(10)&amp;$V4)&amp;IF($X4="","",CHAR(10)&amp;$X4)&amp;IF($Z4="","",CHAR(10)&amp;$Z4)&amp;IF($AB4="","",CHAR(10)&amp;$AB4)&amp;IF($AD4="","",CHAR(10)&amp;$AD4)&amp;IF($AF4="","",CHAR(10)&amp;$AF4)&amp;IF($AH4="","",CHAR(10)&amp;$AH4)&amp;IF($AJ4="","",CHAR(10)&amp;$AJ4)&amp;IF($AL4="","",CHAR(10)&amp;$AL4)&amp;IF($AN4="","",CHAR(10)&amp;$AN4)&amp;IF($AP4="","",CHAR(10)&amp;$AP4)&amp;IF($AR4="","",CHAR(10)&amp;$AR4)&amp;IF($AT4="","",CHAR(10)&amp;$AT4)&amp;IF($AV4="","",CHAR(10)&amp;$AV4)&amp;IF($AX4="","",CHAR(10)&amp;$AX4)&amp;IF($AZ4="","",CHAR(10)&amp;$AZ4)&amp;IF($BB4="","",CHAR(10)&amp;$BB4)&amp;IF($BD4="","",CHAR(10)&amp;$BD4)&amp;IF($BF4="","",CHAR(10)&amp;$BF4)&amp;IF($BH4="","",CHAR(10)&amp;$BH4)&amp;IF($BJ4="","",CHAR(10)&amp;$BJ4)&amp;IF($BL4="","",CHAR(10)&amp;$BL4)&amp;IF($BN4="","",CHAR(10)&amp;$BN4))</f>
        <v/>
      </c>
      <c r="CD4">
        <f>IF(入力!$D$6="","",IF($P4="",0,1)+IF($R4="",0,1)+IF($T4="",0,1)+IF($V4="",0,1)+IF($X4="",0,1)+IF($Z4="",0,1)+IF($AB4="",0,1)+IF($AD4="",0,1)+IF($AF4="",0,1)+IF($AH4="",0,1)+IF($AJ4="",0,1)+IF($AL4="",0,1)+IF($AN4="",0,1)+IF($AP4="",0,1)+IF($AR4="",0,1)+IF($AT4="",0,1)+IF($AV4="",0,1)+IF($AX4="",0,1)+IF($AZ4="",0,1)+IF($BB4="",0,1)+IF($BD4="",0,1)+IF($BF4="",0,1)+IF($BH4="",0,1)+IF($BJ4="",0,1)+IF($BL4="",0,1)+IF($BN4="",0,1))</f>
        <v/>
      </c>
    </row>
    <row r="5">
      <c r="A5" t="n">
        <v>3</v>
      </c>
      <c r="B5">
        <f>IF(入力!$D$7="","",IF(OR(反映項目!$B$4="×",入力!$D$7=""),"",入力!$D$7))</f>
        <v/>
      </c>
      <c r="C5">
        <f>IF(入力!$D$7="","",IF(OR(反映項目!$B$5="×",入力!$E$7=""),"",入力!$E$7))</f>
        <v/>
      </c>
      <c r="D5">
        <f>IF(入力!$D$7="","",IF(OR(反映項目!$B$6="×",N($BY$5)=0),"",YEAR($BY$5)-IF($BY$5&gt;=DATE(2019,5,1),2018,IF($BY$5&gt;=DATE(1989,1,8),1988,1925))))&amp;""</f>
        <v/>
      </c>
      <c r="E5">
        <f>IF(入力!$D$7="","",IF(OR(反映項目!$B$6="×",N($BY$5)=0),"",MONTH($BY$5)))&amp;""</f>
        <v/>
      </c>
      <c r="F5">
        <f>IF(入力!$D$7="","",IF(OR(反映項目!$B$6="×",N($BY$5)=0),"",DAY($BY$5)))&amp;""</f>
        <v/>
      </c>
      <c r="G5">
        <f>IF(入力!$D$7="","",IF(OR(反映項目!$B$6="×",OR(N($BY$5)=0,N(設定!$B$3)=0)),"",DATEDIF($BY$5,設定!$B$3,"Y")))&amp;""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IF(入力!$D$7="","",IF(OR(反映項目!$B$10="×",入力!$K$7=""),"",入力!$K$7))</f>
        <v/>
      </c>
      <c r="M5">
        <f>IF(入力!$D$7="","",IF(OR(反映項目!$B$10="×",入力!$L$7=""),"",入力!$L$7))</f>
        <v/>
      </c>
      <c r="N5">
        <f>IF(入力!$D$7="","",設定!$B$4&amp;CHAR(10)&amp;IF(入力!$M$7="",設定!$B$5,入力!$M$7))</f>
        <v/>
      </c>
      <c r="O5">
        <f>IF(入力!$D$7="","",IF(反映項目!$B$11="×","",IFERROR(INDEX(資格集約!$H$55:$H$80,MATCH(1,資格集約!$G$55:$G$80,0)),"")))</f>
        <v/>
      </c>
      <c r="P5">
        <f>IF(入力!$D$7="","",IF(反映項目!$B$11="×","",IFERROR(INDEX(資格集約!$E$55:$E$80,MATCH(1,資格集約!$G$55:$G$80,0)),"")))</f>
        <v/>
      </c>
      <c r="Q5">
        <f>IF(入力!$D$7="","",IF(反映項目!$B$11="×","",IFERROR(INDEX(資格集約!$H$55:$H$80,MATCH(2,資格集約!$G$55:$G$80,0)),"")))</f>
        <v/>
      </c>
      <c r="R5">
        <f>IF(入力!$D$7="","",IF(反映項目!$B$11="×","",IFERROR(INDEX(資格集約!$E$55:$E$80,MATCH(2,資格集約!$G$55:$G$80,0)),"")))</f>
        <v/>
      </c>
      <c r="S5">
        <f>IF(入力!$D$7="","",IF(反映項目!$B$11="×","",IFERROR(INDEX(資格集約!$H$55:$H$80,MATCH(3,資格集約!$G$55:$G$80,0)),"")))</f>
        <v/>
      </c>
      <c r="T5">
        <f>IF(入力!$D$7="","",IF(反映項目!$B$11="×","",IFERROR(INDEX(資格集約!$E$55:$E$80,MATCH(3,資格集約!$G$55:$G$80,0)),"")))</f>
        <v/>
      </c>
      <c r="U5">
        <f>IF(入力!$D$7="","",IF(反映項目!$B$11="×","",IFERROR(INDEX(資格集約!$H$55:$H$80,MATCH(4,資格集約!$G$55:$G$80,0)),"")))</f>
        <v/>
      </c>
      <c r="V5">
        <f>IF(入力!$D$7="","",IF(反映項目!$B$11="×","",IFERROR(INDEX(資格集約!$E$55:$E$80,MATCH(4,資格集約!$G$55:$G$80,0)),"")))</f>
        <v/>
      </c>
      <c r="W5">
        <f>IF(入力!$D$7="","",IF(反映項目!$B$11="×","",IFERROR(INDEX(資格集約!$H$55:$H$80,MATCH(5,資格集約!$G$55:$G$80,0)),"")))</f>
        <v/>
      </c>
      <c r="X5">
        <f>IF(入力!$D$7="","",IF(反映項目!$B$11="×","",IFERROR(INDEX(資格集約!$E$55:$E$80,MATCH(5,資格集約!$G$55:$G$80,0)),"")))</f>
        <v/>
      </c>
      <c r="Y5">
        <f>IF(入力!$D$7="","",IF(反映項目!$B$11="×","",IFERROR(INDEX(資格集約!$H$55:$H$80,MATCH(6,資格集約!$G$55:$G$80,0)),"")))</f>
        <v/>
      </c>
      <c r="Z5">
        <f>IF(入力!$D$7="","",IF(反映項目!$B$11="×","",IFERROR(INDEX(資格集約!$E$55:$E$80,MATCH(6,資格集約!$G$55:$G$80,0)),"")))</f>
        <v/>
      </c>
      <c r="AA5">
        <f>IF(入力!$D$7="","",IF(反映項目!$B$11="×","",IFERROR(INDEX(資格集約!$H$55:$H$80,MATCH(7,資格集約!$G$55:$G$80,0)),"")))</f>
        <v/>
      </c>
      <c r="AB5">
        <f>IF(入力!$D$7="","",IF(反映項目!$B$11="×","",IFERROR(INDEX(資格集約!$E$55:$E$80,MATCH(7,資格集約!$G$55:$G$80,0)),"")))</f>
        <v/>
      </c>
      <c r="AC5">
        <f>IF(入力!$D$7="","",IF(反映項目!$B$11="×","",IFERROR(INDEX(資格集約!$H$55:$H$80,MATCH(8,資格集約!$G$55:$G$80,0)),"")))</f>
        <v/>
      </c>
      <c r="AD5">
        <f>IF(入力!$D$7="","",IF(反映項目!$B$11="×","",IFERROR(INDEX(資格集約!$E$55:$E$80,MATCH(8,資格集約!$G$55:$G$80,0)),"")))</f>
        <v/>
      </c>
      <c r="AE5">
        <f>IF(入力!$D$7="","",IF(反映項目!$B$11="×","",IFERROR(INDEX(資格集約!$H$55:$H$80,MATCH(9,資格集約!$G$55:$G$80,0)),"")))</f>
        <v/>
      </c>
      <c r="AF5">
        <f>IF(入力!$D$7="","",IF(反映項目!$B$11="×","",IFERROR(INDEX(資格集約!$E$55:$E$80,MATCH(9,資格集約!$G$55:$G$80,0)),"")))</f>
        <v/>
      </c>
      <c r="AG5">
        <f>IF(入力!$D$7="","",IF(反映項目!$B$11="×","",IFERROR(INDEX(資格集約!$H$55:$H$80,MATCH(10,資格集約!$G$55:$G$80,0)),"")))</f>
        <v/>
      </c>
      <c r="AH5">
        <f>IF(入力!$D$7="","",IF(反映項目!$B$11="×","",IFERROR(INDEX(資格集約!$E$55:$E$80,MATCH(10,資格集約!$G$55:$G$80,0)),"")))</f>
        <v/>
      </c>
      <c r="AI5">
        <f>IF(入力!$D$7="","",IF(反映項目!$B$11="×","",IFERROR(INDEX(資格集約!$H$55:$H$80,MATCH(11,資格集約!$G$55:$G$80,0)),"")))</f>
        <v/>
      </c>
      <c r="AJ5">
        <f>IF(入力!$D$7="","",IF(反映項目!$B$11="×","",IFERROR(INDEX(資格集約!$E$55:$E$80,MATCH(11,資格集約!$G$55:$G$80,0)),"")))</f>
        <v/>
      </c>
      <c r="AK5">
        <f>IF(入力!$D$7="","",IF(反映項目!$B$11="×","",IFERROR(INDEX(資格集約!$H$55:$H$80,MATCH(12,資格集約!$G$55:$G$80,0)),"")))</f>
        <v/>
      </c>
      <c r="AL5">
        <f>IF(入力!$D$7="","",IF(反映項目!$B$11="×","",IFERROR(INDEX(資格集約!$E$55:$E$80,MATCH(12,資格集約!$G$55:$G$80,0)),"")))</f>
        <v/>
      </c>
      <c r="AM5">
        <f>IF(入力!$D$7="","",IF(反映項目!$B$11="×","",IFERROR(INDEX(資格集約!$H$55:$H$80,MATCH(13,資格集約!$G$55:$G$80,0)),"")))</f>
        <v/>
      </c>
      <c r="AN5">
        <f>IF(入力!$D$7="","",IF(反映項目!$B$11="×","",IFERROR(INDEX(資格集約!$E$55:$E$80,MATCH(13,資格集約!$G$55:$G$80,0)),"")))</f>
        <v/>
      </c>
      <c r="AO5">
        <f>IF(入力!$D$7="","",IF(反映項目!$B$11="×","",IFERROR(INDEX(資格集約!$H$55:$H$80,MATCH(14,資格集約!$G$55:$G$80,0)),"")))</f>
        <v/>
      </c>
      <c r="AP5">
        <f>IF(入力!$D$7="","",IF(反映項目!$B$11="×","",IFERROR(INDEX(資格集約!$E$55:$E$80,MATCH(14,資格集約!$G$55:$G$80,0)),"")))</f>
        <v/>
      </c>
      <c r="AQ5">
        <f>IF(入力!$D$7="","",IF(反映項目!$B$11="×","",IFERROR(INDEX(資格集約!$H$55:$H$80,MATCH(15,資格集約!$G$55:$G$80,0)),"")))</f>
        <v/>
      </c>
      <c r="AR5">
        <f>IF(入力!$D$7="","",IF(反映項目!$B$11="×","",IFERROR(INDEX(資格集約!$E$55:$E$80,MATCH(15,資格集約!$G$55:$G$80,0)),"")))</f>
        <v/>
      </c>
      <c r="AS5">
        <f>IF(入力!$D$7="","",IF(反映項目!$B$11="×","",IFERROR(INDEX(資格集約!$H$55:$H$80,MATCH(16,資格集約!$G$55:$G$80,0)),"")))</f>
        <v/>
      </c>
      <c r="AT5">
        <f>IF(入力!$D$7="","",IF(反映項目!$B$11="×","",IFERROR(INDEX(資格集約!$E$55:$E$80,MATCH(16,資格集約!$G$55:$G$80,0)),"")))</f>
        <v/>
      </c>
      <c r="AU5">
        <f>IF(入力!$D$7="","",IF(反映項目!$B$11="×","",IFERROR(INDEX(資格集約!$H$55:$H$80,MATCH(17,資格集約!$G$55:$G$80,0)),"")))</f>
        <v/>
      </c>
      <c r="AV5">
        <f>IF(入力!$D$7="","",IF(反映項目!$B$11="×","",IFERROR(INDEX(資格集約!$E$55:$E$80,MATCH(17,資格集約!$G$55:$G$80,0)),"")))</f>
        <v/>
      </c>
      <c r="AW5">
        <f>IF(入力!$D$7="","",IF(反映項目!$B$11="×","",IFERROR(INDEX(資格集約!$H$55:$H$80,MATCH(18,資格集約!$G$55:$G$80,0)),"")))</f>
        <v/>
      </c>
      <c r="AX5">
        <f>IF(入力!$D$7="","",IF(反映項目!$B$11="×","",IFERROR(INDEX(資格集約!$E$55:$E$80,MATCH(18,資格集約!$G$55:$G$80,0)),"")))</f>
        <v/>
      </c>
      <c r="AY5">
        <f>IF(入力!$D$7="","",IF(反映項目!$B$11="×","",IFERROR(INDEX(資格集約!$H$55:$H$80,MATCH(19,資格集約!$G$55:$G$80,0)),"")))</f>
        <v/>
      </c>
      <c r="AZ5">
        <f>IF(入力!$D$7="","",IF(反映項目!$B$11="×","",IFERROR(INDEX(資格集約!$E$55:$E$80,MATCH(19,資格集約!$G$55:$G$80,0)),"")))</f>
        <v/>
      </c>
      <c r="BA5">
        <f>IF(入力!$D$7="","",IF(反映項目!$B$11="×","",IFERROR(INDEX(資格集約!$H$55:$H$80,MATCH(20,資格集約!$G$55:$G$80,0)),"")))</f>
        <v/>
      </c>
      <c r="BB5">
        <f>IF(入力!$D$7="","",IF(反映項目!$B$11="×","",IFERROR(INDEX(資格集約!$E$55:$E$80,MATCH(20,資格集約!$G$55:$G$80,0)),"")))</f>
        <v/>
      </c>
      <c r="BC5">
        <f>IF(入力!$D$7="","",IF(反映項目!$B$11="×","",IFERROR(INDEX(資格集約!$H$55:$H$80,MATCH(21,資格集約!$G$55:$G$80,0)),"")))</f>
        <v/>
      </c>
      <c r="BD5">
        <f>IF(入力!$D$7="","",IF(反映項目!$B$11="×","",IFERROR(INDEX(資格集約!$E$55:$E$80,MATCH(21,資格集約!$G$55:$G$80,0)),"")))</f>
        <v/>
      </c>
      <c r="BE5">
        <f>IF(入力!$D$7="","",IF(反映項目!$B$11="×","",IFERROR(INDEX(資格集約!$H$55:$H$80,MATCH(22,資格集約!$G$55:$G$80,0)),"")))</f>
        <v/>
      </c>
      <c r="BF5">
        <f>IF(入力!$D$7="","",IF(反映項目!$B$11="×","",IFERROR(INDEX(資格集約!$E$55:$E$80,MATCH(22,資格集約!$G$55:$G$80,0)),"")))</f>
        <v/>
      </c>
      <c r="BG5">
        <f>IF(入力!$D$7="","",IF(反映項目!$B$11="×","",IFERROR(INDEX(資格集約!$H$55:$H$80,MATCH(23,資格集約!$G$55:$G$80,0)),"")))</f>
        <v/>
      </c>
      <c r="BH5">
        <f>IF(入力!$D$7="","",IF(反映項目!$B$11="×","",IFERROR(INDEX(資格集約!$E$55:$E$80,MATCH(23,資格集約!$G$55:$G$80,0)),"")))</f>
        <v/>
      </c>
      <c r="BI5">
        <f>IF(入力!$D$7="","",IF(反映項目!$B$11="×","",IFERROR(INDEX(資格集約!$H$55:$H$80,MATCH(24,資格集約!$G$55:$G$80,0)),"")))</f>
        <v/>
      </c>
      <c r="BJ5">
        <f>IF(入力!$D$7="","",IF(反映項目!$B$11="×","",IFERROR(INDEX(資格集約!$E$55:$E$80,MATCH(24,資格集約!$G$55:$G$80,0)),"")))</f>
        <v/>
      </c>
      <c r="BK5">
        <f>IF(入力!$D$7="","",IF(反映項目!$B$11="×","",IFERROR(INDEX(資格集約!$H$55:$H$80,MATCH(25,資格集約!$G$55:$G$80,0)),"")))</f>
        <v/>
      </c>
      <c r="BL5">
        <f>IF(入力!$D$7="","",IF(反映項目!$B$11="×","",IFERROR(INDEX(資格集約!$E$55:$E$80,MATCH(25,資格集約!$G$55:$G$80,0)),"")))</f>
        <v/>
      </c>
      <c r="BM5">
        <f>IF(入力!$D$7="","",IF(反映項目!$B$11="×","",IFERROR(INDEX(資格集約!$H$55:$H$80,MATCH(26,資格集約!$G$55:$G$80,0)),"")))</f>
        <v/>
      </c>
      <c r="BN5">
        <f>IF(入力!$D$7="","",IF(反映項目!$B$11="×","",IFERROR(INDEX(資格集約!$E$55:$E$80,MATCH(26,資格集約!$G$55:$G$80,0)),"")))</f>
        <v/>
      </c>
      <c r="BO5">
        <f>IF(入力!$D$7="","",IF(OR(反映項目!$B$12="×",入力!$Z$7=""),"",入力!$Z$7))</f>
        <v/>
      </c>
      <c r="BP5">
        <f>IF(入力!$D$7="","",IF(OR(反映項目!$B$13="×",入力!$AA$7=""),"",入力!$AA$7))</f>
        <v/>
      </c>
      <c r="BQ5">
        <f>IF(入力!$D$7="","",IF(OR(反映項目!$B$15="×",入力!$AF$7=""),"",入力!$AF$7))</f>
        <v/>
      </c>
      <c r="BR5">
        <f>IF(入力!$D$7="","",IF(OR(反映項目!$B$14="×",N($BZ$5)=0),"",YEAR($BZ$5)-IF($BZ$5&gt;=DATE(2019,5,1),2018,1988)))&amp;""</f>
        <v/>
      </c>
      <c r="BS5">
        <f>IF(入力!$D$7="","",IF(OR(反映項目!$B$14="×",N($BZ$5)=0),"",MONTH($BZ$5)))&amp;""</f>
        <v/>
      </c>
      <c r="BT5">
        <f>IF(入力!$D$7="","",IF(OR(反映項目!$B$14="×",入力!$AC$7=""),"",入力!$AC$7))</f>
        <v/>
      </c>
      <c r="BU5">
        <f>IF(入力!$D$7="","",IF(OR(反映項目!$B$14="×",N($CA$5)=0),"",YEAR($CA$5)-IF($CA$5&gt;=DATE(2019,5,1),2018,1988)))&amp;""</f>
        <v/>
      </c>
      <c r="BV5">
        <f>IF(入力!$D$7="","",IF(OR(反映項目!$B$14="×",N($CA$5)=0),"",MONTH($CA$5)))&amp;""</f>
        <v/>
      </c>
      <c r="BW5">
        <f>IF(入力!$D$7="","",IF(OR(反映項目!$B$14="×",入力!$AE$7=""),"",入力!$AE$7))</f>
        <v/>
      </c>
      <c r="BY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Z5">
        <f>IF(入力!$D$7="","",IF(入力!$AB$7="","",IF(ISNUMBER(入力!$AB$7),入力!$AB$7,IFERROR(IF(OR(LEFT(入力!$AB$7,2)="令和",LEFT(入力!$AB$7,2)="平成",LEFT(入力!$AB$7,2)="昭和",LEFT(入力!$AB$7,2)="大正"),DATE(VALUE(MID(入力!$AB$7,3,FIND("年",入力!$AB$7)-3))+IF(LEFT(入力!$AB$7,2)="令和",2018,IF(LEFT(入力!$AB$7,2)="平成",1988,IF(LEFT(入力!$AB$7,2)="昭和",1925,IF(LEFT(入力!$AB$7,2)="大正",1911,0)))),VALUE(MID(入力!$AB$7,FIND("年",入力!$AB$7)+1,FIND("月",入力!$AB$7)-FIND("年",入力!$AB$7)-1)),IFERROR(VALUE(SUBSTITUTE(MID(入力!$AB$7,FIND("月",入力!$AB$7)+1,10),"日","")),1)),DATE(VALUE(TRIM(MID(SUBSTITUTE(SUBSTITUTE(SUBSTITUTE(SUBSTITUTE(SUBSTITUTE(SUBSTITUTE(入力!$AB$7,"年","/"),"月","/"),"日",""),"-","/"),".","/"),"/",REPT(" ",50)),1,50))),VALUE(TRIM(MID(SUBSTITUTE(SUBSTITUTE(SUBSTITUTE(SUBSTITUTE(SUBSTITUTE(SUBSTITUTE(入力!$AB$7,"年","/"),"月","/"),"日",""),"-","/"),".","/"),"/",REPT(" ",50)),51,50))),IFERROR(VALUE(TRIM(MID(SUBSTITUTE(SUBSTITUTE(SUBSTITUTE(SUBSTITUTE(SUBSTITUTE(SUBSTITUTE(入力!$AB$7,"年","/"),"月","/"),"日",""),"-","/"),".","/"),"/",REPT(" ",50)),101,50))),1))),IFERROR(DATEVALUE(入力!$AB$7),"")))))</f>
        <v/>
      </c>
      <c r="CA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CB5">
        <f>IF(入力!$D$7="","",$O5&amp;IF($R5="","",CHAR(10)&amp;$Q5)&amp;IF($T5="","",CHAR(10)&amp;$S5)&amp;IF($V5="","",CHAR(10)&amp;$U5)&amp;IF($X5="","",CHAR(10)&amp;$W5)&amp;IF($Z5="","",CHAR(10)&amp;$Y5)&amp;IF($AB5="","",CHAR(10)&amp;$AA5)&amp;IF($AD5="","",CHAR(10)&amp;$AC5)&amp;IF($AF5="","",CHAR(10)&amp;$AE5)&amp;IF($AH5="","",CHAR(10)&amp;$AG5)&amp;IF($AJ5="","",CHAR(10)&amp;$AI5)&amp;IF($AL5="","",CHAR(10)&amp;$AK5)&amp;IF($AN5="","",CHAR(10)&amp;$AM5)&amp;IF($AP5="","",CHAR(10)&amp;$AO5)&amp;IF($AR5="","",CHAR(10)&amp;$AQ5)&amp;IF($AT5="","",CHAR(10)&amp;$AS5)&amp;IF($AV5="","",CHAR(10)&amp;$AU5)&amp;IF($AX5="","",CHAR(10)&amp;$AW5)&amp;IF($AZ5="","",CHAR(10)&amp;$AY5)&amp;IF($BB5="","",CHAR(10)&amp;$BA5)&amp;IF($BD5="","",CHAR(10)&amp;$BC5)&amp;IF($BF5="","",CHAR(10)&amp;$BE5)&amp;IF($BH5="","",CHAR(10)&amp;$BG5)&amp;IF($BJ5="","",CHAR(10)&amp;$BI5)&amp;IF($BL5="","",CHAR(10)&amp;$BK5)&amp;IF($BN5="","",CHAR(10)&amp;$BM5))</f>
        <v/>
      </c>
      <c r="CC5">
        <f>IF(入力!$D$7="","",$P5&amp;IF($R5="","",CHAR(10)&amp;$R5)&amp;IF($T5="","",CHAR(10)&amp;$T5)&amp;IF($V5="","",CHAR(10)&amp;$V5)&amp;IF($X5="","",CHAR(10)&amp;$X5)&amp;IF($Z5="","",CHAR(10)&amp;$Z5)&amp;IF($AB5="","",CHAR(10)&amp;$AB5)&amp;IF($AD5="","",CHAR(10)&amp;$AD5)&amp;IF($AF5="","",CHAR(10)&amp;$AF5)&amp;IF($AH5="","",CHAR(10)&amp;$AH5)&amp;IF($AJ5="","",CHAR(10)&amp;$AJ5)&amp;IF($AL5="","",CHAR(10)&amp;$AL5)&amp;IF($AN5="","",CHAR(10)&amp;$AN5)&amp;IF($AP5="","",CHAR(10)&amp;$AP5)&amp;IF($AR5="","",CHAR(10)&amp;$AR5)&amp;IF($AT5="","",CHAR(10)&amp;$AT5)&amp;IF($AV5="","",CHAR(10)&amp;$AV5)&amp;IF($AX5="","",CHAR(10)&amp;$AX5)&amp;IF($AZ5="","",CHAR(10)&amp;$AZ5)&amp;IF($BB5="","",CHAR(10)&amp;$BB5)&amp;IF($BD5="","",CHAR(10)&amp;$BD5)&amp;IF($BF5="","",CHAR(10)&amp;$BF5)&amp;IF($BH5="","",CHAR(10)&amp;$BH5)&amp;IF($BJ5="","",CHAR(10)&amp;$BJ5)&amp;IF($BL5="","",CHAR(10)&amp;$BL5)&amp;IF($BN5="","",CHAR(10)&amp;$BN5))</f>
        <v/>
      </c>
      <c r="CD5">
        <f>IF(入力!$D$7="","",IF($P5="",0,1)+IF($R5="",0,1)+IF($T5="",0,1)+IF($V5="",0,1)+IF($X5="",0,1)+IF($Z5="",0,1)+IF($AB5="",0,1)+IF($AD5="",0,1)+IF($AF5="",0,1)+IF($AH5="",0,1)+IF($AJ5="",0,1)+IF($AL5="",0,1)+IF($AN5="",0,1)+IF($AP5="",0,1)+IF($AR5="",0,1)+IF($AT5="",0,1)+IF($AV5="",0,1)+IF($AX5="",0,1)+IF($AZ5="",0,1)+IF($BB5="",0,1)+IF($BD5="",0,1)+IF($BF5="",0,1)+IF($BH5="",0,1)+IF($BJ5="",0,1)+IF($BL5="",0,1)+IF($BN5="",0,1))</f>
        <v/>
      </c>
    </row>
    <row r="6">
      <c r="A6" t="n">
        <v>4</v>
      </c>
      <c r="B6">
        <f>IF(入力!$D$8="","",IF(OR(反映項目!$B$4="×",入力!$D$8=""),"",入力!$D$8))</f>
        <v/>
      </c>
      <c r="C6">
        <f>IF(入力!$D$8="","",IF(OR(反映項目!$B$5="×",入力!$E$8=""),"",入力!$E$8))</f>
        <v/>
      </c>
      <c r="D6">
        <f>IF(入力!$D$8="","",IF(OR(反映項目!$B$6="×",N($BY$6)=0),"",YEAR($BY$6)-IF($BY$6&gt;=DATE(2019,5,1),2018,IF($BY$6&gt;=DATE(1989,1,8),1988,1925))))&amp;""</f>
        <v/>
      </c>
      <c r="E6">
        <f>IF(入力!$D$8="","",IF(OR(反映項目!$B$6="×",N($BY$6)=0),"",MONTH($BY$6)))&amp;""</f>
        <v/>
      </c>
      <c r="F6">
        <f>IF(入力!$D$8="","",IF(OR(反映項目!$B$6="×",N($BY$6)=0),"",DAY($BY$6)))&amp;""</f>
        <v/>
      </c>
      <c r="G6">
        <f>IF(入力!$D$8="","",IF(OR(反映項目!$B$6="×",OR(N($BY$6)=0,N(設定!$B$3)=0)),"",DATEDIF($BY$6,設定!$B$3,"Y")))&amp;""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IF(入力!$D$8="","",IF(OR(反映項目!$B$10="×",入力!$K$8=""),"",入力!$K$8))</f>
        <v/>
      </c>
      <c r="M6">
        <f>IF(入力!$D$8="","",IF(OR(反映項目!$B$10="×",入力!$L$8=""),"",入力!$L$8))</f>
        <v/>
      </c>
      <c r="N6">
        <f>IF(入力!$D$8="","",設定!$B$4&amp;CHAR(10)&amp;IF(入力!$M$8="",設定!$B$5,入力!$M$8))</f>
        <v/>
      </c>
      <c r="O6">
        <f>IF(入力!$D$8="","",IF(反映項目!$B$11="×","",IFERROR(INDEX(資格集約!$H$81:$H$106,MATCH(1,資格集約!$G$81:$G$106,0)),"")))</f>
        <v/>
      </c>
      <c r="P6">
        <f>IF(入力!$D$8="","",IF(反映項目!$B$11="×","",IFERROR(INDEX(資格集約!$E$81:$E$106,MATCH(1,資格集約!$G$81:$G$106,0)),"")))</f>
        <v/>
      </c>
      <c r="Q6">
        <f>IF(入力!$D$8="","",IF(反映項目!$B$11="×","",IFERROR(INDEX(資格集約!$H$81:$H$106,MATCH(2,資格集約!$G$81:$G$106,0)),"")))</f>
        <v/>
      </c>
      <c r="R6">
        <f>IF(入力!$D$8="","",IF(反映項目!$B$11="×","",IFERROR(INDEX(資格集約!$E$81:$E$106,MATCH(2,資格集約!$G$81:$G$106,0)),"")))</f>
        <v/>
      </c>
      <c r="S6">
        <f>IF(入力!$D$8="","",IF(反映項目!$B$11="×","",IFERROR(INDEX(資格集約!$H$81:$H$106,MATCH(3,資格集約!$G$81:$G$106,0)),"")))</f>
        <v/>
      </c>
      <c r="T6">
        <f>IF(入力!$D$8="","",IF(反映項目!$B$11="×","",IFERROR(INDEX(資格集約!$E$81:$E$106,MATCH(3,資格集約!$G$81:$G$106,0)),"")))</f>
        <v/>
      </c>
      <c r="U6">
        <f>IF(入力!$D$8="","",IF(反映項目!$B$11="×","",IFERROR(INDEX(資格集約!$H$81:$H$106,MATCH(4,資格集約!$G$81:$G$106,0)),"")))</f>
        <v/>
      </c>
      <c r="V6">
        <f>IF(入力!$D$8="","",IF(反映項目!$B$11="×","",IFERROR(INDEX(資格集約!$E$81:$E$106,MATCH(4,資格集約!$G$81:$G$106,0)),"")))</f>
        <v/>
      </c>
      <c r="W6">
        <f>IF(入力!$D$8="","",IF(反映項目!$B$11="×","",IFERROR(INDEX(資格集約!$H$81:$H$106,MATCH(5,資格集約!$G$81:$G$106,0)),"")))</f>
        <v/>
      </c>
      <c r="X6">
        <f>IF(入力!$D$8="","",IF(反映項目!$B$11="×","",IFERROR(INDEX(資格集約!$E$81:$E$106,MATCH(5,資格集約!$G$81:$G$106,0)),"")))</f>
        <v/>
      </c>
      <c r="Y6">
        <f>IF(入力!$D$8="","",IF(反映項目!$B$11="×","",IFERROR(INDEX(資格集約!$H$81:$H$106,MATCH(6,資格集約!$G$81:$G$106,0)),"")))</f>
        <v/>
      </c>
      <c r="Z6">
        <f>IF(入力!$D$8="","",IF(反映項目!$B$11="×","",IFERROR(INDEX(資格集約!$E$81:$E$106,MATCH(6,資格集約!$G$81:$G$106,0)),"")))</f>
        <v/>
      </c>
      <c r="AA6">
        <f>IF(入力!$D$8="","",IF(反映項目!$B$11="×","",IFERROR(INDEX(資格集約!$H$81:$H$106,MATCH(7,資格集約!$G$81:$G$106,0)),"")))</f>
        <v/>
      </c>
      <c r="AB6">
        <f>IF(入力!$D$8="","",IF(反映項目!$B$11="×","",IFERROR(INDEX(資格集約!$E$81:$E$106,MATCH(7,資格集約!$G$81:$G$106,0)),"")))</f>
        <v/>
      </c>
      <c r="AC6">
        <f>IF(入力!$D$8="","",IF(反映項目!$B$11="×","",IFERROR(INDEX(資格集約!$H$81:$H$106,MATCH(8,資格集約!$G$81:$G$106,0)),"")))</f>
        <v/>
      </c>
      <c r="AD6">
        <f>IF(入力!$D$8="","",IF(反映項目!$B$11="×","",IFERROR(INDEX(資格集約!$E$81:$E$106,MATCH(8,資格集約!$G$81:$G$106,0)),"")))</f>
        <v/>
      </c>
      <c r="AE6">
        <f>IF(入力!$D$8="","",IF(反映項目!$B$11="×","",IFERROR(INDEX(資格集約!$H$81:$H$106,MATCH(9,資格集約!$G$81:$G$106,0)),"")))</f>
        <v/>
      </c>
      <c r="AF6">
        <f>IF(入力!$D$8="","",IF(反映項目!$B$11="×","",IFERROR(INDEX(資格集約!$E$81:$E$106,MATCH(9,資格集約!$G$81:$G$106,0)),"")))</f>
        <v/>
      </c>
      <c r="AG6">
        <f>IF(入力!$D$8="","",IF(反映項目!$B$11="×","",IFERROR(INDEX(資格集約!$H$81:$H$106,MATCH(10,資格集約!$G$81:$G$106,0)),"")))</f>
        <v/>
      </c>
      <c r="AH6">
        <f>IF(入力!$D$8="","",IF(反映項目!$B$11="×","",IFERROR(INDEX(資格集約!$E$81:$E$106,MATCH(10,資格集約!$G$81:$G$106,0)),"")))</f>
        <v/>
      </c>
      <c r="AI6">
        <f>IF(入力!$D$8="","",IF(反映項目!$B$11="×","",IFERROR(INDEX(資格集約!$H$81:$H$106,MATCH(11,資格集約!$G$81:$G$106,0)),"")))</f>
        <v/>
      </c>
      <c r="AJ6">
        <f>IF(入力!$D$8="","",IF(反映項目!$B$11="×","",IFERROR(INDEX(資格集約!$E$81:$E$106,MATCH(11,資格集約!$G$81:$G$106,0)),"")))</f>
        <v/>
      </c>
      <c r="AK6">
        <f>IF(入力!$D$8="","",IF(反映項目!$B$11="×","",IFERROR(INDEX(資格集約!$H$81:$H$106,MATCH(12,資格集約!$G$81:$G$106,0)),"")))</f>
        <v/>
      </c>
      <c r="AL6">
        <f>IF(入力!$D$8="","",IF(反映項目!$B$11="×","",IFERROR(INDEX(資格集約!$E$81:$E$106,MATCH(12,資格集約!$G$81:$G$106,0)),"")))</f>
        <v/>
      </c>
      <c r="AM6">
        <f>IF(入力!$D$8="","",IF(反映項目!$B$11="×","",IFERROR(INDEX(資格集約!$H$81:$H$106,MATCH(13,資格集約!$G$81:$G$106,0)),"")))</f>
        <v/>
      </c>
      <c r="AN6">
        <f>IF(入力!$D$8="","",IF(反映項目!$B$11="×","",IFERROR(INDEX(資格集約!$E$81:$E$106,MATCH(13,資格集約!$G$81:$G$106,0)),"")))</f>
        <v/>
      </c>
      <c r="AO6">
        <f>IF(入力!$D$8="","",IF(反映項目!$B$11="×","",IFERROR(INDEX(資格集約!$H$81:$H$106,MATCH(14,資格集約!$G$81:$G$106,0)),"")))</f>
        <v/>
      </c>
      <c r="AP6">
        <f>IF(入力!$D$8="","",IF(反映項目!$B$11="×","",IFERROR(INDEX(資格集約!$E$81:$E$106,MATCH(14,資格集約!$G$81:$G$106,0)),"")))</f>
        <v/>
      </c>
      <c r="AQ6">
        <f>IF(入力!$D$8="","",IF(反映項目!$B$11="×","",IFERROR(INDEX(資格集約!$H$81:$H$106,MATCH(15,資格集約!$G$81:$G$106,0)),"")))</f>
        <v/>
      </c>
      <c r="AR6">
        <f>IF(入力!$D$8="","",IF(反映項目!$B$11="×","",IFERROR(INDEX(資格集約!$E$81:$E$106,MATCH(15,資格集約!$G$81:$G$106,0)),"")))</f>
        <v/>
      </c>
      <c r="AS6">
        <f>IF(入力!$D$8="","",IF(反映項目!$B$11="×","",IFERROR(INDEX(資格集約!$H$81:$H$106,MATCH(16,資格集約!$G$81:$G$106,0)),"")))</f>
        <v/>
      </c>
      <c r="AT6">
        <f>IF(入力!$D$8="","",IF(反映項目!$B$11="×","",IFERROR(INDEX(資格集約!$E$81:$E$106,MATCH(16,資格集約!$G$81:$G$106,0)),"")))</f>
        <v/>
      </c>
      <c r="AU6">
        <f>IF(入力!$D$8="","",IF(反映項目!$B$11="×","",IFERROR(INDEX(資格集約!$H$81:$H$106,MATCH(17,資格集約!$G$81:$G$106,0)),"")))</f>
        <v/>
      </c>
      <c r="AV6">
        <f>IF(入力!$D$8="","",IF(反映項目!$B$11="×","",IFERROR(INDEX(資格集約!$E$81:$E$106,MATCH(17,資格集約!$G$81:$G$106,0)),"")))</f>
        <v/>
      </c>
      <c r="AW6">
        <f>IF(入力!$D$8="","",IF(反映項目!$B$11="×","",IFERROR(INDEX(資格集約!$H$81:$H$106,MATCH(18,資格集約!$G$81:$G$106,0)),"")))</f>
        <v/>
      </c>
      <c r="AX6">
        <f>IF(入力!$D$8="","",IF(反映項目!$B$11="×","",IFERROR(INDEX(資格集約!$E$81:$E$106,MATCH(18,資格集約!$G$81:$G$106,0)),"")))</f>
        <v/>
      </c>
      <c r="AY6">
        <f>IF(入力!$D$8="","",IF(反映項目!$B$11="×","",IFERROR(INDEX(資格集約!$H$81:$H$106,MATCH(19,資格集約!$G$81:$G$106,0)),"")))</f>
        <v/>
      </c>
      <c r="AZ6">
        <f>IF(入力!$D$8="","",IF(反映項目!$B$11="×","",IFERROR(INDEX(資格集約!$E$81:$E$106,MATCH(19,資格集約!$G$81:$G$106,0)),"")))</f>
        <v/>
      </c>
      <c r="BA6">
        <f>IF(入力!$D$8="","",IF(反映項目!$B$11="×","",IFERROR(INDEX(資格集約!$H$81:$H$106,MATCH(20,資格集約!$G$81:$G$106,0)),"")))</f>
        <v/>
      </c>
      <c r="BB6">
        <f>IF(入力!$D$8="","",IF(反映項目!$B$11="×","",IFERROR(INDEX(資格集約!$E$81:$E$106,MATCH(20,資格集約!$G$81:$G$106,0)),"")))</f>
        <v/>
      </c>
      <c r="BC6">
        <f>IF(入力!$D$8="","",IF(反映項目!$B$11="×","",IFERROR(INDEX(資格集約!$H$81:$H$106,MATCH(21,資格集約!$G$81:$G$106,0)),"")))</f>
        <v/>
      </c>
      <c r="BD6">
        <f>IF(入力!$D$8="","",IF(反映項目!$B$11="×","",IFERROR(INDEX(資格集約!$E$81:$E$106,MATCH(21,資格集約!$G$81:$G$106,0)),"")))</f>
        <v/>
      </c>
      <c r="BE6">
        <f>IF(入力!$D$8="","",IF(反映項目!$B$11="×","",IFERROR(INDEX(資格集約!$H$81:$H$106,MATCH(22,資格集約!$G$81:$G$106,0)),"")))</f>
        <v/>
      </c>
      <c r="BF6">
        <f>IF(入力!$D$8="","",IF(反映項目!$B$11="×","",IFERROR(INDEX(資格集約!$E$81:$E$106,MATCH(22,資格集約!$G$81:$G$106,0)),"")))</f>
        <v/>
      </c>
      <c r="BG6">
        <f>IF(入力!$D$8="","",IF(反映項目!$B$11="×","",IFERROR(INDEX(資格集約!$H$81:$H$106,MATCH(23,資格集約!$G$81:$G$106,0)),"")))</f>
        <v/>
      </c>
      <c r="BH6">
        <f>IF(入力!$D$8="","",IF(反映項目!$B$11="×","",IFERROR(INDEX(資格集約!$E$81:$E$106,MATCH(23,資格集約!$G$81:$G$106,0)),"")))</f>
        <v/>
      </c>
      <c r="BI6">
        <f>IF(入力!$D$8="","",IF(反映項目!$B$11="×","",IFERROR(INDEX(資格集約!$H$81:$H$106,MATCH(24,資格集約!$G$81:$G$106,0)),"")))</f>
        <v/>
      </c>
      <c r="BJ6">
        <f>IF(入力!$D$8="","",IF(反映項目!$B$11="×","",IFERROR(INDEX(資格集約!$E$81:$E$106,MATCH(24,資格集約!$G$81:$G$106,0)),"")))</f>
        <v/>
      </c>
      <c r="BK6">
        <f>IF(入力!$D$8="","",IF(反映項目!$B$11="×","",IFERROR(INDEX(資格集約!$H$81:$H$106,MATCH(25,資格集約!$G$81:$G$106,0)),"")))</f>
        <v/>
      </c>
      <c r="BL6">
        <f>IF(入力!$D$8="","",IF(反映項目!$B$11="×","",IFERROR(INDEX(資格集約!$E$81:$E$106,MATCH(25,資格集約!$G$81:$G$106,0)),"")))</f>
        <v/>
      </c>
      <c r="BM6">
        <f>IF(入力!$D$8="","",IF(反映項目!$B$11="×","",IFERROR(INDEX(資格集約!$H$81:$H$106,MATCH(26,資格集約!$G$81:$G$106,0)),"")))</f>
        <v/>
      </c>
      <c r="BN6">
        <f>IF(入力!$D$8="","",IF(反映項目!$B$11="×","",IFERROR(INDEX(資格集約!$E$81:$E$106,MATCH(26,資格集約!$G$81:$G$106,0)),"")))</f>
        <v/>
      </c>
      <c r="BO6">
        <f>IF(入力!$D$8="","",IF(OR(反映項目!$B$12="×",入力!$Z$8=""),"",入力!$Z$8))</f>
        <v/>
      </c>
      <c r="BP6">
        <f>IF(入力!$D$8="","",IF(OR(反映項目!$B$13="×",入力!$AA$8=""),"",入力!$AA$8))</f>
        <v/>
      </c>
      <c r="BQ6">
        <f>IF(入力!$D$8="","",IF(OR(反映項目!$B$15="×",入力!$AF$8=""),"",入力!$AF$8))</f>
        <v/>
      </c>
      <c r="BR6">
        <f>IF(入力!$D$8="","",IF(OR(反映項目!$B$14="×",N($BZ$6)=0),"",YEAR($BZ$6)-IF($BZ$6&gt;=DATE(2019,5,1),2018,1988)))&amp;""</f>
        <v/>
      </c>
      <c r="BS6">
        <f>IF(入力!$D$8="","",IF(OR(反映項目!$B$14="×",N($BZ$6)=0),"",MONTH($BZ$6)))&amp;""</f>
        <v/>
      </c>
      <c r="BT6">
        <f>IF(入力!$D$8="","",IF(OR(反映項目!$B$14="×",入力!$AC$8=""),"",入力!$AC$8))</f>
        <v/>
      </c>
      <c r="BU6">
        <f>IF(入力!$D$8="","",IF(OR(反映項目!$B$14="×",N($CA$6)=0),"",YEAR($CA$6)-IF($CA$6&gt;=DATE(2019,5,1),2018,1988)))&amp;""</f>
        <v/>
      </c>
      <c r="BV6">
        <f>IF(入力!$D$8="","",IF(OR(反映項目!$B$14="×",N($CA$6)=0),"",MONTH($CA$6)))&amp;""</f>
        <v/>
      </c>
      <c r="BW6">
        <f>IF(入力!$D$8="","",IF(OR(反映項目!$B$14="×",入力!$AE$8=""),"",入力!$AE$8))</f>
        <v/>
      </c>
      <c r="BY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Z6">
        <f>IF(入力!$D$8="","",IF(入力!$AB$8="","",IF(ISNUMBER(入力!$AB$8),入力!$AB$8,IFERROR(IF(OR(LEFT(入力!$AB$8,2)="令和",LEFT(入力!$AB$8,2)="平成",LEFT(入力!$AB$8,2)="昭和",LEFT(入力!$AB$8,2)="大正"),DATE(VALUE(MID(入力!$AB$8,3,FIND("年",入力!$AB$8)-3))+IF(LEFT(入力!$AB$8,2)="令和",2018,IF(LEFT(入力!$AB$8,2)="平成",1988,IF(LEFT(入力!$AB$8,2)="昭和",1925,IF(LEFT(入力!$AB$8,2)="大正",1911,0)))),VALUE(MID(入力!$AB$8,FIND("年",入力!$AB$8)+1,FIND("月",入力!$AB$8)-FIND("年",入力!$AB$8)-1)),IFERROR(VALUE(SUBSTITUTE(MID(入力!$AB$8,FIND("月",入力!$AB$8)+1,10),"日","")),1)),DATE(VALUE(TRIM(MID(SUBSTITUTE(SUBSTITUTE(SUBSTITUTE(SUBSTITUTE(SUBSTITUTE(SUBSTITUTE(入力!$AB$8,"年","/"),"月","/"),"日",""),"-","/"),".","/"),"/",REPT(" ",50)),1,50))),VALUE(TRIM(MID(SUBSTITUTE(SUBSTITUTE(SUBSTITUTE(SUBSTITUTE(SUBSTITUTE(SUBSTITUTE(入力!$AB$8,"年","/"),"月","/"),"日",""),"-","/"),".","/"),"/",REPT(" ",50)),51,50))),IFERROR(VALUE(TRIM(MID(SUBSTITUTE(SUBSTITUTE(SUBSTITUTE(SUBSTITUTE(SUBSTITUTE(SUBSTITUTE(入力!$AB$8,"年","/"),"月","/"),"日",""),"-","/"),".","/"),"/",REPT(" ",50)),101,50))),1))),IFERROR(DATEVALUE(入力!$AB$8),"")))))</f>
        <v/>
      </c>
      <c r="CA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CB6">
        <f>IF(入力!$D$8="","",$O6&amp;IF($R6="","",CHAR(10)&amp;$Q6)&amp;IF($T6="","",CHAR(10)&amp;$S6)&amp;IF($V6="","",CHAR(10)&amp;$U6)&amp;IF($X6="","",CHAR(10)&amp;$W6)&amp;IF($Z6="","",CHAR(10)&amp;$Y6)&amp;IF($AB6="","",CHAR(10)&amp;$AA6)&amp;IF($AD6="","",CHAR(10)&amp;$AC6)&amp;IF($AF6="","",CHAR(10)&amp;$AE6)&amp;IF($AH6="","",CHAR(10)&amp;$AG6)&amp;IF($AJ6="","",CHAR(10)&amp;$AI6)&amp;IF($AL6="","",CHAR(10)&amp;$AK6)&amp;IF($AN6="","",CHAR(10)&amp;$AM6)&amp;IF($AP6="","",CHAR(10)&amp;$AO6)&amp;IF($AR6="","",CHAR(10)&amp;$AQ6)&amp;IF($AT6="","",CHAR(10)&amp;$AS6)&amp;IF($AV6="","",CHAR(10)&amp;$AU6)&amp;IF($AX6="","",CHAR(10)&amp;$AW6)&amp;IF($AZ6="","",CHAR(10)&amp;$AY6)&amp;IF($BB6="","",CHAR(10)&amp;$BA6)&amp;IF($BD6="","",CHAR(10)&amp;$BC6)&amp;IF($BF6="","",CHAR(10)&amp;$BE6)&amp;IF($BH6="","",CHAR(10)&amp;$BG6)&amp;IF($BJ6="","",CHAR(10)&amp;$BI6)&amp;IF($BL6="","",CHAR(10)&amp;$BK6)&amp;IF($BN6="","",CHAR(10)&amp;$BM6))</f>
        <v/>
      </c>
      <c r="CC6">
        <f>IF(入力!$D$8="","",$P6&amp;IF($R6="","",CHAR(10)&amp;$R6)&amp;IF($T6="","",CHAR(10)&amp;$T6)&amp;IF($V6="","",CHAR(10)&amp;$V6)&amp;IF($X6="","",CHAR(10)&amp;$X6)&amp;IF($Z6="","",CHAR(10)&amp;$Z6)&amp;IF($AB6="","",CHAR(10)&amp;$AB6)&amp;IF($AD6="","",CHAR(10)&amp;$AD6)&amp;IF($AF6="","",CHAR(10)&amp;$AF6)&amp;IF($AH6="","",CHAR(10)&amp;$AH6)&amp;IF($AJ6="","",CHAR(10)&amp;$AJ6)&amp;IF($AL6="","",CHAR(10)&amp;$AL6)&amp;IF($AN6="","",CHAR(10)&amp;$AN6)&amp;IF($AP6="","",CHAR(10)&amp;$AP6)&amp;IF($AR6="","",CHAR(10)&amp;$AR6)&amp;IF($AT6="","",CHAR(10)&amp;$AT6)&amp;IF($AV6="","",CHAR(10)&amp;$AV6)&amp;IF($AX6="","",CHAR(10)&amp;$AX6)&amp;IF($AZ6="","",CHAR(10)&amp;$AZ6)&amp;IF($BB6="","",CHAR(10)&amp;$BB6)&amp;IF($BD6="","",CHAR(10)&amp;$BD6)&amp;IF($BF6="","",CHAR(10)&amp;$BF6)&amp;IF($BH6="","",CHAR(10)&amp;$BH6)&amp;IF($BJ6="","",CHAR(10)&amp;$BJ6)&amp;IF($BL6="","",CHAR(10)&amp;$BL6)&amp;IF($BN6="","",CHAR(10)&amp;$BN6))</f>
        <v/>
      </c>
      <c r="CD6">
        <f>IF(入力!$D$8="","",IF($P6="",0,1)+IF($R6="",0,1)+IF($T6="",0,1)+IF($V6="",0,1)+IF($X6="",0,1)+IF($Z6="",0,1)+IF($AB6="",0,1)+IF($AD6="",0,1)+IF($AF6="",0,1)+IF($AH6="",0,1)+IF($AJ6="",0,1)+IF($AL6="",0,1)+IF($AN6="",0,1)+IF($AP6="",0,1)+IF($AR6="",0,1)+IF($AT6="",0,1)+IF($AV6="",0,1)+IF($AX6="",0,1)+IF($AZ6="",0,1)+IF($BB6="",0,1)+IF($BD6="",0,1)+IF($BF6="",0,1)+IF($BH6="",0,1)+IF($BJ6="",0,1)+IF($BL6="",0,1)+IF($BN6="",0,1))</f>
        <v/>
      </c>
    </row>
    <row r="7">
      <c r="A7" t="n">
        <v>5</v>
      </c>
      <c r="B7">
        <f>IF(入力!$D$9="","",IF(OR(反映項目!$B$4="×",入力!$D$9=""),"",入力!$D$9))</f>
        <v/>
      </c>
      <c r="C7">
        <f>IF(入力!$D$9="","",IF(OR(反映項目!$B$5="×",入力!$E$9=""),"",入力!$E$9))</f>
        <v/>
      </c>
      <c r="D7">
        <f>IF(入力!$D$9="","",IF(OR(反映項目!$B$6="×",N($BY$7)=0),"",YEAR($BY$7)-IF($BY$7&gt;=DATE(2019,5,1),2018,IF($BY$7&gt;=DATE(1989,1,8),1988,1925))))&amp;""</f>
        <v/>
      </c>
      <c r="E7">
        <f>IF(入力!$D$9="","",IF(OR(反映項目!$B$6="×",N($BY$7)=0),"",MONTH($BY$7)))&amp;""</f>
        <v/>
      </c>
      <c r="F7">
        <f>IF(入力!$D$9="","",IF(OR(反映項目!$B$6="×",N($BY$7)=0),"",DAY($BY$7)))&amp;""</f>
        <v/>
      </c>
      <c r="G7">
        <f>IF(入力!$D$9="","",IF(OR(反映項目!$B$6="×",OR(N($BY$7)=0,N(設定!$B$3)=0)),"",DATEDIF($BY$7,設定!$B$3,"Y")))&amp;""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IF(入力!$D$9="","",IF(OR(反映項目!$B$10="×",入力!$K$9=""),"",入力!$K$9))</f>
        <v/>
      </c>
      <c r="M7">
        <f>IF(入力!$D$9="","",IF(OR(反映項目!$B$10="×",入力!$L$9=""),"",入力!$L$9))</f>
        <v/>
      </c>
      <c r="N7">
        <f>IF(入力!$D$9="","",設定!$B$4&amp;CHAR(10)&amp;IF(入力!$M$9="",設定!$B$5,入力!$M$9))</f>
        <v/>
      </c>
      <c r="O7">
        <f>IF(入力!$D$9="","",IF(反映項目!$B$11="×","",IFERROR(INDEX(資格集約!$H$107:$H$132,MATCH(1,資格集約!$G$107:$G$132,0)),"")))</f>
        <v/>
      </c>
      <c r="P7">
        <f>IF(入力!$D$9="","",IF(反映項目!$B$11="×","",IFERROR(INDEX(資格集約!$E$107:$E$132,MATCH(1,資格集約!$G$107:$G$132,0)),"")))</f>
        <v/>
      </c>
      <c r="Q7">
        <f>IF(入力!$D$9="","",IF(反映項目!$B$11="×","",IFERROR(INDEX(資格集約!$H$107:$H$132,MATCH(2,資格集約!$G$107:$G$132,0)),"")))</f>
        <v/>
      </c>
      <c r="R7">
        <f>IF(入力!$D$9="","",IF(反映項目!$B$11="×","",IFERROR(INDEX(資格集約!$E$107:$E$132,MATCH(2,資格集約!$G$107:$G$132,0)),"")))</f>
        <v/>
      </c>
      <c r="S7">
        <f>IF(入力!$D$9="","",IF(反映項目!$B$11="×","",IFERROR(INDEX(資格集約!$H$107:$H$132,MATCH(3,資格集約!$G$107:$G$132,0)),"")))</f>
        <v/>
      </c>
      <c r="T7">
        <f>IF(入力!$D$9="","",IF(反映項目!$B$11="×","",IFERROR(INDEX(資格集約!$E$107:$E$132,MATCH(3,資格集約!$G$107:$G$132,0)),"")))</f>
        <v/>
      </c>
      <c r="U7">
        <f>IF(入力!$D$9="","",IF(反映項目!$B$11="×","",IFERROR(INDEX(資格集約!$H$107:$H$132,MATCH(4,資格集約!$G$107:$G$132,0)),"")))</f>
        <v/>
      </c>
      <c r="V7">
        <f>IF(入力!$D$9="","",IF(反映項目!$B$11="×","",IFERROR(INDEX(資格集約!$E$107:$E$132,MATCH(4,資格集約!$G$107:$G$132,0)),"")))</f>
        <v/>
      </c>
      <c r="W7">
        <f>IF(入力!$D$9="","",IF(反映項目!$B$11="×","",IFERROR(INDEX(資格集約!$H$107:$H$132,MATCH(5,資格集約!$G$107:$G$132,0)),"")))</f>
        <v/>
      </c>
      <c r="X7">
        <f>IF(入力!$D$9="","",IF(反映項目!$B$11="×","",IFERROR(INDEX(資格集約!$E$107:$E$132,MATCH(5,資格集約!$G$107:$G$132,0)),"")))</f>
        <v/>
      </c>
      <c r="Y7">
        <f>IF(入力!$D$9="","",IF(反映項目!$B$11="×","",IFERROR(INDEX(資格集約!$H$107:$H$132,MATCH(6,資格集約!$G$107:$G$132,0)),"")))</f>
        <v/>
      </c>
      <c r="Z7">
        <f>IF(入力!$D$9="","",IF(反映項目!$B$11="×","",IFERROR(INDEX(資格集約!$E$107:$E$132,MATCH(6,資格集約!$G$107:$G$132,0)),"")))</f>
        <v/>
      </c>
      <c r="AA7">
        <f>IF(入力!$D$9="","",IF(反映項目!$B$11="×","",IFERROR(INDEX(資格集約!$H$107:$H$132,MATCH(7,資格集約!$G$107:$G$132,0)),"")))</f>
        <v/>
      </c>
      <c r="AB7">
        <f>IF(入力!$D$9="","",IF(反映項目!$B$11="×","",IFERROR(INDEX(資格集約!$E$107:$E$132,MATCH(7,資格集約!$G$107:$G$132,0)),"")))</f>
        <v/>
      </c>
      <c r="AC7">
        <f>IF(入力!$D$9="","",IF(反映項目!$B$11="×","",IFERROR(INDEX(資格集約!$H$107:$H$132,MATCH(8,資格集約!$G$107:$G$132,0)),"")))</f>
        <v/>
      </c>
      <c r="AD7">
        <f>IF(入力!$D$9="","",IF(反映項目!$B$11="×","",IFERROR(INDEX(資格集約!$E$107:$E$132,MATCH(8,資格集約!$G$107:$G$132,0)),"")))</f>
        <v/>
      </c>
      <c r="AE7">
        <f>IF(入力!$D$9="","",IF(反映項目!$B$11="×","",IFERROR(INDEX(資格集約!$H$107:$H$132,MATCH(9,資格集約!$G$107:$G$132,0)),"")))</f>
        <v/>
      </c>
      <c r="AF7">
        <f>IF(入力!$D$9="","",IF(反映項目!$B$11="×","",IFERROR(INDEX(資格集約!$E$107:$E$132,MATCH(9,資格集約!$G$107:$G$132,0)),"")))</f>
        <v/>
      </c>
      <c r="AG7">
        <f>IF(入力!$D$9="","",IF(反映項目!$B$11="×","",IFERROR(INDEX(資格集約!$H$107:$H$132,MATCH(10,資格集約!$G$107:$G$132,0)),"")))</f>
        <v/>
      </c>
      <c r="AH7">
        <f>IF(入力!$D$9="","",IF(反映項目!$B$11="×","",IFERROR(INDEX(資格集約!$E$107:$E$132,MATCH(10,資格集約!$G$107:$G$132,0)),"")))</f>
        <v/>
      </c>
      <c r="AI7">
        <f>IF(入力!$D$9="","",IF(反映項目!$B$11="×","",IFERROR(INDEX(資格集約!$H$107:$H$132,MATCH(11,資格集約!$G$107:$G$132,0)),"")))</f>
        <v/>
      </c>
      <c r="AJ7">
        <f>IF(入力!$D$9="","",IF(反映項目!$B$11="×","",IFERROR(INDEX(資格集約!$E$107:$E$132,MATCH(11,資格集約!$G$107:$G$132,0)),"")))</f>
        <v/>
      </c>
      <c r="AK7">
        <f>IF(入力!$D$9="","",IF(反映項目!$B$11="×","",IFERROR(INDEX(資格集約!$H$107:$H$132,MATCH(12,資格集約!$G$107:$G$132,0)),"")))</f>
        <v/>
      </c>
      <c r="AL7">
        <f>IF(入力!$D$9="","",IF(反映項目!$B$11="×","",IFERROR(INDEX(資格集約!$E$107:$E$132,MATCH(12,資格集約!$G$107:$G$132,0)),"")))</f>
        <v/>
      </c>
      <c r="AM7">
        <f>IF(入力!$D$9="","",IF(反映項目!$B$11="×","",IFERROR(INDEX(資格集約!$H$107:$H$132,MATCH(13,資格集約!$G$107:$G$132,0)),"")))</f>
        <v/>
      </c>
      <c r="AN7">
        <f>IF(入力!$D$9="","",IF(反映項目!$B$11="×","",IFERROR(INDEX(資格集約!$E$107:$E$132,MATCH(13,資格集約!$G$107:$G$132,0)),"")))</f>
        <v/>
      </c>
      <c r="AO7">
        <f>IF(入力!$D$9="","",IF(反映項目!$B$11="×","",IFERROR(INDEX(資格集約!$H$107:$H$132,MATCH(14,資格集約!$G$107:$G$132,0)),"")))</f>
        <v/>
      </c>
      <c r="AP7">
        <f>IF(入力!$D$9="","",IF(反映項目!$B$11="×","",IFERROR(INDEX(資格集約!$E$107:$E$132,MATCH(14,資格集約!$G$107:$G$132,0)),"")))</f>
        <v/>
      </c>
      <c r="AQ7">
        <f>IF(入力!$D$9="","",IF(反映項目!$B$11="×","",IFERROR(INDEX(資格集約!$H$107:$H$132,MATCH(15,資格集約!$G$107:$G$132,0)),"")))</f>
        <v/>
      </c>
      <c r="AR7">
        <f>IF(入力!$D$9="","",IF(反映項目!$B$11="×","",IFERROR(INDEX(資格集約!$E$107:$E$132,MATCH(15,資格集約!$G$107:$G$132,0)),"")))</f>
        <v/>
      </c>
      <c r="AS7">
        <f>IF(入力!$D$9="","",IF(反映項目!$B$11="×","",IFERROR(INDEX(資格集約!$H$107:$H$132,MATCH(16,資格集約!$G$107:$G$132,0)),"")))</f>
        <v/>
      </c>
      <c r="AT7">
        <f>IF(入力!$D$9="","",IF(反映項目!$B$11="×","",IFERROR(INDEX(資格集約!$E$107:$E$132,MATCH(16,資格集約!$G$107:$G$132,0)),"")))</f>
        <v/>
      </c>
      <c r="AU7">
        <f>IF(入力!$D$9="","",IF(反映項目!$B$11="×","",IFERROR(INDEX(資格集約!$H$107:$H$132,MATCH(17,資格集約!$G$107:$G$132,0)),"")))</f>
        <v/>
      </c>
      <c r="AV7">
        <f>IF(入力!$D$9="","",IF(反映項目!$B$11="×","",IFERROR(INDEX(資格集約!$E$107:$E$132,MATCH(17,資格集約!$G$107:$G$132,0)),"")))</f>
        <v/>
      </c>
      <c r="AW7">
        <f>IF(入力!$D$9="","",IF(反映項目!$B$11="×","",IFERROR(INDEX(資格集約!$H$107:$H$132,MATCH(18,資格集約!$G$107:$G$132,0)),"")))</f>
        <v/>
      </c>
      <c r="AX7">
        <f>IF(入力!$D$9="","",IF(反映項目!$B$11="×","",IFERROR(INDEX(資格集約!$E$107:$E$132,MATCH(18,資格集約!$G$107:$G$132,0)),"")))</f>
        <v/>
      </c>
      <c r="AY7">
        <f>IF(入力!$D$9="","",IF(反映項目!$B$11="×","",IFERROR(INDEX(資格集約!$H$107:$H$132,MATCH(19,資格集約!$G$107:$G$132,0)),"")))</f>
        <v/>
      </c>
      <c r="AZ7">
        <f>IF(入力!$D$9="","",IF(反映項目!$B$11="×","",IFERROR(INDEX(資格集約!$E$107:$E$132,MATCH(19,資格集約!$G$107:$G$132,0)),"")))</f>
        <v/>
      </c>
      <c r="BA7">
        <f>IF(入力!$D$9="","",IF(反映項目!$B$11="×","",IFERROR(INDEX(資格集約!$H$107:$H$132,MATCH(20,資格集約!$G$107:$G$132,0)),"")))</f>
        <v/>
      </c>
      <c r="BB7">
        <f>IF(入力!$D$9="","",IF(反映項目!$B$11="×","",IFERROR(INDEX(資格集約!$E$107:$E$132,MATCH(20,資格集約!$G$107:$G$132,0)),"")))</f>
        <v/>
      </c>
      <c r="BC7">
        <f>IF(入力!$D$9="","",IF(反映項目!$B$11="×","",IFERROR(INDEX(資格集約!$H$107:$H$132,MATCH(21,資格集約!$G$107:$G$132,0)),"")))</f>
        <v/>
      </c>
      <c r="BD7">
        <f>IF(入力!$D$9="","",IF(反映項目!$B$11="×","",IFERROR(INDEX(資格集約!$E$107:$E$132,MATCH(21,資格集約!$G$107:$G$132,0)),"")))</f>
        <v/>
      </c>
      <c r="BE7">
        <f>IF(入力!$D$9="","",IF(反映項目!$B$11="×","",IFERROR(INDEX(資格集約!$H$107:$H$132,MATCH(22,資格集約!$G$107:$G$132,0)),"")))</f>
        <v/>
      </c>
      <c r="BF7">
        <f>IF(入力!$D$9="","",IF(反映項目!$B$11="×","",IFERROR(INDEX(資格集約!$E$107:$E$132,MATCH(22,資格集約!$G$107:$G$132,0)),"")))</f>
        <v/>
      </c>
      <c r="BG7">
        <f>IF(入力!$D$9="","",IF(反映項目!$B$11="×","",IFERROR(INDEX(資格集約!$H$107:$H$132,MATCH(23,資格集約!$G$107:$G$132,0)),"")))</f>
        <v/>
      </c>
      <c r="BH7">
        <f>IF(入力!$D$9="","",IF(反映項目!$B$11="×","",IFERROR(INDEX(資格集約!$E$107:$E$132,MATCH(23,資格集約!$G$107:$G$132,0)),"")))</f>
        <v/>
      </c>
      <c r="BI7">
        <f>IF(入力!$D$9="","",IF(反映項目!$B$11="×","",IFERROR(INDEX(資格集約!$H$107:$H$132,MATCH(24,資格集約!$G$107:$G$132,0)),"")))</f>
        <v/>
      </c>
      <c r="BJ7">
        <f>IF(入力!$D$9="","",IF(反映項目!$B$11="×","",IFERROR(INDEX(資格集約!$E$107:$E$132,MATCH(24,資格集約!$G$107:$G$132,0)),"")))</f>
        <v/>
      </c>
      <c r="BK7">
        <f>IF(入力!$D$9="","",IF(反映項目!$B$11="×","",IFERROR(INDEX(資格集約!$H$107:$H$132,MATCH(25,資格集約!$G$107:$G$132,0)),"")))</f>
        <v/>
      </c>
      <c r="BL7">
        <f>IF(入力!$D$9="","",IF(反映項目!$B$11="×","",IFERROR(INDEX(資格集約!$E$107:$E$132,MATCH(25,資格集約!$G$107:$G$132,0)),"")))</f>
        <v/>
      </c>
      <c r="BM7">
        <f>IF(入力!$D$9="","",IF(反映項目!$B$11="×","",IFERROR(INDEX(資格集約!$H$107:$H$132,MATCH(26,資格集約!$G$107:$G$132,0)),"")))</f>
        <v/>
      </c>
      <c r="BN7">
        <f>IF(入力!$D$9="","",IF(反映項目!$B$11="×","",IFERROR(INDEX(資格集約!$E$107:$E$132,MATCH(26,資格集約!$G$107:$G$132,0)),"")))</f>
        <v/>
      </c>
      <c r="BO7">
        <f>IF(入力!$D$9="","",IF(OR(反映項目!$B$12="×",入力!$Z$9=""),"",入力!$Z$9))</f>
        <v/>
      </c>
      <c r="BP7">
        <f>IF(入力!$D$9="","",IF(OR(反映項目!$B$13="×",入力!$AA$9=""),"",入力!$AA$9))</f>
        <v/>
      </c>
      <c r="BQ7">
        <f>IF(入力!$D$9="","",IF(OR(反映項目!$B$15="×",入力!$AF$9=""),"",入力!$AF$9))</f>
        <v/>
      </c>
      <c r="BR7">
        <f>IF(入力!$D$9="","",IF(OR(反映項目!$B$14="×",N($BZ$7)=0),"",YEAR($BZ$7)-IF($BZ$7&gt;=DATE(2019,5,1),2018,1988)))&amp;""</f>
        <v/>
      </c>
      <c r="BS7">
        <f>IF(入力!$D$9="","",IF(OR(反映項目!$B$14="×",N($BZ$7)=0),"",MONTH($BZ$7)))&amp;""</f>
        <v/>
      </c>
      <c r="BT7">
        <f>IF(入力!$D$9="","",IF(OR(反映項目!$B$14="×",入力!$AC$9=""),"",入力!$AC$9))</f>
        <v/>
      </c>
      <c r="BU7">
        <f>IF(入力!$D$9="","",IF(OR(反映項目!$B$14="×",N($CA$7)=0),"",YEAR($CA$7)-IF($CA$7&gt;=DATE(2019,5,1),2018,1988)))&amp;""</f>
        <v/>
      </c>
      <c r="BV7">
        <f>IF(入力!$D$9="","",IF(OR(反映項目!$B$14="×",N($CA$7)=0),"",MONTH($CA$7)))&amp;""</f>
        <v/>
      </c>
      <c r="BW7">
        <f>IF(入力!$D$9="","",IF(OR(反映項目!$B$14="×",入力!$AE$9=""),"",入力!$AE$9))</f>
        <v/>
      </c>
      <c r="BY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Z7">
        <f>IF(入力!$D$9="","",IF(入力!$AB$9="","",IF(ISNUMBER(入力!$AB$9),入力!$AB$9,IFERROR(IF(OR(LEFT(入力!$AB$9,2)="令和",LEFT(入力!$AB$9,2)="平成",LEFT(入力!$AB$9,2)="昭和",LEFT(入力!$AB$9,2)="大正"),DATE(VALUE(MID(入力!$AB$9,3,FIND("年",入力!$AB$9)-3))+IF(LEFT(入力!$AB$9,2)="令和",2018,IF(LEFT(入力!$AB$9,2)="平成",1988,IF(LEFT(入力!$AB$9,2)="昭和",1925,IF(LEFT(入力!$AB$9,2)="大正",1911,0)))),VALUE(MID(入力!$AB$9,FIND("年",入力!$AB$9)+1,FIND("月",入力!$AB$9)-FIND("年",入力!$AB$9)-1)),IFERROR(VALUE(SUBSTITUTE(MID(入力!$AB$9,FIND("月",入力!$AB$9)+1,10),"日","")),1)),DATE(VALUE(TRIM(MID(SUBSTITUTE(SUBSTITUTE(SUBSTITUTE(SUBSTITUTE(SUBSTITUTE(SUBSTITUTE(入力!$AB$9,"年","/"),"月","/"),"日",""),"-","/"),".","/"),"/",REPT(" ",50)),1,50))),VALUE(TRIM(MID(SUBSTITUTE(SUBSTITUTE(SUBSTITUTE(SUBSTITUTE(SUBSTITUTE(SUBSTITUTE(入力!$AB$9,"年","/"),"月","/"),"日",""),"-","/"),".","/"),"/",REPT(" ",50)),51,50))),IFERROR(VALUE(TRIM(MID(SUBSTITUTE(SUBSTITUTE(SUBSTITUTE(SUBSTITUTE(SUBSTITUTE(SUBSTITUTE(入力!$AB$9,"年","/"),"月","/"),"日",""),"-","/"),".","/"),"/",REPT(" ",50)),101,50))),1))),IFERROR(DATEVALUE(入力!$AB$9),"")))))</f>
        <v/>
      </c>
      <c r="CA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CB7">
        <f>IF(入力!$D$9="","",$O7&amp;IF($R7="","",CHAR(10)&amp;$Q7)&amp;IF($T7="","",CHAR(10)&amp;$S7)&amp;IF($V7="","",CHAR(10)&amp;$U7)&amp;IF($X7="","",CHAR(10)&amp;$W7)&amp;IF($Z7="","",CHAR(10)&amp;$Y7)&amp;IF($AB7="","",CHAR(10)&amp;$AA7)&amp;IF($AD7="","",CHAR(10)&amp;$AC7)&amp;IF($AF7="","",CHAR(10)&amp;$AE7)&amp;IF($AH7="","",CHAR(10)&amp;$AG7)&amp;IF($AJ7="","",CHAR(10)&amp;$AI7)&amp;IF($AL7="","",CHAR(10)&amp;$AK7)&amp;IF($AN7="","",CHAR(10)&amp;$AM7)&amp;IF($AP7="","",CHAR(10)&amp;$AO7)&amp;IF($AR7="","",CHAR(10)&amp;$AQ7)&amp;IF($AT7="","",CHAR(10)&amp;$AS7)&amp;IF($AV7="","",CHAR(10)&amp;$AU7)&amp;IF($AX7="","",CHAR(10)&amp;$AW7)&amp;IF($AZ7="","",CHAR(10)&amp;$AY7)&amp;IF($BB7="","",CHAR(10)&amp;$BA7)&amp;IF($BD7="","",CHAR(10)&amp;$BC7)&amp;IF($BF7="","",CHAR(10)&amp;$BE7)&amp;IF($BH7="","",CHAR(10)&amp;$BG7)&amp;IF($BJ7="","",CHAR(10)&amp;$BI7)&amp;IF($BL7="","",CHAR(10)&amp;$BK7)&amp;IF($BN7="","",CHAR(10)&amp;$BM7))</f>
        <v/>
      </c>
      <c r="CC7">
        <f>IF(入力!$D$9="","",$P7&amp;IF($R7="","",CHAR(10)&amp;$R7)&amp;IF($T7="","",CHAR(10)&amp;$T7)&amp;IF($V7="","",CHAR(10)&amp;$V7)&amp;IF($X7="","",CHAR(10)&amp;$X7)&amp;IF($Z7="","",CHAR(10)&amp;$Z7)&amp;IF($AB7="","",CHAR(10)&amp;$AB7)&amp;IF($AD7="","",CHAR(10)&amp;$AD7)&amp;IF($AF7="","",CHAR(10)&amp;$AF7)&amp;IF($AH7="","",CHAR(10)&amp;$AH7)&amp;IF($AJ7="","",CHAR(10)&amp;$AJ7)&amp;IF($AL7="","",CHAR(10)&amp;$AL7)&amp;IF($AN7="","",CHAR(10)&amp;$AN7)&amp;IF($AP7="","",CHAR(10)&amp;$AP7)&amp;IF($AR7="","",CHAR(10)&amp;$AR7)&amp;IF($AT7="","",CHAR(10)&amp;$AT7)&amp;IF($AV7="","",CHAR(10)&amp;$AV7)&amp;IF($AX7="","",CHAR(10)&amp;$AX7)&amp;IF($AZ7="","",CHAR(10)&amp;$AZ7)&amp;IF($BB7="","",CHAR(10)&amp;$BB7)&amp;IF($BD7="","",CHAR(10)&amp;$BD7)&amp;IF($BF7="","",CHAR(10)&amp;$BF7)&amp;IF($BH7="","",CHAR(10)&amp;$BH7)&amp;IF($BJ7="","",CHAR(10)&amp;$BJ7)&amp;IF($BL7="","",CHAR(10)&amp;$BL7)&amp;IF($BN7="","",CHAR(10)&amp;$BN7))</f>
        <v/>
      </c>
      <c r="CD7">
        <f>IF(入力!$D$9="","",IF($P7="",0,1)+IF($R7="",0,1)+IF($T7="",0,1)+IF($V7="",0,1)+IF($X7="",0,1)+IF($Z7="",0,1)+IF($AB7="",0,1)+IF($AD7="",0,1)+IF($AF7="",0,1)+IF($AH7="",0,1)+IF($AJ7="",0,1)+IF($AL7="",0,1)+IF($AN7="",0,1)+IF($AP7="",0,1)+IF($AR7="",0,1)+IF($AT7="",0,1)+IF($AV7="",0,1)+IF($AX7="",0,1)+IF($AZ7="",0,1)+IF($BB7="",0,1)+IF($BD7="",0,1)+IF($BF7="",0,1)+IF($BH7="",0,1)+IF($BJ7="",0,1)+IF($BL7="",0,1)+IF($BN7="",0,1))</f>
        <v/>
      </c>
    </row>
    <row r="8">
      <c r="A8" t="n">
        <v>6</v>
      </c>
      <c r="B8">
        <f>IF(入力!$D$10="","",IF(OR(反映項目!$B$4="×",入力!$D$10=""),"",入力!$D$10))</f>
        <v/>
      </c>
      <c r="C8">
        <f>IF(入力!$D$10="","",IF(OR(反映項目!$B$5="×",入力!$E$10=""),"",入力!$E$10))</f>
        <v/>
      </c>
      <c r="D8">
        <f>IF(入力!$D$10="","",IF(OR(反映項目!$B$6="×",N($BY$8)=0),"",YEAR($BY$8)-IF($BY$8&gt;=DATE(2019,5,1),2018,IF($BY$8&gt;=DATE(1989,1,8),1988,1925))))&amp;""</f>
        <v/>
      </c>
      <c r="E8">
        <f>IF(入力!$D$10="","",IF(OR(反映項目!$B$6="×",N($BY$8)=0),"",MONTH($BY$8)))&amp;""</f>
        <v/>
      </c>
      <c r="F8">
        <f>IF(入力!$D$10="","",IF(OR(反映項目!$B$6="×",N($BY$8)=0),"",DAY($BY$8)))&amp;""</f>
        <v/>
      </c>
      <c r="G8">
        <f>IF(入力!$D$10="","",IF(OR(反映項目!$B$6="×",OR(N($BY$8)=0,N(設定!$B$3)=0)),"",DATEDIF($BY$8,設定!$B$3,"Y")))&amp;""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IF(入力!$D$10="","",IF(OR(反映項目!$B$10="×",入力!$K$10=""),"",入力!$K$10))</f>
        <v/>
      </c>
      <c r="M8">
        <f>IF(入力!$D$10="","",IF(OR(反映項目!$B$10="×",入力!$L$10=""),"",入力!$L$10))</f>
        <v/>
      </c>
      <c r="N8">
        <f>IF(入力!$D$10="","",設定!$B$4&amp;CHAR(10)&amp;IF(入力!$M$10="",設定!$B$5,入力!$M$10))</f>
        <v/>
      </c>
      <c r="O8">
        <f>IF(入力!$D$10="","",IF(反映項目!$B$11="×","",IFERROR(INDEX(資格集約!$H$133:$H$158,MATCH(1,資格集約!$G$133:$G$158,0)),"")))</f>
        <v/>
      </c>
      <c r="P8">
        <f>IF(入力!$D$10="","",IF(反映項目!$B$11="×","",IFERROR(INDEX(資格集約!$E$133:$E$158,MATCH(1,資格集約!$G$133:$G$158,0)),"")))</f>
        <v/>
      </c>
      <c r="Q8">
        <f>IF(入力!$D$10="","",IF(反映項目!$B$11="×","",IFERROR(INDEX(資格集約!$H$133:$H$158,MATCH(2,資格集約!$G$133:$G$158,0)),"")))</f>
        <v/>
      </c>
      <c r="R8">
        <f>IF(入力!$D$10="","",IF(反映項目!$B$11="×","",IFERROR(INDEX(資格集約!$E$133:$E$158,MATCH(2,資格集約!$G$133:$G$158,0)),"")))</f>
        <v/>
      </c>
      <c r="S8">
        <f>IF(入力!$D$10="","",IF(反映項目!$B$11="×","",IFERROR(INDEX(資格集約!$H$133:$H$158,MATCH(3,資格集約!$G$133:$G$158,0)),"")))</f>
        <v/>
      </c>
      <c r="T8">
        <f>IF(入力!$D$10="","",IF(反映項目!$B$11="×","",IFERROR(INDEX(資格集約!$E$133:$E$158,MATCH(3,資格集約!$G$133:$G$158,0)),"")))</f>
        <v/>
      </c>
      <c r="U8">
        <f>IF(入力!$D$10="","",IF(反映項目!$B$11="×","",IFERROR(INDEX(資格集約!$H$133:$H$158,MATCH(4,資格集約!$G$133:$G$158,0)),"")))</f>
        <v/>
      </c>
      <c r="V8">
        <f>IF(入力!$D$10="","",IF(反映項目!$B$11="×","",IFERROR(INDEX(資格集約!$E$133:$E$158,MATCH(4,資格集約!$G$133:$G$158,0)),"")))</f>
        <v/>
      </c>
      <c r="W8">
        <f>IF(入力!$D$10="","",IF(反映項目!$B$11="×","",IFERROR(INDEX(資格集約!$H$133:$H$158,MATCH(5,資格集約!$G$133:$G$158,0)),"")))</f>
        <v/>
      </c>
      <c r="X8">
        <f>IF(入力!$D$10="","",IF(反映項目!$B$11="×","",IFERROR(INDEX(資格集約!$E$133:$E$158,MATCH(5,資格集約!$G$133:$G$158,0)),"")))</f>
        <v/>
      </c>
      <c r="Y8">
        <f>IF(入力!$D$10="","",IF(反映項目!$B$11="×","",IFERROR(INDEX(資格集約!$H$133:$H$158,MATCH(6,資格集約!$G$133:$G$158,0)),"")))</f>
        <v/>
      </c>
      <c r="Z8">
        <f>IF(入力!$D$10="","",IF(反映項目!$B$11="×","",IFERROR(INDEX(資格集約!$E$133:$E$158,MATCH(6,資格集約!$G$133:$G$158,0)),"")))</f>
        <v/>
      </c>
      <c r="AA8">
        <f>IF(入力!$D$10="","",IF(反映項目!$B$11="×","",IFERROR(INDEX(資格集約!$H$133:$H$158,MATCH(7,資格集約!$G$133:$G$158,0)),"")))</f>
        <v/>
      </c>
      <c r="AB8">
        <f>IF(入力!$D$10="","",IF(反映項目!$B$11="×","",IFERROR(INDEX(資格集約!$E$133:$E$158,MATCH(7,資格集約!$G$133:$G$158,0)),"")))</f>
        <v/>
      </c>
      <c r="AC8">
        <f>IF(入力!$D$10="","",IF(反映項目!$B$11="×","",IFERROR(INDEX(資格集約!$H$133:$H$158,MATCH(8,資格集約!$G$133:$G$158,0)),"")))</f>
        <v/>
      </c>
      <c r="AD8">
        <f>IF(入力!$D$10="","",IF(反映項目!$B$11="×","",IFERROR(INDEX(資格集約!$E$133:$E$158,MATCH(8,資格集約!$G$133:$G$158,0)),"")))</f>
        <v/>
      </c>
      <c r="AE8">
        <f>IF(入力!$D$10="","",IF(反映項目!$B$11="×","",IFERROR(INDEX(資格集約!$H$133:$H$158,MATCH(9,資格集約!$G$133:$G$158,0)),"")))</f>
        <v/>
      </c>
      <c r="AF8">
        <f>IF(入力!$D$10="","",IF(反映項目!$B$11="×","",IFERROR(INDEX(資格集約!$E$133:$E$158,MATCH(9,資格集約!$G$133:$G$158,0)),"")))</f>
        <v/>
      </c>
      <c r="AG8">
        <f>IF(入力!$D$10="","",IF(反映項目!$B$11="×","",IFERROR(INDEX(資格集約!$H$133:$H$158,MATCH(10,資格集約!$G$133:$G$158,0)),"")))</f>
        <v/>
      </c>
      <c r="AH8">
        <f>IF(入力!$D$10="","",IF(反映項目!$B$11="×","",IFERROR(INDEX(資格集約!$E$133:$E$158,MATCH(10,資格集約!$G$133:$G$158,0)),"")))</f>
        <v/>
      </c>
      <c r="AI8">
        <f>IF(入力!$D$10="","",IF(反映項目!$B$11="×","",IFERROR(INDEX(資格集約!$H$133:$H$158,MATCH(11,資格集約!$G$133:$G$158,0)),"")))</f>
        <v/>
      </c>
      <c r="AJ8">
        <f>IF(入力!$D$10="","",IF(反映項目!$B$11="×","",IFERROR(INDEX(資格集約!$E$133:$E$158,MATCH(11,資格集約!$G$133:$G$158,0)),"")))</f>
        <v/>
      </c>
      <c r="AK8">
        <f>IF(入力!$D$10="","",IF(反映項目!$B$11="×","",IFERROR(INDEX(資格集約!$H$133:$H$158,MATCH(12,資格集約!$G$133:$G$158,0)),"")))</f>
        <v/>
      </c>
      <c r="AL8">
        <f>IF(入力!$D$10="","",IF(反映項目!$B$11="×","",IFERROR(INDEX(資格集約!$E$133:$E$158,MATCH(12,資格集約!$G$133:$G$158,0)),"")))</f>
        <v/>
      </c>
      <c r="AM8">
        <f>IF(入力!$D$10="","",IF(反映項目!$B$11="×","",IFERROR(INDEX(資格集約!$H$133:$H$158,MATCH(13,資格集約!$G$133:$G$158,0)),"")))</f>
        <v/>
      </c>
      <c r="AN8">
        <f>IF(入力!$D$10="","",IF(反映項目!$B$11="×","",IFERROR(INDEX(資格集約!$E$133:$E$158,MATCH(13,資格集約!$G$133:$G$158,0)),"")))</f>
        <v/>
      </c>
      <c r="AO8">
        <f>IF(入力!$D$10="","",IF(反映項目!$B$11="×","",IFERROR(INDEX(資格集約!$H$133:$H$158,MATCH(14,資格集約!$G$133:$G$158,0)),"")))</f>
        <v/>
      </c>
      <c r="AP8">
        <f>IF(入力!$D$10="","",IF(反映項目!$B$11="×","",IFERROR(INDEX(資格集約!$E$133:$E$158,MATCH(14,資格集約!$G$133:$G$158,0)),"")))</f>
        <v/>
      </c>
      <c r="AQ8">
        <f>IF(入力!$D$10="","",IF(反映項目!$B$11="×","",IFERROR(INDEX(資格集約!$H$133:$H$158,MATCH(15,資格集約!$G$133:$G$158,0)),"")))</f>
        <v/>
      </c>
      <c r="AR8">
        <f>IF(入力!$D$10="","",IF(反映項目!$B$11="×","",IFERROR(INDEX(資格集約!$E$133:$E$158,MATCH(15,資格集約!$G$133:$G$158,0)),"")))</f>
        <v/>
      </c>
      <c r="AS8">
        <f>IF(入力!$D$10="","",IF(反映項目!$B$11="×","",IFERROR(INDEX(資格集約!$H$133:$H$158,MATCH(16,資格集約!$G$133:$G$158,0)),"")))</f>
        <v/>
      </c>
      <c r="AT8">
        <f>IF(入力!$D$10="","",IF(反映項目!$B$11="×","",IFERROR(INDEX(資格集約!$E$133:$E$158,MATCH(16,資格集約!$G$133:$G$158,0)),"")))</f>
        <v/>
      </c>
      <c r="AU8">
        <f>IF(入力!$D$10="","",IF(反映項目!$B$11="×","",IFERROR(INDEX(資格集約!$H$133:$H$158,MATCH(17,資格集約!$G$133:$G$158,0)),"")))</f>
        <v/>
      </c>
      <c r="AV8">
        <f>IF(入力!$D$10="","",IF(反映項目!$B$11="×","",IFERROR(INDEX(資格集約!$E$133:$E$158,MATCH(17,資格集約!$G$133:$G$158,0)),"")))</f>
        <v/>
      </c>
      <c r="AW8">
        <f>IF(入力!$D$10="","",IF(反映項目!$B$11="×","",IFERROR(INDEX(資格集約!$H$133:$H$158,MATCH(18,資格集約!$G$133:$G$158,0)),"")))</f>
        <v/>
      </c>
      <c r="AX8">
        <f>IF(入力!$D$10="","",IF(反映項目!$B$11="×","",IFERROR(INDEX(資格集約!$E$133:$E$158,MATCH(18,資格集約!$G$133:$G$158,0)),"")))</f>
        <v/>
      </c>
      <c r="AY8">
        <f>IF(入力!$D$10="","",IF(反映項目!$B$11="×","",IFERROR(INDEX(資格集約!$H$133:$H$158,MATCH(19,資格集約!$G$133:$G$158,0)),"")))</f>
        <v/>
      </c>
      <c r="AZ8">
        <f>IF(入力!$D$10="","",IF(反映項目!$B$11="×","",IFERROR(INDEX(資格集約!$E$133:$E$158,MATCH(19,資格集約!$G$133:$G$158,0)),"")))</f>
        <v/>
      </c>
      <c r="BA8">
        <f>IF(入力!$D$10="","",IF(反映項目!$B$11="×","",IFERROR(INDEX(資格集約!$H$133:$H$158,MATCH(20,資格集約!$G$133:$G$158,0)),"")))</f>
        <v/>
      </c>
      <c r="BB8">
        <f>IF(入力!$D$10="","",IF(反映項目!$B$11="×","",IFERROR(INDEX(資格集約!$E$133:$E$158,MATCH(20,資格集約!$G$133:$G$158,0)),"")))</f>
        <v/>
      </c>
      <c r="BC8">
        <f>IF(入力!$D$10="","",IF(反映項目!$B$11="×","",IFERROR(INDEX(資格集約!$H$133:$H$158,MATCH(21,資格集約!$G$133:$G$158,0)),"")))</f>
        <v/>
      </c>
      <c r="BD8">
        <f>IF(入力!$D$10="","",IF(反映項目!$B$11="×","",IFERROR(INDEX(資格集約!$E$133:$E$158,MATCH(21,資格集約!$G$133:$G$158,0)),"")))</f>
        <v/>
      </c>
      <c r="BE8">
        <f>IF(入力!$D$10="","",IF(反映項目!$B$11="×","",IFERROR(INDEX(資格集約!$H$133:$H$158,MATCH(22,資格集約!$G$133:$G$158,0)),"")))</f>
        <v/>
      </c>
      <c r="BF8">
        <f>IF(入力!$D$10="","",IF(反映項目!$B$11="×","",IFERROR(INDEX(資格集約!$E$133:$E$158,MATCH(22,資格集約!$G$133:$G$158,0)),"")))</f>
        <v/>
      </c>
      <c r="BG8">
        <f>IF(入力!$D$10="","",IF(反映項目!$B$11="×","",IFERROR(INDEX(資格集約!$H$133:$H$158,MATCH(23,資格集約!$G$133:$G$158,0)),"")))</f>
        <v/>
      </c>
      <c r="BH8">
        <f>IF(入力!$D$10="","",IF(反映項目!$B$11="×","",IFERROR(INDEX(資格集約!$E$133:$E$158,MATCH(23,資格集約!$G$133:$G$158,0)),"")))</f>
        <v/>
      </c>
      <c r="BI8">
        <f>IF(入力!$D$10="","",IF(反映項目!$B$11="×","",IFERROR(INDEX(資格集約!$H$133:$H$158,MATCH(24,資格集約!$G$133:$G$158,0)),"")))</f>
        <v/>
      </c>
      <c r="BJ8">
        <f>IF(入力!$D$10="","",IF(反映項目!$B$11="×","",IFERROR(INDEX(資格集約!$E$133:$E$158,MATCH(24,資格集約!$G$133:$G$158,0)),"")))</f>
        <v/>
      </c>
      <c r="BK8">
        <f>IF(入力!$D$10="","",IF(反映項目!$B$11="×","",IFERROR(INDEX(資格集約!$H$133:$H$158,MATCH(25,資格集約!$G$133:$G$158,0)),"")))</f>
        <v/>
      </c>
      <c r="BL8">
        <f>IF(入力!$D$10="","",IF(反映項目!$B$11="×","",IFERROR(INDEX(資格集約!$E$133:$E$158,MATCH(25,資格集約!$G$133:$G$158,0)),"")))</f>
        <v/>
      </c>
      <c r="BM8">
        <f>IF(入力!$D$10="","",IF(反映項目!$B$11="×","",IFERROR(INDEX(資格集約!$H$133:$H$158,MATCH(26,資格集約!$G$133:$G$158,0)),"")))</f>
        <v/>
      </c>
      <c r="BN8">
        <f>IF(入力!$D$10="","",IF(反映項目!$B$11="×","",IFERROR(INDEX(資格集約!$E$133:$E$158,MATCH(26,資格集約!$G$133:$G$158,0)),"")))</f>
        <v/>
      </c>
      <c r="BO8">
        <f>IF(入力!$D$10="","",IF(OR(反映項目!$B$12="×",入力!$Z$10=""),"",入力!$Z$10))</f>
        <v/>
      </c>
      <c r="BP8">
        <f>IF(入力!$D$10="","",IF(OR(反映項目!$B$13="×",入力!$AA$10=""),"",入力!$AA$10))</f>
        <v/>
      </c>
      <c r="BQ8">
        <f>IF(入力!$D$10="","",IF(OR(反映項目!$B$15="×",入力!$AF$10=""),"",入力!$AF$10))</f>
        <v/>
      </c>
      <c r="BR8">
        <f>IF(入力!$D$10="","",IF(OR(反映項目!$B$14="×",N($BZ$8)=0),"",YEAR($BZ$8)-IF($BZ$8&gt;=DATE(2019,5,1),2018,1988)))&amp;""</f>
        <v/>
      </c>
      <c r="BS8">
        <f>IF(入力!$D$10="","",IF(OR(反映項目!$B$14="×",N($BZ$8)=0),"",MONTH($BZ$8)))&amp;""</f>
        <v/>
      </c>
      <c r="BT8">
        <f>IF(入力!$D$10="","",IF(OR(反映項目!$B$14="×",入力!$AC$10=""),"",入力!$AC$10))</f>
        <v/>
      </c>
      <c r="BU8">
        <f>IF(入力!$D$10="","",IF(OR(反映項目!$B$14="×",N($CA$8)=0),"",YEAR($CA$8)-IF($CA$8&gt;=DATE(2019,5,1),2018,1988)))&amp;""</f>
        <v/>
      </c>
      <c r="BV8">
        <f>IF(入力!$D$10="","",IF(OR(反映項目!$B$14="×",N($CA$8)=0),"",MONTH($CA$8)))&amp;""</f>
        <v/>
      </c>
      <c r="BW8">
        <f>IF(入力!$D$10="","",IF(OR(反映項目!$B$14="×",入力!$AE$10=""),"",入力!$AE$10))</f>
        <v/>
      </c>
      <c r="BY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Z8">
        <f>IF(入力!$D$10="","",IF(入力!$AB$10="","",IF(ISNUMBER(入力!$AB$10),入力!$AB$10,IFERROR(IF(OR(LEFT(入力!$AB$10,2)="令和",LEFT(入力!$AB$10,2)="平成",LEFT(入力!$AB$10,2)="昭和",LEFT(入力!$AB$10,2)="大正"),DATE(VALUE(MID(入力!$AB$10,3,FIND("年",入力!$AB$10)-3))+IF(LEFT(入力!$AB$10,2)="令和",2018,IF(LEFT(入力!$AB$10,2)="平成",1988,IF(LEFT(入力!$AB$10,2)="昭和",1925,IF(LEFT(入力!$AB$10,2)="大正",1911,0)))),VALUE(MID(入力!$AB$10,FIND("年",入力!$AB$10)+1,FIND("月",入力!$AB$10)-FIND("年",入力!$AB$10)-1)),IFERROR(VALUE(SUBSTITUTE(MID(入力!$AB$10,FIND("月",入力!$AB$10)+1,10),"日","")),1)),DATE(VALUE(TRIM(MID(SUBSTITUTE(SUBSTITUTE(SUBSTITUTE(SUBSTITUTE(SUBSTITUTE(SUBSTITUTE(入力!$AB$10,"年","/"),"月","/"),"日",""),"-","/"),".","/"),"/",REPT(" ",50)),1,50))),VALUE(TRIM(MID(SUBSTITUTE(SUBSTITUTE(SUBSTITUTE(SUBSTITUTE(SUBSTITUTE(SUBSTITUTE(入力!$AB$10,"年","/"),"月","/"),"日",""),"-","/"),".","/"),"/",REPT(" ",50)),51,50))),IFERROR(VALUE(TRIM(MID(SUBSTITUTE(SUBSTITUTE(SUBSTITUTE(SUBSTITUTE(SUBSTITUTE(SUBSTITUTE(入力!$AB$10,"年","/"),"月","/"),"日",""),"-","/"),".","/"),"/",REPT(" ",50)),101,50))),1))),IFERROR(DATEVALUE(入力!$AB$10),"")))))</f>
        <v/>
      </c>
      <c r="CA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CB8">
        <f>IF(入力!$D$10="","",$O8&amp;IF($R8="","",CHAR(10)&amp;$Q8)&amp;IF($T8="","",CHAR(10)&amp;$S8)&amp;IF($V8="","",CHAR(10)&amp;$U8)&amp;IF($X8="","",CHAR(10)&amp;$W8)&amp;IF($Z8="","",CHAR(10)&amp;$Y8)&amp;IF($AB8="","",CHAR(10)&amp;$AA8)&amp;IF($AD8="","",CHAR(10)&amp;$AC8)&amp;IF($AF8="","",CHAR(10)&amp;$AE8)&amp;IF($AH8="","",CHAR(10)&amp;$AG8)&amp;IF($AJ8="","",CHAR(10)&amp;$AI8)&amp;IF($AL8="","",CHAR(10)&amp;$AK8)&amp;IF($AN8="","",CHAR(10)&amp;$AM8)&amp;IF($AP8="","",CHAR(10)&amp;$AO8)&amp;IF($AR8="","",CHAR(10)&amp;$AQ8)&amp;IF($AT8="","",CHAR(10)&amp;$AS8)&amp;IF($AV8="","",CHAR(10)&amp;$AU8)&amp;IF($AX8="","",CHAR(10)&amp;$AW8)&amp;IF($AZ8="","",CHAR(10)&amp;$AY8)&amp;IF($BB8="","",CHAR(10)&amp;$BA8)&amp;IF($BD8="","",CHAR(10)&amp;$BC8)&amp;IF($BF8="","",CHAR(10)&amp;$BE8)&amp;IF($BH8="","",CHAR(10)&amp;$BG8)&amp;IF($BJ8="","",CHAR(10)&amp;$BI8)&amp;IF($BL8="","",CHAR(10)&amp;$BK8)&amp;IF($BN8="","",CHAR(10)&amp;$BM8))</f>
        <v/>
      </c>
      <c r="CC8">
        <f>IF(入力!$D$10="","",$P8&amp;IF($R8="","",CHAR(10)&amp;$R8)&amp;IF($T8="","",CHAR(10)&amp;$T8)&amp;IF($V8="","",CHAR(10)&amp;$V8)&amp;IF($X8="","",CHAR(10)&amp;$X8)&amp;IF($Z8="","",CHAR(10)&amp;$Z8)&amp;IF($AB8="","",CHAR(10)&amp;$AB8)&amp;IF($AD8="","",CHAR(10)&amp;$AD8)&amp;IF($AF8="","",CHAR(10)&amp;$AF8)&amp;IF($AH8="","",CHAR(10)&amp;$AH8)&amp;IF($AJ8="","",CHAR(10)&amp;$AJ8)&amp;IF($AL8="","",CHAR(10)&amp;$AL8)&amp;IF($AN8="","",CHAR(10)&amp;$AN8)&amp;IF($AP8="","",CHAR(10)&amp;$AP8)&amp;IF($AR8="","",CHAR(10)&amp;$AR8)&amp;IF($AT8="","",CHAR(10)&amp;$AT8)&amp;IF($AV8="","",CHAR(10)&amp;$AV8)&amp;IF($AX8="","",CHAR(10)&amp;$AX8)&amp;IF($AZ8="","",CHAR(10)&amp;$AZ8)&amp;IF($BB8="","",CHAR(10)&amp;$BB8)&amp;IF($BD8="","",CHAR(10)&amp;$BD8)&amp;IF($BF8="","",CHAR(10)&amp;$BF8)&amp;IF($BH8="","",CHAR(10)&amp;$BH8)&amp;IF($BJ8="","",CHAR(10)&amp;$BJ8)&amp;IF($BL8="","",CHAR(10)&amp;$BL8)&amp;IF($BN8="","",CHAR(10)&amp;$BN8))</f>
        <v/>
      </c>
      <c r="CD8">
        <f>IF(入力!$D$10="","",IF($P8="",0,1)+IF($R8="",0,1)+IF($T8="",0,1)+IF($V8="",0,1)+IF($X8="",0,1)+IF($Z8="",0,1)+IF($AB8="",0,1)+IF($AD8="",0,1)+IF($AF8="",0,1)+IF($AH8="",0,1)+IF($AJ8="",0,1)+IF($AL8="",0,1)+IF($AN8="",0,1)+IF($AP8="",0,1)+IF($AR8="",0,1)+IF($AT8="",0,1)+IF($AV8="",0,1)+IF($AX8="",0,1)+IF($AZ8="",0,1)+IF($BB8="",0,1)+IF($BD8="",0,1)+IF($BF8="",0,1)+IF($BH8="",0,1)+IF($BJ8="",0,1)+IF($BL8="",0,1)+IF($BN8="",0,1))</f>
        <v/>
      </c>
    </row>
    <row r="9">
      <c r="A9" t="n">
        <v>7</v>
      </c>
      <c r="B9">
        <f>IF(入力!$D$11="","",IF(OR(反映項目!$B$4="×",入力!$D$11=""),"",入力!$D$11))</f>
        <v/>
      </c>
      <c r="C9">
        <f>IF(入力!$D$11="","",IF(OR(反映項目!$B$5="×",入力!$E$11=""),"",入力!$E$11))</f>
        <v/>
      </c>
      <c r="D9">
        <f>IF(入力!$D$11="","",IF(OR(反映項目!$B$6="×",N($BY$9)=0),"",YEAR($BY$9)-IF($BY$9&gt;=DATE(2019,5,1),2018,IF($BY$9&gt;=DATE(1989,1,8),1988,1925))))&amp;""</f>
        <v/>
      </c>
      <c r="E9">
        <f>IF(入力!$D$11="","",IF(OR(反映項目!$B$6="×",N($BY$9)=0),"",MONTH($BY$9)))&amp;""</f>
        <v/>
      </c>
      <c r="F9">
        <f>IF(入力!$D$11="","",IF(OR(反映項目!$B$6="×",N($BY$9)=0),"",DAY($BY$9)))&amp;""</f>
        <v/>
      </c>
      <c r="G9">
        <f>IF(入力!$D$11="","",IF(OR(反映項目!$B$6="×",OR(N($BY$9)=0,N(設定!$B$3)=0)),"",DATEDIF($BY$9,設定!$B$3,"Y")))&amp;""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IF(入力!$D$11="","",IF(OR(反映項目!$B$10="×",入力!$K$11=""),"",入力!$K$11))</f>
        <v/>
      </c>
      <c r="M9">
        <f>IF(入力!$D$11="","",IF(OR(反映項目!$B$10="×",入力!$L$11=""),"",入力!$L$11))</f>
        <v/>
      </c>
      <c r="N9">
        <f>IF(入力!$D$11="","",設定!$B$4&amp;CHAR(10)&amp;IF(入力!$M$11="",設定!$B$5,入力!$M$11))</f>
        <v/>
      </c>
      <c r="O9">
        <f>IF(入力!$D$11="","",IF(反映項目!$B$11="×","",IFERROR(INDEX(資格集約!$H$159:$H$184,MATCH(1,資格集約!$G$159:$G$184,0)),"")))</f>
        <v/>
      </c>
      <c r="P9">
        <f>IF(入力!$D$11="","",IF(反映項目!$B$11="×","",IFERROR(INDEX(資格集約!$E$159:$E$184,MATCH(1,資格集約!$G$159:$G$184,0)),"")))</f>
        <v/>
      </c>
      <c r="Q9">
        <f>IF(入力!$D$11="","",IF(反映項目!$B$11="×","",IFERROR(INDEX(資格集約!$H$159:$H$184,MATCH(2,資格集約!$G$159:$G$184,0)),"")))</f>
        <v/>
      </c>
      <c r="R9">
        <f>IF(入力!$D$11="","",IF(反映項目!$B$11="×","",IFERROR(INDEX(資格集約!$E$159:$E$184,MATCH(2,資格集約!$G$159:$G$184,0)),"")))</f>
        <v/>
      </c>
      <c r="S9">
        <f>IF(入力!$D$11="","",IF(反映項目!$B$11="×","",IFERROR(INDEX(資格集約!$H$159:$H$184,MATCH(3,資格集約!$G$159:$G$184,0)),"")))</f>
        <v/>
      </c>
      <c r="T9">
        <f>IF(入力!$D$11="","",IF(反映項目!$B$11="×","",IFERROR(INDEX(資格集約!$E$159:$E$184,MATCH(3,資格集約!$G$159:$G$184,0)),"")))</f>
        <v/>
      </c>
      <c r="U9">
        <f>IF(入力!$D$11="","",IF(反映項目!$B$11="×","",IFERROR(INDEX(資格集約!$H$159:$H$184,MATCH(4,資格集約!$G$159:$G$184,0)),"")))</f>
        <v/>
      </c>
      <c r="V9">
        <f>IF(入力!$D$11="","",IF(反映項目!$B$11="×","",IFERROR(INDEX(資格集約!$E$159:$E$184,MATCH(4,資格集約!$G$159:$G$184,0)),"")))</f>
        <v/>
      </c>
      <c r="W9">
        <f>IF(入力!$D$11="","",IF(反映項目!$B$11="×","",IFERROR(INDEX(資格集約!$H$159:$H$184,MATCH(5,資格集約!$G$159:$G$184,0)),"")))</f>
        <v/>
      </c>
      <c r="X9">
        <f>IF(入力!$D$11="","",IF(反映項目!$B$11="×","",IFERROR(INDEX(資格集約!$E$159:$E$184,MATCH(5,資格集約!$G$159:$G$184,0)),"")))</f>
        <v/>
      </c>
      <c r="Y9">
        <f>IF(入力!$D$11="","",IF(反映項目!$B$11="×","",IFERROR(INDEX(資格集約!$H$159:$H$184,MATCH(6,資格集約!$G$159:$G$184,0)),"")))</f>
        <v/>
      </c>
      <c r="Z9">
        <f>IF(入力!$D$11="","",IF(反映項目!$B$11="×","",IFERROR(INDEX(資格集約!$E$159:$E$184,MATCH(6,資格集約!$G$159:$G$184,0)),"")))</f>
        <v/>
      </c>
      <c r="AA9">
        <f>IF(入力!$D$11="","",IF(反映項目!$B$11="×","",IFERROR(INDEX(資格集約!$H$159:$H$184,MATCH(7,資格集約!$G$159:$G$184,0)),"")))</f>
        <v/>
      </c>
      <c r="AB9">
        <f>IF(入力!$D$11="","",IF(反映項目!$B$11="×","",IFERROR(INDEX(資格集約!$E$159:$E$184,MATCH(7,資格集約!$G$159:$G$184,0)),"")))</f>
        <v/>
      </c>
      <c r="AC9">
        <f>IF(入力!$D$11="","",IF(反映項目!$B$11="×","",IFERROR(INDEX(資格集約!$H$159:$H$184,MATCH(8,資格集約!$G$159:$G$184,0)),"")))</f>
        <v/>
      </c>
      <c r="AD9">
        <f>IF(入力!$D$11="","",IF(反映項目!$B$11="×","",IFERROR(INDEX(資格集約!$E$159:$E$184,MATCH(8,資格集約!$G$159:$G$184,0)),"")))</f>
        <v/>
      </c>
      <c r="AE9">
        <f>IF(入力!$D$11="","",IF(反映項目!$B$11="×","",IFERROR(INDEX(資格集約!$H$159:$H$184,MATCH(9,資格集約!$G$159:$G$184,0)),"")))</f>
        <v/>
      </c>
      <c r="AF9">
        <f>IF(入力!$D$11="","",IF(反映項目!$B$11="×","",IFERROR(INDEX(資格集約!$E$159:$E$184,MATCH(9,資格集約!$G$159:$G$184,0)),"")))</f>
        <v/>
      </c>
      <c r="AG9">
        <f>IF(入力!$D$11="","",IF(反映項目!$B$11="×","",IFERROR(INDEX(資格集約!$H$159:$H$184,MATCH(10,資格集約!$G$159:$G$184,0)),"")))</f>
        <v/>
      </c>
      <c r="AH9">
        <f>IF(入力!$D$11="","",IF(反映項目!$B$11="×","",IFERROR(INDEX(資格集約!$E$159:$E$184,MATCH(10,資格集約!$G$159:$G$184,0)),"")))</f>
        <v/>
      </c>
      <c r="AI9">
        <f>IF(入力!$D$11="","",IF(反映項目!$B$11="×","",IFERROR(INDEX(資格集約!$H$159:$H$184,MATCH(11,資格集約!$G$159:$G$184,0)),"")))</f>
        <v/>
      </c>
      <c r="AJ9">
        <f>IF(入力!$D$11="","",IF(反映項目!$B$11="×","",IFERROR(INDEX(資格集約!$E$159:$E$184,MATCH(11,資格集約!$G$159:$G$184,0)),"")))</f>
        <v/>
      </c>
      <c r="AK9">
        <f>IF(入力!$D$11="","",IF(反映項目!$B$11="×","",IFERROR(INDEX(資格集約!$H$159:$H$184,MATCH(12,資格集約!$G$159:$G$184,0)),"")))</f>
        <v/>
      </c>
      <c r="AL9">
        <f>IF(入力!$D$11="","",IF(反映項目!$B$11="×","",IFERROR(INDEX(資格集約!$E$159:$E$184,MATCH(12,資格集約!$G$159:$G$184,0)),"")))</f>
        <v/>
      </c>
      <c r="AM9">
        <f>IF(入力!$D$11="","",IF(反映項目!$B$11="×","",IFERROR(INDEX(資格集約!$H$159:$H$184,MATCH(13,資格集約!$G$159:$G$184,0)),"")))</f>
        <v/>
      </c>
      <c r="AN9">
        <f>IF(入力!$D$11="","",IF(反映項目!$B$11="×","",IFERROR(INDEX(資格集約!$E$159:$E$184,MATCH(13,資格集約!$G$159:$G$184,0)),"")))</f>
        <v/>
      </c>
      <c r="AO9">
        <f>IF(入力!$D$11="","",IF(反映項目!$B$11="×","",IFERROR(INDEX(資格集約!$H$159:$H$184,MATCH(14,資格集約!$G$159:$G$184,0)),"")))</f>
        <v/>
      </c>
      <c r="AP9">
        <f>IF(入力!$D$11="","",IF(反映項目!$B$11="×","",IFERROR(INDEX(資格集約!$E$159:$E$184,MATCH(14,資格集約!$G$159:$G$184,0)),"")))</f>
        <v/>
      </c>
      <c r="AQ9">
        <f>IF(入力!$D$11="","",IF(反映項目!$B$11="×","",IFERROR(INDEX(資格集約!$H$159:$H$184,MATCH(15,資格集約!$G$159:$G$184,0)),"")))</f>
        <v/>
      </c>
      <c r="AR9">
        <f>IF(入力!$D$11="","",IF(反映項目!$B$11="×","",IFERROR(INDEX(資格集約!$E$159:$E$184,MATCH(15,資格集約!$G$159:$G$184,0)),"")))</f>
        <v/>
      </c>
      <c r="AS9">
        <f>IF(入力!$D$11="","",IF(反映項目!$B$11="×","",IFERROR(INDEX(資格集約!$H$159:$H$184,MATCH(16,資格集約!$G$159:$G$184,0)),"")))</f>
        <v/>
      </c>
      <c r="AT9">
        <f>IF(入力!$D$11="","",IF(反映項目!$B$11="×","",IFERROR(INDEX(資格集約!$E$159:$E$184,MATCH(16,資格集約!$G$159:$G$184,0)),"")))</f>
        <v/>
      </c>
      <c r="AU9">
        <f>IF(入力!$D$11="","",IF(反映項目!$B$11="×","",IFERROR(INDEX(資格集約!$H$159:$H$184,MATCH(17,資格集約!$G$159:$G$184,0)),"")))</f>
        <v/>
      </c>
      <c r="AV9">
        <f>IF(入力!$D$11="","",IF(反映項目!$B$11="×","",IFERROR(INDEX(資格集約!$E$159:$E$184,MATCH(17,資格集約!$G$159:$G$184,0)),"")))</f>
        <v/>
      </c>
      <c r="AW9">
        <f>IF(入力!$D$11="","",IF(反映項目!$B$11="×","",IFERROR(INDEX(資格集約!$H$159:$H$184,MATCH(18,資格集約!$G$159:$G$184,0)),"")))</f>
        <v/>
      </c>
      <c r="AX9">
        <f>IF(入力!$D$11="","",IF(反映項目!$B$11="×","",IFERROR(INDEX(資格集約!$E$159:$E$184,MATCH(18,資格集約!$G$159:$G$184,0)),"")))</f>
        <v/>
      </c>
      <c r="AY9">
        <f>IF(入力!$D$11="","",IF(反映項目!$B$11="×","",IFERROR(INDEX(資格集約!$H$159:$H$184,MATCH(19,資格集約!$G$159:$G$184,0)),"")))</f>
        <v/>
      </c>
      <c r="AZ9">
        <f>IF(入力!$D$11="","",IF(反映項目!$B$11="×","",IFERROR(INDEX(資格集約!$E$159:$E$184,MATCH(19,資格集約!$G$159:$G$184,0)),"")))</f>
        <v/>
      </c>
      <c r="BA9">
        <f>IF(入力!$D$11="","",IF(反映項目!$B$11="×","",IFERROR(INDEX(資格集約!$H$159:$H$184,MATCH(20,資格集約!$G$159:$G$184,0)),"")))</f>
        <v/>
      </c>
      <c r="BB9">
        <f>IF(入力!$D$11="","",IF(反映項目!$B$11="×","",IFERROR(INDEX(資格集約!$E$159:$E$184,MATCH(20,資格集約!$G$159:$G$184,0)),"")))</f>
        <v/>
      </c>
      <c r="BC9">
        <f>IF(入力!$D$11="","",IF(反映項目!$B$11="×","",IFERROR(INDEX(資格集約!$H$159:$H$184,MATCH(21,資格集約!$G$159:$G$184,0)),"")))</f>
        <v/>
      </c>
      <c r="BD9">
        <f>IF(入力!$D$11="","",IF(反映項目!$B$11="×","",IFERROR(INDEX(資格集約!$E$159:$E$184,MATCH(21,資格集約!$G$159:$G$184,0)),"")))</f>
        <v/>
      </c>
      <c r="BE9">
        <f>IF(入力!$D$11="","",IF(反映項目!$B$11="×","",IFERROR(INDEX(資格集約!$H$159:$H$184,MATCH(22,資格集約!$G$159:$G$184,0)),"")))</f>
        <v/>
      </c>
      <c r="BF9">
        <f>IF(入力!$D$11="","",IF(反映項目!$B$11="×","",IFERROR(INDEX(資格集約!$E$159:$E$184,MATCH(22,資格集約!$G$159:$G$184,0)),"")))</f>
        <v/>
      </c>
      <c r="BG9">
        <f>IF(入力!$D$11="","",IF(反映項目!$B$11="×","",IFERROR(INDEX(資格集約!$H$159:$H$184,MATCH(23,資格集約!$G$159:$G$184,0)),"")))</f>
        <v/>
      </c>
      <c r="BH9">
        <f>IF(入力!$D$11="","",IF(反映項目!$B$11="×","",IFERROR(INDEX(資格集約!$E$159:$E$184,MATCH(23,資格集約!$G$159:$G$184,0)),"")))</f>
        <v/>
      </c>
      <c r="BI9">
        <f>IF(入力!$D$11="","",IF(反映項目!$B$11="×","",IFERROR(INDEX(資格集約!$H$159:$H$184,MATCH(24,資格集約!$G$159:$G$184,0)),"")))</f>
        <v/>
      </c>
      <c r="BJ9">
        <f>IF(入力!$D$11="","",IF(反映項目!$B$11="×","",IFERROR(INDEX(資格集約!$E$159:$E$184,MATCH(24,資格集約!$G$159:$G$184,0)),"")))</f>
        <v/>
      </c>
      <c r="BK9">
        <f>IF(入力!$D$11="","",IF(反映項目!$B$11="×","",IFERROR(INDEX(資格集約!$H$159:$H$184,MATCH(25,資格集約!$G$159:$G$184,0)),"")))</f>
        <v/>
      </c>
      <c r="BL9">
        <f>IF(入力!$D$11="","",IF(反映項目!$B$11="×","",IFERROR(INDEX(資格集約!$E$159:$E$184,MATCH(25,資格集約!$G$159:$G$184,0)),"")))</f>
        <v/>
      </c>
      <c r="BM9">
        <f>IF(入力!$D$11="","",IF(反映項目!$B$11="×","",IFERROR(INDEX(資格集約!$H$159:$H$184,MATCH(26,資格集約!$G$159:$G$184,0)),"")))</f>
        <v/>
      </c>
      <c r="BN9">
        <f>IF(入力!$D$11="","",IF(反映項目!$B$11="×","",IFERROR(INDEX(資格集約!$E$159:$E$184,MATCH(26,資格集約!$G$159:$G$184,0)),"")))</f>
        <v/>
      </c>
      <c r="BO9">
        <f>IF(入力!$D$11="","",IF(OR(反映項目!$B$12="×",入力!$Z$11=""),"",入力!$Z$11))</f>
        <v/>
      </c>
      <c r="BP9">
        <f>IF(入力!$D$11="","",IF(OR(反映項目!$B$13="×",入力!$AA$11=""),"",入力!$AA$11))</f>
        <v/>
      </c>
      <c r="BQ9">
        <f>IF(入力!$D$11="","",IF(OR(反映項目!$B$15="×",入力!$AF$11=""),"",入力!$AF$11))</f>
        <v/>
      </c>
      <c r="BR9">
        <f>IF(入力!$D$11="","",IF(OR(反映項目!$B$14="×",N($BZ$9)=0),"",YEAR($BZ$9)-IF($BZ$9&gt;=DATE(2019,5,1),2018,1988)))&amp;""</f>
        <v/>
      </c>
      <c r="BS9">
        <f>IF(入力!$D$11="","",IF(OR(反映項目!$B$14="×",N($BZ$9)=0),"",MONTH($BZ$9)))&amp;""</f>
        <v/>
      </c>
      <c r="BT9">
        <f>IF(入力!$D$11="","",IF(OR(反映項目!$B$14="×",入力!$AC$11=""),"",入力!$AC$11))</f>
        <v/>
      </c>
      <c r="BU9">
        <f>IF(入力!$D$11="","",IF(OR(反映項目!$B$14="×",N($CA$9)=0),"",YEAR($CA$9)-IF($CA$9&gt;=DATE(2019,5,1),2018,1988)))&amp;""</f>
        <v/>
      </c>
      <c r="BV9">
        <f>IF(入力!$D$11="","",IF(OR(反映項目!$B$14="×",N($CA$9)=0),"",MONTH($CA$9)))&amp;""</f>
        <v/>
      </c>
      <c r="BW9">
        <f>IF(入力!$D$11="","",IF(OR(反映項目!$B$14="×",入力!$AE$11=""),"",入力!$AE$11))</f>
        <v/>
      </c>
      <c r="BY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Z9">
        <f>IF(入力!$D$11="","",IF(入力!$AB$11="","",IF(ISNUMBER(入力!$AB$11),入力!$AB$11,IFERROR(IF(OR(LEFT(入力!$AB$11,2)="令和",LEFT(入力!$AB$11,2)="平成",LEFT(入力!$AB$11,2)="昭和",LEFT(入力!$AB$11,2)="大正"),DATE(VALUE(MID(入力!$AB$11,3,FIND("年",入力!$AB$11)-3))+IF(LEFT(入力!$AB$11,2)="令和",2018,IF(LEFT(入力!$AB$11,2)="平成",1988,IF(LEFT(入力!$AB$11,2)="昭和",1925,IF(LEFT(入力!$AB$11,2)="大正",1911,0)))),VALUE(MID(入力!$AB$11,FIND("年",入力!$AB$11)+1,FIND("月",入力!$AB$11)-FIND("年",入力!$AB$11)-1)),IFERROR(VALUE(SUBSTITUTE(MID(入力!$AB$11,FIND("月",入力!$AB$11)+1,10),"日","")),1)),DATE(VALUE(TRIM(MID(SUBSTITUTE(SUBSTITUTE(SUBSTITUTE(SUBSTITUTE(SUBSTITUTE(SUBSTITUTE(入力!$AB$11,"年","/"),"月","/"),"日",""),"-","/"),".","/"),"/",REPT(" ",50)),1,50))),VALUE(TRIM(MID(SUBSTITUTE(SUBSTITUTE(SUBSTITUTE(SUBSTITUTE(SUBSTITUTE(SUBSTITUTE(入力!$AB$11,"年","/"),"月","/"),"日",""),"-","/"),".","/"),"/",REPT(" ",50)),51,50))),IFERROR(VALUE(TRIM(MID(SUBSTITUTE(SUBSTITUTE(SUBSTITUTE(SUBSTITUTE(SUBSTITUTE(SUBSTITUTE(入力!$AB$11,"年","/"),"月","/"),"日",""),"-","/"),".","/"),"/",REPT(" ",50)),101,50))),1))),IFERROR(DATEVALUE(入力!$AB$11),"")))))</f>
        <v/>
      </c>
      <c r="CA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CB9">
        <f>IF(入力!$D$11="","",$O9&amp;IF($R9="","",CHAR(10)&amp;$Q9)&amp;IF($T9="","",CHAR(10)&amp;$S9)&amp;IF($V9="","",CHAR(10)&amp;$U9)&amp;IF($X9="","",CHAR(10)&amp;$W9)&amp;IF($Z9="","",CHAR(10)&amp;$Y9)&amp;IF($AB9="","",CHAR(10)&amp;$AA9)&amp;IF($AD9="","",CHAR(10)&amp;$AC9)&amp;IF($AF9="","",CHAR(10)&amp;$AE9)&amp;IF($AH9="","",CHAR(10)&amp;$AG9)&amp;IF($AJ9="","",CHAR(10)&amp;$AI9)&amp;IF($AL9="","",CHAR(10)&amp;$AK9)&amp;IF($AN9="","",CHAR(10)&amp;$AM9)&amp;IF($AP9="","",CHAR(10)&amp;$AO9)&amp;IF($AR9="","",CHAR(10)&amp;$AQ9)&amp;IF($AT9="","",CHAR(10)&amp;$AS9)&amp;IF($AV9="","",CHAR(10)&amp;$AU9)&amp;IF($AX9="","",CHAR(10)&amp;$AW9)&amp;IF($AZ9="","",CHAR(10)&amp;$AY9)&amp;IF($BB9="","",CHAR(10)&amp;$BA9)&amp;IF($BD9="","",CHAR(10)&amp;$BC9)&amp;IF($BF9="","",CHAR(10)&amp;$BE9)&amp;IF($BH9="","",CHAR(10)&amp;$BG9)&amp;IF($BJ9="","",CHAR(10)&amp;$BI9)&amp;IF($BL9="","",CHAR(10)&amp;$BK9)&amp;IF($BN9="","",CHAR(10)&amp;$BM9))</f>
        <v/>
      </c>
      <c r="CC9">
        <f>IF(入力!$D$11="","",$P9&amp;IF($R9="","",CHAR(10)&amp;$R9)&amp;IF($T9="","",CHAR(10)&amp;$T9)&amp;IF($V9="","",CHAR(10)&amp;$V9)&amp;IF($X9="","",CHAR(10)&amp;$X9)&amp;IF($Z9="","",CHAR(10)&amp;$Z9)&amp;IF($AB9="","",CHAR(10)&amp;$AB9)&amp;IF($AD9="","",CHAR(10)&amp;$AD9)&amp;IF($AF9="","",CHAR(10)&amp;$AF9)&amp;IF($AH9="","",CHAR(10)&amp;$AH9)&amp;IF($AJ9="","",CHAR(10)&amp;$AJ9)&amp;IF($AL9="","",CHAR(10)&amp;$AL9)&amp;IF($AN9="","",CHAR(10)&amp;$AN9)&amp;IF($AP9="","",CHAR(10)&amp;$AP9)&amp;IF($AR9="","",CHAR(10)&amp;$AR9)&amp;IF($AT9="","",CHAR(10)&amp;$AT9)&amp;IF($AV9="","",CHAR(10)&amp;$AV9)&amp;IF($AX9="","",CHAR(10)&amp;$AX9)&amp;IF($AZ9="","",CHAR(10)&amp;$AZ9)&amp;IF($BB9="","",CHAR(10)&amp;$BB9)&amp;IF($BD9="","",CHAR(10)&amp;$BD9)&amp;IF($BF9="","",CHAR(10)&amp;$BF9)&amp;IF($BH9="","",CHAR(10)&amp;$BH9)&amp;IF($BJ9="","",CHAR(10)&amp;$BJ9)&amp;IF($BL9="","",CHAR(10)&amp;$BL9)&amp;IF($BN9="","",CHAR(10)&amp;$BN9))</f>
        <v/>
      </c>
      <c r="CD9">
        <f>IF(入力!$D$11="","",IF($P9="",0,1)+IF($R9="",0,1)+IF($T9="",0,1)+IF($V9="",0,1)+IF($X9="",0,1)+IF($Z9="",0,1)+IF($AB9="",0,1)+IF($AD9="",0,1)+IF($AF9="",0,1)+IF($AH9="",0,1)+IF($AJ9="",0,1)+IF($AL9="",0,1)+IF($AN9="",0,1)+IF($AP9="",0,1)+IF($AR9="",0,1)+IF($AT9="",0,1)+IF($AV9="",0,1)+IF($AX9="",0,1)+IF($AZ9="",0,1)+IF($BB9="",0,1)+IF($BD9="",0,1)+IF($BF9="",0,1)+IF($BH9="",0,1)+IF($BJ9="",0,1)+IF($BL9="",0,1)+IF($BN9="",0,1))</f>
        <v/>
      </c>
    </row>
    <row r="10">
      <c r="A10" t="n">
        <v>8</v>
      </c>
      <c r="B10">
        <f>IF(入力!$D$12="","",IF(OR(反映項目!$B$4="×",入力!$D$12=""),"",入力!$D$12))</f>
        <v/>
      </c>
      <c r="C10">
        <f>IF(入力!$D$12="","",IF(OR(反映項目!$B$5="×",入力!$E$12=""),"",入力!$E$12))</f>
        <v/>
      </c>
      <c r="D10">
        <f>IF(入力!$D$12="","",IF(OR(反映項目!$B$6="×",N($BY$10)=0),"",YEAR($BY$10)-IF($BY$10&gt;=DATE(2019,5,1),2018,IF($BY$10&gt;=DATE(1989,1,8),1988,1925))))&amp;""</f>
        <v/>
      </c>
      <c r="E10">
        <f>IF(入力!$D$12="","",IF(OR(反映項目!$B$6="×",N($BY$10)=0),"",MONTH($BY$10)))&amp;""</f>
        <v/>
      </c>
      <c r="F10">
        <f>IF(入力!$D$12="","",IF(OR(反映項目!$B$6="×",N($BY$10)=0),"",DAY($BY$10)))&amp;""</f>
        <v/>
      </c>
      <c r="G10">
        <f>IF(入力!$D$12="","",IF(OR(反映項目!$B$6="×",OR(N($BY$10)=0,N(設定!$B$3)=0)),"",DATEDIF($BY$10,設定!$B$3,"Y")))&amp;""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IF(入力!$D$12="","",IF(OR(反映項目!$B$10="×",入力!$K$12=""),"",入力!$K$12))</f>
        <v/>
      </c>
      <c r="M10">
        <f>IF(入力!$D$12="","",IF(OR(反映項目!$B$10="×",入力!$L$12=""),"",入力!$L$12))</f>
        <v/>
      </c>
      <c r="N10">
        <f>IF(入力!$D$12="","",設定!$B$4&amp;CHAR(10)&amp;IF(入力!$M$12="",設定!$B$5,入力!$M$12))</f>
        <v/>
      </c>
      <c r="O10">
        <f>IF(入力!$D$12="","",IF(反映項目!$B$11="×","",IFERROR(INDEX(資格集約!$H$185:$H$210,MATCH(1,資格集約!$G$185:$G$210,0)),"")))</f>
        <v/>
      </c>
      <c r="P10">
        <f>IF(入力!$D$12="","",IF(反映項目!$B$11="×","",IFERROR(INDEX(資格集約!$E$185:$E$210,MATCH(1,資格集約!$G$185:$G$210,0)),"")))</f>
        <v/>
      </c>
      <c r="Q10">
        <f>IF(入力!$D$12="","",IF(反映項目!$B$11="×","",IFERROR(INDEX(資格集約!$H$185:$H$210,MATCH(2,資格集約!$G$185:$G$210,0)),"")))</f>
        <v/>
      </c>
      <c r="R10">
        <f>IF(入力!$D$12="","",IF(反映項目!$B$11="×","",IFERROR(INDEX(資格集約!$E$185:$E$210,MATCH(2,資格集約!$G$185:$G$210,0)),"")))</f>
        <v/>
      </c>
      <c r="S10">
        <f>IF(入力!$D$12="","",IF(反映項目!$B$11="×","",IFERROR(INDEX(資格集約!$H$185:$H$210,MATCH(3,資格集約!$G$185:$G$210,0)),"")))</f>
        <v/>
      </c>
      <c r="T10">
        <f>IF(入力!$D$12="","",IF(反映項目!$B$11="×","",IFERROR(INDEX(資格集約!$E$185:$E$210,MATCH(3,資格集約!$G$185:$G$210,0)),"")))</f>
        <v/>
      </c>
      <c r="U10">
        <f>IF(入力!$D$12="","",IF(反映項目!$B$11="×","",IFERROR(INDEX(資格集約!$H$185:$H$210,MATCH(4,資格集約!$G$185:$G$210,0)),"")))</f>
        <v/>
      </c>
      <c r="V10">
        <f>IF(入力!$D$12="","",IF(反映項目!$B$11="×","",IFERROR(INDEX(資格集約!$E$185:$E$210,MATCH(4,資格集約!$G$185:$G$210,0)),"")))</f>
        <v/>
      </c>
      <c r="W10">
        <f>IF(入力!$D$12="","",IF(反映項目!$B$11="×","",IFERROR(INDEX(資格集約!$H$185:$H$210,MATCH(5,資格集約!$G$185:$G$210,0)),"")))</f>
        <v/>
      </c>
      <c r="X10">
        <f>IF(入力!$D$12="","",IF(反映項目!$B$11="×","",IFERROR(INDEX(資格集約!$E$185:$E$210,MATCH(5,資格集約!$G$185:$G$210,0)),"")))</f>
        <v/>
      </c>
      <c r="Y10">
        <f>IF(入力!$D$12="","",IF(反映項目!$B$11="×","",IFERROR(INDEX(資格集約!$H$185:$H$210,MATCH(6,資格集約!$G$185:$G$210,0)),"")))</f>
        <v/>
      </c>
      <c r="Z10">
        <f>IF(入力!$D$12="","",IF(反映項目!$B$11="×","",IFERROR(INDEX(資格集約!$E$185:$E$210,MATCH(6,資格集約!$G$185:$G$210,0)),"")))</f>
        <v/>
      </c>
      <c r="AA10">
        <f>IF(入力!$D$12="","",IF(反映項目!$B$11="×","",IFERROR(INDEX(資格集約!$H$185:$H$210,MATCH(7,資格集約!$G$185:$G$210,0)),"")))</f>
        <v/>
      </c>
      <c r="AB10">
        <f>IF(入力!$D$12="","",IF(反映項目!$B$11="×","",IFERROR(INDEX(資格集約!$E$185:$E$210,MATCH(7,資格集約!$G$185:$G$210,0)),"")))</f>
        <v/>
      </c>
      <c r="AC10">
        <f>IF(入力!$D$12="","",IF(反映項目!$B$11="×","",IFERROR(INDEX(資格集約!$H$185:$H$210,MATCH(8,資格集約!$G$185:$G$210,0)),"")))</f>
        <v/>
      </c>
      <c r="AD10">
        <f>IF(入力!$D$12="","",IF(反映項目!$B$11="×","",IFERROR(INDEX(資格集約!$E$185:$E$210,MATCH(8,資格集約!$G$185:$G$210,0)),"")))</f>
        <v/>
      </c>
      <c r="AE10">
        <f>IF(入力!$D$12="","",IF(反映項目!$B$11="×","",IFERROR(INDEX(資格集約!$H$185:$H$210,MATCH(9,資格集約!$G$185:$G$210,0)),"")))</f>
        <v/>
      </c>
      <c r="AF10">
        <f>IF(入力!$D$12="","",IF(反映項目!$B$11="×","",IFERROR(INDEX(資格集約!$E$185:$E$210,MATCH(9,資格集約!$G$185:$G$210,0)),"")))</f>
        <v/>
      </c>
      <c r="AG10">
        <f>IF(入力!$D$12="","",IF(反映項目!$B$11="×","",IFERROR(INDEX(資格集約!$H$185:$H$210,MATCH(10,資格集約!$G$185:$G$210,0)),"")))</f>
        <v/>
      </c>
      <c r="AH10">
        <f>IF(入力!$D$12="","",IF(反映項目!$B$11="×","",IFERROR(INDEX(資格集約!$E$185:$E$210,MATCH(10,資格集約!$G$185:$G$210,0)),"")))</f>
        <v/>
      </c>
      <c r="AI10">
        <f>IF(入力!$D$12="","",IF(反映項目!$B$11="×","",IFERROR(INDEX(資格集約!$H$185:$H$210,MATCH(11,資格集約!$G$185:$G$210,0)),"")))</f>
        <v/>
      </c>
      <c r="AJ10">
        <f>IF(入力!$D$12="","",IF(反映項目!$B$11="×","",IFERROR(INDEX(資格集約!$E$185:$E$210,MATCH(11,資格集約!$G$185:$G$210,0)),"")))</f>
        <v/>
      </c>
      <c r="AK10">
        <f>IF(入力!$D$12="","",IF(反映項目!$B$11="×","",IFERROR(INDEX(資格集約!$H$185:$H$210,MATCH(12,資格集約!$G$185:$G$210,0)),"")))</f>
        <v/>
      </c>
      <c r="AL10">
        <f>IF(入力!$D$12="","",IF(反映項目!$B$11="×","",IFERROR(INDEX(資格集約!$E$185:$E$210,MATCH(12,資格集約!$G$185:$G$210,0)),"")))</f>
        <v/>
      </c>
      <c r="AM10">
        <f>IF(入力!$D$12="","",IF(反映項目!$B$11="×","",IFERROR(INDEX(資格集約!$H$185:$H$210,MATCH(13,資格集約!$G$185:$G$210,0)),"")))</f>
        <v/>
      </c>
      <c r="AN10">
        <f>IF(入力!$D$12="","",IF(反映項目!$B$11="×","",IFERROR(INDEX(資格集約!$E$185:$E$210,MATCH(13,資格集約!$G$185:$G$210,0)),"")))</f>
        <v/>
      </c>
      <c r="AO10">
        <f>IF(入力!$D$12="","",IF(反映項目!$B$11="×","",IFERROR(INDEX(資格集約!$H$185:$H$210,MATCH(14,資格集約!$G$185:$G$210,0)),"")))</f>
        <v/>
      </c>
      <c r="AP10">
        <f>IF(入力!$D$12="","",IF(反映項目!$B$11="×","",IFERROR(INDEX(資格集約!$E$185:$E$210,MATCH(14,資格集約!$G$185:$G$210,0)),"")))</f>
        <v/>
      </c>
      <c r="AQ10">
        <f>IF(入力!$D$12="","",IF(反映項目!$B$11="×","",IFERROR(INDEX(資格集約!$H$185:$H$210,MATCH(15,資格集約!$G$185:$G$210,0)),"")))</f>
        <v/>
      </c>
      <c r="AR10">
        <f>IF(入力!$D$12="","",IF(反映項目!$B$11="×","",IFERROR(INDEX(資格集約!$E$185:$E$210,MATCH(15,資格集約!$G$185:$G$210,0)),"")))</f>
        <v/>
      </c>
      <c r="AS10">
        <f>IF(入力!$D$12="","",IF(反映項目!$B$11="×","",IFERROR(INDEX(資格集約!$H$185:$H$210,MATCH(16,資格集約!$G$185:$G$210,0)),"")))</f>
        <v/>
      </c>
      <c r="AT10">
        <f>IF(入力!$D$12="","",IF(反映項目!$B$11="×","",IFERROR(INDEX(資格集約!$E$185:$E$210,MATCH(16,資格集約!$G$185:$G$210,0)),"")))</f>
        <v/>
      </c>
      <c r="AU10">
        <f>IF(入力!$D$12="","",IF(反映項目!$B$11="×","",IFERROR(INDEX(資格集約!$H$185:$H$210,MATCH(17,資格集約!$G$185:$G$210,0)),"")))</f>
        <v/>
      </c>
      <c r="AV10">
        <f>IF(入力!$D$12="","",IF(反映項目!$B$11="×","",IFERROR(INDEX(資格集約!$E$185:$E$210,MATCH(17,資格集約!$G$185:$G$210,0)),"")))</f>
        <v/>
      </c>
      <c r="AW10">
        <f>IF(入力!$D$12="","",IF(反映項目!$B$11="×","",IFERROR(INDEX(資格集約!$H$185:$H$210,MATCH(18,資格集約!$G$185:$G$210,0)),"")))</f>
        <v/>
      </c>
      <c r="AX10">
        <f>IF(入力!$D$12="","",IF(反映項目!$B$11="×","",IFERROR(INDEX(資格集約!$E$185:$E$210,MATCH(18,資格集約!$G$185:$G$210,0)),"")))</f>
        <v/>
      </c>
      <c r="AY10">
        <f>IF(入力!$D$12="","",IF(反映項目!$B$11="×","",IFERROR(INDEX(資格集約!$H$185:$H$210,MATCH(19,資格集約!$G$185:$G$210,0)),"")))</f>
        <v/>
      </c>
      <c r="AZ10">
        <f>IF(入力!$D$12="","",IF(反映項目!$B$11="×","",IFERROR(INDEX(資格集約!$E$185:$E$210,MATCH(19,資格集約!$G$185:$G$210,0)),"")))</f>
        <v/>
      </c>
      <c r="BA10">
        <f>IF(入力!$D$12="","",IF(反映項目!$B$11="×","",IFERROR(INDEX(資格集約!$H$185:$H$210,MATCH(20,資格集約!$G$185:$G$210,0)),"")))</f>
        <v/>
      </c>
      <c r="BB10">
        <f>IF(入力!$D$12="","",IF(反映項目!$B$11="×","",IFERROR(INDEX(資格集約!$E$185:$E$210,MATCH(20,資格集約!$G$185:$G$210,0)),"")))</f>
        <v/>
      </c>
      <c r="BC10">
        <f>IF(入力!$D$12="","",IF(反映項目!$B$11="×","",IFERROR(INDEX(資格集約!$H$185:$H$210,MATCH(21,資格集約!$G$185:$G$210,0)),"")))</f>
        <v/>
      </c>
      <c r="BD10">
        <f>IF(入力!$D$12="","",IF(反映項目!$B$11="×","",IFERROR(INDEX(資格集約!$E$185:$E$210,MATCH(21,資格集約!$G$185:$G$210,0)),"")))</f>
        <v/>
      </c>
      <c r="BE10">
        <f>IF(入力!$D$12="","",IF(反映項目!$B$11="×","",IFERROR(INDEX(資格集約!$H$185:$H$210,MATCH(22,資格集約!$G$185:$G$210,0)),"")))</f>
        <v/>
      </c>
      <c r="BF10">
        <f>IF(入力!$D$12="","",IF(反映項目!$B$11="×","",IFERROR(INDEX(資格集約!$E$185:$E$210,MATCH(22,資格集約!$G$185:$G$210,0)),"")))</f>
        <v/>
      </c>
      <c r="BG10">
        <f>IF(入力!$D$12="","",IF(反映項目!$B$11="×","",IFERROR(INDEX(資格集約!$H$185:$H$210,MATCH(23,資格集約!$G$185:$G$210,0)),"")))</f>
        <v/>
      </c>
      <c r="BH10">
        <f>IF(入力!$D$12="","",IF(反映項目!$B$11="×","",IFERROR(INDEX(資格集約!$E$185:$E$210,MATCH(23,資格集約!$G$185:$G$210,0)),"")))</f>
        <v/>
      </c>
      <c r="BI10">
        <f>IF(入力!$D$12="","",IF(反映項目!$B$11="×","",IFERROR(INDEX(資格集約!$H$185:$H$210,MATCH(24,資格集約!$G$185:$G$210,0)),"")))</f>
        <v/>
      </c>
      <c r="BJ10">
        <f>IF(入力!$D$12="","",IF(反映項目!$B$11="×","",IFERROR(INDEX(資格集約!$E$185:$E$210,MATCH(24,資格集約!$G$185:$G$210,0)),"")))</f>
        <v/>
      </c>
      <c r="BK10">
        <f>IF(入力!$D$12="","",IF(反映項目!$B$11="×","",IFERROR(INDEX(資格集約!$H$185:$H$210,MATCH(25,資格集約!$G$185:$G$210,0)),"")))</f>
        <v/>
      </c>
      <c r="BL10">
        <f>IF(入力!$D$12="","",IF(反映項目!$B$11="×","",IFERROR(INDEX(資格集約!$E$185:$E$210,MATCH(25,資格集約!$G$185:$G$210,0)),"")))</f>
        <v/>
      </c>
      <c r="BM10">
        <f>IF(入力!$D$12="","",IF(反映項目!$B$11="×","",IFERROR(INDEX(資格集約!$H$185:$H$210,MATCH(26,資格集約!$G$185:$G$210,0)),"")))</f>
        <v/>
      </c>
      <c r="BN10">
        <f>IF(入力!$D$12="","",IF(反映項目!$B$11="×","",IFERROR(INDEX(資格集約!$E$185:$E$210,MATCH(26,資格集約!$G$185:$G$210,0)),"")))</f>
        <v/>
      </c>
      <c r="BO10">
        <f>IF(入力!$D$12="","",IF(OR(反映項目!$B$12="×",入力!$Z$12=""),"",入力!$Z$12))</f>
        <v/>
      </c>
      <c r="BP10">
        <f>IF(入力!$D$12="","",IF(OR(反映項目!$B$13="×",入力!$AA$12=""),"",入力!$AA$12))</f>
        <v/>
      </c>
      <c r="BQ10">
        <f>IF(入力!$D$12="","",IF(OR(反映項目!$B$15="×",入力!$AF$12=""),"",入力!$AF$12))</f>
        <v/>
      </c>
      <c r="BR10">
        <f>IF(入力!$D$12="","",IF(OR(反映項目!$B$14="×",N($BZ$10)=0),"",YEAR($BZ$10)-IF($BZ$10&gt;=DATE(2019,5,1),2018,1988)))&amp;""</f>
        <v/>
      </c>
      <c r="BS10">
        <f>IF(入力!$D$12="","",IF(OR(反映項目!$B$14="×",N($BZ$10)=0),"",MONTH($BZ$10)))&amp;""</f>
        <v/>
      </c>
      <c r="BT10">
        <f>IF(入力!$D$12="","",IF(OR(反映項目!$B$14="×",入力!$AC$12=""),"",入力!$AC$12))</f>
        <v/>
      </c>
      <c r="BU10">
        <f>IF(入力!$D$12="","",IF(OR(反映項目!$B$14="×",N($CA$10)=0),"",YEAR($CA$10)-IF($CA$10&gt;=DATE(2019,5,1),2018,1988)))&amp;""</f>
        <v/>
      </c>
      <c r="BV10">
        <f>IF(入力!$D$12="","",IF(OR(反映項目!$B$14="×",N($CA$10)=0),"",MONTH($CA$10)))&amp;""</f>
        <v/>
      </c>
      <c r="BW10">
        <f>IF(入力!$D$12="","",IF(OR(反映項目!$B$14="×",入力!$AE$12=""),"",入力!$AE$12))</f>
        <v/>
      </c>
      <c r="BY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Z10">
        <f>IF(入力!$D$12="","",IF(入力!$AB$12="","",IF(ISNUMBER(入力!$AB$12),入力!$AB$12,IFERROR(IF(OR(LEFT(入力!$AB$12,2)="令和",LEFT(入力!$AB$12,2)="平成",LEFT(入力!$AB$12,2)="昭和",LEFT(入力!$AB$12,2)="大正"),DATE(VALUE(MID(入力!$AB$12,3,FIND("年",入力!$AB$12)-3))+IF(LEFT(入力!$AB$12,2)="令和",2018,IF(LEFT(入力!$AB$12,2)="平成",1988,IF(LEFT(入力!$AB$12,2)="昭和",1925,IF(LEFT(入力!$AB$12,2)="大正",1911,0)))),VALUE(MID(入力!$AB$12,FIND("年",入力!$AB$12)+1,FIND("月",入力!$AB$12)-FIND("年",入力!$AB$12)-1)),IFERROR(VALUE(SUBSTITUTE(MID(入力!$AB$12,FIND("月",入力!$AB$12)+1,10),"日","")),1)),DATE(VALUE(TRIM(MID(SUBSTITUTE(SUBSTITUTE(SUBSTITUTE(SUBSTITUTE(SUBSTITUTE(SUBSTITUTE(入力!$AB$12,"年","/"),"月","/"),"日",""),"-","/"),".","/"),"/",REPT(" ",50)),1,50))),VALUE(TRIM(MID(SUBSTITUTE(SUBSTITUTE(SUBSTITUTE(SUBSTITUTE(SUBSTITUTE(SUBSTITUTE(入力!$AB$12,"年","/"),"月","/"),"日",""),"-","/"),".","/"),"/",REPT(" ",50)),51,50))),IFERROR(VALUE(TRIM(MID(SUBSTITUTE(SUBSTITUTE(SUBSTITUTE(SUBSTITUTE(SUBSTITUTE(SUBSTITUTE(入力!$AB$12,"年","/"),"月","/"),"日",""),"-","/"),".","/"),"/",REPT(" ",50)),101,50))),1))),IFERROR(DATEVALUE(入力!$AB$12),"")))))</f>
        <v/>
      </c>
      <c r="CA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CB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amp;IF($AR10="","",CHAR(10)&amp;$AQ10)&amp;IF($AT10="","",CHAR(10)&amp;$AS10)&amp;IF($AV10="","",CHAR(10)&amp;$AU10)&amp;IF($AX10="","",CHAR(10)&amp;$AW10)&amp;IF($AZ10="","",CHAR(10)&amp;$AY10)&amp;IF($BB10="","",CHAR(10)&amp;$BA10)&amp;IF($BD10="","",CHAR(10)&amp;$BC10)&amp;IF($BF10="","",CHAR(10)&amp;$BE10)&amp;IF($BH10="","",CHAR(10)&amp;$BG10)&amp;IF($BJ10="","",CHAR(10)&amp;$BI10)&amp;IF($BL10="","",CHAR(10)&amp;$BK10)&amp;IF($BN10="","",CHAR(10)&amp;$BM10))</f>
        <v/>
      </c>
      <c r="CC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amp;IF($AR10="","",CHAR(10)&amp;$AR10)&amp;IF($AT10="","",CHAR(10)&amp;$AT10)&amp;IF($AV10="","",CHAR(10)&amp;$AV10)&amp;IF($AX10="","",CHAR(10)&amp;$AX10)&amp;IF($AZ10="","",CHAR(10)&amp;$AZ10)&amp;IF($BB10="","",CHAR(10)&amp;$BB10)&amp;IF($BD10="","",CHAR(10)&amp;$BD10)&amp;IF($BF10="","",CHAR(10)&amp;$BF10)&amp;IF($BH10="","",CHAR(10)&amp;$BH10)&amp;IF($BJ10="","",CHAR(10)&amp;$BJ10)&amp;IF($BL10="","",CHAR(10)&amp;$BL10)&amp;IF($BN10="","",CHAR(10)&amp;$BN10))</f>
        <v/>
      </c>
      <c r="CD10">
        <f>IF(入力!$D$12="","",IF($P10="",0,1)+IF($R10="",0,1)+IF($T10="",0,1)+IF($V10="",0,1)+IF($X10="",0,1)+IF($Z10="",0,1)+IF($AB10="",0,1)+IF($AD10="",0,1)+IF($AF10="",0,1)+IF($AH10="",0,1)+IF($AJ10="",0,1)+IF($AL10="",0,1)+IF($AN10="",0,1)+IF($AP10="",0,1)+IF($AR10="",0,1)+IF($AT10="",0,1)+IF($AV10="",0,1)+IF($AX10="",0,1)+IF($AZ10="",0,1)+IF($BB10="",0,1)+IF($BD10="",0,1)+IF($BF10="",0,1)+IF($BH10="",0,1)+IF($BJ10="",0,1)+IF($BL10="",0,1)+IF($BN10="",0,1))</f>
        <v/>
      </c>
    </row>
    <row r="11">
      <c r="A11" t="n">
        <v>9</v>
      </c>
      <c r="B11">
        <f>IF(入力!$D$13="","",IF(OR(反映項目!$B$4="×",入力!$D$13=""),"",入力!$D$13))</f>
        <v/>
      </c>
      <c r="C11">
        <f>IF(入力!$D$13="","",IF(OR(反映項目!$B$5="×",入力!$E$13=""),"",入力!$E$13))</f>
        <v/>
      </c>
      <c r="D11">
        <f>IF(入力!$D$13="","",IF(OR(反映項目!$B$6="×",N($BY$11)=0),"",YEAR($BY$11)-IF($BY$11&gt;=DATE(2019,5,1),2018,IF($BY$11&gt;=DATE(1989,1,8),1988,1925))))&amp;""</f>
        <v/>
      </c>
      <c r="E11">
        <f>IF(入力!$D$13="","",IF(OR(反映項目!$B$6="×",N($BY$11)=0),"",MONTH($BY$11)))&amp;""</f>
        <v/>
      </c>
      <c r="F11">
        <f>IF(入力!$D$13="","",IF(OR(反映項目!$B$6="×",N($BY$11)=0),"",DAY($BY$11)))&amp;""</f>
        <v/>
      </c>
      <c r="G11">
        <f>IF(入力!$D$13="","",IF(OR(反映項目!$B$6="×",OR(N($BY$11)=0,N(設定!$B$3)=0)),"",DATEDIF($BY$11,設定!$B$3,"Y")))&amp;""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IF(入力!$D$13="","",IF(OR(反映項目!$B$10="×",入力!$K$13=""),"",入力!$K$13))</f>
        <v/>
      </c>
      <c r="M11">
        <f>IF(入力!$D$13="","",IF(OR(反映項目!$B$10="×",入力!$L$13=""),"",入力!$L$13))</f>
        <v/>
      </c>
      <c r="N11">
        <f>IF(入力!$D$13="","",設定!$B$4&amp;CHAR(10)&amp;IF(入力!$M$13="",設定!$B$5,入力!$M$13))</f>
        <v/>
      </c>
      <c r="O11">
        <f>IF(入力!$D$13="","",IF(反映項目!$B$11="×","",IFERROR(INDEX(資格集約!$H$211:$H$236,MATCH(1,資格集約!$G$211:$G$236,0)),"")))</f>
        <v/>
      </c>
      <c r="P11">
        <f>IF(入力!$D$13="","",IF(反映項目!$B$11="×","",IFERROR(INDEX(資格集約!$E$211:$E$236,MATCH(1,資格集約!$G$211:$G$236,0)),"")))</f>
        <v/>
      </c>
      <c r="Q11">
        <f>IF(入力!$D$13="","",IF(反映項目!$B$11="×","",IFERROR(INDEX(資格集約!$H$211:$H$236,MATCH(2,資格集約!$G$211:$G$236,0)),"")))</f>
        <v/>
      </c>
      <c r="R11">
        <f>IF(入力!$D$13="","",IF(反映項目!$B$11="×","",IFERROR(INDEX(資格集約!$E$211:$E$236,MATCH(2,資格集約!$G$211:$G$236,0)),"")))</f>
        <v/>
      </c>
      <c r="S11">
        <f>IF(入力!$D$13="","",IF(反映項目!$B$11="×","",IFERROR(INDEX(資格集約!$H$211:$H$236,MATCH(3,資格集約!$G$211:$G$236,0)),"")))</f>
        <v/>
      </c>
      <c r="T11">
        <f>IF(入力!$D$13="","",IF(反映項目!$B$11="×","",IFERROR(INDEX(資格集約!$E$211:$E$236,MATCH(3,資格集約!$G$211:$G$236,0)),"")))</f>
        <v/>
      </c>
      <c r="U11">
        <f>IF(入力!$D$13="","",IF(反映項目!$B$11="×","",IFERROR(INDEX(資格集約!$H$211:$H$236,MATCH(4,資格集約!$G$211:$G$236,0)),"")))</f>
        <v/>
      </c>
      <c r="V11">
        <f>IF(入力!$D$13="","",IF(反映項目!$B$11="×","",IFERROR(INDEX(資格集約!$E$211:$E$236,MATCH(4,資格集約!$G$211:$G$236,0)),"")))</f>
        <v/>
      </c>
      <c r="W11">
        <f>IF(入力!$D$13="","",IF(反映項目!$B$11="×","",IFERROR(INDEX(資格集約!$H$211:$H$236,MATCH(5,資格集約!$G$211:$G$236,0)),"")))</f>
        <v/>
      </c>
      <c r="X11">
        <f>IF(入力!$D$13="","",IF(反映項目!$B$11="×","",IFERROR(INDEX(資格集約!$E$211:$E$236,MATCH(5,資格集約!$G$211:$G$236,0)),"")))</f>
        <v/>
      </c>
      <c r="Y11">
        <f>IF(入力!$D$13="","",IF(反映項目!$B$11="×","",IFERROR(INDEX(資格集約!$H$211:$H$236,MATCH(6,資格集約!$G$211:$G$236,0)),"")))</f>
        <v/>
      </c>
      <c r="Z11">
        <f>IF(入力!$D$13="","",IF(反映項目!$B$11="×","",IFERROR(INDEX(資格集約!$E$211:$E$236,MATCH(6,資格集約!$G$211:$G$236,0)),"")))</f>
        <v/>
      </c>
      <c r="AA11">
        <f>IF(入力!$D$13="","",IF(反映項目!$B$11="×","",IFERROR(INDEX(資格集約!$H$211:$H$236,MATCH(7,資格集約!$G$211:$G$236,0)),"")))</f>
        <v/>
      </c>
      <c r="AB11">
        <f>IF(入力!$D$13="","",IF(反映項目!$B$11="×","",IFERROR(INDEX(資格集約!$E$211:$E$236,MATCH(7,資格集約!$G$211:$G$236,0)),"")))</f>
        <v/>
      </c>
      <c r="AC11">
        <f>IF(入力!$D$13="","",IF(反映項目!$B$11="×","",IFERROR(INDEX(資格集約!$H$211:$H$236,MATCH(8,資格集約!$G$211:$G$236,0)),"")))</f>
        <v/>
      </c>
      <c r="AD11">
        <f>IF(入力!$D$13="","",IF(反映項目!$B$11="×","",IFERROR(INDEX(資格集約!$E$211:$E$236,MATCH(8,資格集約!$G$211:$G$236,0)),"")))</f>
        <v/>
      </c>
      <c r="AE11">
        <f>IF(入力!$D$13="","",IF(反映項目!$B$11="×","",IFERROR(INDEX(資格集約!$H$211:$H$236,MATCH(9,資格集約!$G$211:$G$236,0)),"")))</f>
        <v/>
      </c>
      <c r="AF11">
        <f>IF(入力!$D$13="","",IF(反映項目!$B$11="×","",IFERROR(INDEX(資格集約!$E$211:$E$236,MATCH(9,資格集約!$G$211:$G$236,0)),"")))</f>
        <v/>
      </c>
      <c r="AG11">
        <f>IF(入力!$D$13="","",IF(反映項目!$B$11="×","",IFERROR(INDEX(資格集約!$H$211:$H$236,MATCH(10,資格集約!$G$211:$G$236,0)),"")))</f>
        <v/>
      </c>
      <c r="AH11">
        <f>IF(入力!$D$13="","",IF(反映項目!$B$11="×","",IFERROR(INDEX(資格集約!$E$211:$E$236,MATCH(10,資格集約!$G$211:$G$236,0)),"")))</f>
        <v/>
      </c>
      <c r="AI11">
        <f>IF(入力!$D$13="","",IF(反映項目!$B$11="×","",IFERROR(INDEX(資格集約!$H$211:$H$236,MATCH(11,資格集約!$G$211:$G$236,0)),"")))</f>
        <v/>
      </c>
      <c r="AJ11">
        <f>IF(入力!$D$13="","",IF(反映項目!$B$11="×","",IFERROR(INDEX(資格集約!$E$211:$E$236,MATCH(11,資格集約!$G$211:$G$236,0)),"")))</f>
        <v/>
      </c>
      <c r="AK11">
        <f>IF(入力!$D$13="","",IF(反映項目!$B$11="×","",IFERROR(INDEX(資格集約!$H$211:$H$236,MATCH(12,資格集約!$G$211:$G$236,0)),"")))</f>
        <v/>
      </c>
      <c r="AL11">
        <f>IF(入力!$D$13="","",IF(反映項目!$B$11="×","",IFERROR(INDEX(資格集約!$E$211:$E$236,MATCH(12,資格集約!$G$211:$G$236,0)),"")))</f>
        <v/>
      </c>
      <c r="AM11">
        <f>IF(入力!$D$13="","",IF(反映項目!$B$11="×","",IFERROR(INDEX(資格集約!$H$211:$H$236,MATCH(13,資格集約!$G$211:$G$236,0)),"")))</f>
        <v/>
      </c>
      <c r="AN11">
        <f>IF(入力!$D$13="","",IF(反映項目!$B$11="×","",IFERROR(INDEX(資格集約!$E$211:$E$236,MATCH(13,資格集約!$G$211:$G$236,0)),"")))</f>
        <v/>
      </c>
      <c r="AO11">
        <f>IF(入力!$D$13="","",IF(反映項目!$B$11="×","",IFERROR(INDEX(資格集約!$H$211:$H$236,MATCH(14,資格集約!$G$211:$G$236,0)),"")))</f>
        <v/>
      </c>
      <c r="AP11">
        <f>IF(入力!$D$13="","",IF(反映項目!$B$11="×","",IFERROR(INDEX(資格集約!$E$211:$E$236,MATCH(14,資格集約!$G$211:$G$236,0)),"")))</f>
        <v/>
      </c>
      <c r="AQ11">
        <f>IF(入力!$D$13="","",IF(反映項目!$B$11="×","",IFERROR(INDEX(資格集約!$H$211:$H$236,MATCH(15,資格集約!$G$211:$G$236,0)),"")))</f>
        <v/>
      </c>
      <c r="AR11">
        <f>IF(入力!$D$13="","",IF(反映項目!$B$11="×","",IFERROR(INDEX(資格集約!$E$211:$E$236,MATCH(15,資格集約!$G$211:$G$236,0)),"")))</f>
        <v/>
      </c>
      <c r="AS11">
        <f>IF(入力!$D$13="","",IF(反映項目!$B$11="×","",IFERROR(INDEX(資格集約!$H$211:$H$236,MATCH(16,資格集約!$G$211:$G$236,0)),"")))</f>
        <v/>
      </c>
      <c r="AT11">
        <f>IF(入力!$D$13="","",IF(反映項目!$B$11="×","",IFERROR(INDEX(資格集約!$E$211:$E$236,MATCH(16,資格集約!$G$211:$G$236,0)),"")))</f>
        <v/>
      </c>
      <c r="AU11">
        <f>IF(入力!$D$13="","",IF(反映項目!$B$11="×","",IFERROR(INDEX(資格集約!$H$211:$H$236,MATCH(17,資格集約!$G$211:$G$236,0)),"")))</f>
        <v/>
      </c>
      <c r="AV11">
        <f>IF(入力!$D$13="","",IF(反映項目!$B$11="×","",IFERROR(INDEX(資格集約!$E$211:$E$236,MATCH(17,資格集約!$G$211:$G$236,0)),"")))</f>
        <v/>
      </c>
      <c r="AW11">
        <f>IF(入力!$D$13="","",IF(反映項目!$B$11="×","",IFERROR(INDEX(資格集約!$H$211:$H$236,MATCH(18,資格集約!$G$211:$G$236,0)),"")))</f>
        <v/>
      </c>
      <c r="AX11">
        <f>IF(入力!$D$13="","",IF(反映項目!$B$11="×","",IFERROR(INDEX(資格集約!$E$211:$E$236,MATCH(18,資格集約!$G$211:$G$236,0)),"")))</f>
        <v/>
      </c>
      <c r="AY11">
        <f>IF(入力!$D$13="","",IF(反映項目!$B$11="×","",IFERROR(INDEX(資格集約!$H$211:$H$236,MATCH(19,資格集約!$G$211:$G$236,0)),"")))</f>
        <v/>
      </c>
      <c r="AZ11">
        <f>IF(入力!$D$13="","",IF(反映項目!$B$11="×","",IFERROR(INDEX(資格集約!$E$211:$E$236,MATCH(19,資格集約!$G$211:$G$236,0)),"")))</f>
        <v/>
      </c>
      <c r="BA11">
        <f>IF(入力!$D$13="","",IF(反映項目!$B$11="×","",IFERROR(INDEX(資格集約!$H$211:$H$236,MATCH(20,資格集約!$G$211:$G$236,0)),"")))</f>
        <v/>
      </c>
      <c r="BB11">
        <f>IF(入力!$D$13="","",IF(反映項目!$B$11="×","",IFERROR(INDEX(資格集約!$E$211:$E$236,MATCH(20,資格集約!$G$211:$G$236,0)),"")))</f>
        <v/>
      </c>
      <c r="BC11">
        <f>IF(入力!$D$13="","",IF(反映項目!$B$11="×","",IFERROR(INDEX(資格集約!$H$211:$H$236,MATCH(21,資格集約!$G$211:$G$236,0)),"")))</f>
        <v/>
      </c>
      <c r="BD11">
        <f>IF(入力!$D$13="","",IF(反映項目!$B$11="×","",IFERROR(INDEX(資格集約!$E$211:$E$236,MATCH(21,資格集約!$G$211:$G$236,0)),"")))</f>
        <v/>
      </c>
      <c r="BE11">
        <f>IF(入力!$D$13="","",IF(反映項目!$B$11="×","",IFERROR(INDEX(資格集約!$H$211:$H$236,MATCH(22,資格集約!$G$211:$G$236,0)),"")))</f>
        <v/>
      </c>
      <c r="BF11">
        <f>IF(入力!$D$13="","",IF(反映項目!$B$11="×","",IFERROR(INDEX(資格集約!$E$211:$E$236,MATCH(22,資格集約!$G$211:$G$236,0)),"")))</f>
        <v/>
      </c>
      <c r="BG11">
        <f>IF(入力!$D$13="","",IF(反映項目!$B$11="×","",IFERROR(INDEX(資格集約!$H$211:$H$236,MATCH(23,資格集約!$G$211:$G$236,0)),"")))</f>
        <v/>
      </c>
      <c r="BH11">
        <f>IF(入力!$D$13="","",IF(反映項目!$B$11="×","",IFERROR(INDEX(資格集約!$E$211:$E$236,MATCH(23,資格集約!$G$211:$G$236,0)),"")))</f>
        <v/>
      </c>
      <c r="BI11">
        <f>IF(入力!$D$13="","",IF(反映項目!$B$11="×","",IFERROR(INDEX(資格集約!$H$211:$H$236,MATCH(24,資格集約!$G$211:$G$236,0)),"")))</f>
        <v/>
      </c>
      <c r="BJ11">
        <f>IF(入力!$D$13="","",IF(反映項目!$B$11="×","",IFERROR(INDEX(資格集約!$E$211:$E$236,MATCH(24,資格集約!$G$211:$G$236,0)),"")))</f>
        <v/>
      </c>
      <c r="BK11">
        <f>IF(入力!$D$13="","",IF(反映項目!$B$11="×","",IFERROR(INDEX(資格集約!$H$211:$H$236,MATCH(25,資格集約!$G$211:$G$236,0)),"")))</f>
        <v/>
      </c>
      <c r="BL11">
        <f>IF(入力!$D$13="","",IF(反映項目!$B$11="×","",IFERROR(INDEX(資格集約!$E$211:$E$236,MATCH(25,資格集約!$G$211:$G$236,0)),"")))</f>
        <v/>
      </c>
      <c r="BM11">
        <f>IF(入力!$D$13="","",IF(反映項目!$B$11="×","",IFERROR(INDEX(資格集約!$H$211:$H$236,MATCH(26,資格集約!$G$211:$G$236,0)),"")))</f>
        <v/>
      </c>
      <c r="BN11">
        <f>IF(入力!$D$13="","",IF(反映項目!$B$11="×","",IFERROR(INDEX(資格集約!$E$211:$E$236,MATCH(26,資格集約!$G$211:$G$236,0)),"")))</f>
        <v/>
      </c>
      <c r="BO11">
        <f>IF(入力!$D$13="","",IF(OR(反映項目!$B$12="×",入力!$Z$13=""),"",入力!$Z$13))</f>
        <v/>
      </c>
      <c r="BP11">
        <f>IF(入力!$D$13="","",IF(OR(反映項目!$B$13="×",入力!$AA$13=""),"",入力!$AA$13))</f>
        <v/>
      </c>
      <c r="BQ11">
        <f>IF(入力!$D$13="","",IF(OR(反映項目!$B$15="×",入力!$AF$13=""),"",入力!$AF$13))</f>
        <v/>
      </c>
      <c r="BR11">
        <f>IF(入力!$D$13="","",IF(OR(反映項目!$B$14="×",N($BZ$11)=0),"",YEAR($BZ$11)-IF($BZ$11&gt;=DATE(2019,5,1),2018,1988)))&amp;""</f>
        <v/>
      </c>
      <c r="BS11">
        <f>IF(入力!$D$13="","",IF(OR(反映項目!$B$14="×",N($BZ$11)=0),"",MONTH($BZ$11)))&amp;""</f>
        <v/>
      </c>
      <c r="BT11">
        <f>IF(入力!$D$13="","",IF(OR(反映項目!$B$14="×",入力!$AC$13=""),"",入力!$AC$13))</f>
        <v/>
      </c>
      <c r="BU11">
        <f>IF(入力!$D$13="","",IF(OR(反映項目!$B$14="×",N($CA$11)=0),"",YEAR($CA$11)-IF($CA$11&gt;=DATE(2019,5,1),2018,1988)))&amp;""</f>
        <v/>
      </c>
      <c r="BV11">
        <f>IF(入力!$D$13="","",IF(OR(反映項目!$B$14="×",N($CA$11)=0),"",MONTH($CA$11)))&amp;""</f>
        <v/>
      </c>
      <c r="BW11">
        <f>IF(入力!$D$13="","",IF(OR(反映項目!$B$14="×",入力!$AE$13=""),"",入力!$AE$13))</f>
        <v/>
      </c>
      <c r="BY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Z11">
        <f>IF(入力!$D$13="","",IF(入力!$AB$13="","",IF(ISNUMBER(入力!$AB$13),入力!$AB$13,IFERROR(IF(OR(LEFT(入力!$AB$13,2)="令和",LEFT(入力!$AB$13,2)="平成",LEFT(入力!$AB$13,2)="昭和",LEFT(入力!$AB$13,2)="大正"),DATE(VALUE(MID(入力!$AB$13,3,FIND("年",入力!$AB$13)-3))+IF(LEFT(入力!$AB$13,2)="令和",2018,IF(LEFT(入力!$AB$13,2)="平成",1988,IF(LEFT(入力!$AB$13,2)="昭和",1925,IF(LEFT(入力!$AB$13,2)="大正",1911,0)))),VALUE(MID(入力!$AB$13,FIND("年",入力!$AB$13)+1,FIND("月",入力!$AB$13)-FIND("年",入力!$AB$13)-1)),IFERROR(VALUE(SUBSTITUTE(MID(入力!$AB$13,FIND("月",入力!$AB$13)+1,10),"日","")),1)),DATE(VALUE(TRIM(MID(SUBSTITUTE(SUBSTITUTE(SUBSTITUTE(SUBSTITUTE(SUBSTITUTE(SUBSTITUTE(入力!$AB$13,"年","/"),"月","/"),"日",""),"-","/"),".","/"),"/",REPT(" ",50)),1,50))),VALUE(TRIM(MID(SUBSTITUTE(SUBSTITUTE(SUBSTITUTE(SUBSTITUTE(SUBSTITUTE(SUBSTITUTE(入力!$AB$13,"年","/"),"月","/"),"日",""),"-","/"),".","/"),"/",REPT(" ",50)),51,50))),IFERROR(VALUE(TRIM(MID(SUBSTITUTE(SUBSTITUTE(SUBSTITUTE(SUBSTITUTE(SUBSTITUTE(SUBSTITUTE(入力!$AB$13,"年","/"),"月","/"),"日",""),"-","/"),".","/"),"/",REPT(" ",50)),101,50))),1))),IFERROR(DATEVALUE(入力!$AB$13),"")))))</f>
        <v/>
      </c>
      <c r="CA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CB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amp;IF($AR11="","",CHAR(10)&amp;$AQ11)&amp;IF($AT11="","",CHAR(10)&amp;$AS11)&amp;IF($AV11="","",CHAR(10)&amp;$AU11)&amp;IF($AX11="","",CHAR(10)&amp;$AW11)&amp;IF($AZ11="","",CHAR(10)&amp;$AY11)&amp;IF($BB11="","",CHAR(10)&amp;$BA11)&amp;IF($BD11="","",CHAR(10)&amp;$BC11)&amp;IF($BF11="","",CHAR(10)&amp;$BE11)&amp;IF($BH11="","",CHAR(10)&amp;$BG11)&amp;IF($BJ11="","",CHAR(10)&amp;$BI11)&amp;IF($BL11="","",CHAR(10)&amp;$BK11)&amp;IF($BN11="","",CHAR(10)&amp;$BM11))</f>
        <v/>
      </c>
      <c r="CC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amp;IF($AR11="","",CHAR(10)&amp;$AR11)&amp;IF($AT11="","",CHAR(10)&amp;$AT11)&amp;IF($AV11="","",CHAR(10)&amp;$AV11)&amp;IF($AX11="","",CHAR(10)&amp;$AX11)&amp;IF($AZ11="","",CHAR(10)&amp;$AZ11)&amp;IF($BB11="","",CHAR(10)&amp;$BB11)&amp;IF($BD11="","",CHAR(10)&amp;$BD11)&amp;IF($BF11="","",CHAR(10)&amp;$BF11)&amp;IF($BH11="","",CHAR(10)&amp;$BH11)&amp;IF($BJ11="","",CHAR(10)&amp;$BJ11)&amp;IF($BL11="","",CHAR(10)&amp;$BL11)&amp;IF($BN11="","",CHAR(10)&amp;$BN11))</f>
        <v/>
      </c>
      <c r="CD11">
        <f>IF(入力!$D$13="","",IF($P11="",0,1)+IF($R11="",0,1)+IF($T11="",0,1)+IF($V11="",0,1)+IF($X11="",0,1)+IF($Z11="",0,1)+IF($AB11="",0,1)+IF($AD11="",0,1)+IF($AF11="",0,1)+IF($AH11="",0,1)+IF($AJ11="",0,1)+IF($AL11="",0,1)+IF($AN11="",0,1)+IF($AP11="",0,1)+IF($AR11="",0,1)+IF($AT11="",0,1)+IF($AV11="",0,1)+IF($AX11="",0,1)+IF($AZ11="",0,1)+IF($BB11="",0,1)+IF($BD11="",0,1)+IF($BF11="",0,1)+IF($BH11="",0,1)+IF($BJ11="",0,1)+IF($BL11="",0,1)+IF($BN11="",0,1))</f>
        <v/>
      </c>
    </row>
    <row r="12">
      <c r="A12" t="n">
        <v>10</v>
      </c>
      <c r="B12">
        <f>IF(入力!$D$14="","",IF(OR(反映項目!$B$4="×",入力!$D$14=""),"",入力!$D$14))</f>
        <v/>
      </c>
      <c r="C12">
        <f>IF(入力!$D$14="","",IF(OR(反映項目!$B$5="×",入力!$E$14=""),"",入力!$E$14))</f>
        <v/>
      </c>
      <c r="D12">
        <f>IF(入力!$D$14="","",IF(OR(反映項目!$B$6="×",N($BY$12)=0),"",YEAR($BY$12)-IF($BY$12&gt;=DATE(2019,5,1),2018,IF($BY$12&gt;=DATE(1989,1,8),1988,1925))))&amp;""</f>
        <v/>
      </c>
      <c r="E12">
        <f>IF(入力!$D$14="","",IF(OR(反映項目!$B$6="×",N($BY$12)=0),"",MONTH($BY$12)))&amp;""</f>
        <v/>
      </c>
      <c r="F12">
        <f>IF(入力!$D$14="","",IF(OR(反映項目!$B$6="×",N($BY$12)=0),"",DAY($BY$12)))&amp;""</f>
        <v/>
      </c>
      <c r="G12">
        <f>IF(入力!$D$14="","",IF(OR(反映項目!$B$6="×",OR(N($BY$12)=0,N(設定!$B$3)=0)),"",DATEDIF($BY$12,設定!$B$3,"Y")))&amp;""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IF(入力!$D$14="","",IF(OR(反映項目!$B$10="×",入力!$K$14=""),"",入力!$K$14))</f>
        <v/>
      </c>
      <c r="M12">
        <f>IF(入力!$D$14="","",IF(OR(反映項目!$B$10="×",入力!$L$14=""),"",入力!$L$14))</f>
        <v/>
      </c>
      <c r="N12">
        <f>IF(入力!$D$14="","",設定!$B$4&amp;CHAR(10)&amp;IF(入力!$M$14="",設定!$B$5,入力!$M$14))</f>
        <v/>
      </c>
      <c r="O12">
        <f>IF(入力!$D$14="","",IF(反映項目!$B$11="×","",IFERROR(INDEX(資格集約!$H$237:$H$262,MATCH(1,資格集約!$G$237:$G$262,0)),"")))</f>
        <v/>
      </c>
      <c r="P12">
        <f>IF(入力!$D$14="","",IF(反映項目!$B$11="×","",IFERROR(INDEX(資格集約!$E$237:$E$262,MATCH(1,資格集約!$G$237:$G$262,0)),"")))</f>
        <v/>
      </c>
      <c r="Q12">
        <f>IF(入力!$D$14="","",IF(反映項目!$B$11="×","",IFERROR(INDEX(資格集約!$H$237:$H$262,MATCH(2,資格集約!$G$237:$G$262,0)),"")))</f>
        <v/>
      </c>
      <c r="R12">
        <f>IF(入力!$D$14="","",IF(反映項目!$B$11="×","",IFERROR(INDEX(資格集約!$E$237:$E$262,MATCH(2,資格集約!$G$237:$G$262,0)),"")))</f>
        <v/>
      </c>
      <c r="S12">
        <f>IF(入力!$D$14="","",IF(反映項目!$B$11="×","",IFERROR(INDEX(資格集約!$H$237:$H$262,MATCH(3,資格集約!$G$237:$G$262,0)),"")))</f>
        <v/>
      </c>
      <c r="T12">
        <f>IF(入力!$D$14="","",IF(反映項目!$B$11="×","",IFERROR(INDEX(資格集約!$E$237:$E$262,MATCH(3,資格集約!$G$237:$G$262,0)),"")))</f>
        <v/>
      </c>
      <c r="U12">
        <f>IF(入力!$D$14="","",IF(反映項目!$B$11="×","",IFERROR(INDEX(資格集約!$H$237:$H$262,MATCH(4,資格集約!$G$237:$G$262,0)),"")))</f>
        <v/>
      </c>
      <c r="V12">
        <f>IF(入力!$D$14="","",IF(反映項目!$B$11="×","",IFERROR(INDEX(資格集約!$E$237:$E$262,MATCH(4,資格集約!$G$237:$G$262,0)),"")))</f>
        <v/>
      </c>
      <c r="W12">
        <f>IF(入力!$D$14="","",IF(反映項目!$B$11="×","",IFERROR(INDEX(資格集約!$H$237:$H$262,MATCH(5,資格集約!$G$237:$G$262,0)),"")))</f>
        <v/>
      </c>
      <c r="X12">
        <f>IF(入力!$D$14="","",IF(反映項目!$B$11="×","",IFERROR(INDEX(資格集約!$E$237:$E$262,MATCH(5,資格集約!$G$237:$G$262,0)),"")))</f>
        <v/>
      </c>
      <c r="Y12">
        <f>IF(入力!$D$14="","",IF(反映項目!$B$11="×","",IFERROR(INDEX(資格集約!$H$237:$H$262,MATCH(6,資格集約!$G$237:$G$262,0)),"")))</f>
        <v/>
      </c>
      <c r="Z12">
        <f>IF(入力!$D$14="","",IF(反映項目!$B$11="×","",IFERROR(INDEX(資格集約!$E$237:$E$262,MATCH(6,資格集約!$G$237:$G$262,0)),"")))</f>
        <v/>
      </c>
      <c r="AA12">
        <f>IF(入力!$D$14="","",IF(反映項目!$B$11="×","",IFERROR(INDEX(資格集約!$H$237:$H$262,MATCH(7,資格集約!$G$237:$G$262,0)),"")))</f>
        <v/>
      </c>
      <c r="AB12">
        <f>IF(入力!$D$14="","",IF(反映項目!$B$11="×","",IFERROR(INDEX(資格集約!$E$237:$E$262,MATCH(7,資格集約!$G$237:$G$262,0)),"")))</f>
        <v/>
      </c>
      <c r="AC12">
        <f>IF(入力!$D$14="","",IF(反映項目!$B$11="×","",IFERROR(INDEX(資格集約!$H$237:$H$262,MATCH(8,資格集約!$G$237:$G$262,0)),"")))</f>
        <v/>
      </c>
      <c r="AD12">
        <f>IF(入力!$D$14="","",IF(反映項目!$B$11="×","",IFERROR(INDEX(資格集約!$E$237:$E$262,MATCH(8,資格集約!$G$237:$G$262,0)),"")))</f>
        <v/>
      </c>
      <c r="AE12">
        <f>IF(入力!$D$14="","",IF(反映項目!$B$11="×","",IFERROR(INDEX(資格集約!$H$237:$H$262,MATCH(9,資格集約!$G$237:$G$262,0)),"")))</f>
        <v/>
      </c>
      <c r="AF12">
        <f>IF(入力!$D$14="","",IF(反映項目!$B$11="×","",IFERROR(INDEX(資格集約!$E$237:$E$262,MATCH(9,資格集約!$G$237:$G$262,0)),"")))</f>
        <v/>
      </c>
      <c r="AG12">
        <f>IF(入力!$D$14="","",IF(反映項目!$B$11="×","",IFERROR(INDEX(資格集約!$H$237:$H$262,MATCH(10,資格集約!$G$237:$G$262,0)),"")))</f>
        <v/>
      </c>
      <c r="AH12">
        <f>IF(入力!$D$14="","",IF(反映項目!$B$11="×","",IFERROR(INDEX(資格集約!$E$237:$E$262,MATCH(10,資格集約!$G$237:$G$262,0)),"")))</f>
        <v/>
      </c>
      <c r="AI12">
        <f>IF(入力!$D$14="","",IF(反映項目!$B$11="×","",IFERROR(INDEX(資格集約!$H$237:$H$262,MATCH(11,資格集約!$G$237:$G$262,0)),"")))</f>
        <v/>
      </c>
      <c r="AJ12">
        <f>IF(入力!$D$14="","",IF(反映項目!$B$11="×","",IFERROR(INDEX(資格集約!$E$237:$E$262,MATCH(11,資格集約!$G$237:$G$262,0)),"")))</f>
        <v/>
      </c>
      <c r="AK12">
        <f>IF(入力!$D$14="","",IF(反映項目!$B$11="×","",IFERROR(INDEX(資格集約!$H$237:$H$262,MATCH(12,資格集約!$G$237:$G$262,0)),"")))</f>
        <v/>
      </c>
      <c r="AL12">
        <f>IF(入力!$D$14="","",IF(反映項目!$B$11="×","",IFERROR(INDEX(資格集約!$E$237:$E$262,MATCH(12,資格集約!$G$237:$G$262,0)),"")))</f>
        <v/>
      </c>
      <c r="AM12">
        <f>IF(入力!$D$14="","",IF(反映項目!$B$11="×","",IFERROR(INDEX(資格集約!$H$237:$H$262,MATCH(13,資格集約!$G$237:$G$262,0)),"")))</f>
        <v/>
      </c>
      <c r="AN12">
        <f>IF(入力!$D$14="","",IF(反映項目!$B$11="×","",IFERROR(INDEX(資格集約!$E$237:$E$262,MATCH(13,資格集約!$G$237:$G$262,0)),"")))</f>
        <v/>
      </c>
      <c r="AO12">
        <f>IF(入力!$D$14="","",IF(反映項目!$B$11="×","",IFERROR(INDEX(資格集約!$H$237:$H$262,MATCH(14,資格集約!$G$237:$G$262,0)),"")))</f>
        <v/>
      </c>
      <c r="AP12">
        <f>IF(入力!$D$14="","",IF(反映項目!$B$11="×","",IFERROR(INDEX(資格集約!$E$237:$E$262,MATCH(14,資格集約!$G$237:$G$262,0)),"")))</f>
        <v/>
      </c>
      <c r="AQ12">
        <f>IF(入力!$D$14="","",IF(反映項目!$B$11="×","",IFERROR(INDEX(資格集約!$H$237:$H$262,MATCH(15,資格集約!$G$237:$G$262,0)),"")))</f>
        <v/>
      </c>
      <c r="AR12">
        <f>IF(入力!$D$14="","",IF(反映項目!$B$11="×","",IFERROR(INDEX(資格集約!$E$237:$E$262,MATCH(15,資格集約!$G$237:$G$262,0)),"")))</f>
        <v/>
      </c>
      <c r="AS12">
        <f>IF(入力!$D$14="","",IF(反映項目!$B$11="×","",IFERROR(INDEX(資格集約!$H$237:$H$262,MATCH(16,資格集約!$G$237:$G$262,0)),"")))</f>
        <v/>
      </c>
      <c r="AT12">
        <f>IF(入力!$D$14="","",IF(反映項目!$B$11="×","",IFERROR(INDEX(資格集約!$E$237:$E$262,MATCH(16,資格集約!$G$237:$G$262,0)),"")))</f>
        <v/>
      </c>
      <c r="AU12">
        <f>IF(入力!$D$14="","",IF(反映項目!$B$11="×","",IFERROR(INDEX(資格集約!$H$237:$H$262,MATCH(17,資格集約!$G$237:$G$262,0)),"")))</f>
        <v/>
      </c>
      <c r="AV12">
        <f>IF(入力!$D$14="","",IF(反映項目!$B$11="×","",IFERROR(INDEX(資格集約!$E$237:$E$262,MATCH(17,資格集約!$G$237:$G$262,0)),"")))</f>
        <v/>
      </c>
      <c r="AW12">
        <f>IF(入力!$D$14="","",IF(反映項目!$B$11="×","",IFERROR(INDEX(資格集約!$H$237:$H$262,MATCH(18,資格集約!$G$237:$G$262,0)),"")))</f>
        <v/>
      </c>
      <c r="AX12">
        <f>IF(入力!$D$14="","",IF(反映項目!$B$11="×","",IFERROR(INDEX(資格集約!$E$237:$E$262,MATCH(18,資格集約!$G$237:$G$262,0)),"")))</f>
        <v/>
      </c>
      <c r="AY12">
        <f>IF(入力!$D$14="","",IF(反映項目!$B$11="×","",IFERROR(INDEX(資格集約!$H$237:$H$262,MATCH(19,資格集約!$G$237:$G$262,0)),"")))</f>
        <v/>
      </c>
      <c r="AZ12">
        <f>IF(入力!$D$14="","",IF(反映項目!$B$11="×","",IFERROR(INDEX(資格集約!$E$237:$E$262,MATCH(19,資格集約!$G$237:$G$262,0)),"")))</f>
        <v/>
      </c>
      <c r="BA12">
        <f>IF(入力!$D$14="","",IF(反映項目!$B$11="×","",IFERROR(INDEX(資格集約!$H$237:$H$262,MATCH(20,資格集約!$G$237:$G$262,0)),"")))</f>
        <v/>
      </c>
      <c r="BB12">
        <f>IF(入力!$D$14="","",IF(反映項目!$B$11="×","",IFERROR(INDEX(資格集約!$E$237:$E$262,MATCH(20,資格集約!$G$237:$G$262,0)),"")))</f>
        <v/>
      </c>
      <c r="BC12">
        <f>IF(入力!$D$14="","",IF(反映項目!$B$11="×","",IFERROR(INDEX(資格集約!$H$237:$H$262,MATCH(21,資格集約!$G$237:$G$262,0)),"")))</f>
        <v/>
      </c>
      <c r="BD12">
        <f>IF(入力!$D$14="","",IF(反映項目!$B$11="×","",IFERROR(INDEX(資格集約!$E$237:$E$262,MATCH(21,資格集約!$G$237:$G$262,0)),"")))</f>
        <v/>
      </c>
      <c r="BE12">
        <f>IF(入力!$D$14="","",IF(反映項目!$B$11="×","",IFERROR(INDEX(資格集約!$H$237:$H$262,MATCH(22,資格集約!$G$237:$G$262,0)),"")))</f>
        <v/>
      </c>
      <c r="BF12">
        <f>IF(入力!$D$14="","",IF(反映項目!$B$11="×","",IFERROR(INDEX(資格集約!$E$237:$E$262,MATCH(22,資格集約!$G$237:$G$262,0)),"")))</f>
        <v/>
      </c>
      <c r="BG12">
        <f>IF(入力!$D$14="","",IF(反映項目!$B$11="×","",IFERROR(INDEX(資格集約!$H$237:$H$262,MATCH(23,資格集約!$G$237:$G$262,0)),"")))</f>
        <v/>
      </c>
      <c r="BH12">
        <f>IF(入力!$D$14="","",IF(反映項目!$B$11="×","",IFERROR(INDEX(資格集約!$E$237:$E$262,MATCH(23,資格集約!$G$237:$G$262,0)),"")))</f>
        <v/>
      </c>
      <c r="BI12">
        <f>IF(入力!$D$14="","",IF(反映項目!$B$11="×","",IFERROR(INDEX(資格集約!$H$237:$H$262,MATCH(24,資格集約!$G$237:$G$262,0)),"")))</f>
        <v/>
      </c>
      <c r="BJ12">
        <f>IF(入力!$D$14="","",IF(反映項目!$B$11="×","",IFERROR(INDEX(資格集約!$E$237:$E$262,MATCH(24,資格集約!$G$237:$G$262,0)),"")))</f>
        <v/>
      </c>
      <c r="BK12">
        <f>IF(入力!$D$14="","",IF(反映項目!$B$11="×","",IFERROR(INDEX(資格集約!$H$237:$H$262,MATCH(25,資格集約!$G$237:$G$262,0)),"")))</f>
        <v/>
      </c>
      <c r="BL12">
        <f>IF(入力!$D$14="","",IF(反映項目!$B$11="×","",IFERROR(INDEX(資格集約!$E$237:$E$262,MATCH(25,資格集約!$G$237:$G$262,0)),"")))</f>
        <v/>
      </c>
      <c r="BM12">
        <f>IF(入力!$D$14="","",IF(反映項目!$B$11="×","",IFERROR(INDEX(資格集約!$H$237:$H$262,MATCH(26,資格集約!$G$237:$G$262,0)),"")))</f>
        <v/>
      </c>
      <c r="BN12">
        <f>IF(入力!$D$14="","",IF(反映項目!$B$11="×","",IFERROR(INDEX(資格集約!$E$237:$E$262,MATCH(26,資格集約!$G$237:$G$262,0)),"")))</f>
        <v/>
      </c>
      <c r="BO12">
        <f>IF(入力!$D$14="","",IF(OR(反映項目!$B$12="×",入力!$Z$14=""),"",入力!$Z$14))</f>
        <v/>
      </c>
      <c r="BP12">
        <f>IF(入力!$D$14="","",IF(OR(反映項目!$B$13="×",入力!$AA$14=""),"",入力!$AA$14))</f>
        <v/>
      </c>
      <c r="BQ12">
        <f>IF(入力!$D$14="","",IF(OR(反映項目!$B$15="×",入力!$AF$14=""),"",入力!$AF$14))</f>
        <v/>
      </c>
      <c r="BR12">
        <f>IF(入力!$D$14="","",IF(OR(反映項目!$B$14="×",N($BZ$12)=0),"",YEAR($BZ$12)-IF($BZ$12&gt;=DATE(2019,5,1),2018,1988)))&amp;""</f>
        <v/>
      </c>
      <c r="BS12">
        <f>IF(入力!$D$14="","",IF(OR(反映項目!$B$14="×",N($BZ$12)=0),"",MONTH($BZ$12)))&amp;""</f>
        <v/>
      </c>
      <c r="BT12">
        <f>IF(入力!$D$14="","",IF(OR(反映項目!$B$14="×",入力!$AC$14=""),"",入力!$AC$14))</f>
        <v/>
      </c>
      <c r="BU12">
        <f>IF(入力!$D$14="","",IF(OR(反映項目!$B$14="×",N($CA$12)=0),"",YEAR($CA$12)-IF($CA$12&gt;=DATE(2019,5,1),2018,1988)))&amp;""</f>
        <v/>
      </c>
      <c r="BV12">
        <f>IF(入力!$D$14="","",IF(OR(反映項目!$B$14="×",N($CA$12)=0),"",MONTH($CA$12)))&amp;""</f>
        <v/>
      </c>
      <c r="BW12">
        <f>IF(入力!$D$14="","",IF(OR(反映項目!$B$14="×",入力!$AE$14=""),"",入力!$AE$14))</f>
        <v/>
      </c>
      <c r="BY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Z12">
        <f>IF(入力!$D$14="","",IF(入力!$AB$14="","",IF(ISNUMBER(入力!$AB$14),入力!$AB$14,IFERROR(IF(OR(LEFT(入力!$AB$14,2)="令和",LEFT(入力!$AB$14,2)="平成",LEFT(入力!$AB$14,2)="昭和",LEFT(入力!$AB$14,2)="大正"),DATE(VALUE(MID(入力!$AB$14,3,FIND("年",入力!$AB$14)-3))+IF(LEFT(入力!$AB$14,2)="令和",2018,IF(LEFT(入力!$AB$14,2)="平成",1988,IF(LEFT(入力!$AB$14,2)="昭和",1925,IF(LEFT(入力!$AB$14,2)="大正",1911,0)))),VALUE(MID(入力!$AB$14,FIND("年",入力!$AB$14)+1,FIND("月",入力!$AB$14)-FIND("年",入力!$AB$14)-1)),IFERROR(VALUE(SUBSTITUTE(MID(入力!$AB$14,FIND("月",入力!$AB$14)+1,10),"日","")),1)),DATE(VALUE(TRIM(MID(SUBSTITUTE(SUBSTITUTE(SUBSTITUTE(SUBSTITUTE(SUBSTITUTE(SUBSTITUTE(入力!$AB$14,"年","/"),"月","/"),"日",""),"-","/"),".","/"),"/",REPT(" ",50)),1,50))),VALUE(TRIM(MID(SUBSTITUTE(SUBSTITUTE(SUBSTITUTE(SUBSTITUTE(SUBSTITUTE(SUBSTITUTE(入力!$AB$14,"年","/"),"月","/"),"日",""),"-","/"),".","/"),"/",REPT(" ",50)),51,50))),IFERROR(VALUE(TRIM(MID(SUBSTITUTE(SUBSTITUTE(SUBSTITUTE(SUBSTITUTE(SUBSTITUTE(SUBSTITUTE(入力!$AB$14,"年","/"),"月","/"),"日",""),"-","/"),".","/"),"/",REPT(" ",50)),101,50))),1))),IFERROR(DATEVALUE(入力!$AB$14),"")))))</f>
        <v/>
      </c>
      <c r="CA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CB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amp;IF($AR12="","",CHAR(10)&amp;$AQ12)&amp;IF($AT12="","",CHAR(10)&amp;$AS12)&amp;IF($AV12="","",CHAR(10)&amp;$AU12)&amp;IF($AX12="","",CHAR(10)&amp;$AW12)&amp;IF($AZ12="","",CHAR(10)&amp;$AY12)&amp;IF($BB12="","",CHAR(10)&amp;$BA12)&amp;IF($BD12="","",CHAR(10)&amp;$BC12)&amp;IF($BF12="","",CHAR(10)&amp;$BE12)&amp;IF($BH12="","",CHAR(10)&amp;$BG12)&amp;IF($BJ12="","",CHAR(10)&amp;$BI12)&amp;IF($BL12="","",CHAR(10)&amp;$BK12)&amp;IF($BN12="","",CHAR(10)&amp;$BM12))</f>
        <v/>
      </c>
      <c r="CC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amp;IF($AR12="","",CHAR(10)&amp;$AR12)&amp;IF($AT12="","",CHAR(10)&amp;$AT12)&amp;IF($AV12="","",CHAR(10)&amp;$AV12)&amp;IF($AX12="","",CHAR(10)&amp;$AX12)&amp;IF($AZ12="","",CHAR(10)&amp;$AZ12)&amp;IF($BB12="","",CHAR(10)&amp;$BB12)&amp;IF($BD12="","",CHAR(10)&amp;$BD12)&amp;IF($BF12="","",CHAR(10)&amp;$BF12)&amp;IF($BH12="","",CHAR(10)&amp;$BH12)&amp;IF($BJ12="","",CHAR(10)&amp;$BJ12)&amp;IF($BL12="","",CHAR(10)&amp;$BL12)&amp;IF($BN12="","",CHAR(10)&amp;$BN12))</f>
        <v/>
      </c>
      <c r="CD12">
        <f>IF(入力!$D$14="","",IF($P12="",0,1)+IF($R12="",0,1)+IF($T12="",0,1)+IF($V12="",0,1)+IF($X12="",0,1)+IF($Z12="",0,1)+IF($AB12="",0,1)+IF($AD12="",0,1)+IF($AF12="",0,1)+IF($AH12="",0,1)+IF($AJ12="",0,1)+IF($AL12="",0,1)+IF($AN12="",0,1)+IF($AP12="",0,1)+IF($AR12="",0,1)+IF($AT12="",0,1)+IF($AV12="",0,1)+IF($AX12="",0,1)+IF($AZ12="",0,1)+IF($BB12="",0,1)+IF($BD12="",0,1)+IF($BF12="",0,1)+IF($BH12="",0,1)+IF($BJ12="",0,1)+IF($BL12="",0,1)+IF($BN12="",0,1))</f>
        <v/>
      </c>
    </row>
    <row r="13">
      <c r="A13" t="n">
        <v>11</v>
      </c>
      <c r="B13">
        <f>IF(入力!$D$15="","",IF(OR(反映項目!$B$4="×",入力!$D$15=""),"",入力!$D$15))</f>
        <v/>
      </c>
      <c r="C13">
        <f>IF(入力!$D$15="","",IF(OR(反映項目!$B$5="×",入力!$E$15=""),"",入力!$E$15))</f>
        <v/>
      </c>
      <c r="D13">
        <f>IF(入力!$D$15="","",IF(OR(反映項目!$B$6="×",N($BY$13)=0),"",YEAR($BY$13)-IF($BY$13&gt;=DATE(2019,5,1),2018,IF($BY$13&gt;=DATE(1989,1,8),1988,1925))))&amp;""</f>
        <v/>
      </c>
      <c r="E13">
        <f>IF(入力!$D$15="","",IF(OR(反映項目!$B$6="×",N($BY$13)=0),"",MONTH($BY$13)))&amp;""</f>
        <v/>
      </c>
      <c r="F13">
        <f>IF(入力!$D$15="","",IF(OR(反映項目!$B$6="×",N($BY$13)=0),"",DAY($BY$13)))&amp;""</f>
        <v/>
      </c>
      <c r="G13">
        <f>IF(入力!$D$15="","",IF(OR(反映項目!$B$6="×",OR(N($BY$13)=0,N(設定!$B$3)=0)),"",DATEDIF($BY$13,設定!$B$3,"Y")))&amp;""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IF(入力!$D$15="","",IF(OR(反映項目!$B$10="×",入力!$K$15=""),"",入力!$K$15))</f>
        <v/>
      </c>
      <c r="M13">
        <f>IF(入力!$D$15="","",IF(OR(反映項目!$B$10="×",入力!$L$15=""),"",入力!$L$15))</f>
        <v/>
      </c>
      <c r="N13">
        <f>IF(入力!$D$15="","",設定!$B$4&amp;CHAR(10)&amp;IF(入力!$M$15="",設定!$B$5,入力!$M$15))</f>
        <v/>
      </c>
      <c r="O13">
        <f>IF(入力!$D$15="","",IF(反映項目!$B$11="×","",IFERROR(INDEX(資格集約!$H$263:$H$288,MATCH(1,資格集約!$G$263:$G$288,0)),"")))</f>
        <v/>
      </c>
      <c r="P13">
        <f>IF(入力!$D$15="","",IF(反映項目!$B$11="×","",IFERROR(INDEX(資格集約!$E$263:$E$288,MATCH(1,資格集約!$G$263:$G$288,0)),"")))</f>
        <v/>
      </c>
      <c r="Q13">
        <f>IF(入力!$D$15="","",IF(反映項目!$B$11="×","",IFERROR(INDEX(資格集約!$H$263:$H$288,MATCH(2,資格集約!$G$263:$G$288,0)),"")))</f>
        <v/>
      </c>
      <c r="R13">
        <f>IF(入力!$D$15="","",IF(反映項目!$B$11="×","",IFERROR(INDEX(資格集約!$E$263:$E$288,MATCH(2,資格集約!$G$263:$G$288,0)),"")))</f>
        <v/>
      </c>
      <c r="S13">
        <f>IF(入力!$D$15="","",IF(反映項目!$B$11="×","",IFERROR(INDEX(資格集約!$H$263:$H$288,MATCH(3,資格集約!$G$263:$G$288,0)),"")))</f>
        <v/>
      </c>
      <c r="T13">
        <f>IF(入力!$D$15="","",IF(反映項目!$B$11="×","",IFERROR(INDEX(資格集約!$E$263:$E$288,MATCH(3,資格集約!$G$263:$G$288,0)),"")))</f>
        <v/>
      </c>
      <c r="U13">
        <f>IF(入力!$D$15="","",IF(反映項目!$B$11="×","",IFERROR(INDEX(資格集約!$H$263:$H$288,MATCH(4,資格集約!$G$263:$G$288,0)),"")))</f>
        <v/>
      </c>
      <c r="V13">
        <f>IF(入力!$D$15="","",IF(反映項目!$B$11="×","",IFERROR(INDEX(資格集約!$E$263:$E$288,MATCH(4,資格集約!$G$263:$G$288,0)),"")))</f>
        <v/>
      </c>
      <c r="W13">
        <f>IF(入力!$D$15="","",IF(反映項目!$B$11="×","",IFERROR(INDEX(資格集約!$H$263:$H$288,MATCH(5,資格集約!$G$263:$G$288,0)),"")))</f>
        <v/>
      </c>
      <c r="X13">
        <f>IF(入力!$D$15="","",IF(反映項目!$B$11="×","",IFERROR(INDEX(資格集約!$E$263:$E$288,MATCH(5,資格集約!$G$263:$G$288,0)),"")))</f>
        <v/>
      </c>
      <c r="Y13">
        <f>IF(入力!$D$15="","",IF(反映項目!$B$11="×","",IFERROR(INDEX(資格集約!$H$263:$H$288,MATCH(6,資格集約!$G$263:$G$288,0)),"")))</f>
        <v/>
      </c>
      <c r="Z13">
        <f>IF(入力!$D$15="","",IF(反映項目!$B$11="×","",IFERROR(INDEX(資格集約!$E$263:$E$288,MATCH(6,資格集約!$G$263:$G$288,0)),"")))</f>
        <v/>
      </c>
      <c r="AA13">
        <f>IF(入力!$D$15="","",IF(反映項目!$B$11="×","",IFERROR(INDEX(資格集約!$H$263:$H$288,MATCH(7,資格集約!$G$263:$G$288,0)),"")))</f>
        <v/>
      </c>
      <c r="AB13">
        <f>IF(入力!$D$15="","",IF(反映項目!$B$11="×","",IFERROR(INDEX(資格集約!$E$263:$E$288,MATCH(7,資格集約!$G$263:$G$288,0)),"")))</f>
        <v/>
      </c>
      <c r="AC13">
        <f>IF(入力!$D$15="","",IF(反映項目!$B$11="×","",IFERROR(INDEX(資格集約!$H$263:$H$288,MATCH(8,資格集約!$G$263:$G$288,0)),"")))</f>
        <v/>
      </c>
      <c r="AD13">
        <f>IF(入力!$D$15="","",IF(反映項目!$B$11="×","",IFERROR(INDEX(資格集約!$E$263:$E$288,MATCH(8,資格集約!$G$263:$G$288,0)),"")))</f>
        <v/>
      </c>
      <c r="AE13">
        <f>IF(入力!$D$15="","",IF(反映項目!$B$11="×","",IFERROR(INDEX(資格集約!$H$263:$H$288,MATCH(9,資格集約!$G$263:$G$288,0)),"")))</f>
        <v/>
      </c>
      <c r="AF13">
        <f>IF(入力!$D$15="","",IF(反映項目!$B$11="×","",IFERROR(INDEX(資格集約!$E$263:$E$288,MATCH(9,資格集約!$G$263:$G$288,0)),"")))</f>
        <v/>
      </c>
      <c r="AG13">
        <f>IF(入力!$D$15="","",IF(反映項目!$B$11="×","",IFERROR(INDEX(資格集約!$H$263:$H$288,MATCH(10,資格集約!$G$263:$G$288,0)),"")))</f>
        <v/>
      </c>
      <c r="AH13">
        <f>IF(入力!$D$15="","",IF(反映項目!$B$11="×","",IFERROR(INDEX(資格集約!$E$263:$E$288,MATCH(10,資格集約!$G$263:$G$288,0)),"")))</f>
        <v/>
      </c>
      <c r="AI13">
        <f>IF(入力!$D$15="","",IF(反映項目!$B$11="×","",IFERROR(INDEX(資格集約!$H$263:$H$288,MATCH(11,資格集約!$G$263:$G$288,0)),"")))</f>
        <v/>
      </c>
      <c r="AJ13">
        <f>IF(入力!$D$15="","",IF(反映項目!$B$11="×","",IFERROR(INDEX(資格集約!$E$263:$E$288,MATCH(11,資格集約!$G$263:$G$288,0)),"")))</f>
        <v/>
      </c>
      <c r="AK13">
        <f>IF(入力!$D$15="","",IF(反映項目!$B$11="×","",IFERROR(INDEX(資格集約!$H$263:$H$288,MATCH(12,資格集約!$G$263:$G$288,0)),"")))</f>
        <v/>
      </c>
      <c r="AL13">
        <f>IF(入力!$D$15="","",IF(反映項目!$B$11="×","",IFERROR(INDEX(資格集約!$E$263:$E$288,MATCH(12,資格集約!$G$263:$G$288,0)),"")))</f>
        <v/>
      </c>
      <c r="AM13">
        <f>IF(入力!$D$15="","",IF(反映項目!$B$11="×","",IFERROR(INDEX(資格集約!$H$263:$H$288,MATCH(13,資格集約!$G$263:$G$288,0)),"")))</f>
        <v/>
      </c>
      <c r="AN13">
        <f>IF(入力!$D$15="","",IF(反映項目!$B$11="×","",IFERROR(INDEX(資格集約!$E$263:$E$288,MATCH(13,資格集約!$G$263:$G$288,0)),"")))</f>
        <v/>
      </c>
      <c r="AO13">
        <f>IF(入力!$D$15="","",IF(反映項目!$B$11="×","",IFERROR(INDEX(資格集約!$H$263:$H$288,MATCH(14,資格集約!$G$263:$G$288,0)),"")))</f>
        <v/>
      </c>
      <c r="AP13">
        <f>IF(入力!$D$15="","",IF(反映項目!$B$11="×","",IFERROR(INDEX(資格集約!$E$263:$E$288,MATCH(14,資格集約!$G$263:$G$288,0)),"")))</f>
        <v/>
      </c>
      <c r="AQ13">
        <f>IF(入力!$D$15="","",IF(反映項目!$B$11="×","",IFERROR(INDEX(資格集約!$H$263:$H$288,MATCH(15,資格集約!$G$263:$G$288,0)),"")))</f>
        <v/>
      </c>
      <c r="AR13">
        <f>IF(入力!$D$15="","",IF(反映項目!$B$11="×","",IFERROR(INDEX(資格集約!$E$263:$E$288,MATCH(15,資格集約!$G$263:$G$288,0)),"")))</f>
        <v/>
      </c>
      <c r="AS13">
        <f>IF(入力!$D$15="","",IF(反映項目!$B$11="×","",IFERROR(INDEX(資格集約!$H$263:$H$288,MATCH(16,資格集約!$G$263:$G$288,0)),"")))</f>
        <v/>
      </c>
      <c r="AT13">
        <f>IF(入力!$D$15="","",IF(反映項目!$B$11="×","",IFERROR(INDEX(資格集約!$E$263:$E$288,MATCH(16,資格集約!$G$263:$G$288,0)),"")))</f>
        <v/>
      </c>
      <c r="AU13">
        <f>IF(入力!$D$15="","",IF(反映項目!$B$11="×","",IFERROR(INDEX(資格集約!$H$263:$H$288,MATCH(17,資格集約!$G$263:$G$288,0)),"")))</f>
        <v/>
      </c>
      <c r="AV13">
        <f>IF(入力!$D$15="","",IF(反映項目!$B$11="×","",IFERROR(INDEX(資格集約!$E$263:$E$288,MATCH(17,資格集約!$G$263:$G$288,0)),"")))</f>
        <v/>
      </c>
      <c r="AW13">
        <f>IF(入力!$D$15="","",IF(反映項目!$B$11="×","",IFERROR(INDEX(資格集約!$H$263:$H$288,MATCH(18,資格集約!$G$263:$G$288,0)),"")))</f>
        <v/>
      </c>
      <c r="AX13">
        <f>IF(入力!$D$15="","",IF(反映項目!$B$11="×","",IFERROR(INDEX(資格集約!$E$263:$E$288,MATCH(18,資格集約!$G$263:$G$288,0)),"")))</f>
        <v/>
      </c>
      <c r="AY13">
        <f>IF(入力!$D$15="","",IF(反映項目!$B$11="×","",IFERROR(INDEX(資格集約!$H$263:$H$288,MATCH(19,資格集約!$G$263:$G$288,0)),"")))</f>
        <v/>
      </c>
      <c r="AZ13">
        <f>IF(入力!$D$15="","",IF(反映項目!$B$11="×","",IFERROR(INDEX(資格集約!$E$263:$E$288,MATCH(19,資格集約!$G$263:$G$288,0)),"")))</f>
        <v/>
      </c>
      <c r="BA13">
        <f>IF(入力!$D$15="","",IF(反映項目!$B$11="×","",IFERROR(INDEX(資格集約!$H$263:$H$288,MATCH(20,資格集約!$G$263:$G$288,0)),"")))</f>
        <v/>
      </c>
      <c r="BB13">
        <f>IF(入力!$D$15="","",IF(反映項目!$B$11="×","",IFERROR(INDEX(資格集約!$E$263:$E$288,MATCH(20,資格集約!$G$263:$G$288,0)),"")))</f>
        <v/>
      </c>
      <c r="BC13">
        <f>IF(入力!$D$15="","",IF(反映項目!$B$11="×","",IFERROR(INDEX(資格集約!$H$263:$H$288,MATCH(21,資格集約!$G$263:$G$288,0)),"")))</f>
        <v/>
      </c>
      <c r="BD13">
        <f>IF(入力!$D$15="","",IF(反映項目!$B$11="×","",IFERROR(INDEX(資格集約!$E$263:$E$288,MATCH(21,資格集約!$G$263:$G$288,0)),"")))</f>
        <v/>
      </c>
      <c r="BE13">
        <f>IF(入力!$D$15="","",IF(反映項目!$B$11="×","",IFERROR(INDEX(資格集約!$H$263:$H$288,MATCH(22,資格集約!$G$263:$G$288,0)),"")))</f>
        <v/>
      </c>
      <c r="BF13">
        <f>IF(入力!$D$15="","",IF(反映項目!$B$11="×","",IFERROR(INDEX(資格集約!$E$263:$E$288,MATCH(22,資格集約!$G$263:$G$288,0)),"")))</f>
        <v/>
      </c>
      <c r="BG13">
        <f>IF(入力!$D$15="","",IF(反映項目!$B$11="×","",IFERROR(INDEX(資格集約!$H$263:$H$288,MATCH(23,資格集約!$G$263:$G$288,0)),"")))</f>
        <v/>
      </c>
      <c r="BH13">
        <f>IF(入力!$D$15="","",IF(反映項目!$B$11="×","",IFERROR(INDEX(資格集約!$E$263:$E$288,MATCH(23,資格集約!$G$263:$G$288,0)),"")))</f>
        <v/>
      </c>
      <c r="BI13">
        <f>IF(入力!$D$15="","",IF(反映項目!$B$11="×","",IFERROR(INDEX(資格集約!$H$263:$H$288,MATCH(24,資格集約!$G$263:$G$288,0)),"")))</f>
        <v/>
      </c>
      <c r="BJ13">
        <f>IF(入力!$D$15="","",IF(反映項目!$B$11="×","",IFERROR(INDEX(資格集約!$E$263:$E$288,MATCH(24,資格集約!$G$263:$G$288,0)),"")))</f>
        <v/>
      </c>
      <c r="BK13">
        <f>IF(入力!$D$15="","",IF(反映項目!$B$11="×","",IFERROR(INDEX(資格集約!$H$263:$H$288,MATCH(25,資格集約!$G$263:$G$288,0)),"")))</f>
        <v/>
      </c>
      <c r="BL13">
        <f>IF(入力!$D$15="","",IF(反映項目!$B$11="×","",IFERROR(INDEX(資格集約!$E$263:$E$288,MATCH(25,資格集約!$G$263:$G$288,0)),"")))</f>
        <v/>
      </c>
      <c r="BM13">
        <f>IF(入力!$D$15="","",IF(反映項目!$B$11="×","",IFERROR(INDEX(資格集約!$H$263:$H$288,MATCH(26,資格集約!$G$263:$G$288,0)),"")))</f>
        <v/>
      </c>
      <c r="BN13">
        <f>IF(入力!$D$15="","",IF(反映項目!$B$11="×","",IFERROR(INDEX(資格集約!$E$263:$E$288,MATCH(26,資格集約!$G$263:$G$288,0)),"")))</f>
        <v/>
      </c>
      <c r="BO13">
        <f>IF(入力!$D$15="","",IF(OR(反映項目!$B$12="×",入力!$Z$15=""),"",入力!$Z$15))</f>
        <v/>
      </c>
      <c r="BP13">
        <f>IF(入力!$D$15="","",IF(OR(反映項目!$B$13="×",入力!$AA$15=""),"",入力!$AA$15))</f>
        <v/>
      </c>
      <c r="BQ13">
        <f>IF(入力!$D$15="","",IF(OR(反映項目!$B$15="×",入力!$AF$15=""),"",入力!$AF$15))</f>
        <v/>
      </c>
      <c r="BR13">
        <f>IF(入力!$D$15="","",IF(OR(反映項目!$B$14="×",N($BZ$13)=0),"",YEAR($BZ$13)-IF($BZ$13&gt;=DATE(2019,5,1),2018,1988)))&amp;""</f>
        <v/>
      </c>
      <c r="BS13">
        <f>IF(入力!$D$15="","",IF(OR(反映項目!$B$14="×",N($BZ$13)=0),"",MONTH($BZ$13)))&amp;""</f>
        <v/>
      </c>
      <c r="BT13">
        <f>IF(入力!$D$15="","",IF(OR(反映項目!$B$14="×",入力!$AC$15=""),"",入力!$AC$15))</f>
        <v/>
      </c>
      <c r="BU13">
        <f>IF(入力!$D$15="","",IF(OR(反映項目!$B$14="×",N($CA$13)=0),"",YEAR($CA$13)-IF($CA$13&gt;=DATE(2019,5,1),2018,1988)))&amp;""</f>
        <v/>
      </c>
      <c r="BV13">
        <f>IF(入力!$D$15="","",IF(OR(反映項目!$B$14="×",N($CA$13)=0),"",MONTH($CA$13)))&amp;""</f>
        <v/>
      </c>
      <c r="BW13">
        <f>IF(入力!$D$15="","",IF(OR(反映項目!$B$14="×",入力!$AE$15=""),"",入力!$AE$15))</f>
        <v/>
      </c>
      <c r="BY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Z13">
        <f>IF(入力!$D$15="","",IF(入力!$AB$15="","",IF(ISNUMBER(入力!$AB$15),入力!$AB$15,IFERROR(IF(OR(LEFT(入力!$AB$15,2)="令和",LEFT(入力!$AB$15,2)="平成",LEFT(入力!$AB$15,2)="昭和",LEFT(入力!$AB$15,2)="大正"),DATE(VALUE(MID(入力!$AB$15,3,FIND("年",入力!$AB$15)-3))+IF(LEFT(入力!$AB$15,2)="令和",2018,IF(LEFT(入力!$AB$15,2)="平成",1988,IF(LEFT(入力!$AB$15,2)="昭和",1925,IF(LEFT(入力!$AB$15,2)="大正",1911,0)))),VALUE(MID(入力!$AB$15,FIND("年",入力!$AB$15)+1,FIND("月",入力!$AB$15)-FIND("年",入力!$AB$15)-1)),IFERROR(VALUE(SUBSTITUTE(MID(入力!$AB$15,FIND("月",入力!$AB$15)+1,10),"日","")),1)),DATE(VALUE(TRIM(MID(SUBSTITUTE(SUBSTITUTE(SUBSTITUTE(SUBSTITUTE(SUBSTITUTE(SUBSTITUTE(入力!$AB$15,"年","/"),"月","/"),"日",""),"-","/"),".","/"),"/",REPT(" ",50)),1,50))),VALUE(TRIM(MID(SUBSTITUTE(SUBSTITUTE(SUBSTITUTE(SUBSTITUTE(SUBSTITUTE(SUBSTITUTE(入力!$AB$15,"年","/"),"月","/"),"日",""),"-","/"),".","/"),"/",REPT(" ",50)),51,50))),IFERROR(VALUE(TRIM(MID(SUBSTITUTE(SUBSTITUTE(SUBSTITUTE(SUBSTITUTE(SUBSTITUTE(SUBSTITUTE(入力!$AB$15,"年","/"),"月","/"),"日",""),"-","/"),".","/"),"/",REPT(" ",50)),101,50))),1))),IFERROR(DATEVALUE(入力!$AB$15),"")))))</f>
        <v/>
      </c>
      <c r="CA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CB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amp;IF($AR13="","",CHAR(10)&amp;$AQ13)&amp;IF($AT13="","",CHAR(10)&amp;$AS13)&amp;IF($AV13="","",CHAR(10)&amp;$AU13)&amp;IF($AX13="","",CHAR(10)&amp;$AW13)&amp;IF($AZ13="","",CHAR(10)&amp;$AY13)&amp;IF($BB13="","",CHAR(10)&amp;$BA13)&amp;IF($BD13="","",CHAR(10)&amp;$BC13)&amp;IF($BF13="","",CHAR(10)&amp;$BE13)&amp;IF($BH13="","",CHAR(10)&amp;$BG13)&amp;IF($BJ13="","",CHAR(10)&amp;$BI13)&amp;IF($BL13="","",CHAR(10)&amp;$BK13)&amp;IF($BN13="","",CHAR(10)&amp;$BM13))</f>
        <v/>
      </c>
      <c r="CC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amp;IF($AR13="","",CHAR(10)&amp;$AR13)&amp;IF($AT13="","",CHAR(10)&amp;$AT13)&amp;IF($AV13="","",CHAR(10)&amp;$AV13)&amp;IF($AX13="","",CHAR(10)&amp;$AX13)&amp;IF($AZ13="","",CHAR(10)&amp;$AZ13)&amp;IF($BB13="","",CHAR(10)&amp;$BB13)&amp;IF($BD13="","",CHAR(10)&amp;$BD13)&amp;IF($BF13="","",CHAR(10)&amp;$BF13)&amp;IF($BH13="","",CHAR(10)&amp;$BH13)&amp;IF($BJ13="","",CHAR(10)&amp;$BJ13)&amp;IF($BL13="","",CHAR(10)&amp;$BL13)&amp;IF($BN13="","",CHAR(10)&amp;$BN13))</f>
        <v/>
      </c>
      <c r="CD13">
        <f>IF(入力!$D$15="","",IF($P13="",0,1)+IF($R13="",0,1)+IF($T13="",0,1)+IF($V13="",0,1)+IF($X13="",0,1)+IF($Z13="",0,1)+IF($AB13="",0,1)+IF($AD13="",0,1)+IF($AF13="",0,1)+IF($AH13="",0,1)+IF($AJ13="",0,1)+IF($AL13="",0,1)+IF($AN13="",0,1)+IF($AP13="",0,1)+IF($AR13="",0,1)+IF($AT13="",0,1)+IF($AV13="",0,1)+IF($AX13="",0,1)+IF($AZ13="",0,1)+IF($BB13="",0,1)+IF($BD13="",0,1)+IF($BF13="",0,1)+IF($BH13="",0,1)+IF($BJ13="",0,1)+IF($BL13="",0,1)+IF($BN13="",0,1))</f>
        <v/>
      </c>
    </row>
    <row r="14">
      <c r="A14" t="n">
        <v>12</v>
      </c>
      <c r="B14">
        <f>IF(入力!$D$16="","",IF(OR(反映項目!$B$4="×",入力!$D$16=""),"",入力!$D$16))</f>
        <v/>
      </c>
      <c r="C14">
        <f>IF(入力!$D$16="","",IF(OR(反映項目!$B$5="×",入力!$E$16=""),"",入力!$E$16))</f>
        <v/>
      </c>
      <c r="D14">
        <f>IF(入力!$D$16="","",IF(OR(反映項目!$B$6="×",N($BY$14)=0),"",YEAR($BY$14)-IF($BY$14&gt;=DATE(2019,5,1),2018,IF($BY$14&gt;=DATE(1989,1,8),1988,1925))))&amp;""</f>
        <v/>
      </c>
      <c r="E14">
        <f>IF(入力!$D$16="","",IF(OR(反映項目!$B$6="×",N($BY$14)=0),"",MONTH($BY$14)))&amp;""</f>
        <v/>
      </c>
      <c r="F14">
        <f>IF(入力!$D$16="","",IF(OR(反映項目!$B$6="×",N($BY$14)=0),"",DAY($BY$14)))&amp;""</f>
        <v/>
      </c>
      <c r="G14">
        <f>IF(入力!$D$16="","",IF(OR(反映項目!$B$6="×",OR(N($BY$14)=0,N(設定!$B$3)=0)),"",DATEDIF($BY$14,設定!$B$3,"Y")))&amp;""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IF(入力!$D$16="","",IF(OR(反映項目!$B$10="×",入力!$K$16=""),"",入力!$K$16))</f>
        <v/>
      </c>
      <c r="M14">
        <f>IF(入力!$D$16="","",IF(OR(反映項目!$B$10="×",入力!$L$16=""),"",入力!$L$16))</f>
        <v/>
      </c>
      <c r="N14">
        <f>IF(入力!$D$16="","",設定!$B$4&amp;CHAR(10)&amp;IF(入力!$M$16="",設定!$B$5,入力!$M$16))</f>
        <v/>
      </c>
      <c r="O14">
        <f>IF(入力!$D$16="","",IF(反映項目!$B$11="×","",IFERROR(INDEX(資格集約!$H$289:$H$314,MATCH(1,資格集約!$G$289:$G$314,0)),"")))</f>
        <v/>
      </c>
      <c r="P14">
        <f>IF(入力!$D$16="","",IF(反映項目!$B$11="×","",IFERROR(INDEX(資格集約!$E$289:$E$314,MATCH(1,資格集約!$G$289:$G$314,0)),"")))</f>
        <v/>
      </c>
      <c r="Q14">
        <f>IF(入力!$D$16="","",IF(反映項目!$B$11="×","",IFERROR(INDEX(資格集約!$H$289:$H$314,MATCH(2,資格集約!$G$289:$G$314,0)),"")))</f>
        <v/>
      </c>
      <c r="R14">
        <f>IF(入力!$D$16="","",IF(反映項目!$B$11="×","",IFERROR(INDEX(資格集約!$E$289:$E$314,MATCH(2,資格集約!$G$289:$G$314,0)),"")))</f>
        <v/>
      </c>
      <c r="S14">
        <f>IF(入力!$D$16="","",IF(反映項目!$B$11="×","",IFERROR(INDEX(資格集約!$H$289:$H$314,MATCH(3,資格集約!$G$289:$G$314,0)),"")))</f>
        <v/>
      </c>
      <c r="T14">
        <f>IF(入力!$D$16="","",IF(反映項目!$B$11="×","",IFERROR(INDEX(資格集約!$E$289:$E$314,MATCH(3,資格集約!$G$289:$G$314,0)),"")))</f>
        <v/>
      </c>
      <c r="U14">
        <f>IF(入力!$D$16="","",IF(反映項目!$B$11="×","",IFERROR(INDEX(資格集約!$H$289:$H$314,MATCH(4,資格集約!$G$289:$G$314,0)),"")))</f>
        <v/>
      </c>
      <c r="V14">
        <f>IF(入力!$D$16="","",IF(反映項目!$B$11="×","",IFERROR(INDEX(資格集約!$E$289:$E$314,MATCH(4,資格集約!$G$289:$G$314,0)),"")))</f>
        <v/>
      </c>
      <c r="W14">
        <f>IF(入力!$D$16="","",IF(反映項目!$B$11="×","",IFERROR(INDEX(資格集約!$H$289:$H$314,MATCH(5,資格集約!$G$289:$G$314,0)),"")))</f>
        <v/>
      </c>
      <c r="X14">
        <f>IF(入力!$D$16="","",IF(反映項目!$B$11="×","",IFERROR(INDEX(資格集約!$E$289:$E$314,MATCH(5,資格集約!$G$289:$G$314,0)),"")))</f>
        <v/>
      </c>
      <c r="Y14">
        <f>IF(入力!$D$16="","",IF(反映項目!$B$11="×","",IFERROR(INDEX(資格集約!$H$289:$H$314,MATCH(6,資格集約!$G$289:$G$314,0)),"")))</f>
        <v/>
      </c>
      <c r="Z14">
        <f>IF(入力!$D$16="","",IF(反映項目!$B$11="×","",IFERROR(INDEX(資格集約!$E$289:$E$314,MATCH(6,資格集約!$G$289:$G$314,0)),"")))</f>
        <v/>
      </c>
      <c r="AA14">
        <f>IF(入力!$D$16="","",IF(反映項目!$B$11="×","",IFERROR(INDEX(資格集約!$H$289:$H$314,MATCH(7,資格集約!$G$289:$G$314,0)),"")))</f>
        <v/>
      </c>
      <c r="AB14">
        <f>IF(入力!$D$16="","",IF(反映項目!$B$11="×","",IFERROR(INDEX(資格集約!$E$289:$E$314,MATCH(7,資格集約!$G$289:$G$314,0)),"")))</f>
        <v/>
      </c>
      <c r="AC14">
        <f>IF(入力!$D$16="","",IF(反映項目!$B$11="×","",IFERROR(INDEX(資格集約!$H$289:$H$314,MATCH(8,資格集約!$G$289:$G$314,0)),"")))</f>
        <v/>
      </c>
      <c r="AD14">
        <f>IF(入力!$D$16="","",IF(反映項目!$B$11="×","",IFERROR(INDEX(資格集約!$E$289:$E$314,MATCH(8,資格集約!$G$289:$G$314,0)),"")))</f>
        <v/>
      </c>
      <c r="AE14">
        <f>IF(入力!$D$16="","",IF(反映項目!$B$11="×","",IFERROR(INDEX(資格集約!$H$289:$H$314,MATCH(9,資格集約!$G$289:$G$314,0)),"")))</f>
        <v/>
      </c>
      <c r="AF14">
        <f>IF(入力!$D$16="","",IF(反映項目!$B$11="×","",IFERROR(INDEX(資格集約!$E$289:$E$314,MATCH(9,資格集約!$G$289:$G$314,0)),"")))</f>
        <v/>
      </c>
      <c r="AG14">
        <f>IF(入力!$D$16="","",IF(反映項目!$B$11="×","",IFERROR(INDEX(資格集約!$H$289:$H$314,MATCH(10,資格集約!$G$289:$G$314,0)),"")))</f>
        <v/>
      </c>
      <c r="AH14">
        <f>IF(入力!$D$16="","",IF(反映項目!$B$11="×","",IFERROR(INDEX(資格集約!$E$289:$E$314,MATCH(10,資格集約!$G$289:$G$314,0)),"")))</f>
        <v/>
      </c>
      <c r="AI14">
        <f>IF(入力!$D$16="","",IF(反映項目!$B$11="×","",IFERROR(INDEX(資格集約!$H$289:$H$314,MATCH(11,資格集約!$G$289:$G$314,0)),"")))</f>
        <v/>
      </c>
      <c r="AJ14">
        <f>IF(入力!$D$16="","",IF(反映項目!$B$11="×","",IFERROR(INDEX(資格集約!$E$289:$E$314,MATCH(11,資格集約!$G$289:$G$314,0)),"")))</f>
        <v/>
      </c>
      <c r="AK14">
        <f>IF(入力!$D$16="","",IF(反映項目!$B$11="×","",IFERROR(INDEX(資格集約!$H$289:$H$314,MATCH(12,資格集約!$G$289:$G$314,0)),"")))</f>
        <v/>
      </c>
      <c r="AL14">
        <f>IF(入力!$D$16="","",IF(反映項目!$B$11="×","",IFERROR(INDEX(資格集約!$E$289:$E$314,MATCH(12,資格集約!$G$289:$G$314,0)),"")))</f>
        <v/>
      </c>
      <c r="AM14">
        <f>IF(入力!$D$16="","",IF(反映項目!$B$11="×","",IFERROR(INDEX(資格集約!$H$289:$H$314,MATCH(13,資格集約!$G$289:$G$314,0)),"")))</f>
        <v/>
      </c>
      <c r="AN14">
        <f>IF(入力!$D$16="","",IF(反映項目!$B$11="×","",IFERROR(INDEX(資格集約!$E$289:$E$314,MATCH(13,資格集約!$G$289:$G$314,0)),"")))</f>
        <v/>
      </c>
      <c r="AO14">
        <f>IF(入力!$D$16="","",IF(反映項目!$B$11="×","",IFERROR(INDEX(資格集約!$H$289:$H$314,MATCH(14,資格集約!$G$289:$G$314,0)),"")))</f>
        <v/>
      </c>
      <c r="AP14">
        <f>IF(入力!$D$16="","",IF(反映項目!$B$11="×","",IFERROR(INDEX(資格集約!$E$289:$E$314,MATCH(14,資格集約!$G$289:$G$314,0)),"")))</f>
        <v/>
      </c>
      <c r="AQ14">
        <f>IF(入力!$D$16="","",IF(反映項目!$B$11="×","",IFERROR(INDEX(資格集約!$H$289:$H$314,MATCH(15,資格集約!$G$289:$G$314,0)),"")))</f>
        <v/>
      </c>
      <c r="AR14">
        <f>IF(入力!$D$16="","",IF(反映項目!$B$11="×","",IFERROR(INDEX(資格集約!$E$289:$E$314,MATCH(15,資格集約!$G$289:$G$314,0)),"")))</f>
        <v/>
      </c>
      <c r="AS14">
        <f>IF(入力!$D$16="","",IF(反映項目!$B$11="×","",IFERROR(INDEX(資格集約!$H$289:$H$314,MATCH(16,資格集約!$G$289:$G$314,0)),"")))</f>
        <v/>
      </c>
      <c r="AT14">
        <f>IF(入力!$D$16="","",IF(反映項目!$B$11="×","",IFERROR(INDEX(資格集約!$E$289:$E$314,MATCH(16,資格集約!$G$289:$G$314,0)),"")))</f>
        <v/>
      </c>
      <c r="AU14">
        <f>IF(入力!$D$16="","",IF(反映項目!$B$11="×","",IFERROR(INDEX(資格集約!$H$289:$H$314,MATCH(17,資格集約!$G$289:$G$314,0)),"")))</f>
        <v/>
      </c>
      <c r="AV14">
        <f>IF(入力!$D$16="","",IF(反映項目!$B$11="×","",IFERROR(INDEX(資格集約!$E$289:$E$314,MATCH(17,資格集約!$G$289:$G$314,0)),"")))</f>
        <v/>
      </c>
      <c r="AW14">
        <f>IF(入力!$D$16="","",IF(反映項目!$B$11="×","",IFERROR(INDEX(資格集約!$H$289:$H$314,MATCH(18,資格集約!$G$289:$G$314,0)),"")))</f>
        <v/>
      </c>
      <c r="AX14">
        <f>IF(入力!$D$16="","",IF(反映項目!$B$11="×","",IFERROR(INDEX(資格集約!$E$289:$E$314,MATCH(18,資格集約!$G$289:$G$314,0)),"")))</f>
        <v/>
      </c>
      <c r="AY14">
        <f>IF(入力!$D$16="","",IF(反映項目!$B$11="×","",IFERROR(INDEX(資格集約!$H$289:$H$314,MATCH(19,資格集約!$G$289:$G$314,0)),"")))</f>
        <v/>
      </c>
      <c r="AZ14">
        <f>IF(入力!$D$16="","",IF(反映項目!$B$11="×","",IFERROR(INDEX(資格集約!$E$289:$E$314,MATCH(19,資格集約!$G$289:$G$314,0)),"")))</f>
        <v/>
      </c>
      <c r="BA14">
        <f>IF(入力!$D$16="","",IF(反映項目!$B$11="×","",IFERROR(INDEX(資格集約!$H$289:$H$314,MATCH(20,資格集約!$G$289:$G$314,0)),"")))</f>
        <v/>
      </c>
      <c r="BB14">
        <f>IF(入力!$D$16="","",IF(反映項目!$B$11="×","",IFERROR(INDEX(資格集約!$E$289:$E$314,MATCH(20,資格集約!$G$289:$G$314,0)),"")))</f>
        <v/>
      </c>
      <c r="BC14">
        <f>IF(入力!$D$16="","",IF(反映項目!$B$11="×","",IFERROR(INDEX(資格集約!$H$289:$H$314,MATCH(21,資格集約!$G$289:$G$314,0)),"")))</f>
        <v/>
      </c>
      <c r="BD14">
        <f>IF(入力!$D$16="","",IF(反映項目!$B$11="×","",IFERROR(INDEX(資格集約!$E$289:$E$314,MATCH(21,資格集約!$G$289:$G$314,0)),"")))</f>
        <v/>
      </c>
      <c r="BE14">
        <f>IF(入力!$D$16="","",IF(反映項目!$B$11="×","",IFERROR(INDEX(資格集約!$H$289:$H$314,MATCH(22,資格集約!$G$289:$G$314,0)),"")))</f>
        <v/>
      </c>
      <c r="BF14">
        <f>IF(入力!$D$16="","",IF(反映項目!$B$11="×","",IFERROR(INDEX(資格集約!$E$289:$E$314,MATCH(22,資格集約!$G$289:$G$314,0)),"")))</f>
        <v/>
      </c>
      <c r="BG14">
        <f>IF(入力!$D$16="","",IF(反映項目!$B$11="×","",IFERROR(INDEX(資格集約!$H$289:$H$314,MATCH(23,資格集約!$G$289:$G$314,0)),"")))</f>
        <v/>
      </c>
      <c r="BH14">
        <f>IF(入力!$D$16="","",IF(反映項目!$B$11="×","",IFERROR(INDEX(資格集約!$E$289:$E$314,MATCH(23,資格集約!$G$289:$G$314,0)),"")))</f>
        <v/>
      </c>
      <c r="BI14">
        <f>IF(入力!$D$16="","",IF(反映項目!$B$11="×","",IFERROR(INDEX(資格集約!$H$289:$H$314,MATCH(24,資格集約!$G$289:$G$314,0)),"")))</f>
        <v/>
      </c>
      <c r="BJ14">
        <f>IF(入力!$D$16="","",IF(反映項目!$B$11="×","",IFERROR(INDEX(資格集約!$E$289:$E$314,MATCH(24,資格集約!$G$289:$G$314,0)),"")))</f>
        <v/>
      </c>
      <c r="BK14">
        <f>IF(入力!$D$16="","",IF(反映項目!$B$11="×","",IFERROR(INDEX(資格集約!$H$289:$H$314,MATCH(25,資格集約!$G$289:$G$314,0)),"")))</f>
        <v/>
      </c>
      <c r="BL14">
        <f>IF(入力!$D$16="","",IF(反映項目!$B$11="×","",IFERROR(INDEX(資格集約!$E$289:$E$314,MATCH(25,資格集約!$G$289:$G$314,0)),"")))</f>
        <v/>
      </c>
      <c r="BM14">
        <f>IF(入力!$D$16="","",IF(反映項目!$B$11="×","",IFERROR(INDEX(資格集約!$H$289:$H$314,MATCH(26,資格集約!$G$289:$G$314,0)),"")))</f>
        <v/>
      </c>
      <c r="BN14">
        <f>IF(入力!$D$16="","",IF(反映項目!$B$11="×","",IFERROR(INDEX(資格集約!$E$289:$E$314,MATCH(26,資格集約!$G$289:$G$314,0)),"")))</f>
        <v/>
      </c>
      <c r="BO14">
        <f>IF(入力!$D$16="","",IF(OR(反映項目!$B$12="×",入力!$Z$16=""),"",入力!$Z$16))</f>
        <v/>
      </c>
      <c r="BP14">
        <f>IF(入力!$D$16="","",IF(OR(反映項目!$B$13="×",入力!$AA$16=""),"",入力!$AA$16))</f>
        <v/>
      </c>
      <c r="BQ14">
        <f>IF(入力!$D$16="","",IF(OR(反映項目!$B$15="×",入力!$AF$16=""),"",入力!$AF$16))</f>
        <v/>
      </c>
      <c r="BR14">
        <f>IF(入力!$D$16="","",IF(OR(反映項目!$B$14="×",N($BZ$14)=0),"",YEAR($BZ$14)-IF($BZ$14&gt;=DATE(2019,5,1),2018,1988)))&amp;""</f>
        <v/>
      </c>
      <c r="BS14">
        <f>IF(入力!$D$16="","",IF(OR(反映項目!$B$14="×",N($BZ$14)=0),"",MONTH($BZ$14)))&amp;""</f>
        <v/>
      </c>
      <c r="BT14">
        <f>IF(入力!$D$16="","",IF(OR(反映項目!$B$14="×",入力!$AC$16=""),"",入力!$AC$16))</f>
        <v/>
      </c>
      <c r="BU14">
        <f>IF(入力!$D$16="","",IF(OR(反映項目!$B$14="×",N($CA$14)=0),"",YEAR($CA$14)-IF($CA$14&gt;=DATE(2019,5,1),2018,1988)))&amp;""</f>
        <v/>
      </c>
      <c r="BV14">
        <f>IF(入力!$D$16="","",IF(OR(反映項目!$B$14="×",N($CA$14)=0),"",MONTH($CA$14)))&amp;""</f>
        <v/>
      </c>
      <c r="BW14">
        <f>IF(入力!$D$16="","",IF(OR(反映項目!$B$14="×",入力!$AE$16=""),"",入力!$AE$16))</f>
        <v/>
      </c>
      <c r="BY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Z14">
        <f>IF(入力!$D$16="","",IF(入力!$AB$16="","",IF(ISNUMBER(入力!$AB$16),入力!$AB$16,IFERROR(IF(OR(LEFT(入力!$AB$16,2)="令和",LEFT(入力!$AB$16,2)="平成",LEFT(入力!$AB$16,2)="昭和",LEFT(入力!$AB$16,2)="大正"),DATE(VALUE(MID(入力!$AB$16,3,FIND("年",入力!$AB$16)-3))+IF(LEFT(入力!$AB$16,2)="令和",2018,IF(LEFT(入力!$AB$16,2)="平成",1988,IF(LEFT(入力!$AB$16,2)="昭和",1925,IF(LEFT(入力!$AB$16,2)="大正",1911,0)))),VALUE(MID(入力!$AB$16,FIND("年",入力!$AB$16)+1,FIND("月",入力!$AB$16)-FIND("年",入力!$AB$16)-1)),IFERROR(VALUE(SUBSTITUTE(MID(入力!$AB$16,FIND("月",入力!$AB$16)+1,10),"日","")),1)),DATE(VALUE(TRIM(MID(SUBSTITUTE(SUBSTITUTE(SUBSTITUTE(SUBSTITUTE(SUBSTITUTE(SUBSTITUTE(入力!$AB$16,"年","/"),"月","/"),"日",""),"-","/"),".","/"),"/",REPT(" ",50)),1,50))),VALUE(TRIM(MID(SUBSTITUTE(SUBSTITUTE(SUBSTITUTE(SUBSTITUTE(SUBSTITUTE(SUBSTITUTE(入力!$AB$16,"年","/"),"月","/"),"日",""),"-","/"),".","/"),"/",REPT(" ",50)),51,50))),IFERROR(VALUE(TRIM(MID(SUBSTITUTE(SUBSTITUTE(SUBSTITUTE(SUBSTITUTE(SUBSTITUTE(SUBSTITUTE(入力!$AB$16,"年","/"),"月","/"),"日",""),"-","/"),".","/"),"/",REPT(" ",50)),101,50))),1))),IFERROR(DATEVALUE(入力!$AB$16),"")))))</f>
        <v/>
      </c>
      <c r="CA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CB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amp;IF($AR14="","",CHAR(10)&amp;$AQ14)&amp;IF($AT14="","",CHAR(10)&amp;$AS14)&amp;IF($AV14="","",CHAR(10)&amp;$AU14)&amp;IF($AX14="","",CHAR(10)&amp;$AW14)&amp;IF($AZ14="","",CHAR(10)&amp;$AY14)&amp;IF($BB14="","",CHAR(10)&amp;$BA14)&amp;IF($BD14="","",CHAR(10)&amp;$BC14)&amp;IF($BF14="","",CHAR(10)&amp;$BE14)&amp;IF($BH14="","",CHAR(10)&amp;$BG14)&amp;IF($BJ14="","",CHAR(10)&amp;$BI14)&amp;IF($BL14="","",CHAR(10)&amp;$BK14)&amp;IF($BN14="","",CHAR(10)&amp;$BM14))</f>
        <v/>
      </c>
      <c r="CC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amp;IF($AR14="","",CHAR(10)&amp;$AR14)&amp;IF($AT14="","",CHAR(10)&amp;$AT14)&amp;IF($AV14="","",CHAR(10)&amp;$AV14)&amp;IF($AX14="","",CHAR(10)&amp;$AX14)&amp;IF($AZ14="","",CHAR(10)&amp;$AZ14)&amp;IF($BB14="","",CHAR(10)&amp;$BB14)&amp;IF($BD14="","",CHAR(10)&amp;$BD14)&amp;IF($BF14="","",CHAR(10)&amp;$BF14)&amp;IF($BH14="","",CHAR(10)&amp;$BH14)&amp;IF($BJ14="","",CHAR(10)&amp;$BJ14)&amp;IF($BL14="","",CHAR(10)&amp;$BL14)&amp;IF($BN14="","",CHAR(10)&amp;$BN14))</f>
        <v/>
      </c>
      <c r="CD14">
        <f>IF(入力!$D$16="","",IF($P14="",0,1)+IF($R14="",0,1)+IF($T14="",0,1)+IF($V14="",0,1)+IF($X14="",0,1)+IF($Z14="",0,1)+IF($AB14="",0,1)+IF($AD14="",0,1)+IF($AF14="",0,1)+IF($AH14="",0,1)+IF($AJ14="",0,1)+IF($AL14="",0,1)+IF($AN14="",0,1)+IF($AP14="",0,1)+IF($AR14="",0,1)+IF($AT14="",0,1)+IF($AV14="",0,1)+IF($AX14="",0,1)+IF($AZ14="",0,1)+IF($BB14="",0,1)+IF($BD14="",0,1)+IF($BF14="",0,1)+IF($BH14="",0,1)+IF($BJ14="",0,1)+IF($BL14="",0,1)+IF($BN14="",0,1))</f>
        <v/>
      </c>
    </row>
    <row r="15">
      <c r="A15" t="n">
        <v>13</v>
      </c>
      <c r="B15">
        <f>IF(入力!$D$17="","",IF(OR(反映項目!$B$4="×",入力!$D$17=""),"",入力!$D$17))</f>
        <v/>
      </c>
      <c r="C15">
        <f>IF(入力!$D$17="","",IF(OR(反映項目!$B$5="×",入力!$E$17=""),"",入力!$E$17))</f>
        <v/>
      </c>
      <c r="D15">
        <f>IF(入力!$D$17="","",IF(OR(反映項目!$B$6="×",N($BY$15)=0),"",YEAR($BY$15)-IF($BY$15&gt;=DATE(2019,5,1),2018,IF($BY$15&gt;=DATE(1989,1,8),1988,1925))))&amp;""</f>
        <v/>
      </c>
      <c r="E15">
        <f>IF(入力!$D$17="","",IF(OR(反映項目!$B$6="×",N($BY$15)=0),"",MONTH($BY$15)))&amp;""</f>
        <v/>
      </c>
      <c r="F15">
        <f>IF(入力!$D$17="","",IF(OR(反映項目!$B$6="×",N($BY$15)=0),"",DAY($BY$15)))&amp;""</f>
        <v/>
      </c>
      <c r="G15">
        <f>IF(入力!$D$17="","",IF(OR(反映項目!$B$6="×",OR(N($BY$15)=0,N(設定!$B$3)=0)),"",DATEDIF($BY$15,設定!$B$3,"Y")))&amp;""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IF(入力!$D$17="","",IF(OR(反映項目!$B$10="×",入力!$K$17=""),"",入力!$K$17))</f>
        <v/>
      </c>
      <c r="M15">
        <f>IF(入力!$D$17="","",IF(OR(反映項目!$B$10="×",入力!$L$17=""),"",入力!$L$17))</f>
        <v/>
      </c>
      <c r="N15">
        <f>IF(入力!$D$17="","",設定!$B$4&amp;CHAR(10)&amp;IF(入力!$M$17="",設定!$B$5,入力!$M$17))</f>
        <v/>
      </c>
      <c r="O15">
        <f>IF(入力!$D$17="","",IF(反映項目!$B$11="×","",IFERROR(INDEX(資格集約!$H$315:$H$340,MATCH(1,資格集約!$G$315:$G$340,0)),"")))</f>
        <v/>
      </c>
      <c r="P15">
        <f>IF(入力!$D$17="","",IF(反映項目!$B$11="×","",IFERROR(INDEX(資格集約!$E$315:$E$340,MATCH(1,資格集約!$G$315:$G$340,0)),"")))</f>
        <v/>
      </c>
      <c r="Q15">
        <f>IF(入力!$D$17="","",IF(反映項目!$B$11="×","",IFERROR(INDEX(資格集約!$H$315:$H$340,MATCH(2,資格集約!$G$315:$G$340,0)),"")))</f>
        <v/>
      </c>
      <c r="R15">
        <f>IF(入力!$D$17="","",IF(反映項目!$B$11="×","",IFERROR(INDEX(資格集約!$E$315:$E$340,MATCH(2,資格集約!$G$315:$G$340,0)),"")))</f>
        <v/>
      </c>
      <c r="S15">
        <f>IF(入力!$D$17="","",IF(反映項目!$B$11="×","",IFERROR(INDEX(資格集約!$H$315:$H$340,MATCH(3,資格集約!$G$315:$G$340,0)),"")))</f>
        <v/>
      </c>
      <c r="T15">
        <f>IF(入力!$D$17="","",IF(反映項目!$B$11="×","",IFERROR(INDEX(資格集約!$E$315:$E$340,MATCH(3,資格集約!$G$315:$G$340,0)),"")))</f>
        <v/>
      </c>
      <c r="U15">
        <f>IF(入力!$D$17="","",IF(反映項目!$B$11="×","",IFERROR(INDEX(資格集約!$H$315:$H$340,MATCH(4,資格集約!$G$315:$G$340,0)),"")))</f>
        <v/>
      </c>
      <c r="V15">
        <f>IF(入力!$D$17="","",IF(反映項目!$B$11="×","",IFERROR(INDEX(資格集約!$E$315:$E$340,MATCH(4,資格集約!$G$315:$G$340,0)),"")))</f>
        <v/>
      </c>
      <c r="W15">
        <f>IF(入力!$D$17="","",IF(反映項目!$B$11="×","",IFERROR(INDEX(資格集約!$H$315:$H$340,MATCH(5,資格集約!$G$315:$G$340,0)),"")))</f>
        <v/>
      </c>
      <c r="X15">
        <f>IF(入力!$D$17="","",IF(反映項目!$B$11="×","",IFERROR(INDEX(資格集約!$E$315:$E$340,MATCH(5,資格集約!$G$315:$G$340,0)),"")))</f>
        <v/>
      </c>
      <c r="Y15">
        <f>IF(入力!$D$17="","",IF(反映項目!$B$11="×","",IFERROR(INDEX(資格集約!$H$315:$H$340,MATCH(6,資格集約!$G$315:$G$340,0)),"")))</f>
        <v/>
      </c>
      <c r="Z15">
        <f>IF(入力!$D$17="","",IF(反映項目!$B$11="×","",IFERROR(INDEX(資格集約!$E$315:$E$340,MATCH(6,資格集約!$G$315:$G$340,0)),"")))</f>
        <v/>
      </c>
      <c r="AA15">
        <f>IF(入力!$D$17="","",IF(反映項目!$B$11="×","",IFERROR(INDEX(資格集約!$H$315:$H$340,MATCH(7,資格集約!$G$315:$G$340,0)),"")))</f>
        <v/>
      </c>
      <c r="AB15">
        <f>IF(入力!$D$17="","",IF(反映項目!$B$11="×","",IFERROR(INDEX(資格集約!$E$315:$E$340,MATCH(7,資格集約!$G$315:$G$340,0)),"")))</f>
        <v/>
      </c>
      <c r="AC15">
        <f>IF(入力!$D$17="","",IF(反映項目!$B$11="×","",IFERROR(INDEX(資格集約!$H$315:$H$340,MATCH(8,資格集約!$G$315:$G$340,0)),"")))</f>
        <v/>
      </c>
      <c r="AD15">
        <f>IF(入力!$D$17="","",IF(反映項目!$B$11="×","",IFERROR(INDEX(資格集約!$E$315:$E$340,MATCH(8,資格集約!$G$315:$G$340,0)),"")))</f>
        <v/>
      </c>
      <c r="AE15">
        <f>IF(入力!$D$17="","",IF(反映項目!$B$11="×","",IFERROR(INDEX(資格集約!$H$315:$H$340,MATCH(9,資格集約!$G$315:$G$340,0)),"")))</f>
        <v/>
      </c>
      <c r="AF15">
        <f>IF(入力!$D$17="","",IF(反映項目!$B$11="×","",IFERROR(INDEX(資格集約!$E$315:$E$340,MATCH(9,資格集約!$G$315:$G$340,0)),"")))</f>
        <v/>
      </c>
      <c r="AG15">
        <f>IF(入力!$D$17="","",IF(反映項目!$B$11="×","",IFERROR(INDEX(資格集約!$H$315:$H$340,MATCH(10,資格集約!$G$315:$G$340,0)),"")))</f>
        <v/>
      </c>
      <c r="AH15">
        <f>IF(入力!$D$17="","",IF(反映項目!$B$11="×","",IFERROR(INDEX(資格集約!$E$315:$E$340,MATCH(10,資格集約!$G$315:$G$340,0)),"")))</f>
        <v/>
      </c>
      <c r="AI15">
        <f>IF(入力!$D$17="","",IF(反映項目!$B$11="×","",IFERROR(INDEX(資格集約!$H$315:$H$340,MATCH(11,資格集約!$G$315:$G$340,0)),"")))</f>
        <v/>
      </c>
      <c r="AJ15">
        <f>IF(入力!$D$17="","",IF(反映項目!$B$11="×","",IFERROR(INDEX(資格集約!$E$315:$E$340,MATCH(11,資格集約!$G$315:$G$340,0)),"")))</f>
        <v/>
      </c>
      <c r="AK15">
        <f>IF(入力!$D$17="","",IF(反映項目!$B$11="×","",IFERROR(INDEX(資格集約!$H$315:$H$340,MATCH(12,資格集約!$G$315:$G$340,0)),"")))</f>
        <v/>
      </c>
      <c r="AL15">
        <f>IF(入力!$D$17="","",IF(反映項目!$B$11="×","",IFERROR(INDEX(資格集約!$E$315:$E$340,MATCH(12,資格集約!$G$315:$G$340,0)),"")))</f>
        <v/>
      </c>
      <c r="AM15">
        <f>IF(入力!$D$17="","",IF(反映項目!$B$11="×","",IFERROR(INDEX(資格集約!$H$315:$H$340,MATCH(13,資格集約!$G$315:$G$340,0)),"")))</f>
        <v/>
      </c>
      <c r="AN15">
        <f>IF(入力!$D$17="","",IF(反映項目!$B$11="×","",IFERROR(INDEX(資格集約!$E$315:$E$340,MATCH(13,資格集約!$G$315:$G$340,0)),"")))</f>
        <v/>
      </c>
      <c r="AO15">
        <f>IF(入力!$D$17="","",IF(反映項目!$B$11="×","",IFERROR(INDEX(資格集約!$H$315:$H$340,MATCH(14,資格集約!$G$315:$G$340,0)),"")))</f>
        <v/>
      </c>
      <c r="AP15">
        <f>IF(入力!$D$17="","",IF(反映項目!$B$11="×","",IFERROR(INDEX(資格集約!$E$315:$E$340,MATCH(14,資格集約!$G$315:$G$340,0)),"")))</f>
        <v/>
      </c>
      <c r="AQ15">
        <f>IF(入力!$D$17="","",IF(反映項目!$B$11="×","",IFERROR(INDEX(資格集約!$H$315:$H$340,MATCH(15,資格集約!$G$315:$G$340,0)),"")))</f>
        <v/>
      </c>
      <c r="AR15">
        <f>IF(入力!$D$17="","",IF(反映項目!$B$11="×","",IFERROR(INDEX(資格集約!$E$315:$E$340,MATCH(15,資格集約!$G$315:$G$340,0)),"")))</f>
        <v/>
      </c>
      <c r="AS15">
        <f>IF(入力!$D$17="","",IF(反映項目!$B$11="×","",IFERROR(INDEX(資格集約!$H$315:$H$340,MATCH(16,資格集約!$G$315:$G$340,0)),"")))</f>
        <v/>
      </c>
      <c r="AT15">
        <f>IF(入力!$D$17="","",IF(反映項目!$B$11="×","",IFERROR(INDEX(資格集約!$E$315:$E$340,MATCH(16,資格集約!$G$315:$G$340,0)),"")))</f>
        <v/>
      </c>
      <c r="AU15">
        <f>IF(入力!$D$17="","",IF(反映項目!$B$11="×","",IFERROR(INDEX(資格集約!$H$315:$H$340,MATCH(17,資格集約!$G$315:$G$340,0)),"")))</f>
        <v/>
      </c>
      <c r="AV15">
        <f>IF(入力!$D$17="","",IF(反映項目!$B$11="×","",IFERROR(INDEX(資格集約!$E$315:$E$340,MATCH(17,資格集約!$G$315:$G$340,0)),"")))</f>
        <v/>
      </c>
      <c r="AW15">
        <f>IF(入力!$D$17="","",IF(反映項目!$B$11="×","",IFERROR(INDEX(資格集約!$H$315:$H$340,MATCH(18,資格集約!$G$315:$G$340,0)),"")))</f>
        <v/>
      </c>
      <c r="AX15">
        <f>IF(入力!$D$17="","",IF(反映項目!$B$11="×","",IFERROR(INDEX(資格集約!$E$315:$E$340,MATCH(18,資格集約!$G$315:$G$340,0)),"")))</f>
        <v/>
      </c>
      <c r="AY15">
        <f>IF(入力!$D$17="","",IF(反映項目!$B$11="×","",IFERROR(INDEX(資格集約!$H$315:$H$340,MATCH(19,資格集約!$G$315:$G$340,0)),"")))</f>
        <v/>
      </c>
      <c r="AZ15">
        <f>IF(入力!$D$17="","",IF(反映項目!$B$11="×","",IFERROR(INDEX(資格集約!$E$315:$E$340,MATCH(19,資格集約!$G$315:$G$340,0)),"")))</f>
        <v/>
      </c>
      <c r="BA15">
        <f>IF(入力!$D$17="","",IF(反映項目!$B$11="×","",IFERROR(INDEX(資格集約!$H$315:$H$340,MATCH(20,資格集約!$G$315:$G$340,0)),"")))</f>
        <v/>
      </c>
      <c r="BB15">
        <f>IF(入力!$D$17="","",IF(反映項目!$B$11="×","",IFERROR(INDEX(資格集約!$E$315:$E$340,MATCH(20,資格集約!$G$315:$G$340,0)),"")))</f>
        <v/>
      </c>
      <c r="BC15">
        <f>IF(入力!$D$17="","",IF(反映項目!$B$11="×","",IFERROR(INDEX(資格集約!$H$315:$H$340,MATCH(21,資格集約!$G$315:$G$340,0)),"")))</f>
        <v/>
      </c>
      <c r="BD15">
        <f>IF(入力!$D$17="","",IF(反映項目!$B$11="×","",IFERROR(INDEX(資格集約!$E$315:$E$340,MATCH(21,資格集約!$G$315:$G$340,0)),"")))</f>
        <v/>
      </c>
      <c r="BE15">
        <f>IF(入力!$D$17="","",IF(反映項目!$B$11="×","",IFERROR(INDEX(資格集約!$H$315:$H$340,MATCH(22,資格集約!$G$315:$G$340,0)),"")))</f>
        <v/>
      </c>
      <c r="BF15">
        <f>IF(入力!$D$17="","",IF(反映項目!$B$11="×","",IFERROR(INDEX(資格集約!$E$315:$E$340,MATCH(22,資格集約!$G$315:$G$340,0)),"")))</f>
        <v/>
      </c>
      <c r="BG15">
        <f>IF(入力!$D$17="","",IF(反映項目!$B$11="×","",IFERROR(INDEX(資格集約!$H$315:$H$340,MATCH(23,資格集約!$G$315:$G$340,0)),"")))</f>
        <v/>
      </c>
      <c r="BH15">
        <f>IF(入力!$D$17="","",IF(反映項目!$B$11="×","",IFERROR(INDEX(資格集約!$E$315:$E$340,MATCH(23,資格集約!$G$315:$G$340,0)),"")))</f>
        <v/>
      </c>
      <c r="BI15">
        <f>IF(入力!$D$17="","",IF(反映項目!$B$11="×","",IFERROR(INDEX(資格集約!$H$315:$H$340,MATCH(24,資格集約!$G$315:$G$340,0)),"")))</f>
        <v/>
      </c>
      <c r="BJ15">
        <f>IF(入力!$D$17="","",IF(反映項目!$B$11="×","",IFERROR(INDEX(資格集約!$E$315:$E$340,MATCH(24,資格集約!$G$315:$G$340,0)),"")))</f>
        <v/>
      </c>
      <c r="BK15">
        <f>IF(入力!$D$17="","",IF(反映項目!$B$11="×","",IFERROR(INDEX(資格集約!$H$315:$H$340,MATCH(25,資格集約!$G$315:$G$340,0)),"")))</f>
        <v/>
      </c>
      <c r="BL15">
        <f>IF(入力!$D$17="","",IF(反映項目!$B$11="×","",IFERROR(INDEX(資格集約!$E$315:$E$340,MATCH(25,資格集約!$G$315:$G$340,0)),"")))</f>
        <v/>
      </c>
      <c r="BM15">
        <f>IF(入力!$D$17="","",IF(反映項目!$B$11="×","",IFERROR(INDEX(資格集約!$H$315:$H$340,MATCH(26,資格集約!$G$315:$G$340,0)),"")))</f>
        <v/>
      </c>
      <c r="BN15">
        <f>IF(入力!$D$17="","",IF(反映項目!$B$11="×","",IFERROR(INDEX(資格集約!$E$315:$E$340,MATCH(26,資格集約!$G$315:$G$340,0)),"")))</f>
        <v/>
      </c>
      <c r="BO15">
        <f>IF(入力!$D$17="","",IF(OR(反映項目!$B$12="×",入力!$Z$17=""),"",入力!$Z$17))</f>
        <v/>
      </c>
      <c r="BP15">
        <f>IF(入力!$D$17="","",IF(OR(反映項目!$B$13="×",入力!$AA$17=""),"",入力!$AA$17))</f>
        <v/>
      </c>
      <c r="BQ15">
        <f>IF(入力!$D$17="","",IF(OR(反映項目!$B$15="×",入力!$AF$17=""),"",入力!$AF$17))</f>
        <v/>
      </c>
      <c r="BR15">
        <f>IF(入力!$D$17="","",IF(OR(反映項目!$B$14="×",N($BZ$15)=0),"",YEAR($BZ$15)-IF($BZ$15&gt;=DATE(2019,5,1),2018,1988)))&amp;""</f>
        <v/>
      </c>
      <c r="BS15">
        <f>IF(入力!$D$17="","",IF(OR(反映項目!$B$14="×",N($BZ$15)=0),"",MONTH($BZ$15)))&amp;""</f>
        <v/>
      </c>
      <c r="BT15">
        <f>IF(入力!$D$17="","",IF(OR(反映項目!$B$14="×",入力!$AC$17=""),"",入力!$AC$17))</f>
        <v/>
      </c>
      <c r="BU15">
        <f>IF(入力!$D$17="","",IF(OR(反映項目!$B$14="×",N($CA$15)=0),"",YEAR($CA$15)-IF($CA$15&gt;=DATE(2019,5,1),2018,1988)))&amp;""</f>
        <v/>
      </c>
      <c r="BV15">
        <f>IF(入力!$D$17="","",IF(OR(反映項目!$B$14="×",N($CA$15)=0),"",MONTH($CA$15)))&amp;""</f>
        <v/>
      </c>
      <c r="BW15">
        <f>IF(入力!$D$17="","",IF(OR(反映項目!$B$14="×",入力!$AE$17=""),"",入力!$AE$17))</f>
        <v/>
      </c>
      <c r="BY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Z15">
        <f>IF(入力!$D$17="","",IF(入力!$AB$17="","",IF(ISNUMBER(入力!$AB$17),入力!$AB$17,IFERROR(IF(OR(LEFT(入力!$AB$17,2)="令和",LEFT(入力!$AB$17,2)="平成",LEFT(入力!$AB$17,2)="昭和",LEFT(入力!$AB$17,2)="大正"),DATE(VALUE(MID(入力!$AB$17,3,FIND("年",入力!$AB$17)-3))+IF(LEFT(入力!$AB$17,2)="令和",2018,IF(LEFT(入力!$AB$17,2)="平成",1988,IF(LEFT(入力!$AB$17,2)="昭和",1925,IF(LEFT(入力!$AB$17,2)="大正",1911,0)))),VALUE(MID(入力!$AB$17,FIND("年",入力!$AB$17)+1,FIND("月",入力!$AB$17)-FIND("年",入力!$AB$17)-1)),IFERROR(VALUE(SUBSTITUTE(MID(入力!$AB$17,FIND("月",入力!$AB$17)+1,10),"日","")),1)),DATE(VALUE(TRIM(MID(SUBSTITUTE(SUBSTITUTE(SUBSTITUTE(SUBSTITUTE(SUBSTITUTE(SUBSTITUTE(入力!$AB$17,"年","/"),"月","/"),"日",""),"-","/"),".","/"),"/",REPT(" ",50)),1,50))),VALUE(TRIM(MID(SUBSTITUTE(SUBSTITUTE(SUBSTITUTE(SUBSTITUTE(SUBSTITUTE(SUBSTITUTE(入力!$AB$17,"年","/"),"月","/"),"日",""),"-","/"),".","/"),"/",REPT(" ",50)),51,50))),IFERROR(VALUE(TRIM(MID(SUBSTITUTE(SUBSTITUTE(SUBSTITUTE(SUBSTITUTE(SUBSTITUTE(SUBSTITUTE(入力!$AB$17,"年","/"),"月","/"),"日",""),"-","/"),".","/"),"/",REPT(" ",50)),101,50))),1))),IFERROR(DATEVALUE(入力!$AB$17),"")))))</f>
        <v/>
      </c>
      <c r="CA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CB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amp;IF($AR15="","",CHAR(10)&amp;$AQ15)&amp;IF($AT15="","",CHAR(10)&amp;$AS15)&amp;IF($AV15="","",CHAR(10)&amp;$AU15)&amp;IF($AX15="","",CHAR(10)&amp;$AW15)&amp;IF($AZ15="","",CHAR(10)&amp;$AY15)&amp;IF($BB15="","",CHAR(10)&amp;$BA15)&amp;IF($BD15="","",CHAR(10)&amp;$BC15)&amp;IF($BF15="","",CHAR(10)&amp;$BE15)&amp;IF($BH15="","",CHAR(10)&amp;$BG15)&amp;IF($BJ15="","",CHAR(10)&amp;$BI15)&amp;IF($BL15="","",CHAR(10)&amp;$BK15)&amp;IF($BN15="","",CHAR(10)&amp;$BM15))</f>
        <v/>
      </c>
      <c r="CC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amp;IF($AR15="","",CHAR(10)&amp;$AR15)&amp;IF($AT15="","",CHAR(10)&amp;$AT15)&amp;IF($AV15="","",CHAR(10)&amp;$AV15)&amp;IF($AX15="","",CHAR(10)&amp;$AX15)&amp;IF($AZ15="","",CHAR(10)&amp;$AZ15)&amp;IF($BB15="","",CHAR(10)&amp;$BB15)&amp;IF($BD15="","",CHAR(10)&amp;$BD15)&amp;IF($BF15="","",CHAR(10)&amp;$BF15)&amp;IF($BH15="","",CHAR(10)&amp;$BH15)&amp;IF($BJ15="","",CHAR(10)&amp;$BJ15)&amp;IF($BL15="","",CHAR(10)&amp;$BL15)&amp;IF($BN15="","",CHAR(10)&amp;$BN15))</f>
        <v/>
      </c>
      <c r="CD15">
        <f>IF(入力!$D$17="","",IF($P15="",0,1)+IF($R15="",0,1)+IF($T15="",0,1)+IF($V15="",0,1)+IF($X15="",0,1)+IF($Z15="",0,1)+IF($AB15="",0,1)+IF($AD15="",0,1)+IF($AF15="",0,1)+IF($AH15="",0,1)+IF($AJ15="",0,1)+IF($AL15="",0,1)+IF($AN15="",0,1)+IF($AP15="",0,1)+IF($AR15="",0,1)+IF($AT15="",0,1)+IF($AV15="",0,1)+IF($AX15="",0,1)+IF($AZ15="",0,1)+IF($BB15="",0,1)+IF($BD15="",0,1)+IF($BF15="",0,1)+IF($BH15="",0,1)+IF($BJ15="",0,1)+IF($BL15="",0,1)+IF($BN15="",0,1))</f>
        <v/>
      </c>
    </row>
    <row r="16">
      <c r="A16" t="n">
        <v>14</v>
      </c>
      <c r="B16">
        <f>IF(入力!$D$18="","",IF(OR(反映項目!$B$4="×",入力!$D$18=""),"",入力!$D$18))</f>
        <v/>
      </c>
      <c r="C16">
        <f>IF(入力!$D$18="","",IF(OR(反映項目!$B$5="×",入力!$E$18=""),"",入力!$E$18))</f>
        <v/>
      </c>
      <c r="D16">
        <f>IF(入力!$D$18="","",IF(OR(反映項目!$B$6="×",N($BY$16)=0),"",YEAR($BY$16)-IF($BY$16&gt;=DATE(2019,5,1),2018,IF($BY$16&gt;=DATE(1989,1,8),1988,1925))))&amp;""</f>
        <v/>
      </c>
      <c r="E16">
        <f>IF(入力!$D$18="","",IF(OR(反映項目!$B$6="×",N($BY$16)=0),"",MONTH($BY$16)))&amp;""</f>
        <v/>
      </c>
      <c r="F16">
        <f>IF(入力!$D$18="","",IF(OR(反映項目!$B$6="×",N($BY$16)=0),"",DAY($BY$16)))&amp;""</f>
        <v/>
      </c>
      <c r="G16">
        <f>IF(入力!$D$18="","",IF(OR(反映項目!$B$6="×",OR(N($BY$16)=0,N(設定!$B$3)=0)),"",DATEDIF($BY$16,設定!$B$3,"Y")))&amp;""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IF(入力!$D$18="","",IF(OR(反映項目!$B$10="×",入力!$K$18=""),"",入力!$K$18))</f>
        <v/>
      </c>
      <c r="M16">
        <f>IF(入力!$D$18="","",IF(OR(反映項目!$B$10="×",入力!$L$18=""),"",入力!$L$18))</f>
        <v/>
      </c>
      <c r="N16">
        <f>IF(入力!$D$18="","",設定!$B$4&amp;CHAR(10)&amp;IF(入力!$M$18="",設定!$B$5,入力!$M$18))</f>
        <v/>
      </c>
      <c r="O16">
        <f>IF(入力!$D$18="","",IF(反映項目!$B$11="×","",IFERROR(INDEX(資格集約!$H$341:$H$366,MATCH(1,資格集約!$G$341:$G$366,0)),"")))</f>
        <v/>
      </c>
      <c r="P16">
        <f>IF(入力!$D$18="","",IF(反映項目!$B$11="×","",IFERROR(INDEX(資格集約!$E$341:$E$366,MATCH(1,資格集約!$G$341:$G$366,0)),"")))</f>
        <v/>
      </c>
      <c r="Q16">
        <f>IF(入力!$D$18="","",IF(反映項目!$B$11="×","",IFERROR(INDEX(資格集約!$H$341:$H$366,MATCH(2,資格集約!$G$341:$G$366,0)),"")))</f>
        <v/>
      </c>
      <c r="R16">
        <f>IF(入力!$D$18="","",IF(反映項目!$B$11="×","",IFERROR(INDEX(資格集約!$E$341:$E$366,MATCH(2,資格集約!$G$341:$G$366,0)),"")))</f>
        <v/>
      </c>
      <c r="S16">
        <f>IF(入力!$D$18="","",IF(反映項目!$B$11="×","",IFERROR(INDEX(資格集約!$H$341:$H$366,MATCH(3,資格集約!$G$341:$G$366,0)),"")))</f>
        <v/>
      </c>
      <c r="T16">
        <f>IF(入力!$D$18="","",IF(反映項目!$B$11="×","",IFERROR(INDEX(資格集約!$E$341:$E$366,MATCH(3,資格集約!$G$341:$G$366,0)),"")))</f>
        <v/>
      </c>
      <c r="U16">
        <f>IF(入力!$D$18="","",IF(反映項目!$B$11="×","",IFERROR(INDEX(資格集約!$H$341:$H$366,MATCH(4,資格集約!$G$341:$G$366,0)),"")))</f>
        <v/>
      </c>
      <c r="V16">
        <f>IF(入力!$D$18="","",IF(反映項目!$B$11="×","",IFERROR(INDEX(資格集約!$E$341:$E$366,MATCH(4,資格集約!$G$341:$G$366,0)),"")))</f>
        <v/>
      </c>
      <c r="W16">
        <f>IF(入力!$D$18="","",IF(反映項目!$B$11="×","",IFERROR(INDEX(資格集約!$H$341:$H$366,MATCH(5,資格集約!$G$341:$G$366,0)),"")))</f>
        <v/>
      </c>
      <c r="X16">
        <f>IF(入力!$D$18="","",IF(反映項目!$B$11="×","",IFERROR(INDEX(資格集約!$E$341:$E$366,MATCH(5,資格集約!$G$341:$G$366,0)),"")))</f>
        <v/>
      </c>
      <c r="Y16">
        <f>IF(入力!$D$18="","",IF(反映項目!$B$11="×","",IFERROR(INDEX(資格集約!$H$341:$H$366,MATCH(6,資格集約!$G$341:$G$366,0)),"")))</f>
        <v/>
      </c>
      <c r="Z16">
        <f>IF(入力!$D$18="","",IF(反映項目!$B$11="×","",IFERROR(INDEX(資格集約!$E$341:$E$366,MATCH(6,資格集約!$G$341:$G$366,0)),"")))</f>
        <v/>
      </c>
      <c r="AA16">
        <f>IF(入力!$D$18="","",IF(反映項目!$B$11="×","",IFERROR(INDEX(資格集約!$H$341:$H$366,MATCH(7,資格集約!$G$341:$G$366,0)),"")))</f>
        <v/>
      </c>
      <c r="AB16">
        <f>IF(入力!$D$18="","",IF(反映項目!$B$11="×","",IFERROR(INDEX(資格集約!$E$341:$E$366,MATCH(7,資格集約!$G$341:$G$366,0)),"")))</f>
        <v/>
      </c>
      <c r="AC16">
        <f>IF(入力!$D$18="","",IF(反映項目!$B$11="×","",IFERROR(INDEX(資格集約!$H$341:$H$366,MATCH(8,資格集約!$G$341:$G$366,0)),"")))</f>
        <v/>
      </c>
      <c r="AD16">
        <f>IF(入力!$D$18="","",IF(反映項目!$B$11="×","",IFERROR(INDEX(資格集約!$E$341:$E$366,MATCH(8,資格集約!$G$341:$G$366,0)),"")))</f>
        <v/>
      </c>
      <c r="AE16">
        <f>IF(入力!$D$18="","",IF(反映項目!$B$11="×","",IFERROR(INDEX(資格集約!$H$341:$H$366,MATCH(9,資格集約!$G$341:$G$366,0)),"")))</f>
        <v/>
      </c>
      <c r="AF16">
        <f>IF(入力!$D$18="","",IF(反映項目!$B$11="×","",IFERROR(INDEX(資格集約!$E$341:$E$366,MATCH(9,資格集約!$G$341:$G$366,0)),"")))</f>
        <v/>
      </c>
      <c r="AG16">
        <f>IF(入力!$D$18="","",IF(反映項目!$B$11="×","",IFERROR(INDEX(資格集約!$H$341:$H$366,MATCH(10,資格集約!$G$341:$G$366,0)),"")))</f>
        <v/>
      </c>
      <c r="AH16">
        <f>IF(入力!$D$18="","",IF(反映項目!$B$11="×","",IFERROR(INDEX(資格集約!$E$341:$E$366,MATCH(10,資格集約!$G$341:$G$366,0)),"")))</f>
        <v/>
      </c>
      <c r="AI16">
        <f>IF(入力!$D$18="","",IF(反映項目!$B$11="×","",IFERROR(INDEX(資格集約!$H$341:$H$366,MATCH(11,資格集約!$G$341:$G$366,0)),"")))</f>
        <v/>
      </c>
      <c r="AJ16">
        <f>IF(入力!$D$18="","",IF(反映項目!$B$11="×","",IFERROR(INDEX(資格集約!$E$341:$E$366,MATCH(11,資格集約!$G$341:$G$366,0)),"")))</f>
        <v/>
      </c>
      <c r="AK16">
        <f>IF(入力!$D$18="","",IF(反映項目!$B$11="×","",IFERROR(INDEX(資格集約!$H$341:$H$366,MATCH(12,資格集約!$G$341:$G$366,0)),"")))</f>
        <v/>
      </c>
      <c r="AL16">
        <f>IF(入力!$D$18="","",IF(反映項目!$B$11="×","",IFERROR(INDEX(資格集約!$E$341:$E$366,MATCH(12,資格集約!$G$341:$G$366,0)),"")))</f>
        <v/>
      </c>
      <c r="AM16">
        <f>IF(入力!$D$18="","",IF(反映項目!$B$11="×","",IFERROR(INDEX(資格集約!$H$341:$H$366,MATCH(13,資格集約!$G$341:$G$366,0)),"")))</f>
        <v/>
      </c>
      <c r="AN16">
        <f>IF(入力!$D$18="","",IF(反映項目!$B$11="×","",IFERROR(INDEX(資格集約!$E$341:$E$366,MATCH(13,資格集約!$G$341:$G$366,0)),"")))</f>
        <v/>
      </c>
      <c r="AO16">
        <f>IF(入力!$D$18="","",IF(反映項目!$B$11="×","",IFERROR(INDEX(資格集約!$H$341:$H$366,MATCH(14,資格集約!$G$341:$G$366,0)),"")))</f>
        <v/>
      </c>
      <c r="AP16">
        <f>IF(入力!$D$18="","",IF(反映項目!$B$11="×","",IFERROR(INDEX(資格集約!$E$341:$E$366,MATCH(14,資格集約!$G$341:$G$366,0)),"")))</f>
        <v/>
      </c>
      <c r="AQ16">
        <f>IF(入力!$D$18="","",IF(反映項目!$B$11="×","",IFERROR(INDEX(資格集約!$H$341:$H$366,MATCH(15,資格集約!$G$341:$G$366,0)),"")))</f>
        <v/>
      </c>
      <c r="AR16">
        <f>IF(入力!$D$18="","",IF(反映項目!$B$11="×","",IFERROR(INDEX(資格集約!$E$341:$E$366,MATCH(15,資格集約!$G$341:$G$366,0)),"")))</f>
        <v/>
      </c>
      <c r="AS16">
        <f>IF(入力!$D$18="","",IF(反映項目!$B$11="×","",IFERROR(INDEX(資格集約!$H$341:$H$366,MATCH(16,資格集約!$G$341:$G$366,0)),"")))</f>
        <v/>
      </c>
      <c r="AT16">
        <f>IF(入力!$D$18="","",IF(反映項目!$B$11="×","",IFERROR(INDEX(資格集約!$E$341:$E$366,MATCH(16,資格集約!$G$341:$G$366,0)),"")))</f>
        <v/>
      </c>
      <c r="AU16">
        <f>IF(入力!$D$18="","",IF(反映項目!$B$11="×","",IFERROR(INDEX(資格集約!$H$341:$H$366,MATCH(17,資格集約!$G$341:$G$366,0)),"")))</f>
        <v/>
      </c>
      <c r="AV16">
        <f>IF(入力!$D$18="","",IF(反映項目!$B$11="×","",IFERROR(INDEX(資格集約!$E$341:$E$366,MATCH(17,資格集約!$G$341:$G$366,0)),"")))</f>
        <v/>
      </c>
      <c r="AW16">
        <f>IF(入力!$D$18="","",IF(反映項目!$B$11="×","",IFERROR(INDEX(資格集約!$H$341:$H$366,MATCH(18,資格集約!$G$341:$G$366,0)),"")))</f>
        <v/>
      </c>
      <c r="AX16">
        <f>IF(入力!$D$18="","",IF(反映項目!$B$11="×","",IFERROR(INDEX(資格集約!$E$341:$E$366,MATCH(18,資格集約!$G$341:$G$366,0)),"")))</f>
        <v/>
      </c>
      <c r="AY16">
        <f>IF(入力!$D$18="","",IF(反映項目!$B$11="×","",IFERROR(INDEX(資格集約!$H$341:$H$366,MATCH(19,資格集約!$G$341:$G$366,0)),"")))</f>
        <v/>
      </c>
      <c r="AZ16">
        <f>IF(入力!$D$18="","",IF(反映項目!$B$11="×","",IFERROR(INDEX(資格集約!$E$341:$E$366,MATCH(19,資格集約!$G$341:$G$366,0)),"")))</f>
        <v/>
      </c>
      <c r="BA16">
        <f>IF(入力!$D$18="","",IF(反映項目!$B$11="×","",IFERROR(INDEX(資格集約!$H$341:$H$366,MATCH(20,資格集約!$G$341:$G$366,0)),"")))</f>
        <v/>
      </c>
      <c r="BB16">
        <f>IF(入力!$D$18="","",IF(反映項目!$B$11="×","",IFERROR(INDEX(資格集約!$E$341:$E$366,MATCH(20,資格集約!$G$341:$G$366,0)),"")))</f>
        <v/>
      </c>
      <c r="BC16">
        <f>IF(入力!$D$18="","",IF(反映項目!$B$11="×","",IFERROR(INDEX(資格集約!$H$341:$H$366,MATCH(21,資格集約!$G$341:$G$366,0)),"")))</f>
        <v/>
      </c>
      <c r="BD16">
        <f>IF(入力!$D$18="","",IF(反映項目!$B$11="×","",IFERROR(INDEX(資格集約!$E$341:$E$366,MATCH(21,資格集約!$G$341:$G$366,0)),"")))</f>
        <v/>
      </c>
      <c r="BE16">
        <f>IF(入力!$D$18="","",IF(反映項目!$B$11="×","",IFERROR(INDEX(資格集約!$H$341:$H$366,MATCH(22,資格集約!$G$341:$G$366,0)),"")))</f>
        <v/>
      </c>
      <c r="BF16">
        <f>IF(入力!$D$18="","",IF(反映項目!$B$11="×","",IFERROR(INDEX(資格集約!$E$341:$E$366,MATCH(22,資格集約!$G$341:$G$366,0)),"")))</f>
        <v/>
      </c>
      <c r="BG16">
        <f>IF(入力!$D$18="","",IF(反映項目!$B$11="×","",IFERROR(INDEX(資格集約!$H$341:$H$366,MATCH(23,資格集約!$G$341:$G$366,0)),"")))</f>
        <v/>
      </c>
      <c r="BH16">
        <f>IF(入力!$D$18="","",IF(反映項目!$B$11="×","",IFERROR(INDEX(資格集約!$E$341:$E$366,MATCH(23,資格集約!$G$341:$G$366,0)),"")))</f>
        <v/>
      </c>
      <c r="BI16">
        <f>IF(入力!$D$18="","",IF(反映項目!$B$11="×","",IFERROR(INDEX(資格集約!$H$341:$H$366,MATCH(24,資格集約!$G$341:$G$366,0)),"")))</f>
        <v/>
      </c>
      <c r="BJ16">
        <f>IF(入力!$D$18="","",IF(反映項目!$B$11="×","",IFERROR(INDEX(資格集約!$E$341:$E$366,MATCH(24,資格集約!$G$341:$G$366,0)),"")))</f>
        <v/>
      </c>
      <c r="BK16">
        <f>IF(入力!$D$18="","",IF(反映項目!$B$11="×","",IFERROR(INDEX(資格集約!$H$341:$H$366,MATCH(25,資格集約!$G$341:$G$366,0)),"")))</f>
        <v/>
      </c>
      <c r="BL16">
        <f>IF(入力!$D$18="","",IF(反映項目!$B$11="×","",IFERROR(INDEX(資格集約!$E$341:$E$366,MATCH(25,資格集約!$G$341:$G$366,0)),"")))</f>
        <v/>
      </c>
      <c r="BM16">
        <f>IF(入力!$D$18="","",IF(反映項目!$B$11="×","",IFERROR(INDEX(資格集約!$H$341:$H$366,MATCH(26,資格集約!$G$341:$G$366,0)),"")))</f>
        <v/>
      </c>
      <c r="BN16">
        <f>IF(入力!$D$18="","",IF(反映項目!$B$11="×","",IFERROR(INDEX(資格集約!$E$341:$E$366,MATCH(26,資格集約!$G$341:$G$366,0)),"")))</f>
        <v/>
      </c>
      <c r="BO16">
        <f>IF(入力!$D$18="","",IF(OR(反映項目!$B$12="×",入力!$Z$18=""),"",入力!$Z$18))</f>
        <v/>
      </c>
      <c r="BP16">
        <f>IF(入力!$D$18="","",IF(OR(反映項目!$B$13="×",入力!$AA$18=""),"",入力!$AA$18))</f>
        <v/>
      </c>
      <c r="BQ16">
        <f>IF(入力!$D$18="","",IF(OR(反映項目!$B$15="×",入力!$AF$18=""),"",入力!$AF$18))</f>
        <v/>
      </c>
      <c r="BR16">
        <f>IF(入力!$D$18="","",IF(OR(反映項目!$B$14="×",N($BZ$16)=0),"",YEAR($BZ$16)-IF($BZ$16&gt;=DATE(2019,5,1),2018,1988)))&amp;""</f>
        <v/>
      </c>
      <c r="BS16">
        <f>IF(入力!$D$18="","",IF(OR(反映項目!$B$14="×",N($BZ$16)=0),"",MONTH($BZ$16)))&amp;""</f>
        <v/>
      </c>
      <c r="BT16">
        <f>IF(入力!$D$18="","",IF(OR(反映項目!$B$14="×",入力!$AC$18=""),"",入力!$AC$18))</f>
        <v/>
      </c>
      <c r="BU16">
        <f>IF(入力!$D$18="","",IF(OR(反映項目!$B$14="×",N($CA$16)=0),"",YEAR($CA$16)-IF($CA$16&gt;=DATE(2019,5,1),2018,1988)))&amp;""</f>
        <v/>
      </c>
      <c r="BV16">
        <f>IF(入力!$D$18="","",IF(OR(反映項目!$B$14="×",N($CA$16)=0),"",MONTH($CA$16)))&amp;""</f>
        <v/>
      </c>
      <c r="BW16">
        <f>IF(入力!$D$18="","",IF(OR(反映項目!$B$14="×",入力!$AE$18=""),"",入力!$AE$18))</f>
        <v/>
      </c>
      <c r="BY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Z16">
        <f>IF(入力!$D$18="","",IF(入力!$AB$18="","",IF(ISNUMBER(入力!$AB$18),入力!$AB$18,IFERROR(IF(OR(LEFT(入力!$AB$18,2)="令和",LEFT(入力!$AB$18,2)="平成",LEFT(入力!$AB$18,2)="昭和",LEFT(入力!$AB$18,2)="大正"),DATE(VALUE(MID(入力!$AB$18,3,FIND("年",入力!$AB$18)-3))+IF(LEFT(入力!$AB$18,2)="令和",2018,IF(LEFT(入力!$AB$18,2)="平成",1988,IF(LEFT(入力!$AB$18,2)="昭和",1925,IF(LEFT(入力!$AB$18,2)="大正",1911,0)))),VALUE(MID(入力!$AB$18,FIND("年",入力!$AB$18)+1,FIND("月",入力!$AB$18)-FIND("年",入力!$AB$18)-1)),IFERROR(VALUE(SUBSTITUTE(MID(入力!$AB$18,FIND("月",入力!$AB$18)+1,10),"日","")),1)),DATE(VALUE(TRIM(MID(SUBSTITUTE(SUBSTITUTE(SUBSTITUTE(SUBSTITUTE(SUBSTITUTE(SUBSTITUTE(入力!$AB$18,"年","/"),"月","/"),"日",""),"-","/"),".","/"),"/",REPT(" ",50)),1,50))),VALUE(TRIM(MID(SUBSTITUTE(SUBSTITUTE(SUBSTITUTE(SUBSTITUTE(SUBSTITUTE(SUBSTITUTE(入力!$AB$18,"年","/"),"月","/"),"日",""),"-","/"),".","/"),"/",REPT(" ",50)),51,50))),IFERROR(VALUE(TRIM(MID(SUBSTITUTE(SUBSTITUTE(SUBSTITUTE(SUBSTITUTE(SUBSTITUTE(SUBSTITUTE(入力!$AB$18,"年","/"),"月","/"),"日",""),"-","/"),".","/"),"/",REPT(" ",50)),101,50))),1))),IFERROR(DATEVALUE(入力!$AB$18),"")))))</f>
        <v/>
      </c>
      <c r="CA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CB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amp;IF($AR16="","",CHAR(10)&amp;$AQ16)&amp;IF($AT16="","",CHAR(10)&amp;$AS16)&amp;IF($AV16="","",CHAR(10)&amp;$AU16)&amp;IF($AX16="","",CHAR(10)&amp;$AW16)&amp;IF($AZ16="","",CHAR(10)&amp;$AY16)&amp;IF($BB16="","",CHAR(10)&amp;$BA16)&amp;IF($BD16="","",CHAR(10)&amp;$BC16)&amp;IF($BF16="","",CHAR(10)&amp;$BE16)&amp;IF($BH16="","",CHAR(10)&amp;$BG16)&amp;IF($BJ16="","",CHAR(10)&amp;$BI16)&amp;IF($BL16="","",CHAR(10)&amp;$BK16)&amp;IF($BN16="","",CHAR(10)&amp;$BM16))</f>
        <v/>
      </c>
      <c r="CC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amp;IF($AR16="","",CHAR(10)&amp;$AR16)&amp;IF($AT16="","",CHAR(10)&amp;$AT16)&amp;IF($AV16="","",CHAR(10)&amp;$AV16)&amp;IF($AX16="","",CHAR(10)&amp;$AX16)&amp;IF($AZ16="","",CHAR(10)&amp;$AZ16)&amp;IF($BB16="","",CHAR(10)&amp;$BB16)&amp;IF($BD16="","",CHAR(10)&amp;$BD16)&amp;IF($BF16="","",CHAR(10)&amp;$BF16)&amp;IF($BH16="","",CHAR(10)&amp;$BH16)&amp;IF($BJ16="","",CHAR(10)&amp;$BJ16)&amp;IF($BL16="","",CHAR(10)&amp;$BL16)&amp;IF($BN16="","",CHAR(10)&amp;$BN16))</f>
        <v/>
      </c>
      <c r="CD16">
        <f>IF(入力!$D$18="","",IF($P16="",0,1)+IF($R16="",0,1)+IF($T16="",0,1)+IF($V16="",0,1)+IF($X16="",0,1)+IF($Z16="",0,1)+IF($AB16="",0,1)+IF($AD16="",0,1)+IF($AF16="",0,1)+IF($AH16="",0,1)+IF($AJ16="",0,1)+IF($AL16="",0,1)+IF($AN16="",0,1)+IF($AP16="",0,1)+IF($AR16="",0,1)+IF($AT16="",0,1)+IF($AV16="",0,1)+IF($AX16="",0,1)+IF($AZ16="",0,1)+IF($BB16="",0,1)+IF($BD16="",0,1)+IF($BF16="",0,1)+IF($BH16="",0,1)+IF($BJ16="",0,1)+IF($BL16="",0,1)+IF($BN16="",0,1))</f>
        <v/>
      </c>
    </row>
    <row r="17">
      <c r="A17" t="n">
        <v>15</v>
      </c>
      <c r="B17">
        <f>IF(入力!$D$19="","",IF(OR(反映項目!$B$4="×",入力!$D$19=""),"",入力!$D$19))</f>
        <v/>
      </c>
      <c r="C17">
        <f>IF(入力!$D$19="","",IF(OR(反映項目!$B$5="×",入力!$E$19=""),"",入力!$E$19))</f>
        <v/>
      </c>
      <c r="D17">
        <f>IF(入力!$D$19="","",IF(OR(反映項目!$B$6="×",N($BY$17)=0),"",YEAR($BY$17)-IF($BY$17&gt;=DATE(2019,5,1),2018,IF($BY$17&gt;=DATE(1989,1,8),1988,1925))))&amp;""</f>
        <v/>
      </c>
      <c r="E17">
        <f>IF(入力!$D$19="","",IF(OR(反映項目!$B$6="×",N($BY$17)=0),"",MONTH($BY$17)))&amp;""</f>
        <v/>
      </c>
      <c r="F17">
        <f>IF(入力!$D$19="","",IF(OR(反映項目!$B$6="×",N($BY$17)=0),"",DAY($BY$17)))&amp;""</f>
        <v/>
      </c>
      <c r="G17">
        <f>IF(入力!$D$19="","",IF(OR(反映項目!$B$6="×",OR(N($BY$17)=0,N(設定!$B$3)=0)),"",DATEDIF($BY$17,設定!$B$3,"Y")))&amp;""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IF(入力!$D$19="","",IF(OR(反映項目!$B$10="×",入力!$K$19=""),"",入力!$K$19))</f>
        <v/>
      </c>
      <c r="M17">
        <f>IF(入力!$D$19="","",IF(OR(反映項目!$B$10="×",入力!$L$19=""),"",入力!$L$19))</f>
        <v/>
      </c>
      <c r="N17">
        <f>IF(入力!$D$19="","",設定!$B$4&amp;CHAR(10)&amp;IF(入力!$M$19="",設定!$B$5,入力!$M$19))</f>
        <v/>
      </c>
      <c r="O17">
        <f>IF(入力!$D$19="","",IF(反映項目!$B$11="×","",IFERROR(INDEX(資格集約!$H$367:$H$392,MATCH(1,資格集約!$G$367:$G$392,0)),"")))</f>
        <v/>
      </c>
      <c r="P17">
        <f>IF(入力!$D$19="","",IF(反映項目!$B$11="×","",IFERROR(INDEX(資格集約!$E$367:$E$392,MATCH(1,資格集約!$G$367:$G$392,0)),"")))</f>
        <v/>
      </c>
      <c r="Q17">
        <f>IF(入力!$D$19="","",IF(反映項目!$B$11="×","",IFERROR(INDEX(資格集約!$H$367:$H$392,MATCH(2,資格集約!$G$367:$G$392,0)),"")))</f>
        <v/>
      </c>
      <c r="R17">
        <f>IF(入力!$D$19="","",IF(反映項目!$B$11="×","",IFERROR(INDEX(資格集約!$E$367:$E$392,MATCH(2,資格集約!$G$367:$G$392,0)),"")))</f>
        <v/>
      </c>
      <c r="S17">
        <f>IF(入力!$D$19="","",IF(反映項目!$B$11="×","",IFERROR(INDEX(資格集約!$H$367:$H$392,MATCH(3,資格集約!$G$367:$G$392,0)),"")))</f>
        <v/>
      </c>
      <c r="T17">
        <f>IF(入力!$D$19="","",IF(反映項目!$B$11="×","",IFERROR(INDEX(資格集約!$E$367:$E$392,MATCH(3,資格集約!$G$367:$G$392,0)),"")))</f>
        <v/>
      </c>
      <c r="U17">
        <f>IF(入力!$D$19="","",IF(反映項目!$B$11="×","",IFERROR(INDEX(資格集約!$H$367:$H$392,MATCH(4,資格集約!$G$367:$G$392,0)),"")))</f>
        <v/>
      </c>
      <c r="V17">
        <f>IF(入力!$D$19="","",IF(反映項目!$B$11="×","",IFERROR(INDEX(資格集約!$E$367:$E$392,MATCH(4,資格集約!$G$367:$G$392,0)),"")))</f>
        <v/>
      </c>
      <c r="W17">
        <f>IF(入力!$D$19="","",IF(反映項目!$B$11="×","",IFERROR(INDEX(資格集約!$H$367:$H$392,MATCH(5,資格集約!$G$367:$G$392,0)),"")))</f>
        <v/>
      </c>
      <c r="X17">
        <f>IF(入力!$D$19="","",IF(反映項目!$B$11="×","",IFERROR(INDEX(資格集約!$E$367:$E$392,MATCH(5,資格集約!$G$367:$G$392,0)),"")))</f>
        <v/>
      </c>
      <c r="Y17">
        <f>IF(入力!$D$19="","",IF(反映項目!$B$11="×","",IFERROR(INDEX(資格集約!$H$367:$H$392,MATCH(6,資格集約!$G$367:$G$392,0)),"")))</f>
        <v/>
      </c>
      <c r="Z17">
        <f>IF(入力!$D$19="","",IF(反映項目!$B$11="×","",IFERROR(INDEX(資格集約!$E$367:$E$392,MATCH(6,資格集約!$G$367:$G$392,0)),"")))</f>
        <v/>
      </c>
      <c r="AA17">
        <f>IF(入力!$D$19="","",IF(反映項目!$B$11="×","",IFERROR(INDEX(資格集約!$H$367:$H$392,MATCH(7,資格集約!$G$367:$G$392,0)),"")))</f>
        <v/>
      </c>
      <c r="AB17">
        <f>IF(入力!$D$19="","",IF(反映項目!$B$11="×","",IFERROR(INDEX(資格集約!$E$367:$E$392,MATCH(7,資格集約!$G$367:$G$392,0)),"")))</f>
        <v/>
      </c>
      <c r="AC17">
        <f>IF(入力!$D$19="","",IF(反映項目!$B$11="×","",IFERROR(INDEX(資格集約!$H$367:$H$392,MATCH(8,資格集約!$G$367:$G$392,0)),"")))</f>
        <v/>
      </c>
      <c r="AD17">
        <f>IF(入力!$D$19="","",IF(反映項目!$B$11="×","",IFERROR(INDEX(資格集約!$E$367:$E$392,MATCH(8,資格集約!$G$367:$G$392,0)),"")))</f>
        <v/>
      </c>
      <c r="AE17">
        <f>IF(入力!$D$19="","",IF(反映項目!$B$11="×","",IFERROR(INDEX(資格集約!$H$367:$H$392,MATCH(9,資格集約!$G$367:$G$392,0)),"")))</f>
        <v/>
      </c>
      <c r="AF17">
        <f>IF(入力!$D$19="","",IF(反映項目!$B$11="×","",IFERROR(INDEX(資格集約!$E$367:$E$392,MATCH(9,資格集約!$G$367:$G$392,0)),"")))</f>
        <v/>
      </c>
      <c r="AG17">
        <f>IF(入力!$D$19="","",IF(反映項目!$B$11="×","",IFERROR(INDEX(資格集約!$H$367:$H$392,MATCH(10,資格集約!$G$367:$G$392,0)),"")))</f>
        <v/>
      </c>
      <c r="AH17">
        <f>IF(入力!$D$19="","",IF(反映項目!$B$11="×","",IFERROR(INDEX(資格集約!$E$367:$E$392,MATCH(10,資格集約!$G$367:$G$392,0)),"")))</f>
        <v/>
      </c>
      <c r="AI17">
        <f>IF(入力!$D$19="","",IF(反映項目!$B$11="×","",IFERROR(INDEX(資格集約!$H$367:$H$392,MATCH(11,資格集約!$G$367:$G$392,0)),"")))</f>
        <v/>
      </c>
      <c r="AJ17">
        <f>IF(入力!$D$19="","",IF(反映項目!$B$11="×","",IFERROR(INDEX(資格集約!$E$367:$E$392,MATCH(11,資格集約!$G$367:$G$392,0)),"")))</f>
        <v/>
      </c>
      <c r="AK17">
        <f>IF(入力!$D$19="","",IF(反映項目!$B$11="×","",IFERROR(INDEX(資格集約!$H$367:$H$392,MATCH(12,資格集約!$G$367:$G$392,0)),"")))</f>
        <v/>
      </c>
      <c r="AL17">
        <f>IF(入力!$D$19="","",IF(反映項目!$B$11="×","",IFERROR(INDEX(資格集約!$E$367:$E$392,MATCH(12,資格集約!$G$367:$G$392,0)),"")))</f>
        <v/>
      </c>
      <c r="AM17">
        <f>IF(入力!$D$19="","",IF(反映項目!$B$11="×","",IFERROR(INDEX(資格集約!$H$367:$H$392,MATCH(13,資格集約!$G$367:$G$392,0)),"")))</f>
        <v/>
      </c>
      <c r="AN17">
        <f>IF(入力!$D$19="","",IF(反映項目!$B$11="×","",IFERROR(INDEX(資格集約!$E$367:$E$392,MATCH(13,資格集約!$G$367:$G$392,0)),"")))</f>
        <v/>
      </c>
      <c r="AO17">
        <f>IF(入力!$D$19="","",IF(反映項目!$B$11="×","",IFERROR(INDEX(資格集約!$H$367:$H$392,MATCH(14,資格集約!$G$367:$G$392,0)),"")))</f>
        <v/>
      </c>
      <c r="AP17">
        <f>IF(入力!$D$19="","",IF(反映項目!$B$11="×","",IFERROR(INDEX(資格集約!$E$367:$E$392,MATCH(14,資格集約!$G$367:$G$392,0)),"")))</f>
        <v/>
      </c>
      <c r="AQ17">
        <f>IF(入力!$D$19="","",IF(反映項目!$B$11="×","",IFERROR(INDEX(資格集約!$H$367:$H$392,MATCH(15,資格集約!$G$367:$G$392,0)),"")))</f>
        <v/>
      </c>
      <c r="AR17">
        <f>IF(入力!$D$19="","",IF(反映項目!$B$11="×","",IFERROR(INDEX(資格集約!$E$367:$E$392,MATCH(15,資格集約!$G$367:$G$392,0)),"")))</f>
        <v/>
      </c>
      <c r="AS17">
        <f>IF(入力!$D$19="","",IF(反映項目!$B$11="×","",IFERROR(INDEX(資格集約!$H$367:$H$392,MATCH(16,資格集約!$G$367:$G$392,0)),"")))</f>
        <v/>
      </c>
      <c r="AT17">
        <f>IF(入力!$D$19="","",IF(反映項目!$B$11="×","",IFERROR(INDEX(資格集約!$E$367:$E$392,MATCH(16,資格集約!$G$367:$G$392,0)),"")))</f>
        <v/>
      </c>
      <c r="AU17">
        <f>IF(入力!$D$19="","",IF(反映項目!$B$11="×","",IFERROR(INDEX(資格集約!$H$367:$H$392,MATCH(17,資格集約!$G$367:$G$392,0)),"")))</f>
        <v/>
      </c>
      <c r="AV17">
        <f>IF(入力!$D$19="","",IF(反映項目!$B$11="×","",IFERROR(INDEX(資格集約!$E$367:$E$392,MATCH(17,資格集約!$G$367:$G$392,0)),"")))</f>
        <v/>
      </c>
      <c r="AW17">
        <f>IF(入力!$D$19="","",IF(反映項目!$B$11="×","",IFERROR(INDEX(資格集約!$H$367:$H$392,MATCH(18,資格集約!$G$367:$G$392,0)),"")))</f>
        <v/>
      </c>
      <c r="AX17">
        <f>IF(入力!$D$19="","",IF(反映項目!$B$11="×","",IFERROR(INDEX(資格集約!$E$367:$E$392,MATCH(18,資格集約!$G$367:$G$392,0)),"")))</f>
        <v/>
      </c>
      <c r="AY17">
        <f>IF(入力!$D$19="","",IF(反映項目!$B$11="×","",IFERROR(INDEX(資格集約!$H$367:$H$392,MATCH(19,資格集約!$G$367:$G$392,0)),"")))</f>
        <v/>
      </c>
      <c r="AZ17">
        <f>IF(入力!$D$19="","",IF(反映項目!$B$11="×","",IFERROR(INDEX(資格集約!$E$367:$E$392,MATCH(19,資格集約!$G$367:$G$392,0)),"")))</f>
        <v/>
      </c>
      <c r="BA17">
        <f>IF(入力!$D$19="","",IF(反映項目!$B$11="×","",IFERROR(INDEX(資格集約!$H$367:$H$392,MATCH(20,資格集約!$G$367:$G$392,0)),"")))</f>
        <v/>
      </c>
      <c r="BB17">
        <f>IF(入力!$D$19="","",IF(反映項目!$B$11="×","",IFERROR(INDEX(資格集約!$E$367:$E$392,MATCH(20,資格集約!$G$367:$G$392,0)),"")))</f>
        <v/>
      </c>
      <c r="BC17">
        <f>IF(入力!$D$19="","",IF(反映項目!$B$11="×","",IFERROR(INDEX(資格集約!$H$367:$H$392,MATCH(21,資格集約!$G$367:$G$392,0)),"")))</f>
        <v/>
      </c>
      <c r="BD17">
        <f>IF(入力!$D$19="","",IF(反映項目!$B$11="×","",IFERROR(INDEX(資格集約!$E$367:$E$392,MATCH(21,資格集約!$G$367:$G$392,0)),"")))</f>
        <v/>
      </c>
      <c r="BE17">
        <f>IF(入力!$D$19="","",IF(反映項目!$B$11="×","",IFERROR(INDEX(資格集約!$H$367:$H$392,MATCH(22,資格集約!$G$367:$G$392,0)),"")))</f>
        <v/>
      </c>
      <c r="BF17">
        <f>IF(入力!$D$19="","",IF(反映項目!$B$11="×","",IFERROR(INDEX(資格集約!$E$367:$E$392,MATCH(22,資格集約!$G$367:$G$392,0)),"")))</f>
        <v/>
      </c>
      <c r="BG17">
        <f>IF(入力!$D$19="","",IF(反映項目!$B$11="×","",IFERROR(INDEX(資格集約!$H$367:$H$392,MATCH(23,資格集約!$G$367:$G$392,0)),"")))</f>
        <v/>
      </c>
      <c r="BH17">
        <f>IF(入力!$D$19="","",IF(反映項目!$B$11="×","",IFERROR(INDEX(資格集約!$E$367:$E$392,MATCH(23,資格集約!$G$367:$G$392,0)),"")))</f>
        <v/>
      </c>
      <c r="BI17">
        <f>IF(入力!$D$19="","",IF(反映項目!$B$11="×","",IFERROR(INDEX(資格集約!$H$367:$H$392,MATCH(24,資格集約!$G$367:$G$392,0)),"")))</f>
        <v/>
      </c>
      <c r="BJ17">
        <f>IF(入力!$D$19="","",IF(反映項目!$B$11="×","",IFERROR(INDEX(資格集約!$E$367:$E$392,MATCH(24,資格集約!$G$367:$G$392,0)),"")))</f>
        <v/>
      </c>
      <c r="BK17">
        <f>IF(入力!$D$19="","",IF(反映項目!$B$11="×","",IFERROR(INDEX(資格集約!$H$367:$H$392,MATCH(25,資格集約!$G$367:$G$392,0)),"")))</f>
        <v/>
      </c>
      <c r="BL17">
        <f>IF(入力!$D$19="","",IF(反映項目!$B$11="×","",IFERROR(INDEX(資格集約!$E$367:$E$392,MATCH(25,資格集約!$G$367:$G$392,0)),"")))</f>
        <v/>
      </c>
      <c r="BM17">
        <f>IF(入力!$D$19="","",IF(反映項目!$B$11="×","",IFERROR(INDEX(資格集約!$H$367:$H$392,MATCH(26,資格集約!$G$367:$G$392,0)),"")))</f>
        <v/>
      </c>
      <c r="BN17">
        <f>IF(入力!$D$19="","",IF(反映項目!$B$11="×","",IFERROR(INDEX(資格集約!$E$367:$E$392,MATCH(26,資格集約!$G$367:$G$392,0)),"")))</f>
        <v/>
      </c>
      <c r="BO17">
        <f>IF(入力!$D$19="","",IF(OR(反映項目!$B$12="×",入力!$Z$19=""),"",入力!$Z$19))</f>
        <v/>
      </c>
      <c r="BP17">
        <f>IF(入力!$D$19="","",IF(OR(反映項目!$B$13="×",入力!$AA$19=""),"",入力!$AA$19))</f>
        <v/>
      </c>
      <c r="BQ17">
        <f>IF(入力!$D$19="","",IF(OR(反映項目!$B$15="×",入力!$AF$19=""),"",入力!$AF$19))</f>
        <v/>
      </c>
      <c r="BR17">
        <f>IF(入力!$D$19="","",IF(OR(反映項目!$B$14="×",N($BZ$17)=0),"",YEAR($BZ$17)-IF($BZ$17&gt;=DATE(2019,5,1),2018,1988)))&amp;""</f>
        <v/>
      </c>
      <c r="BS17">
        <f>IF(入力!$D$19="","",IF(OR(反映項目!$B$14="×",N($BZ$17)=0),"",MONTH($BZ$17)))&amp;""</f>
        <v/>
      </c>
      <c r="BT17">
        <f>IF(入力!$D$19="","",IF(OR(反映項目!$B$14="×",入力!$AC$19=""),"",入力!$AC$19))</f>
        <v/>
      </c>
      <c r="BU17">
        <f>IF(入力!$D$19="","",IF(OR(反映項目!$B$14="×",N($CA$17)=0),"",YEAR($CA$17)-IF($CA$17&gt;=DATE(2019,5,1),2018,1988)))&amp;""</f>
        <v/>
      </c>
      <c r="BV17">
        <f>IF(入力!$D$19="","",IF(OR(反映項目!$B$14="×",N($CA$17)=0),"",MONTH($CA$17)))&amp;""</f>
        <v/>
      </c>
      <c r="BW17">
        <f>IF(入力!$D$19="","",IF(OR(反映項目!$B$14="×",入力!$AE$19=""),"",入力!$AE$19))</f>
        <v/>
      </c>
      <c r="BY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Z17">
        <f>IF(入力!$D$19="","",IF(入力!$AB$19="","",IF(ISNUMBER(入力!$AB$19),入力!$AB$19,IFERROR(IF(OR(LEFT(入力!$AB$19,2)="令和",LEFT(入力!$AB$19,2)="平成",LEFT(入力!$AB$19,2)="昭和",LEFT(入力!$AB$19,2)="大正"),DATE(VALUE(MID(入力!$AB$19,3,FIND("年",入力!$AB$19)-3))+IF(LEFT(入力!$AB$19,2)="令和",2018,IF(LEFT(入力!$AB$19,2)="平成",1988,IF(LEFT(入力!$AB$19,2)="昭和",1925,IF(LEFT(入力!$AB$19,2)="大正",1911,0)))),VALUE(MID(入力!$AB$19,FIND("年",入力!$AB$19)+1,FIND("月",入力!$AB$19)-FIND("年",入力!$AB$19)-1)),IFERROR(VALUE(SUBSTITUTE(MID(入力!$AB$19,FIND("月",入力!$AB$19)+1,10),"日","")),1)),DATE(VALUE(TRIM(MID(SUBSTITUTE(SUBSTITUTE(SUBSTITUTE(SUBSTITUTE(SUBSTITUTE(SUBSTITUTE(入力!$AB$19,"年","/"),"月","/"),"日",""),"-","/"),".","/"),"/",REPT(" ",50)),1,50))),VALUE(TRIM(MID(SUBSTITUTE(SUBSTITUTE(SUBSTITUTE(SUBSTITUTE(SUBSTITUTE(SUBSTITUTE(入力!$AB$19,"年","/"),"月","/"),"日",""),"-","/"),".","/"),"/",REPT(" ",50)),51,50))),IFERROR(VALUE(TRIM(MID(SUBSTITUTE(SUBSTITUTE(SUBSTITUTE(SUBSTITUTE(SUBSTITUTE(SUBSTITUTE(入力!$AB$19,"年","/"),"月","/"),"日",""),"-","/"),".","/"),"/",REPT(" ",50)),101,50))),1))),IFERROR(DATEVALUE(入力!$AB$19),"")))))</f>
        <v/>
      </c>
      <c r="CA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CB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amp;IF($AR17="","",CHAR(10)&amp;$AQ17)&amp;IF($AT17="","",CHAR(10)&amp;$AS17)&amp;IF($AV17="","",CHAR(10)&amp;$AU17)&amp;IF($AX17="","",CHAR(10)&amp;$AW17)&amp;IF($AZ17="","",CHAR(10)&amp;$AY17)&amp;IF($BB17="","",CHAR(10)&amp;$BA17)&amp;IF($BD17="","",CHAR(10)&amp;$BC17)&amp;IF($BF17="","",CHAR(10)&amp;$BE17)&amp;IF($BH17="","",CHAR(10)&amp;$BG17)&amp;IF($BJ17="","",CHAR(10)&amp;$BI17)&amp;IF($BL17="","",CHAR(10)&amp;$BK17)&amp;IF($BN17="","",CHAR(10)&amp;$BM17))</f>
        <v/>
      </c>
      <c r="CC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amp;IF($AR17="","",CHAR(10)&amp;$AR17)&amp;IF($AT17="","",CHAR(10)&amp;$AT17)&amp;IF($AV17="","",CHAR(10)&amp;$AV17)&amp;IF($AX17="","",CHAR(10)&amp;$AX17)&amp;IF($AZ17="","",CHAR(10)&amp;$AZ17)&amp;IF($BB17="","",CHAR(10)&amp;$BB17)&amp;IF($BD17="","",CHAR(10)&amp;$BD17)&amp;IF($BF17="","",CHAR(10)&amp;$BF17)&amp;IF($BH17="","",CHAR(10)&amp;$BH17)&amp;IF($BJ17="","",CHAR(10)&amp;$BJ17)&amp;IF($BL17="","",CHAR(10)&amp;$BL17)&amp;IF($BN17="","",CHAR(10)&amp;$BN17))</f>
        <v/>
      </c>
      <c r="CD17">
        <f>IF(入力!$D$19="","",IF($P17="",0,1)+IF($R17="",0,1)+IF($T17="",0,1)+IF($V17="",0,1)+IF($X17="",0,1)+IF($Z17="",0,1)+IF($AB17="",0,1)+IF($AD17="",0,1)+IF($AF17="",0,1)+IF($AH17="",0,1)+IF($AJ17="",0,1)+IF($AL17="",0,1)+IF($AN17="",0,1)+IF($AP17="",0,1)+IF($AR17="",0,1)+IF($AT17="",0,1)+IF($AV17="",0,1)+IF($AX17="",0,1)+IF($AZ17="",0,1)+IF($BB17="",0,1)+IF($BD17="",0,1)+IF($BF17="",0,1)+IF($BH17="",0,1)+IF($BJ17="",0,1)+IF($BL17="",0,1)+IF($BN17="",0,1))</f>
        <v/>
      </c>
    </row>
    <row r="18">
      <c r="A18" t="n">
        <v>16</v>
      </c>
      <c r="B18">
        <f>IF(入力!$D$20="","",IF(OR(反映項目!$B$4="×",入力!$D$20=""),"",入力!$D$20))</f>
        <v/>
      </c>
      <c r="C18">
        <f>IF(入力!$D$20="","",IF(OR(反映項目!$B$5="×",入力!$E$20=""),"",入力!$E$20))</f>
        <v/>
      </c>
      <c r="D18">
        <f>IF(入力!$D$20="","",IF(OR(反映項目!$B$6="×",N($BY$18)=0),"",YEAR($BY$18)-IF($BY$18&gt;=DATE(2019,5,1),2018,IF($BY$18&gt;=DATE(1989,1,8),1988,1925))))&amp;""</f>
        <v/>
      </c>
      <c r="E18">
        <f>IF(入力!$D$20="","",IF(OR(反映項目!$B$6="×",N($BY$18)=0),"",MONTH($BY$18)))&amp;""</f>
        <v/>
      </c>
      <c r="F18">
        <f>IF(入力!$D$20="","",IF(OR(反映項目!$B$6="×",N($BY$18)=0),"",DAY($BY$18)))&amp;""</f>
        <v/>
      </c>
      <c r="G18">
        <f>IF(入力!$D$20="","",IF(OR(反映項目!$B$6="×",OR(N($BY$18)=0,N(設定!$B$3)=0)),"",DATEDIF($BY$18,設定!$B$3,"Y")))&amp;""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IF(入力!$D$20="","",IF(OR(反映項目!$B$10="×",入力!$K$20=""),"",入力!$K$20))</f>
        <v/>
      </c>
      <c r="M18">
        <f>IF(入力!$D$20="","",IF(OR(反映項目!$B$10="×",入力!$L$20=""),"",入力!$L$20))</f>
        <v/>
      </c>
      <c r="N18">
        <f>IF(入力!$D$20="","",設定!$B$4&amp;CHAR(10)&amp;IF(入力!$M$20="",設定!$B$5,入力!$M$20))</f>
        <v/>
      </c>
      <c r="O18">
        <f>IF(入力!$D$20="","",IF(反映項目!$B$11="×","",IFERROR(INDEX(資格集約!$H$393:$H$418,MATCH(1,資格集約!$G$393:$G$418,0)),"")))</f>
        <v/>
      </c>
      <c r="P18">
        <f>IF(入力!$D$20="","",IF(反映項目!$B$11="×","",IFERROR(INDEX(資格集約!$E$393:$E$418,MATCH(1,資格集約!$G$393:$G$418,0)),"")))</f>
        <v/>
      </c>
      <c r="Q18">
        <f>IF(入力!$D$20="","",IF(反映項目!$B$11="×","",IFERROR(INDEX(資格集約!$H$393:$H$418,MATCH(2,資格集約!$G$393:$G$418,0)),"")))</f>
        <v/>
      </c>
      <c r="R18">
        <f>IF(入力!$D$20="","",IF(反映項目!$B$11="×","",IFERROR(INDEX(資格集約!$E$393:$E$418,MATCH(2,資格集約!$G$393:$G$418,0)),"")))</f>
        <v/>
      </c>
      <c r="S18">
        <f>IF(入力!$D$20="","",IF(反映項目!$B$11="×","",IFERROR(INDEX(資格集約!$H$393:$H$418,MATCH(3,資格集約!$G$393:$G$418,0)),"")))</f>
        <v/>
      </c>
      <c r="T18">
        <f>IF(入力!$D$20="","",IF(反映項目!$B$11="×","",IFERROR(INDEX(資格集約!$E$393:$E$418,MATCH(3,資格集約!$G$393:$G$418,0)),"")))</f>
        <v/>
      </c>
      <c r="U18">
        <f>IF(入力!$D$20="","",IF(反映項目!$B$11="×","",IFERROR(INDEX(資格集約!$H$393:$H$418,MATCH(4,資格集約!$G$393:$G$418,0)),"")))</f>
        <v/>
      </c>
      <c r="V18">
        <f>IF(入力!$D$20="","",IF(反映項目!$B$11="×","",IFERROR(INDEX(資格集約!$E$393:$E$418,MATCH(4,資格集約!$G$393:$G$418,0)),"")))</f>
        <v/>
      </c>
      <c r="W18">
        <f>IF(入力!$D$20="","",IF(反映項目!$B$11="×","",IFERROR(INDEX(資格集約!$H$393:$H$418,MATCH(5,資格集約!$G$393:$G$418,0)),"")))</f>
        <v/>
      </c>
      <c r="X18">
        <f>IF(入力!$D$20="","",IF(反映項目!$B$11="×","",IFERROR(INDEX(資格集約!$E$393:$E$418,MATCH(5,資格集約!$G$393:$G$418,0)),"")))</f>
        <v/>
      </c>
      <c r="Y18">
        <f>IF(入力!$D$20="","",IF(反映項目!$B$11="×","",IFERROR(INDEX(資格集約!$H$393:$H$418,MATCH(6,資格集約!$G$393:$G$418,0)),"")))</f>
        <v/>
      </c>
      <c r="Z18">
        <f>IF(入力!$D$20="","",IF(反映項目!$B$11="×","",IFERROR(INDEX(資格集約!$E$393:$E$418,MATCH(6,資格集約!$G$393:$G$418,0)),"")))</f>
        <v/>
      </c>
      <c r="AA18">
        <f>IF(入力!$D$20="","",IF(反映項目!$B$11="×","",IFERROR(INDEX(資格集約!$H$393:$H$418,MATCH(7,資格集約!$G$393:$G$418,0)),"")))</f>
        <v/>
      </c>
      <c r="AB18">
        <f>IF(入力!$D$20="","",IF(反映項目!$B$11="×","",IFERROR(INDEX(資格集約!$E$393:$E$418,MATCH(7,資格集約!$G$393:$G$418,0)),"")))</f>
        <v/>
      </c>
      <c r="AC18">
        <f>IF(入力!$D$20="","",IF(反映項目!$B$11="×","",IFERROR(INDEX(資格集約!$H$393:$H$418,MATCH(8,資格集約!$G$393:$G$418,0)),"")))</f>
        <v/>
      </c>
      <c r="AD18">
        <f>IF(入力!$D$20="","",IF(反映項目!$B$11="×","",IFERROR(INDEX(資格集約!$E$393:$E$418,MATCH(8,資格集約!$G$393:$G$418,0)),"")))</f>
        <v/>
      </c>
      <c r="AE18">
        <f>IF(入力!$D$20="","",IF(反映項目!$B$11="×","",IFERROR(INDEX(資格集約!$H$393:$H$418,MATCH(9,資格集約!$G$393:$G$418,0)),"")))</f>
        <v/>
      </c>
      <c r="AF18">
        <f>IF(入力!$D$20="","",IF(反映項目!$B$11="×","",IFERROR(INDEX(資格集約!$E$393:$E$418,MATCH(9,資格集約!$G$393:$G$418,0)),"")))</f>
        <v/>
      </c>
      <c r="AG18">
        <f>IF(入力!$D$20="","",IF(反映項目!$B$11="×","",IFERROR(INDEX(資格集約!$H$393:$H$418,MATCH(10,資格集約!$G$393:$G$418,0)),"")))</f>
        <v/>
      </c>
      <c r="AH18">
        <f>IF(入力!$D$20="","",IF(反映項目!$B$11="×","",IFERROR(INDEX(資格集約!$E$393:$E$418,MATCH(10,資格集約!$G$393:$G$418,0)),"")))</f>
        <v/>
      </c>
      <c r="AI18">
        <f>IF(入力!$D$20="","",IF(反映項目!$B$11="×","",IFERROR(INDEX(資格集約!$H$393:$H$418,MATCH(11,資格集約!$G$393:$G$418,0)),"")))</f>
        <v/>
      </c>
      <c r="AJ18">
        <f>IF(入力!$D$20="","",IF(反映項目!$B$11="×","",IFERROR(INDEX(資格集約!$E$393:$E$418,MATCH(11,資格集約!$G$393:$G$418,0)),"")))</f>
        <v/>
      </c>
      <c r="AK18">
        <f>IF(入力!$D$20="","",IF(反映項目!$B$11="×","",IFERROR(INDEX(資格集約!$H$393:$H$418,MATCH(12,資格集約!$G$393:$G$418,0)),"")))</f>
        <v/>
      </c>
      <c r="AL18">
        <f>IF(入力!$D$20="","",IF(反映項目!$B$11="×","",IFERROR(INDEX(資格集約!$E$393:$E$418,MATCH(12,資格集約!$G$393:$G$418,0)),"")))</f>
        <v/>
      </c>
      <c r="AM18">
        <f>IF(入力!$D$20="","",IF(反映項目!$B$11="×","",IFERROR(INDEX(資格集約!$H$393:$H$418,MATCH(13,資格集約!$G$393:$G$418,0)),"")))</f>
        <v/>
      </c>
      <c r="AN18">
        <f>IF(入力!$D$20="","",IF(反映項目!$B$11="×","",IFERROR(INDEX(資格集約!$E$393:$E$418,MATCH(13,資格集約!$G$393:$G$418,0)),"")))</f>
        <v/>
      </c>
      <c r="AO18">
        <f>IF(入力!$D$20="","",IF(反映項目!$B$11="×","",IFERROR(INDEX(資格集約!$H$393:$H$418,MATCH(14,資格集約!$G$393:$G$418,0)),"")))</f>
        <v/>
      </c>
      <c r="AP18">
        <f>IF(入力!$D$20="","",IF(反映項目!$B$11="×","",IFERROR(INDEX(資格集約!$E$393:$E$418,MATCH(14,資格集約!$G$393:$G$418,0)),"")))</f>
        <v/>
      </c>
      <c r="AQ18">
        <f>IF(入力!$D$20="","",IF(反映項目!$B$11="×","",IFERROR(INDEX(資格集約!$H$393:$H$418,MATCH(15,資格集約!$G$393:$G$418,0)),"")))</f>
        <v/>
      </c>
      <c r="AR18">
        <f>IF(入力!$D$20="","",IF(反映項目!$B$11="×","",IFERROR(INDEX(資格集約!$E$393:$E$418,MATCH(15,資格集約!$G$393:$G$418,0)),"")))</f>
        <v/>
      </c>
      <c r="AS18">
        <f>IF(入力!$D$20="","",IF(反映項目!$B$11="×","",IFERROR(INDEX(資格集約!$H$393:$H$418,MATCH(16,資格集約!$G$393:$G$418,0)),"")))</f>
        <v/>
      </c>
      <c r="AT18">
        <f>IF(入力!$D$20="","",IF(反映項目!$B$11="×","",IFERROR(INDEX(資格集約!$E$393:$E$418,MATCH(16,資格集約!$G$393:$G$418,0)),"")))</f>
        <v/>
      </c>
      <c r="AU18">
        <f>IF(入力!$D$20="","",IF(反映項目!$B$11="×","",IFERROR(INDEX(資格集約!$H$393:$H$418,MATCH(17,資格集約!$G$393:$G$418,0)),"")))</f>
        <v/>
      </c>
      <c r="AV18">
        <f>IF(入力!$D$20="","",IF(反映項目!$B$11="×","",IFERROR(INDEX(資格集約!$E$393:$E$418,MATCH(17,資格集約!$G$393:$G$418,0)),"")))</f>
        <v/>
      </c>
      <c r="AW18">
        <f>IF(入力!$D$20="","",IF(反映項目!$B$11="×","",IFERROR(INDEX(資格集約!$H$393:$H$418,MATCH(18,資格集約!$G$393:$G$418,0)),"")))</f>
        <v/>
      </c>
      <c r="AX18">
        <f>IF(入力!$D$20="","",IF(反映項目!$B$11="×","",IFERROR(INDEX(資格集約!$E$393:$E$418,MATCH(18,資格集約!$G$393:$G$418,0)),"")))</f>
        <v/>
      </c>
      <c r="AY18">
        <f>IF(入力!$D$20="","",IF(反映項目!$B$11="×","",IFERROR(INDEX(資格集約!$H$393:$H$418,MATCH(19,資格集約!$G$393:$G$418,0)),"")))</f>
        <v/>
      </c>
      <c r="AZ18">
        <f>IF(入力!$D$20="","",IF(反映項目!$B$11="×","",IFERROR(INDEX(資格集約!$E$393:$E$418,MATCH(19,資格集約!$G$393:$G$418,0)),"")))</f>
        <v/>
      </c>
      <c r="BA18">
        <f>IF(入力!$D$20="","",IF(反映項目!$B$11="×","",IFERROR(INDEX(資格集約!$H$393:$H$418,MATCH(20,資格集約!$G$393:$G$418,0)),"")))</f>
        <v/>
      </c>
      <c r="BB18">
        <f>IF(入力!$D$20="","",IF(反映項目!$B$11="×","",IFERROR(INDEX(資格集約!$E$393:$E$418,MATCH(20,資格集約!$G$393:$G$418,0)),"")))</f>
        <v/>
      </c>
      <c r="BC18">
        <f>IF(入力!$D$20="","",IF(反映項目!$B$11="×","",IFERROR(INDEX(資格集約!$H$393:$H$418,MATCH(21,資格集約!$G$393:$G$418,0)),"")))</f>
        <v/>
      </c>
      <c r="BD18">
        <f>IF(入力!$D$20="","",IF(反映項目!$B$11="×","",IFERROR(INDEX(資格集約!$E$393:$E$418,MATCH(21,資格集約!$G$393:$G$418,0)),"")))</f>
        <v/>
      </c>
      <c r="BE18">
        <f>IF(入力!$D$20="","",IF(反映項目!$B$11="×","",IFERROR(INDEX(資格集約!$H$393:$H$418,MATCH(22,資格集約!$G$393:$G$418,0)),"")))</f>
        <v/>
      </c>
      <c r="BF18">
        <f>IF(入力!$D$20="","",IF(反映項目!$B$11="×","",IFERROR(INDEX(資格集約!$E$393:$E$418,MATCH(22,資格集約!$G$393:$G$418,0)),"")))</f>
        <v/>
      </c>
      <c r="BG18">
        <f>IF(入力!$D$20="","",IF(反映項目!$B$11="×","",IFERROR(INDEX(資格集約!$H$393:$H$418,MATCH(23,資格集約!$G$393:$G$418,0)),"")))</f>
        <v/>
      </c>
      <c r="BH18">
        <f>IF(入力!$D$20="","",IF(反映項目!$B$11="×","",IFERROR(INDEX(資格集約!$E$393:$E$418,MATCH(23,資格集約!$G$393:$G$418,0)),"")))</f>
        <v/>
      </c>
      <c r="BI18">
        <f>IF(入力!$D$20="","",IF(反映項目!$B$11="×","",IFERROR(INDEX(資格集約!$H$393:$H$418,MATCH(24,資格集約!$G$393:$G$418,0)),"")))</f>
        <v/>
      </c>
      <c r="BJ18">
        <f>IF(入力!$D$20="","",IF(反映項目!$B$11="×","",IFERROR(INDEX(資格集約!$E$393:$E$418,MATCH(24,資格集約!$G$393:$G$418,0)),"")))</f>
        <v/>
      </c>
      <c r="BK18">
        <f>IF(入力!$D$20="","",IF(反映項目!$B$11="×","",IFERROR(INDEX(資格集約!$H$393:$H$418,MATCH(25,資格集約!$G$393:$G$418,0)),"")))</f>
        <v/>
      </c>
      <c r="BL18">
        <f>IF(入力!$D$20="","",IF(反映項目!$B$11="×","",IFERROR(INDEX(資格集約!$E$393:$E$418,MATCH(25,資格集約!$G$393:$G$418,0)),"")))</f>
        <v/>
      </c>
      <c r="BM18">
        <f>IF(入力!$D$20="","",IF(反映項目!$B$11="×","",IFERROR(INDEX(資格集約!$H$393:$H$418,MATCH(26,資格集約!$G$393:$G$418,0)),"")))</f>
        <v/>
      </c>
      <c r="BN18">
        <f>IF(入力!$D$20="","",IF(反映項目!$B$11="×","",IFERROR(INDEX(資格集約!$E$393:$E$418,MATCH(26,資格集約!$G$393:$G$418,0)),"")))</f>
        <v/>
      </c>
      <c r="BO18">
        <f>IF(入力!$D$20="","",IF(OR(反映項目!$B$12="×",入力!$Z$20=""),"",入力!$Z$20))</f>
        <v/>
      </c>
      <c r="BP18">
        <f>IF(入力!$D$20="","",IF(OR(反映項目!$B$13="×",入力!$AA$20=""),"",入力!$AA$20))</f>
        <v/>
      </c>
      <c r="BQ18">
        <f>IF(入力!$D$20="","",IF(OR(反映項目!$B$15="×",入力!$AF$20=""),"",入力!$AF$20))</f>
        <v/>
      </c>
      <c r="BR18">
        <f>IF(入力!$D$20="","",IF(OR(反映項目!$B$14="×",N($BZ$18)=0),"",YEAR($BZ$18)-IF($BZ$18&gt;=DATE(2019,5,1),2018,1988)))&amp;""</f>
        <v/>
      </c>
      <c r="BS18">
        <f>IF(入力!$D$20="","",IF(OR(反映項目!$B$14="×",N($BZ$18)=0),"",MONTH($BZ$18)))&amp;""</f>
        <v/>
      </c>
      <c r="BT18">
        <f>IF(入力!$D$20="","",IF(OR(反映項目!$B$14="×",入力!$AC$20=""),"",入力!$AC$20))</f>
        <v/>
      </c>
      <c r="BU18">
        <f>IF(入力!$D$20="","",IF(OR(反映項目!$B$14="×",N($CA$18)=0),"",YEAR($CA$18)-IF($CA$18&gt;=DATE(2019,5,1),2018,1988)))&amp;""</f>
        <v/>
      </c>
      <c r="BV18">
        <f>IF(入力!$D$20="","",IF(OR(反映項目!$B$14="×",N($CA$18)=0),"",MONTH($CA$18)))&amp;""</f>
        <v/>
      </c>
      <c r="BW18">
        <f>IF(入力!$D$20="","",IF(OR(反映項目!$B$14="×",入力!$AE$20=""),"",入力!$AE$20))</f>
        <v/>
      </c>
      <c r="BY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Z18">
        <f>IF(入力!$D$20="","",IF(入力!$AB$20="","",IF(ISNUMBER(入力!$AB$20),入力!$AB$20,IFERROR(IF(OR(LEFT(入力!$AB$20,2)="令和",LEFT(入力!$AB$20,2)="平成",LEFT(入力!$AB$20,2)="昭和",LEFT(入力!$AB$20,2)="大正"),DATE(VALUE(MID(入力!$AB$20,3,FIND("年",入力!$AB$20)-3))+IF(LEFT(入力!$AB$20,2)="令和",2018,IF(LEFT(入力!$AB$20,2)="平成",1988,IF(LEFT(入力!$AB$20,2)="昭和",1925,IF(LEFT(入力!$AB$20,2)="大正",1911,0)))),VALUE(MID(入力!$AB$20,FIND("年",入力!$AB$20)+1,FIND("月",入力!$AB$20)-FIND("年",入力!$AB$20)-1)),IFERROR(VALUE(SUBSTITUTE(MID(入力!$AB$20,FIND("月",入力!$AB$20)+1,10),"日","")),1)),DATE(VALUE(TRIM(MID(SUBSTITUTE(SUBSTITUTE(SUBSTITUTE(SUBSTITUTE(SUBSTITUTE(SUBSTITUTE(入力!$AB$20,"年","/"),"月","/"),"日",""),"-","/"),".","/"),"/",REPT(" ",50)),1,50))),VALUE(TRIM(MID(SUBSTITUTE(SUBSTITUTE(SUBSTITUTE(SUBSTITUTE(SUBSTITUTE(SUBSTITUTE(入力!$AB$20,"年","/"),"月","/"),"日",""),"-","/"),".","/"),"/",REPT(" ",50)),51,50))),IFERROR(VALUE(TRIM(MID(SUBSTITUTE(SUBSTITUTE(SUBSTITUTE(SUBSTITUTE(SUBSTITUTE(SUBSTITUTE(入力!$AB$20,"年","/"),"月","/"),"日",""),"-","/"),".","/"),"/",REPT(" ",50)),101,50))),1))),IFERROR(DATEVALUE(入力!$AB$20),"")))))</f>
        <v/>
      </c>
      <c r="CA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CB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amp;IF($AR18="","",CHAR(10)&amp;$AQ18)&amp;IF($AT18="","",CHAR(10)&amp;$AS18)&amp;IF($AV18="","",CHAR(10)&amp;$AU18)&amp;IF($AX18="","",CHAR(10)&amp;$AW18)&amp;IF($AZ18="","",CHAR(10)&amp;$AY18)&amp;IF($BB18="","",CHAR(10)&amp;$BA18)&amp;IF($BD18="","",CHAR(10)&amp;$BC18)&amp;IF($BF18="","",CHAR(10)&amp;$BE18)&amp;IF($BH18="","",CHAR(10)&amp;$BG18)&amp;IF($BJ18="","",CHAR(10)&amp;$BI18)&amp;IF($BL18="","",CHAR(10)&amp;$BK18)&amp;IF($BN18="","",CHAR(10)&amp;$BM18))</f>
        <v/>
      </c>
      <c r="CC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amp;IF($AR18="","",CHAR(10)&amp;$AR18)&amp;IF($AT18="","",CHAR(10)&amp;$AT18)&amp;IF($AV18="","",CHAR(10)&amp;$AV18)&amp;IF($AX18="","",CHAR(10)&amp;$AX18)&amp;IF($AZ18="","",CHAR(10)&amp;$AZ18)&amp;IF($BB18="","",CHAR(10)&amp;$BB18)&amp;IF($BD18="","",CHAR(10)&amp;$BD18)&amp;IF($BF18="","",CHAR(10)&amp;$BF18)&amp;IF($BH18="","",CHAR(10)&amp;$BH18)&amp;IF($BJ18="","",CHAR(10)&amp;$BJ18)&amp;IF($BL18="","",CHAR(10)&amp;$BL18)&amp;IF($BN18="","",CHAR(10)&amp;$BN18))</f>
        <v/>
      </c>
      <c r="CD18">
        <f>IF(入力!$D$20="","",IF($P18="",0,1)+IF($R18="",0,1)+IF($T18="",0,1)+IF($V18="",0,1)+IF($X18="",0,1)+IF($Z18="",0,1)+IF($AB18="",0,1)+IF($AD18="",0,1)+IF($AF18="",0,1)+IF($AH18="",0,1)+IF($AJ18="",0,1)+IF($AL18="",0,1)+IF($AN18="",0,1)+IF($AP18="",0,1)+IF($AR18="",0,1)+IF($AT18="",0,1)+IF($AV18="",0,1)+IF($AX18="",0,1)+IF($AZ18="",0,1)+IF($BB18="",0,1)+IF($BD18="",0,1)+IF($BF18="",0,1)+IF($BH18="",0,1)+IF($BJ18="",0,1)+IF($BL18="",0,1)+IF($BN18="",0,1))</f>
        <v/>
      </c>
    </row>
    <row r="19">
      <c r="A19" t="n">
        <v>17</v>
      </c>
      <c r="B19">
        <f>IF(入力!$D$21="","",IF(OR(反映項目!$B$4="×",入力!$D$21=""),"",入力!$D$21))</f>
        <v/>
      </c>
      <c r="C19">
        <f>IF(入力!$D$21="","",IF(OR(反映項目!$B$5="×",入力!$E$21=""),"",入力!$E$21))</f>
        <v/>
      </c>
      <c r="D19">
        <f>IF(入力!$D$21="","",IF(OR(反映項目!$B$6="×",N($BY$19)=0),"",YEAR($BY$19)-IF($BY$19&gt;=DATE(2019,5,1),2018,IF($BY$19&gt;=DATE(1989,1,8),1988,1925))))&amp;""</f>
        <v/>
      </c>
      <c r="E19">
        <f>IF(入力!$D$21="","",IF(OR(反映項目!$B$6="×",N($BY$19)=0),"",MONTH($BY$19)))&amp;""</f>
        <v/>
      </c>
      <c r="F19">
        <f>IF(入力!$D$21="","",IF(OR(反映項目!$B$6="×",N($BY$19)=0),"",DAY($BY$19)))&amp;""</f>
        <v/>
      </c>
      <c r="G19">
        <f>IF(入力!$D$21="","",IF(OR(反映項目!$B$6="×",OR(N($BY$19)=0,N(設定!$B$3)=0)),"",DATEDIF($BY$19,設定!$B$3,"Y")))&amp;""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IF(入力!$D$21="","",IF(OR(反映項目!$B$10="×",入力!$K$21=""),"",入力!$K$21))</f>
        <v/>
      </c>
      <c r="M19">
        <f>IF(入力!$D$21="","",IF(OR(反映項目!$B$10="×",入力!$L$21=""),"",入力!$L$21))</f>
        <v/>
      </c>
      <c r="N19">
        <f>IF(入力!$D$21="","",設定!$B$4&amp;CHAR(10)&amp;IF(入力!$M$21="",設定!$B$5,入力!$M$21))</f>
        <v/>
      </c>
      <c r="O19">
        <f>IF(入力!$D$21="","",IF(反映項目!$B$11="×","",IFERROR(INDEX(資格集約!$H$419:$H$444,MATCH(1,資格集約!$G$419:$G$444,0)),"")))</f>
        <v/>
      </c>
      <c r="P19">
        <f>IF(入力!$D$21="","",IF(反映項目!$B$11="×","",IFERROR(INDEX(資格集約!$E$419:$E$444,MATCH(1,資格集約!$G$419:$G$444,0)),"")))</f>
        <v/>
      </c>
      <c r="Q19">
        <f>IF(入力!$D$21="","",IF(反映項目!$B$11="×","",IFERROR(INDEX(資格集約!$H$419:$H$444,MATCH(2,資格集約!$G$419:$G$444,0)),"")))</f>
        <v/>
      </c>
      <c r="R19">
        <f>IF(入力!$D$21="","",IF(反映項目!$B$11="×","",IFERROR(INDEX(資格集約!$E$419:$E$444,MATCH(2,資格集約!$G$419:$G$444,0)),"")))</f>
        <v/>
      </c>
      <c r="S19">
        <f>IF(入力!$D$21="","",IF(反映項目!$B$11="×","",IFERROR(INDEX(資格集約!$H$419:$H$444,MATCH(3,資格集約!$G$419:$G$444,0)),"")))</f>
        <v/>
      </c>
      <c r="T19">
        <f>IF(入力!$D$21="","",IF(反映項目!$B$11="×","",IFERROR(INDEX(資格集約!$E$419:$E$444,MATCH(3,資格集約!$G$419:$G$444,0)),"")))</f>
        <v/>
      </c>
      <c r="U19">
        <f>IF(入力!$D$21="","",IF(反映項目!$B$11="×","",IFERROR(INDEX(資格集約!$H$419:$H$444,MATCH(4,資格集約!$G$419:$G$444,0)),"")))</f>
        <v/>
      </c>
      <c r="V19">
        <f>IF(入力!$D$21="","",IF(反映項目!$B$11="×","",IFERROR(INDEX(資格集約!$E$419:$E$444,MATCH(4,資格集約!$G$419:$G$444,0)),"")))</f>
        <v/>
      </c>
      <c r="W19">
        <f>IF(入力!$D$21="","",IF(反映項目!$B$11="×","",IFERROR(INDEX(資格集約!$H$419:$H$444,MATCH(5,資格集約!$G$419:$G$444,0)),"")))</f>
        <v/>
      </c>
      <c r="X19">
        <f>IF(入力!$D$21="","",IF(反映項目!$B$11="×","",IFERROR(INDEX(資格集約!$E$419:$E$444,MATCH(5,資格集約!$G$419:$G$444,0)),"")))</f>
        <v/>
      </c>
      <c r="Y19">
        <f>IF(入力!$D$21="","",IF(反映項目!$B$11="×","",IFERROR(INDEX(資格集約!$H$419:$H$444,MATCH(6,資格集約!$G$419:$G$444,0)),"")))</f>
        <v/>
      </c>
      <c r="Z19">
        <f>IF(入力!$D$21="","",IF(反映項目!$B$11="×","",IFERROR(INDEX(資格集約!$E$419:$E$444,MATCH(6,資格集約!$G$419:$G$444,0)),"")))</f>
        <v/>
      </c>
      <c r="AA19">
        <f>IF(入力!$D$21="","",IF(反映項目!$B$11="×","",IFERROR(INDEX(資格集約!$H$419:$H$444,MATCH(7,資格集約!$G$419:$G$444,0)),"")))</f>
        <v/>
      </c>
      <c r="AB19">
        <f>IF(入力!$D$21="","",IF(反映項目!$B$11="×","",IFERROR(INDEX(資格集約!$E$419:$E$444,MATCH(7,資格集約!$G$419:$G$444,0)),"")))</f>
        <v/>
      </c>
      <c r="AC19">
        <f>IF(入力!$D$21="","",IF(反映項目!$B$11="×","",IFERROR(INDEX(資格集約!$H$419:$H$444,MATCH(8,資格集約!$G$419:$G$444,0)),"")))</f>
        <v/>
      </c>
      <c r="AD19">
        <f>IF(入力!$D$21="","",IF(反映項目!$B$11="×","",IFERROR(INDEX(資格集約!$E$419:$E$444,MATCH(8,資格集約!$G$419:$G$444,0)),"")))</f>
        <v/>
      </c>
      <c r="AE19">
        <f>IF(入力!$D$21="","",IF(反映項目!$B$11="×","",IFERROR(INDEX(資格集約!$H$419:$H$444,MATCH(9,資格集約!$G$419:$G$444,0)),"")))</f>
        <v/>
      </c>
      <c r="AF19">
        <f>IF(入力!$D$21="","",IF(反映項目!$B$11="×","",IFERROR(INDEX(資格集約!$E$419:$E$444,MATCH(9,資格集約!$G$419:$G$444,0)),"")))</f>
        <v/>
      </c>
      <c r="AG19">
        <f>IF(入力!$D$21="","",IF(反映項目!$B$11="×","",IFERROR(INDEX(資格集約!$H$419:$H$444,MATCH(10,資格集約!$G$419:$G$444,0)),"")))</f>
        <v/>
      </c>
      <c r="AH19">
        <f>IF(入力!$D$21="","",IF(反映項目!$B$11="×","",IFERROR(INDEX(資格集約!$E$419:$E$444,MATCH(10,資格集約!$G$419:$G$444,0)),"")))</f>
        <v/>
      </c>
      <c r="AI19">
        <f>IF(入力!$D$21="","",IF(反映項目!$B$11="×","",IFERROR(INDEX(資格集約!$H$419:$H$444,MATCH(11,資格集約!$G$419:$G$444,0)),"")))</f>
        <v/>
      </c>
      <c r="AJ19">
        <f>IF(入力!$D$21="","",IF(反映項目!$B$11="×","",IFERROR(INDEX(資格集約!$E$419:$E$444,MATCH(11,資格集約!$G$419:$G$444,0)),"")))</f>
        <v/>
      </c>
      <c r="AK19">
        <f>IF(入力!$D$21="","",IF(反映項目!$B$11="×","",IFERROR(INDEX(資格集約!$H$419:$H$444,MATCH(12,資格集約!$G$419:$G$444,0)),"")))</f>
        <v/>
      </c>
      <c r="AL19">
        <f>IF(入力!$D$21="","",IF(反映項目!$B$11="×","",IFERROR(INDEX(資格集約!$E$419:$E$444,MATCH(12,資格集約!$G$419:$G$444,0)),"")))</f>
        <v/>
      </c>
      <c r="AM19">
        <f>IF(入力!$D$21="","",IF(反映項目!$B$11="×","",IFERROR(INDEX(資格集約!$H$419:$H$444,MATCH(13,資格集約!$G$419:$G$444,0)),"")))</f>
        <v/>
      </c>
      <c r="AN19">
        <f>IF(入力!$D$21="","",IF(反映項目!$B$11="×","",IFERROR(INDEX(資格集約!$E$419:$E$444,MATCH(13,資格集約!$G$419:$G$444,0)),"")))</f>
        <v/>
      </c>
      <c r="AO19">
        <f>IF(入力!$D$21="","",IF(反映項目!$B$11="×","",IFERROR(INDEX(資格集約!$H$419:$H$444,MATCH(14,資格集約!$G$419:$G$444,0)),"")))</f>
        <v/>
      </c>
      <c r="AP19">
        <f>IF(入力!$D$21="","",IF(反映項目!$B$11="×","",IFERROR(INDEX(資格集約!$E$419:$E$444,MATCH(14,資格集約!$G$419:$G$444,0)),"")))</f>
        <v/>
      </c>
      <c r="AQ19">
        <f>IF(入力!$D$21="","",IF(反映項目!$B$11="×","",IFERROR(INDEX(資格集約!$H$419:$H$444,MATCH(15,資格集約!$G$419:$G$444,0)),"")))</f>
        <v/>
      </c>
      <c r="AR19">
        <f>IF(入力!$D$21="","",IF(反映項目!$B$11="×","",IFERROR(INDEX(資格集約!$E$419:$E$444,MATCH(15,資格集約!$G$419:$G$444,0)),"")))</f>
        <v/>
      </c>
      <c r="AS19">
        <f>IF(入力!$D$21="","",IF(反映項目!$B$11="×","",IFERROR(INDEX(資格集約!$H$419:$H$444,MATCH(16,資格集約!$G$419:$G$444,0)),"")))</f>
        <v/>
      </c>
      <c r="AT19">
        <f>IF(入力!$D$21="","",IF(反映項目!$B$11="×","",IFERROR(INDEX(資格集約!$E$419:$E$444,MATCH(16,資格集約!$G$419:$G$444,0)),"")))</f>
        <v/>
      </c>
      <c r="AU19">
        <f>IF(入力!$D$21="","",IF(反映項目!$B$11="×","",IFERROR(INDEX(資格集約!$H$419:$H$444,MATCH(17,資格集約!$G$419:$G$444,0)),"")))</f>
        <v/>
      </c>
      <c r="AV19">
        <f>IF(入力!$D$21="","",IF(反映項目!$B$11="×","",IFERROR(INDEX(資格集約!$E$419:$E$444,MATCH(17,資格集約!$G$419:$G$444,0)),"")))</f>
        <v/>
      </c>
      <c r="AW19">
        <f>IF(入力!$D$21="","",IF(反映項目!$B$11="×","",IFERROR(INDEX(資格集約!$H$419:$H$444,MATCH(18,資格集約!$G$419:$G$444,0)),"")))</f>
        <v/>
      </c>
      <c r="AX19">
        <f>IF(入力!$D$21="","",IF(反映項目!$B$11="×","",IFERROR(INDEX(資格集約!$E$419:$E$444,MATCH(18,資格集約!$G$419:$G$444,0)),"")))</f>
        <v/>
      </c>
      <c r="AY19">
        <f>IF(入力!$D$21="","",IF(反映項目!$B$11="×","",IFERROR(INDEX(資格集約!$H$419:$H$444,MATCH(19,資格集約!$G$419:$G$444,0)),"")))</f>
        <v/>
      </c>
      <c r="AZ19">
        <f>IF(入力!$D$21="","",IF(反映項目!$B$11="×","",IFERROR(INDEX(資格集約!$E$419:$E$444,MATCH(19,資格集約!$G$419:$G$444,0)),"")))</f>
        <v/>
      </c>
      <c r="BA19">
        <f>IF(入力!$D$21="","",IF(反映項目!$B$11="×","",IFERROR(INDEX(資格集約!$H$419:$H$444,MATCH(20,資格集約!$G$419:$G$444,0)),"")))</f>
        <v/>
      </c>
      <c r="BB19">
        <f>IF(入力!$D$21="","",IF(反映項目!$B$11="×","",IFERROR(INDEX(資格集約!$E$419:$E$444,MATCH(20,資格集約!$G$419:$G$444,0)),"")))</f>
        <v/>
      </c>
      <c r="BC19">
        <f>IF(入力!$D$21="","",IF(反映項目!$B$11="×","",IFERROR(INDEX(資格集約!$H$419:$H$444,MATCH(21,資格集約!$G$419:$G$444,0)),"")))</f>
        <v/>
      </c>
      <c r="BD19">
        <f>IF(入力!$D$21="","",IF(反映項目!$B$11="×","",IFERROR(INDEX(資格集約!$E$419:$E$444,MATCH(21,資格集約!$G$419:$G$444,0)),"")))</f>
        <v/>
      </c>
      <c r="BE19">
        <f>IF(入力!$D$21="","",IF(反映項目!$B$11="×","",IFERROR(INDEX(資格集約!$H$419:$H$444,MATCH(22,資格集約!$G$419:$G$444,0)),"")))</f>
        <v/>
      </c>
      <c r="BF19">
        <f>IF(入力!$D$21="","",IF(反映項目!$B$11="×","",IFERROR(INDEX(資格集約!$E$419:$E$444,MATCH(22,資格集約!$G$419:$G$444,0)),"")))</f>
        <v/>
      </c>
      <c r="BG19">
        <f>IF(入力!$D$21="","",IF(反映項目!$B$11="×","",IFERROR(INDEX(資格集約!$H$419:$H$444,MATCH(23,資格集約!$G$419:$G$444,0)),"")))</f>
        <v/>
      </c>
      <c r="BH19">
        <f>IF(入力!$D$21="","",IF(反映項目!$B$11="×","",IFERROR(INDEX(資格集約!$E$419:$E$444,MATCH(23,資格集約!$G$419:$G$444,0)),"")))</f>
        <v/>
      </c>
      <c r="BI19">
        <f>IF(入力!$D$21="","",IF(反映項目!$B$11="×","",IFERROR(INDEX(資格集約!$H$419:$H$444,MATCH(24,資格集約!$G$419:$G$444,0)),"")))</f>
        <v/>
      </c>
      <c r="BJ19">
        <f>IF(入力!$D$21="","",IF(反映項目!$B$11="×","",IFERROR(INDEX(資格集約!$E$419:$E$444,MATCH(24,資格集約!$G$419:$G$444,0)),"")))</f>
        <v/>
      </c>
      <c r="BK19">
        <f>IF(入力!$D$21="","",IF(反映項目!$B$11="×","",IFERROR(INDEX(資格集約!$H$419:$H$444,MATCH(25,資格集約!$G$419:$G$444,0)),"")))</f>
        <v/>
      </c>
      <c r="BL19">
        <f>IF(入力!$D$21="","",IF(反映項目!$B$11="×","",IFERROR(INDEX(資格集約!$E$419:$E$444,MATCH(25,資格集約!$G$419:$G$444,0)),"")))</f>
        <v/>
      </c>
      <c r="BM19">
        <f>IF(入力!$D$21="","",IF(反映項目!$B$11="×","",IFERROR(INDEX(資格集約!$H$419:$H$444,MATCH(26,資格集約!$G$419:$G$444,0)),"")))</f>
        <v/>
      </c>
      <c r="BN19">
        <f>IF(入力!$D$21="","",IF(反映項目!$B$11="×","",IFERROR(INDEX(資格集約!$E$419:$E$444,MATCH(26,資格集約!$G$419:$G$444,0)),"")))</f>
        <v/>
      </c>
      <c r="BO19">
        <f>IF(入力!$D$21="","",IF(OR(反映項目!$B$12="×",入力!$Z$21=""),"",入力!$Z$21))</f>
        <v/>
      </c>
      <c r="BP19">
        <f>IF(入力!$D$21="","",IF(OR(反映項目!$B$13="×",入力!$AA$21=""),"",入力!$AA$21))</f>
        <v/>
      </c>
      <c r="BQ19">
        <f>IF(入力!$D$21="","",IF(OR(反映項目!$B$15="×",入力!$AF$21=""),"",入力!$AF$21))</f>
        <v/>
      </c>
      <c r="BR19">
        <f>IF(入力!$D$21="","",IF(OR(反映項目!$B$14="×",N($BZ$19)=0),"",YEAR($BZ$19)-IF($BZ$19&gt;=DATE(2019,5,1),2018,1988)))&amp;""</f>
        <v/>
      </c>
      <c r="BS19">
        <f>IF(入力!$D$21="","",IF(OR(反映項目!$B$14="×",N($BZ$19)=0),"",MONTH($BZ$19)))&amp;""</f>
        <v/>
      </c>
      <c r="BT19">
        <f>IF(入力!$D$21="","",IF(OR(反映項目!$B$14="×",入力!$AC$21=""),"",入力!$AC$21))</f>
        <v/>
      </c>
      <c r="BU19">
        <f>IF(入力!$D$21="","",IF(OR(反映項目!$B$14="×",N($CA$19)=0),"",YEAR($CA$19)-IF($CA$19&gt;=DATE(2019,5,1),2018,1988)))&amp;""</f>
        <v/>
      </c>
      <c r="BV19">
        <f>IF(入力!$D$21="","",IF(OR(反映項目!$B$14="×",N($CA$19)=0),"",MONTH($CA$19)))&amp;""</f>
        <v/>
      </c>
      <c r="BW19">
        <f>IF(入力!$D$21="","",IF(OR(反映項目!$B$14="×",入力!$AE$21=""),"",入力!$AE$21))</f>
        <v/>
      </c>
      <c r="BY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Z19">
        <f>IF(入力!$D$21="","",IF(入力!$AB$21="","",IF(ISNUMBER(入力!$AB$21),入力!$AB$21,IFERROR(IF(OR(LEFT(入力!$AB$21,2)="令和",LEFT(入力!$AB$21,2)="平成",LEFT(入力!$AB$21,2)="昭和",LEFT(入力!$AB$21,2)="大正"),DATE(VALUE(MID(入力!$AB$21,3,FIND("年",入力!$AB$21)-3))+IF(LEFT(入力!$AB$21,2)="令和",2018,IF(LEFT(入力!$AB$21,2)="平成",1988,IF(LEFT(入力!$AB$21,2)="昭和",1925,IF(LEFT(入力!$AB$21,2)="大正",1911,0)))),VALUE(MID(入力!$AB$21,FIND("年",入力!$AB$21)+1,FIND("月",入力!$AB$21)-FIND("年",入力!$AB$21)-1)),IFERROR(VALUE(SUBSTITUTE(MID(入力!$AB$21,FIND("月",入力!$AB$21)+1,10),"日","")),1)),DATE(VALUE(TRIM(MID(SUBSTITUTE(SUBSTITUTE(SUBSTITUTE(SUBSTITUTE(SUBSTITUTE(SUBSTITUTE(入力!$AB$21,"年","/"),"月","/"),"日",""),"-","/"),".","/"),"/",REPT(" ",50)),1,50))),VALUE(TRIM(MID(SUBSTITUTE(SUBSTITUTE(SUBSTITUTE(SUBSTITUTE(SUBSTITUTE(SUBSTITUTE(入力!$AB$21,"年","/"),"月","/"),"日",""),"-","/"),".","/"),"/",REPT(" ",50)),51,50))),IFERROR(VALUE(TRIM(MID(SUBSTITUTE(SUBSTITUTE(SUBSTITUTE(SUBSTITUTE(SUBSTITUTE(SUBSTITUTE(入力!$AB$21,"年","/"),"月","/"),"日",""),"-","/"),".","/"),"/",REPT(" ",50)),101,50))),1))),IFERROR(DATEVALUE(入力!$AB$21),"")))))</f>
        <v/>
      </c>
      <c r="CA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CB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amp;IF($AR19="","",CHAR(10)&amp;$AQ19)&amp;IF($AT19="","",CHAR(10)&amp;$AS19)&amp;IF($AV19="","",CHAR(10)&amp;$AU19)&amp;IF($AX19="","",CHAR(10)&amp;$AW19)&amp;IF($AZ19="","",CHAR(10)&amp;$AY19)&amp;IF($BB19="","",CHAR(10)&amp;$BA19)&amp;IF($BD19="","",CHAR(10)&amp;$BC19)&amp;IF($BF19="","",CHAR(10)&amp;$BE19)&amp;IF($BH19="","",CHAR(10)&amp;$BG19)&amp;IF($BJ19="","",CHAR(10)&amp;$BI19)&amp;IF($BL19="","",CHAR(10)&amp;$BK19)&amp;IF($BN19="","",CHAR(10)&amp;$BM19))</f>
        <v/>
      </c>
      <c r="CC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amp;IF($AR19="","",CHAR(10)&amp;$AR19)&amp;IF($AT19="","",CHAR(10)&amp;$AT19)&amp;IF($AV19="","",CHAR(10)&amp;$AV19)&amp;IF($AX19="","",CHAR(10)&amp;$AX19)&amp;IF($AZ19="","",CHAR(10)&amp;$AZ19)&amp;IF($BB19="","",CHAR(10)&amp;$BB19)&amp;IF($BD19="","",CHAR(10)&amp;$BD19)&amp;IF($BF19="","",CHAR(10)&amp;$BF19)&amp;IF($BH19="","",CHAR(10)&amp;$BH19)&amp;IF($BJ19="","",CHAR(10)&amp;$BJ19)&amp;IF($BL19="","",CHAR(10)&amp;$BL19)&amp;IF($BN19="","",CHAR(10)&amp;$BN19))</f>
        <v/>
      </c>
      <c r="CD19">
        <f>IF(入力!$D$21="","",IF($P19="",0,1)+IF($R19="",0,1)+IF($T19="",0,1)+IF($V19="",0,1)+IF($X19="",0,1)+IF($Z19="",0,1)+IF($AB19="",0,1)+IF($AD19="",0,1)+IF($AF19="",0,1)+IF($AH19="",0,1)+IF($AJ19="",0,1)+IF($AL19="",0,1)+IF($AN19="",0,1)+IF($AP19="",0,1)+IF($AR19="",0,1)+IF($AT19="",0,1)+IF($AV19="",0,1)+IF($AX19="",0,1)+IF($AZ19="",0,1)+IF($BB19="",0,1)+IF($BD19="",0,1)+IF($BF19="",0,1)+IF($BH19="",0,1)+IF($BJ19="",0,1)+IF($BL19="",0,1)+IF($BN19="",0,1))</f>
        <v/>
      </c>
    </row>
    <row r="20">
      <c r="A20" t="n">
        <v>18</v>
      </c>
      <c r="B20">
        <f>IF(入力!$D$22="","",IF(OR(反映項目!$B$4="×",入力!$D$22=""),"",入力!$D$22))</f>
        <v/>
      </c>
      <c r="C20">
        <f>IF(入力!$D$22="","",IF(OR(反映項目!$B$5="×",入力!$E$22=""),"",入力!$E$22))</f>
        <v/>
      </c>
      <c r="D20">
        <f>IF(入力!$D$22="","",IF(OR(反映項目!$B$6="×",N($BY$20)=0),"",YEAR($BY$20)-IF($BY$20&gt;=DATE(2019,5,1),2018,IF($BY$20&gt;=DATE(1989,1,8),1988,1925))))&amp;""</f>
        <v/>
      </c>
      <c r="E20">
        <f>IF(入力!$D$22="","",IF(OR(反映項目!$B$6="×",N($BY$20)=0),"",MONTH($BY$20)))&amp;""</f>
        <v/>
      </c>
      <c r="F20">
        <f>IF(入力!$D$22="","",IF(OR(反映項目!$B$6="×",N($BY$20)=0),"",DAY($BY$20)))&amp;""</f>
        <v/>
      </c>
      <c r="G20">
        <f>IF(入力!$D$22="","",IF(OR(反映項目!$B$6="×",OR(N($BY$20)=0,N(設定!$B$3)=0)),"",DATEDIF($BY$20,設定!$B$3,"Y")))&amp;""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IF(入力!$D$22="","",IF(OR(反映項目!$B$10="×",入力!$K$22=""),"",入力!$K$22))</f>
        <v/>
      </c>
      <c r="M20">
        <f>IF(入力!$D$22="","",IF(OR(反映項目!$B$10="×",入力!$L$22=""),"",入力!$L$22))</f>
        <v/>
      </c>
      <c r="N20">
        <f>IF(入力!$D$22="","",設定!$B$4&amp;CHAR(10)&amp;IF(入力!$M$22="",設定!$B$5,入力!$M$22))</f>
        <v/>
      </c>
      <c r="O20">
        <f>IF(入力!$D$22="","",IF(反映項目!$B$11="×","",IFERROR(INDEX(資格集約!$H$445:$H$470,MATCH(1,資格集約!$G$445:$G$470,0)),"")))</f>
        <v/>
      </c>
      <c r="P20">
        <f>IF(入力!$D$22="","",IF(反映項目!$B$11="×","",IFERROR(INDEX(資格集約!$E$445:$E$470,MATCH(1,資格集約!$G$445:$G$470,0)),"")))</f>
        <v/>
      </c>
      <c r="Q20">
        <f>IF(入力!$D$22="","",IF(反映項目!$B$11="×","",IFERROR(INDEX(資格集約!$H$445:$H$470,MATCH(2,資格集約!$G$445:$G$470,0)),"")))</f>
        <v/>
      </c>
      <c r="R20">
        <f>IF(入力!$D$22="","",IF(反映項目!$B$11="×","",IFERROR(INDEX(資格集約!$E$445:$E$470,MATCH(2,資格集約!$G$445:$G$470,0)),"")))</f>
        <v/>
      </c>
      <c r="S20">
        <f>IF(入力!$D$22="","",IF(反映項目!$B$11="×","",IFERROR(INDEX(資格集約!$H$445:$H$470,MATCH(3,資格集約!$G$445:$G$470,0)),"")))</f>
        <v/>
      </c>
      <c r="T20">
        <f>IF(入力!$D$22="","",IF(反映項目!$B$11="×","",IFERROR(INDEX(資格集約!$E$445:$E$470,MATCH(3,資格集約!$G$445:$G$470,0)),"")))</f>
        <v/>
      </c>
      <c r="U20">
        <f>IF(入力!$D$22="","",IF(反映項目!$B$11="×","",IFERROR(INDEX(資格集約!$H$445:$H$470,MATCH(4,資格集約!$G$445:$G$470,0)),"")))</f>
        <v/>
      </c>
      <c r="V20">
        <f>IF(入力!$D$22="","",IF(反映項目!$B$11="×","",IFERROR(INDEX(資格集約!$E$445:$E$470,MATCH(4,資格集約!$G$445:$G$470,0)),"")))</f>
        <v/>
      </c>
      <c r="W20">
        <f>IF(入力!$D$22="","",IF(反映項目!$B$11="×","",IFERROR(INDEX(資格集約!$H$445:$H$470,MATCH(5,資格集約!$G$445:$G$470,0)),"")))</f>
        <v/>
      </c>
      <c r="X20">
        <f>IF(入力!$D$22="","",IF(反映項目!$B$11="×","",IFERROR(INDEX(資格集約!$E$445:$E$470,MATCH(5,資格集約!$G$445:$G$470,0)),"")))</f>
        <v/>
      </c>
      <c r="Y20">
        <f>IF(入力!$D$22="","",IF(反映項目!$B$11="×","",IFERROR(INDEX(資格集約!$H$445:$H$470,MATCH(6,資格集約!$G$445:$G$470,0)),"")))</f>
        <v/>
      </c>
      <c r="Z20">
        <f>IF(入力!$D$22="","",IF(反映項目!$B$11="×","",IFERROR(INDEX(資格集約!$E$445:$E$470,MATCH(6,資格集約!$G$445:$G$470,0)),"")))</f>
        <v/>
      </c>
      <c r="AA20">
        <f>IF(入力!$D$22="","",IF(反映項目!$B$11="×","",IFERROR(INDEX(資格集約!$H$445:$H$470,MATCH(7,資格集約!$G$445:$G$470,0)),"")))</f>
        <v/>
      </c>
      <c r="AB20">
        <f>IF(入力!$D$22="","",IF(反映項目!$B$11="×","",IFERROR(INDEX(資格集約!$E$445:$E$470,MATCH(7,資格集約!$G$445:$G$470,0)),"")))</f>
        <v/>
      </c>
      <c r="AC20">
        <f>IF(入力!$D$22="","",IF(反映項目!$B$11="×","",IFERROR(INDEX(資格集約!$H$445:$H$470,MATCH(8,資格集約!$G$445:$G$470,0)),"")))</f>
        <v/>
      </c>
      <c r="AD20">
        <f>IF(入力!$D$22="","",IF(反映項目!$B$11="×","",IFERROR(INDEX(資格集約!$E$445:$E$470,MATCH(8,資格集約!$G$445:$G$470,0)),"")))</f>
        <v/>
      </c>
      <c r="AE20">
        <f>IF(入力!$D$22="","",IF(反映項目!$B$11="×","",IFERROR(INDEX(資格集約!$H$445:$H$470,MATCH(9,資格集約!$G$445:$G$470,0)),"")))</f>
        <v/>
      </c>
      <c r="AF20">
        <f>IF(入力!$D$22="","",IF(反映項目!$B$11="×","",IFERROR(INDEX(資格集約!$E$445:$E$470,MATCH(9,資格集約!$G$445:$G$470,0)),"")))</f>
        <v/>
      </c>
      <c r="AG20">
        <f>IF(入力!$D$22="","",IF(反映項目!$B$11="×","",IFERROR(INDEX(資格集約!$H$445:$H$470,MATCH(10,資格集約!$G$445:$G$470,0)),"")))</f>
        <v/>
      </c>
      <c r="AH20">
        <f>IF(入力!$D$22="","",IF(反映項目!$B$11="×","",IFERROR(INDEX(資格集約!$E$445:$E$470,MATCH(10,資格集約!$G$445:$G$470,0)),"")))</f>
        <v/>
      </c>
      <c r="AI20">
        <f>IF(入力!$D$22="","",IF(反映項目!$B$11="×","",IFERROR(INDEX(資格集約!$H$445:$H$470,MATCH(11,資格集約!$G$445:$G$470,0)),"")))</f>
        <v/>
      </c>
      <c r="AJ20">
        <f>IF(入力!$D$22="","",IF(反映項目!$B$11="×","",IFERROR(INDEX(資格集約!$E$445:$E$470,MATCH(11,資格集約!$G$445:$G$470,0)),"")))</f>
        <v/>
      </c>
      <c r="AK20">
        <f>IF(入力!$D$22="","",IF(反映項目!$B$11="×","",IFERROR(INDEX(資格集約!$H$445:$H$470,MATCH(12,資格集約!$G$445:$G$470,0)),"")))</f>
        <v/>
      </c>
      <c r="AL20">
        <f>IF(入力!$D$22="","",IF(反映項目!$B$11="×","",IFERROR(INDEX(資格集約!$E$445:$E$470,MATCH(12,資格集約!$G$445:$G$470,0)),"")))</f>
        <v/>
      </c>
      <c r="AM20">
        <f>IF(入力!$D$22="","",IF(反映項目!$B$11="×","",IFERROR(INDEX(資格集約!$H$445:$H$470,MATCH(13,資格集約!$G$445:$G$470,0)),"")))</f>
        <v/>
      </c>
      <c r="AN20">
        <f>IF(入力!$D$22="","",IF(反映項目!$B$11="×","",IFERROR(INDEX(資格集約!$E$445:$E$470,MATCH(13,資格集約!$G$445:$G$470,0)),"")))</f>
        <v/>
      </c>
      <c r="AO20">
        <f>IF(入力!$D$22="","",IF(反映項目!$B$11="×","",IFERROR(INDEX(資格集約!$H$445:$H$470,MATCH(14,資格集約!$G$445:$G$470,0)),"")))</f>
        <v/>
      </c>
      <c r="AP20">
        <f>IF(入力!$D$22="","",IF(反映項目!$B$11="×","",IFERROR(INDEX(資格集約!$E$445:$E$470,MATCH(14,資格集約!$G$445:$G$470,0)),"")))</f>
        <v/>
      </c>
      <c r="AQ20">
        <f>IF(入力!$D$22="","",IF(反映項目!$B$11="×","",IFERROR(INDEX(資格集約!$H$445:$H$470,MATCH(15,資格集約!$G$445:$G$470,0)),"")))</f>
        <v/>
      </c>
      <c r="AR20">
        <f>IF(入力!$D$22="","",IF(反映項目!$B$11="×","",IFERROR(INDEX(資格集約!$E$445:$E$470,MATCH(15,資格集約!$G$445:$G$470,0)),"")))</f>
        <v/>
      </c>
      <c r="AS20">
        <f>IF(入力!$D$22="","",IF(反映項目!$B$11="×","",IFERROR(INDEX(資格集約!$H$445:$H$470,MATCH(16,資格集約!$G$445:$G$470,0)),"")))</f>
        <v/>
      </c>
      <c r="AT20">
        <f>IF(入力!$D$22="","",IF(反映項目!$B$11="×","",IFERROR(INDEX(資格集約!$E$445:$E$470,MATCH(16,資格集約!$G$445:$G$470,0)),"")))</f>
        <v/>
      </c>
      <c r="AU20">
        <f>IF(入力!$D$22="","",IF(反映項目!$B$11="×","",IFERROR(INDEX(資格集約!$H$445:$H$470,MATCH(17,資格集約!$G$445:$G$470,0)),"")))</f>
        <v/>
      </c>
      <c r="AV20">
        <f>IF(入力!$D$22="","",IF(反映項目!$B$11="×","",IFERROR(INDEX(資格集約!$E$445:$E$470,MATCH(17,資格集約!$G$445:$G$470,0)),"")))</f>
        <v/>
      </c>
      <c r="AW20">
        <f>IF(入力!$D$22="","",IF(反映項目!$B$11="×","",IFERROR(INDEX(資格集約!$H$445:$H$470,MATCH(18,資格集約!$G$445:$G$470,0)),"")))</f>
        <v/>
      </c>
      <c r="AX20">
        <f>IF(入力!$D$22="","",IF(反映項目!$B$11="×","",IFERROR(INDEX(資格集約!$E$445:$E$470,MATCH(18,資格集約!$G$445:$G$470,0)),"")))</f>
        <v/>
      </c>
      <c r="AY20">
        <f>IF(入力!$D$22="","",IF(反映項目!$B$11="×","",IFERROR(INDEX(資格集約!$H$445:$H$470,MATCH(19,資格集約!$G$445:$G$470,0)),"")))</f>
        <v/>
      </c>
      <c r="AZ20">
        <f>IF(入力!$D$22="","",IF(反映項目!$B$11="×","",IFERROR(INDEX(資格集約!$E$445:$E$470,MATCH(19,資格集約!$G$445:$G$470,0)),"")))</f>
        <v/>
      </c>
      <c r="BA20">
        <f>IF(入力!$D$22="","",IF(反映項目!$B$11="×","",IFERROR(INDEX(資格集約!$H$445:$H$470,MATCH(20,資格集約!$G$445:$G$470,0)),"")))</f>
        <v/>
      </c>
      <c r="BB20">
        <f>IF(入力!$D$22="","",IF(反映項目!$B$11="×","",IFERROR(INDEX(資格集約!$E$445:$E$470,MATCH(20,資格集約!$G$445:$G$470,0)),"")))</f>
        <v/>
      </c>
      <c r="BC20">
        <f>IF(入力!$D$22="","",IF(反映項目!$B$11="×","",IFERROR(INDEX(資格集約!$H$445:$H$470,MATCH(21,資格集約!$G$445:$G$470,0)),"")))</f>
        <v/>
      </c>
      <c r="BD20">
        <f>IF(入力!$D$22="","",IF(反映項目!$B$11="×","",IFERROR(INDEX(資格集約!$E$445:$E$470,MATCH(21,資格集約!$G$445:$G$470,0)),"")))</f>
        <v/>
      </c>
      <c r="BE20">
        <f>IF(入力!$D$22="","",IF(反映項目!$B$11="×","",IFERROR(INDEX(資格集約!$H$445:$H$470,MATCH(22,資格集約!$G$445:$G$470,0)),"")))</f>
        <v/>
      </c>
      <c r="BF20">
        <f>IF(入力!$D$22="","",IF(反映項目!$B$11="×","",IFERROR(INDEX(資格集約!$E$445:$E$470,MATCH(22,資格集約!$G$445:$G$470,0)),"")))</f>
        <v/>
      </c>
      <c r="BG20">
        <f>IF(入力!$D$22="","",IF(反映項目!$B$11="×","",IFERROR(INDEX(資格集約!$H$445:$H$470,MATCH(23,資格集約!$G$445:$G$470,0)),"")))</f>
        <v/>
      </c>
      <c r="BH20">
        <f>IF(入力!$D$22="","",IF(反映項目!$B$11="×","",IFERROR(INDEX(資格集約!$E$445:$E$470,MATCH(23,資格集約!$G$445:$G$470,0)),"")))</f>
        <v/>
      </c>
      <c r="BI20">
        <f>IF(入力!$D$22="","",IF(反映項目!$B$11="×","",IFERROR(INDEX(資格集約!$H$445:$H$470,MATCH(24,資格集約!$G$445:$G$470,0)),"")))</f>
        <v/>
      </c>
      <c r="BJ20">
        <f>IF(入力!$D$22="","",IF(反映項目!$B$11="×","",IFERROR(INDEX(資格集約!$E$445:$E$470,MATCH(24,資格集約!$G$445:$G$470,0)),"")))</f>
        <v/>
      </c>
      <c r="BK20">
        <f>IF(入力!$D$22="","",IF(反映項目!$B$11="×","",IFERROR(INDEX(資格集約!$H$445:$H$470,MATCH(25,資格集約!$G$445:$G$470,0)),"")))</f>
        <v/>
      </c>
      <c r="BL20">
        <f>IF(入力!$D$22="","",IF(反映項目!$B$11="×","",IFERROR(INDEX(資格集約!$E$445:$E$470,MATCH(25,資格集約!$G$445:$G$470,0)),"")))</f>
        <v/>
      </c>
      <c r="BM20">
        <f>IF(入力!$D$22="","",IF(反映項目!$B$11="×","",IFERROR(INDEX(資格集約!$H$445:$H$470,MATCH(26,資格集約!$G$445:$G$470,0)),"")))</f>
        <v/>
      </c>
      <c r="BN20">
        <f>IF(入力!$D$22="","",IF(反映項目!$B$11="×","",IFERROR(INDEX(資格集約!$E$445:$E$470,MATCH(26,資格集約!$G$445:$G$470,0)),"")))</f>
        <v/>
      </c>
      <c r="BO20">
        <f>IF(入力!$D$22="","",IF(OR(反映項目!$B$12="×",入力!$Z$22=""),"",入力!$Z$22))</f>
        <v/>
      </c>
      <c r="BP20">
        <f>IF(入力!$D$22="","",IF(OR(反映項目!$B$13="×",入力!$AA$22=""),"",入力!$AA$22))</f>
        <v/>
      </c>
      <c r="BQ20">
        <f>IF(入力!$D$22="","",IF(OR(反映項目!$B$15="×",入力!$AF$22=""),"",入力!$AF$22))</f>
        <v/>
      </c>
      <c r="BR20">
        <f>IF(入力!$D$22="","",IF(OR(反映項目!$B$14="×",N($BZ$20)=0),"",YEAR($BZ$20)-IF($BZ$20&gt;=DATE(2019,5,1),2018,1988)))&amp;""</f>
        <v/>
      </c>
      <c r="BS20">
        <f>IF(入力!$D$22="","",IF(OR(反映項目!$B$14="×",N($BZ$20)=0),"",MONTH($BZ$20)))&amp;""</f>
        <v/>
      </c>
      <c r="BT20">
        <f>IF(入力!$D$22="","",IF(OR(反映項目!$B$14="×",入力!$AC$22=""),"",入力!$AC$22))</f>
        <v/>
      </c>
      <c r="BU20">
        <f>IF(入力!$D$22="","",IF(OR(反映項目!$B$14="×",N($CA$20)=0),"",YEAR($CA$20)-IF($CA$20&gt;=DATE(2019,5,1),2018,1988)))&amp;""</f>
        <v/>
      </c>
      <c r="BV20">
        <f>IF(入力!$D$22="","",IF(OR(反映項目!$B$14="×",N($CA$20)=0),"",MONTH($CA$20)))&amp;""</f>
        <v/>
      </c>
      <c r="BW20">
        <f>IF(入力!$D$22="","",IF(OR(反映項目!$B$14="×",入力!$AE$22=""),"",入力!$AE$22))</f>
        <v/>
      </c>
      <c r="BY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Z20">
        <f>IF(入力!$D$22="","",IF(入力!$AB$22="","",IF(ISNUMBER(入力!$AB$22),入力!$AB$22,IFERROR(IF(OR(LEFT(入力!$AB$22,2)="令和",LEFT(入力!$AB$22,2)="平成",LEFT(入力!$AB$22,2)="昭和",LEFT(入力!$AB$22,2)="大正"),DATE(VALUE(MID(入力!$AB$22,3,FIND("年",入力!$AB$22)-3))+IF(LEFT(入力!$AB$22,2)="令和",2018,IF(LEFT(入力!$AB$22,2)="平成",1988,IF(LEFT(入力!$AB$22,2)="昭和",1925,IF(LEFT(入力!$AB$22,2)="大正",1911,0)))),VALUE(MID(入力!$AB$22,FIND("年",入力!$AB$22)+1,FIND("月",入力!$AB$22)-FIND("年",入力!$AB$22)-1)),IFERROR(VALUE(SUBSTITUTE(MID(入力!$AB$22,FIND("月",入力!$AB$22)+1,10),"日","")),1)),DATE(VALUE(TRIM(MID(SUBSTITUTE(SUBSTITUTE(SUBSTITUTE(SUBSTITUTE(SUBSTITUTE(SUBSTITUTE(入力!$AB$22,"年","/"),"月","/"),"日",""),"-","/"),".","/"),"/",REPT(" ",50)),1,50))),VALUE(TRIM(MID(SUBSTITUTE(SUBSTITUTE(SUBSTITUTE(SUBSTITUTE(SUBSTITUTE(SUBSTITUTE(入力!$AB$22,"年","/"),"月","/"),"日",""),"-","/"),".","/"),"/",REPT(" ",50)),51,50))),IFERROR(VALUE(TRIM(MID(SUBSTITUTE(SUBSTITUTE(SUBSTITUTE(SUBSTITUTE(SUBSTITUTE(SUBSTITUTE(入力!$AB$22,"年","/"),"月","/"),"日",""),"-","/"),".","/"),"/",REPT(" ",50)),101,50))),1))),IFERROR(DATEVALUE(入力!$AB$22),"")))))</f>
        <v/>
      </c>
      <c r="CA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CB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amp;IF($AR20="","",CHAR(10)&amp;$AQ20)&amp;IF($AT20="","",CHAR(10)&amp;$AS20)&amp;IF($AV20="","",CHAR(10)&amp;$AU20)&amp;IF($AX20="","",CHAR(10)&amp;$AW20)&amp;IF($AZ20="","",CHAR(10)&amp;$AY20)&amp;IF($BB20="","",CHAR(10)&amp;$BA20)&amp;IF($BD20="","",CHAR(10)&amp;$BC20)&amp;IF($BF20="","",CHAR(10)&amp;$BE20)&amp;IF($BH20="","",CHAR(10)&amp;$BG20)&amp;IF($BJ20="","",CHAR(10)&amp;$BI20)&amp;IF($BL20="","",CHAR(10)&amp;$BK20)&amp;IF($BN20="","",CHAR(10)&amp;$BM20))</f>
        <v/>
      </c>
      <c r="CC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amp;IF($AR20="","",CHAR(10)&amp;$AR20)&amp;IF($AT20="","",CHAR(10)&amp;$AT20)&amp;IF($AV20="","",CHAR(10)&amp;$AV20)&amp;IF($AX20="","",CHAR(10)&amp;$AX20)&amp;IF($AZ20="","",CHAR(10)&amp;$AZ20)&amp;IF($BB20="","",CHAR(10)&amp;$BB20)&amp;IF($BD20="","",CHAR(10)&amp;$BD20)&amp;IF($BF20="","",CHAR(10)&amp;$BF20)&amp;IF($BH20="","",CHAR(10)&amp;$BH20)&amp;IF($BJ20="","",CHAR(10)&amp;$BJ20)&amp;IF($BL20="","",CHAR(10)&amp;$BL20)&amp;IF($BN20="","",CHAR(10)&amp;$BN20))</f>
        <v/>
      </c>
      <c r="CD20">
        <f>IF(入力!$D$22="","",IF($P20="",0,1)+IF($R20="",0,1)+IF($T20="",0,1)+IF($V20="",0,1)+IF($X20="",0,1)+IF($Z20="",0,1)+IF($AB20="",0,1)+IF($AD20="",0,1)+IF($AF20="",0,1)+IF($AH20="",0,1)+IF($AJ20="",0,1)+IF($AL20="",0,1)+IF($AN20="",0,1)+IF($AP20="",0,1)+IF($AR20="",0,1)+IF($AT20="",0,1)+IF($AV20="",0,1)+IF($AX20="",0,1)+IF($AZ20="",0,1)+IF($BB20="",0,1)+IF($BD20="",0,1)+IF($BF20="",0,1)+IF($BH20="",0,1)+IF($BJ20="",0,1)+IF($BL20="",0,1)+IF($BN20="",0,1))</f>
        <v/>
      </c>
    </row>
    <row r="21">
      <c r="A21" t="n">
        <v>19</v>
      </c>
      <c r="B21">
        <f>IF(入力!$D$23="","",IF(OR(反映項目!$B$4="×",入力!$D$23=""),"",入力!$D$23))</f>
        <v/>
      </c>
      <c r="C21">
        <f>IF(入力!$D$23="","",IF(OR(反映項目!$B$5="×",入力!$E$23=""),"",入力!$E$23))</f>
        <v/>
      </c>
      <c r="D21">
        <f>IF(入力!$D$23="","",IF(OR(反映項目!$B$6="×",N($BY$21)=0),"",YEAR($BY$21)-IF($BY$21&gt;=DATE(2019,5,1),2018,IF($BY$21&gt;=DATE(1989,1,8),1988,1925))))&amp;""</f>
        <v/>
      </c>
      <c r="E21">
        <f>IF(入力!$D$23="","",IF(OR(反映項目!$B$6="×",N($BY$21)=0),"",MONTH($BY$21)))&amp;""</f>
        <v/>
      </c>
      <c r="F21">
        <f>IF(入力!$D$23="","",IF(OR(反映項目!$B$6="×",N($BY$21)=0),"",DAY($BY$21)))&amp;""</f>
        <v/>
      </c>
      <c r="G21">
        <f>IF(入力!$D$23="","",IF(OR(反映項目!$B$6="×",OR(N($BY$21)=0,N(設定!$B$3)=0)),"",DATEDIF($BY$21,設定!$B$3,"Y")))&amp;""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IF(入力!$D$23="","",IF(OR(反映項目!$B$10="×",入力!$K$23=""),"",入力!$K$23))</f>
        <v/>
      </c>
      <c r="M21">
        <f>IF(入力!$D$23="","",IF(OR(反映項目!$B$10="×",入力!$L$23=""),"",入力!$L$23))</f>
        <v/>
      </c>
      <c r="N21">
        <f>IF(入力!$D$23="","",設定!$B$4&amp;CHAR(10)&amp;IF(入力!$M$23="",設定!$B$5,入力!$M$23))</f>
        <v/>
      </c>
      <c r="O21">
        <f>IF(入力!$D$23="","",IF(反映項目!$B$11="×","",IFERROR(INDEX(資格集約!$H$471:$H$496,MATCH(1,資格集約!$G$471:$G$496,0)),"")))</f>
        <v/>
      </c>
      <c r="P21">
        <f>IF(入力!$D$23="","",IF(反映項目!$B$11="×","",IFERROR(INDEX(資格集約!$E$471:$E$496,MATCH(1,資格集約!$G$471:$G$496,0)),"")))</f>
        <v/>
      </c>
      <c r="Q21">
        <f>IF(入力!$D$23="","",IF(反映項目!$B$11="×","",IFERROR(INDEX(資格集約!$H$471:$H$496,MATCH(2,資格集約!$G$471:$G$496,0)),"")))</f>
        <v/>
      </c>
      <c r="R21">
        <f>IF(入力!$D$23="","",IF(反映項目!$B$11="×","",IFERROR(INDEX(資格集約!$E$471:$E$496,MATCH(2,資格集約!$G$471:$G$496,0)),"")))</f>
        <v/>
      </c>
      <c r="S21">
        <f>IF(入力!$D$23="","",IF(反映項目!$B$11="×","",IFERROR(INDEX(資格集約!$H$471:$H$496,MATCH(3,資格集約!$G$471:$G$496,0)),"")))</f>
        <v/>
      </c>
      <c r="T21">
        <f>IF(入力!$D$23="","",IF(反映項目!$B$11="×","",IFERROR(INDEX(資格集約!$E$471:$E$496,MATCH(3,資格集約!$G$471:$G$496,0)),"")))</f>
        <v/>
      </c>
      <c r="U21">
        <f>IF(入力!$D$23="","",IF(反映項目!$B$11="×","",IFERROR(INDEX(資格集約!$H$471:$H$496,MATCH(4,資格集約!$G$471:$G$496,0)),"")))</f>
        <v/>
      </c>
      <c r="V21">
        <f>IF(入力!$D$23="","",IF(反映項目!$B$11="×","",IFERROR(INDEX(資格集約!$E$471:$E$496,MATCH(4,資格集約!$G$471:$G$496,0)),"")))</f>
        <v/>
      </c>
      <c r="W21">
        <f>IF(入力!$D$23="","",IF(反映項目!$B$11="×","",IFERROR(INDEX(資格集約!$H$471:$H$496,MATCH(5,資格集約!$G$471:$G$496,0)),"")))</f>
        <v/>
      </c>
      <c r="X21">
        <f>IF(入力!$D$23="","",IF(反映項目!$B$11="×","",IFERROR(INDEX(資格集約!$E$471:$E$496,MATCH(5,資格集約!$G$471:$G$496,0)),"")))</f>
        <v/>
      </c>
      <c r="Y21">
        <f>IF(入力!$D$23="","",IF(反映項目!$B$11="×","",IFERROR(INDEX(資格集約!$H$471:$H$496,MATCH(6,資格集約!$G$471:$G$496,0)),"")))</f>
        <v/>
      </c>
      <c r="Z21">
        <f>IF(入力!$D$23="","",IF(反映項目!$B$11="×","",IFERROR(INDEX(資格集約!$E$471:$E$496,MATCH(6,資格集約!$G$471:$G$496,0)),"")))</f>
        <v/>
      </c>
      <c r="AA21">
        <f>IF(入力!$D$23="","",IF(反映項目!$B$11="×","",IFERROR(INDEX(資格集約!$H$471:$H$496,MATCH(7,資格集約!$G$471:$G$496,0)),"")))</f>
        <v/>
      </c>
      <c r="AB21">
        <f>IF(入力!$D$23="","",IF(反映項目!$B$11="×","",IFERROR(INDEX(資格集約!$E$471:$E$496,MATCH(7,資格集約!$G$471:$G$496,0)),"")))</f>
        <v/>
      </c>
      <c r="AC21">
        <f>IF(入力!$D$23="","",IF(反映項目!$B$11="×","",IFERROR(INDEX(資格集約!$H$471:$H$496,MATCH(8,資格集約!$G$471:$G$496,0)),"")))</f>
        <v/>
      </c>
      <c r="AD21">
        <f>IF(入力!$D$23="","",IF(反映項目!$B$11="×","",IFERROR(INDEX(資格集約!$E$471:$E$496,MATCH(8,資格集約!$G$471:$G$496,0)),"")))</f>
        <v/>
      </c>
      <c r="AE21">
        <f>IF(入力!$D$23="","",IF(反映項目!$B$11="×","",IFERROR(INDEX(資格集約!$H$471:$H$496,MATCH(9,資格集約!$G$471:$G$496,0)),"")))</f>
        <v/>
      </c>
      <c r="AF21">
        <f>IF(入力!$D$23="","",IF(反映項目!$B$11="×","",IFERROR(INDEX(資格集約!$E$471:$E$496,MATCH(9,資格集約!$G$471:$G$496,0)),"")))</f>
        <v/>
      </c>
      <c r="AG21">
        <f>IF(入力!$D$23="","",IF(反映項目!$B$11="×","",IFERROR(INDEX(資格集約!$H$471:$H$496,MATCH(10,資格集約!$G$471:$G$496,0)),"")))</f>
        <v/>
      </c>
      <c r="AH21">
        <f>IF(入力!$D$23="","",IF(反映項目!$B$11="×","",IFERROR(INDEX(資格集約!$E$471:$E$496,MATCH(10,資格集約!$G$471:$G$496,0)),"")))</f>
        <v/>
      </c>
      <c r="AI21">
        <f>IF(入力!$D$23="","",IF(反映項目!$B$11="×","",IFERROR(INDEX(資格集約!$H$471:$H$496,MATCH(11,資格集約!$G$471:$G$496,0)),"")))</f>
        <v/>
      </c>
      <c r="AJ21">
        <f>IF(入力!$D$23="","",IF(反映項目!$B$11="×","",IFERROR(INDEX(資格集約!$E$471:$E$496,MATCH(11,資格集約!$G$471:$G$496,0)),"")))</f>
        <v/>
      </c>
      <c r="AK21">
        <f>IF(入力!$D$23="","",IF(反映項目!$B$11="×","",IFERROR(INDEX(資格集約!$H$471:$H$496,MATCH(12,資格集約!$G$471:$G$496,0)),"")))</f>
        <v/>
      </c>
      <c r="AL21">
        <f>IF(入力!$D$23="","",IF(反映項目!$B$11="×","",IFERROR(INDEX(資格集約!$E$471:$E$496,MATCH(12,資格集約!$G$471:$G$496,0)),"")))</f>
        <v/>
      </c>
      <c r="AM21">
        <f>IF(入力!$D$23="","",IF(反映項目!$B$11="×","",IFERROR(INDEX(資格集約!$H$471:$H$496,MATCH(13,資格集約!$G$471:$G$496,0)),"")))</f>
        <v/>
      </c>
      <c r="AN21">
        <f>IF(入力!$D$23="","",IF(反映項目!$B$11="×","",IFERROR(INDEX(資格集約!$E$471:$E$496,MATCH(13,資格集約!$G$471:$G$496,0)),"")))</f>
        <v/>
      </c>
      <c r="AO21">
        <f>IF(入力!$D$23="","",IF(反映項目!$B$11="×","",IFERROR(INDEX(資格集約!$H$471:$H$496,MATCH(14,資格集約!$G$471:$G$496,0)),"")))</f>
        <v/>
      </c>
      <c r="AP21">
        <f>IF(入力!$D$23="","",IF(反映項目!$B$11="×","",IFERROR(INDEX(資格集約!$E$471:$E$496,MATCH(14,資格集約!$G$471:$G$496,0)),"")))</f>
        <v/>
      </c>
      <c r="AQ21">
        <f>IF(入力!$D$23="","",IF(反映項目!$B$11="×","",IFERROR(INDEX(資格集約!$H$471:$H$496,MATCH(15,資格集約!$G$471:$G$496,0)),"")))</f>
        <v/>
      </c>
      <c r="AR21">
        <f>IF(入力!$D$23="","",IF(反映項目!$B$11="×","",IFERROR(INDEX(資格集約!$E$471:$E$496,MATCH(15,資格集約!$G$471:$G$496,0)),"")))</f>
        <v/>
      </c>
      <c r="AS21">
        <f>IF(入力!$D$23="","",IF(反映項目!$B$11="×","",IFERROR(INDEX(資格集約!$H$471:$H$496,MATCH(16,資格集約!$G$471:$G$496,0)),"")))</f>
        <v/>
      </c>
      <c r="AT21">
        <f>IF(入力!$D$23="","",IF(反映項目!$B$11="×","",IFERROR(INDEX(資格集約!$E$471:$E$496,MATCH(16,資格集約!$G$471:$G$496,0)),"")))</f>
        <v/>
      </c>
      <c r="AU21">
        <f>IF(入力!$D$23="","",IF(反映項目!$B$11="×","",IFERROR(INDEX(資格集約!$H$471:$H$496,MATCH(17,資格集約!$G$471:$G$496,0)),"")))</f>
        <v/>
      </c>
      <c r="AV21">
        <f>IF(入力!$D$23="","",IF(反映項目!$B$11="×","",IFERROR(INDEX(資格集約!$E$471:$E$496,MATCH(17,資格集約!$G$471:$G$496,0)),"")))</f>
        <v/>
      </c>
      <c r="AW21">
        <f>IF(入力!$D$23="","",IF(反映項目!$B$11="×","",IFERROR(INDEX(資格集約!$H$471:$H$496,MATCH(18,資格集約!$G$471:$G$496,0)),"")))</f>
        <v/>
      </c>
      <c r="AX21">
        <f>IF(入力!$D$23="","",IF(反映項目!$B$11="×","",IFERROR(INDEX(資格集約!$E$471:$E$496,MATCH(18,資格集約!$G$471:$G$496,0)),"")))</f>
        <v/>
      </c>
      <c r="AY21">
        <f>IF(入力!$D$23="","",IF(反映項目!$B$11="×","",IFERROR(INDEX(資格集約!$H$471:$H$496,MATCH(19,資格集約!$G$471:$G$496,0)),"")))</f>
        <v/>
      </c>
      <c r="AZ21">
        <f>IF(入力!$D$23="","",IF(反映項目!$B$11="×","",IFERROR(INDEX(資格集約!$E$471:$E$496,MATCH(19,資格集約!$G$471:$G$496,0)),"")))</f>
        <v/>
      </c>
      <c r="BA21">
        <f>IF(入力!$D$23="","",IF(反映項目!$B$11="×","",IFERROR(INDEX(資格集約!$H$471:$H$496,MATCH(20,資格集約!$G$471:$G$496,0)),"")))</f>
        <v/>
      </c>
      <c r="BB21">
        <f>IF(入力!$D$23="","",IF(反映項目!$B$11="×","",IFERROR(INDEX(資格集約!$E$471:$E$496,MATCH(20,資格集約!$G$471:$G$496,0)),"")))</f>
        <v/>
      </c>
      <c r="BC21">
        <f>IF(入力!$D$23="","",IF(反映項目!$B$11="×","",IFERROR(INDEX(資格集約!$H$471:$H$496,MATCH(21,資格集約!$G$471:$G$496,0)),"")))</f>
        <v/>
      </c>
      <c r="BD21">
        <f>IF(入力!$D$23="","",IF(反映項目!$B$11="×","",IFERROR(INDEX(資格集約!$E$471:$E$496,MATCH(21,資格集約!$G$471:$G$496,0)),"")))</f>
        <v/>
      </c>
      <c r="BE21">
        <f>IF(入力!$D$23="","",IF(反映項目!$B$11="×","",IFERROR(INDEX(資格集約!$H$471:$H$496,MATCH(22,資格集約!$G$471:$G$496,0)),"")))</f>
        <v/>
      </c>
      <c r="BF21">
        <f>IF(入力!$D$23="","",IF(反映項目!$B$11="×","",IFERROR(INDEX(資格集約!$E$471:$E$496,MATCH(22,資格集約!$G$471:$G$496,0)),"")))</f>
        <v/>
      </c>
      <c r="BG21">
        <f>IF(入力!$D$23="","",IF(反映項目!$B$11="×","",IFERROR(INDEX(資格集約!$H$471:$H$496,MATCH(23,資格集約!$G$471:$G$496,0)),"")))</f>
        <v/>
      </c>
      <c r="BH21">
        <f>IF(入力!$D$23="","",IF(反映項目!$B$11="×","",IFERROR(INDEX(資格集約!$E$471:$E$496,MATCH(23,資格集約!$G$471:$G$496,0)),"")))</f>
        <v/>
      </c>
      <c r="BI21">
        <f>IF(入力!$D$23="","",IF(反映項目!$B$11="×","",IFERROR(INDEX(資格集約!$H$471:$H$496,MATCH(24,資格集約!$G$471:$G$496,0)),"")))</f>
        <v/>
      </c>
      <c r="BJ21">
        <f>IF(入力!$D$23="","",IF(反映項目!$B$11="×","",IFERROR(INDEX(資格集約!$E$471:$E$496,MATCH(24,資格集約!$G$471:$G$496,0)),"")))</f>
        <v/>
      </c>
      <c r="BK21">
        <f>IF(入力!$D$23="","",IF(反映項目!$B$11="×","",IFERROR(INDEX(資格集約!$H$471:$H$496,MATCH(25,資格集約!$G$471:$G$496,0)),"")))</f>
        <v/>
      </c>
      <c r="BL21">
        <f>IF(入力!$D$23="","",IF(反映項目!$B$11="×","",IFERROR(INDEX(資格集約!$E$471:$E$496,MATCH(25,資格集約!$G$471:$G$496,0)),"")))</f>
        <v/>
      </c>
      <c r="BM21">
        <f>IF(入力!$D$23="","",IF(反映項目!$B$11="×","",IFERROR(INDEX(資格集約!$H$471:$H$496,MATCH(26,資格集約!$G$471:$G$496,0)),"")))</f>
        <v/>
      </c>
      <c r="BN21">
        <f>IF(入力!$D$23="","",IF(反映項目!$B$11="×","",IFERROR(INDEX(資格集約!$E$471:$E$496,MATCH(26,資格集約!$G$471:$G$496,0)),"")))</f>
        <v/>
      </c>
      <c r="BO21">
        <f>IF(入力!$D$23="","",IF(OR(反映項目!$B$12="×",入力!$Z$23=""),"",入力!$Z$23))</f>
        <v/>
      </c>
      <c r="BP21">
        <f>IF(入力!$D$23="","",IF(OR(反映項目!$B$13="×",入力!$AA$23=""),"",入力!$AA$23))</f>
        <v/>
      </c>
      <c r="BQ21">
        <f>IF(入力!$D$23="","",IF(OR(反映項目!$B$15="×",入力!$AF$23=""),"",入力!$AF$23))</f>
        <v/>
      </c>
      <c r="BR21">
        <f>IF(入力!$D$23="","",IF(OR(反映項目!$B$14="×",N($BZ$21)=0),"",YEAR($BZ$21)-IF($BZ$21&gt;=DATE(2019,5,1),2018,1988)))&amp;""</f>
        <v/>
      </c>
      <c r="BS21">
        <f>IF(入力!$D$23="","",IF(OR(反映項目!$B$14="×",N($BZ$21)=0),"",MONTH($BZ$21)))&amp;""</f>
        <v/>
      </c>
      <c r="BT21">
        <f>IF(入力!$D$23="","",IF(OR(反映項目!$B$14="×",入力!$AC$23=""),"",入力!$AC$23))</f>
        <v/>
      </c>
      <c r="BU21">
        <f>IF(入力!$D$23="","",IF(OR(反映項目!$B$14="×",N($CA$21)=0),"",YEAR($CA$21)-IF($CA$21&gt;=DATE(2019,5,1),2018,1988)))&amp;""</f>
        <v/>
      </c>
      <c r="BV21">
        <f>IF(入力!$D$23="","",IF(OR(反映項目!$B$14="×",N($CA$21)=0),"",MONTH($CA$21)))&amp;""</f>
        <v/>
      </c>
      <c r="BW21">
        <f>IF(入力!$D$23="","",IF(OR(反映項目!$B$14="×",入力!$AE$23=""),"",入力!$AE$23))</f>
        <v/>
      </c>
      <c r="BY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Z21">
        <f>IF(入力!$D$23="","",IF(入力!$AB$23="","",IF(ISNUMBER(入力!$AB$23),入力!$AB$23,IFERROR(IF(OR(LEFT(入力!$AB$23,2)="令和",LEFT(入力!$AB$23,2)="平成",LEFT(入力!$AB$23,2)="昭和",LEFT(入力!$AB$23,2)="大正"),DATE(VALUE(MID(入力!$AB$23,3,FIND("年",入力!$AB$23)-3))+IF(LEFT(入力!$AB$23,2)="令和",2018,IF(LEFT(入力!$AB$23,2)="平成",1988,IF(LEFT(入力!$AB$23,2)="昭和",1925,IF(LEFT(入力!$AB$23,2)="大正",1911,0)))),VALUE(MID(入力!$AB$23,FIND("年",入力!$AB$23)+1,FIND("月",入力!$AB$23)-FIND("年",入力!$AB$23)-1)),IFERROR(VALUE(SUBSTITUTE(MID(入力!$AB$23,FIND("月",入力!$AB$23)+1,10),"日","")),1)),DATE(VALUE(TRIM(MID(SUBSTITUTE(SUBSTITUTE(SUBSTITUTE(SUBSTITUTE(SUBSTITUTE(SUBSTITUTE(入力!$AB$23,"年","/"),"月","/"),"日",""),"-","/"),".","/"),"/",REPT(" ",50)),1,50))),VALUE(TRIM(MID(SUBSTITUTE(SUBSTITUTE(SUBSTITUTE(SUBSTITUTE(SUBSTITUTE(SUBSTITUTE(入力!$AB$23,"年","/"),"月","/"),"日",""),"-","/"),".","/"),"/",REPT(" ",50)),51,50))),IFERROR(VALUE(TRIM(MID(SUBSTITUTE(SUBSTITUTE(SUBSTITUTE(SUBSTITUTE(SUBSTITUTE(SUBSTITUTE(入力!$AB$23,"年","/"),"月","/"),"日",""),"-","/"),".","/"),"/",REPT(" ",50)),101,50))),1))),IFERROR(DATEVALUE(入力!$AB$23),"")))))</f>
        <v/>
      </c>
      <c r="CA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CB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amp;IF($AR21="","",CHAR(10)&amp;$AQ21)&amp;IF($AT21="","",CHAR(10)&amp;$AS21)&amp;IF($AV21="","",CHAR(10)&amp;$AU21)&amp;IF($AX21="","",CHAR(10)&amp;$AW21)&amp;IF($AZ21="","",CHAR(10)&amp;$AY21)&amp;IF($BB21="","",CHAR(10)&amp;$BA21)&amp;IF($BD21="","",CHAR(10)&amp;$BC21)&amp;IF($BF21="","",CHAR(10)&amp;$BE21)&amp;IF($BH21="","",CHAR(10)&amp;$BG21)&amp;IF($BJ21="","",CHAR(10)&amp;$BI21)&amp;IF($BL21="","",CHAR(10)&amp;$BK21)&amp;IF($BN21="","",CHAR(10)&amp;$BM21))</f>
        <v/>
      </c>
      <c r="CC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amp;IF($AR21="","",CHAR(10)&amp;$AR21)&amp;IF($AT21="","",CHAR(10)&amp;$AT21)&amp;IF($AV21="","",CHAR(10)&amp;$AV21)&amp;IF($AX21="","",CHAR(10)&amp;$AX21)&amp;IF($AZ21="","",CHAR(10)&amp;$AZ21)&amp;IF($BB21="","",CHAR(10)&amp;$BB21)&amp;IF($BD21="","",CHAR(10)&amp;$BD21)&amp;IF($BF21="","",CHAR(10)&amp;$BF21)&amp;IF($BH21="","",CHAR(10)&amp;$BH21)&amp;IF($BJ21="","",CHAR(10)&amp;$BJ21)&amp;IF($BL21="","",CHAR(10)&amp;$BL21)&amp;IF($BN21="","",CHAR(10)&amp;$BN21))</f>
        <v/>
      </c>
      <c r="CD21">
        <f>IF(入力!$D$23="","",IF($P21="",0,1)+IF($R21="",0,1)+IF($T21="",0,1)+IF($V21="",0,1)+IF($X21="",0,1)+IF($Z21="",0,1)+IF($AB21="",0,1)+IF($AD21="",0,1)+IF($AF21="",0,1)+IF($AH21="",0,1)+IF($AJ21="",0,1)+IF($AL21="",0,1)+IF($AN21="",0,1)+IF($AP21="",0,1)+IF($AR21="",0,1)+IF($AT21="",0,1)+IF($AV21="",0,1)+IF($AX21="",0,1)+IF($AZ21="",0,1)+IF($BB21="",0,1)+IF($BD21="",0,1)+IF($BF21="",0,1)+IF($BH21="",0,1)+IF($BJ21="",0,1)+IF($BL21="",0,1)+IF($BN21="",0,1))</f>
        <v/>
      </c>
    </row>
    <row r="22">
      <c r="A22" t="n">
        <v>20</v>
      </c>
      <c r="B22">
        <f>IF(入力!$D$24="","",IF(OR(反映項目!$B$4="×",入力!$D$24=""),"",入力!$D$24))</f>
        <v/>
      </c>
      <c r="C22">
        <f>IF(入力!$D$24="","",IF(OR(反映項目!$B$5="×",入力!$E$24=""),"",入力!$E$24))</f>
        <v/>
      </c>
      <c r="D22">
        <f>IF(入力!$D$24="","",IF(OR(反映項目!$B$6="×",N($BY$22)=0),"",YEAR($BY$22)-IF($BY$22&gt;=DATE(2019,5,1),2018,IF($BY$22&gt;=DATE(1989,1,8),1988,1925))))&amp;""</f>
        <v/>
      </c>
      <c r="E22">
        <f>IF(入力!$D$24="","",IF(OR(反映項目!$B$6="×",N($BY$22)=0),"",MONTH($BY$22)))&amp;""</f>
        <v/>
      </c>
      <c r="F22">
        <f>IF(入力!$D$24="","",IF(OR(反映項目!$B$6="×",N($BY$22)=0),"",DAY($BY$22)))&amp;""</f>
        <v/>
      </c>
      <c r="G22">
        <f>IF(入力!$D$24="","",IF(OR(反映項目!$B$6="×",OR(N($BY$22)=0,N(設定!$B$3)=0)),"",DATEDIF($BY$22,設定!$B$3,"Y")))&amp;""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IF(入力!$D$24="","",IF(OR(反映項目!$B$10="×",入力!$K$24=""),"",入力!$K$24))</f>
        <v/>
      </c>
      <c r="M22">
        <f>IF(入力!$D$24="","",IF(OR(反映項目!$B$10="×",入力!$L$24=""),"",入力!$L$24))</f>
        <v/>
      </c>
      <c r="N22">
        <f>IF(入力!$D$24="","",設定!$B$4&amp;CHAR(10)&amp;IF(入力!$M$24="",設定!$B$5,入力!$M$24))</f>
        <v/>
      </c>
      <c r="O22">
        <f>IF(入力!$D$24="","",IF(反映項目!$B$11="×","",IFERROR(INDEX(資格集約!$H$497:$H$522,MATCH(1,資格集約!$G$497:$G$522,0)),"")))</f>
        <v/>
      </c>
      <c r="P22">
        <f>IF(入力!$D$24="","",IF(反映項目!$B$11="×","",IFERROR(INDEX(資格集約!$E$497:$E$522,MATCH(1,資格集約!$G$497:$G$522,0)),"")))</f>
        <v/>
      </c>
      <c r="Q22">
        <f>IF(入力!$D$24="","",IF(反映項目!$B$11="×","",IFERROR(INDEX(資格集約!$H$497:$H$522,MATCH(2,資格集約!$G$497:$G$522,0)),"")))</f>
        <v/>
      </c>
      <c r="R22">
        <f>IF(入力!$D$24="","",IF(反映項目!$B$11="×","",IFERROR(INDEX(資格集約!$E$497:$E$522,MATCH(2,資格集約!$G$497:$G$522,0)),"")))</f>
        <v/>
      </c>
      <c r="S22">
        <f>IF(入力!$D$24="","",IF(反映項目!$B$11="×","",IFERROR(INDEX(資格集約!$H$497:$H$522,MATCH(3,資格集約!$G$497:$G$522,0)),"")))</f>
        <v/>
      </c>
      <c r="T22">
        <f>IF(入力!$D$24="","",IF(反映項目!$B$11="×","",IFERROR(INDEX(資格集約!$E$497:$E$522,MATCH(3,資格集約!$G$497:$G$522,0)),"")))</f>
        <v/>
      </c>
      <c r="U22">
        <f>IF(入力!$D$24="","",IF(反映項目!$B$11="×","",IFERROR(INDEX(資格集約!$H$497:$H$522,MATCH(4,資格集約!$G$497:$G$522,0)),"")))</f>
        <v/>
      </c>
      <c r="V22">
        <f>IF(入力!$D$24="","",IF(反映項目!$B$11="×","",IFERROR(INDEX(資格集約!$E$497:$E$522,MATCH(4,資格集約!$G$497:$G$522,0)),"")))</f>
        <v/>
      </c>
      <c r="W22">
        <f>IF(入力!$D$24="","",IF(反映項目!$B$11="×","",IFERROR(INDEX(資格集約!$H$497:$H$522,MATCH(5,資格集約!$G$497:$G$522,0)),"")))</f>
        <v/>
      </c>
      <c r="X22">
        <f>IF(入力!$D$24="","",IF(反映項目!$B$11="×","",IFERROR(INDEX(資格集約!$E$497:$E$522,MATCH(5,資格集約!$G$497:$G$522,0)),"")))</f>
        <v/>
      </c>
      <c r="Y22">
        <f>IF(入力!$D$24="","",IF(反映項目!$B$11="×","",IFERROR(INDEX(資格集約!$H$497:$H$522,MATCH(6,資格集約!$G$497:$G$522,0)),"")))</f>
        <v/>
      </c>
      <c r="Z22">
        <f>IF(入力!$D$24="","",IF(反映項目!$B$11="×","",IFERROR(INDEX(資格集約!$E$497:$E$522,MATCH(6,資格集約!$G$497:$G$522,0)),"")))</f>
        <v/>
      </c>
      <c r="AA22">
        <f>IF(入力!$D$24="","",IF(反映項目!$B$11="×","",IFERROR(INDEX(資格集約!$H$497:$H$522,MATCH(7,資格集約!$G$497:$G$522,0)),"")))</f>
        <v/>
      </c>
      <c r="AB22">
        <f>IF(入力!$D$24="","",IF(反映項目!$B$11="×","",IFERROR(INDEX(資格集約!$E$497:$E$522,MATCH(7,資格集約!$G$497:$G$522,0)),"")))</f>
        <v/>
      </c>
      <c r="AC22">
        <f>IF(入力!$D$24="","",IF(反映項目!$B$11="×","",IFERROR(INDEX(資格集約!$H$497:$H$522,MATCH(8,資格集約!$G$497:$G$522,0)),"")))</f>
        <v/>
      </c>
      <c r="AD22">
        <f>IF(入力!$D$24="","",IF(反映項目!$B$11="×","",IFERROR(INDEX(資格集約!$E$497:$E$522,MATCH(8,資格集約!$G$497:$G$522,0)),"")))</f>
        <v/>
      </c>
      <c r="AE22">
        <f>IF(入力!$D$24="","",IF(反映項目!$B$11="×","",IFERROR(INDEX(資格集約!$H$497:$H$522,MATCH(9,資格集約!$G$497:$G$522,0)),"")))</f>
        <v/>
      </c>
      <c r="AF22">
        <f>IF(入力!$D$24="","",IF(反映項目!$B$11="×","",IFERROR(INDEX(資格集約!$E$497:$E$522,MATCH(9,資格集約!$G$497:$G$522,0)),"")))</f>
        <v/>
      </c>
      <c r="AG22">
        <f>IF(入力!$D$24="","",IF(反映項目!$B$11="×","",IFERROR(INDEX(資格集約!$H$497:$H$522,MATCH(10,資格集約!$G$497:$G$522,0)),"")))</f>
        <v/>
      </c>
      <c r="AH22">
        <f>IF(入力!$D$24="","",IF(反映項目!$B$11="×","",IFERROR(INDEX(資格集約!$E$497:$E$522,MATCH(10,資格集約!$G$497:$G$522,0)),"")))</f>
        <v/>
      </c>
      <c r="AI22">
        <f>IF(入力!$D$24="","",IF(反映項目!$B$11="×","",IFERROR(INDEX(資格集約!$H$497:$H$522,MATCH(11,資格集約!$G$497:$G$522,0)),"")))</f>
        <v/>
      </c>
      <c r="AJ22">
        <f>IF(入力!$D$24="","",IF(反映項目!$B$11="×","",IFERROR(INDEX(資格集約!$E$497:$E$522,MATCH(11,資格集約!$G$497:$G$522,0)),"")))</f>
        <v/>
      </c>
      <c r="AK22">
        <f>IF(入力!$D$24="","",IF(反映項目!$B$11="×","",IFERROR(INDEX(資格集約!$H$497:$H$522,MATCH(12,資格集約!$G$497:$G$522,0)),"")))</f>
        <v/>
      </c>
      <c r="AL22">
        <f>IF(入力!$D$24="","",IF(反映項目!$B$11="×","",IFERROR(INDEX(資格集約!$E$497:$E$522,MATCH(12,資格集約!$G$497:$G$522,0)),"")))</f>
        <v/>
      </c>
      <c r="AM22">
        <f>IF(入力!$D$24="","",IF(反映項目!$B$11="×","",IFERROR(INDEX(資格集約!$H$497:$H$522,MATCH(13,資格集約!$G$497:$G$522,0)),"")))</f>
        <v/>
      </c>
      <c r="AN22">
        <f>IF(入力!$D$24="","",IF(反映項目!$B$11="×","",IFERROR(INDEX(資格集約!$E$497:$E$522,MATCH(13,資格集約!$G$497:$G$522,0)),"")))</f>
        <v/>
      </c>
      <c r="AO22">
        <f>IF(入力!$D$24="","",IF(反映項目!$B$11="×","",IFERROR(INDEX(資格集約!$H$497:$H$522,MATCH(14,資格集約!$G$497:$G$522,0)),"")))</f>
        <v/>
      </c>
      <c r="AP22">
        <f>IF(入力!$D$24="","",IF(反映項目!$B$11="×","",IFERROR(INDEX(資格集約!$E$497:$E$522,MATCH(14,資格集約!$G$497:$G$522,0)),"")))</f>
        <v/>
      </c>
      <c r="AQ22">
        <f>IF(入力!$D$24="","",IF(反映項目!$B$11="×","",IFERROR(INDEX(資格集約!$H$497:$H$522,MATCH(15,資格集約!$G$497:$G$522,0)),"")))</f>
        <v/>
      </c>
      <c r="AR22">
        <f>IF(入力!$D$24="","",IF(反映項目!$B$11="×","",IFERROR(INDEX(資格集約!$E$497:$E$522,MATCH(15,資格集約!$G$497:$G$522,0)),"")))</f>
        <v/>
      </c>
      <c r="AS22">
        <f>IF(入力!$D$24="","",IF(反映項目!$B$11="×","",IFERROR(INDEX(資格集約!$H$497:$H$522,MATCH(16,資格集約!$G$497:$G$522,0)),"")))</f>
        <v/>
      </c>
      <c r="AT22">
        <f>IF(入力!$D$24="","",IF(反映項目!$B$11="×","",IFERROR(INDEX(資格集約!$E$497:$E$522,MATCH(16,資格集約!$G$497:$G$522,0)),"")))</f>
        <v/>
      </c>
      <c r="AU22">
        <f>IF(入力!$D$24="","",IF(反映項目!$B$11="×","",IFERROR(INDEX(資格集約!$H$497:$H$522,MATCH(17,資格集約!$G$497:$G$522,0)),"")))</f>
        <v/>
      </c>
      <c r="AV22">
        <f>IF(入力!$D$24="","",IF(反映項目!$B$11="×","",IFERROR(INDEX(資格集約!$E$497:$E$522,MATCH(17,資格集約!$G$497:$G$522,0)),"")))</f>
        <v/>
      </c>
      <c r="AW22">
        <f>IF(入力!$D$24="","",IF(反映項目!$B$11="×","",IFERROR(INDEX(資格集約!$H$497:$H$522,MATCH(18,資格集約!$G$497:$G$522,0)),"")))</f>
        <v/>
      </c>
      <c r="AX22">
        <f>IF(入力!$D$24="","",IF(反映項目!$B$11="×","",IFERROR(INDEX(資格集約!$E$497:$E$522,MATCH(18,資格集約!$G$497:$G$522,0)),"")))</f>
        <v/>
      </c>
      <c r="AY22">
        <f>IF(入力!$D$24="","",IF(反映項目!$B$11="×","",IFERROR(INDEX(資格集約!$H$497:$H$522,MATCH(19,資格集約!$G$497:$G$522,0)),"")))</f>
        <v/>
      </c>
      <c r="AZ22">
        <f>IF(入力!$D$24="","",IF(反映項目!$B$11="×","",IFERROR(INDEX(資格集約!$E$497:$E$522,MATCH(19,資格集約!$G$497:$G$522,0)),"")))</f>
        <v/>
      </c>
      <c r="BA22">
        <f>IF(入力!$D$24="","",IF(反映項目!$B$11="×","",IFERROR(INDEX(資格集約!$H$497:$H$522,MATCH(20,資格集約!$G$497:$G$522,0)),"")))</f>
        <v/>
      </c>
      <c r="BB22">
        <f>IF(入力!$D$24="","",IF(反映項目!$B$11="×","",IFERROR(INDEX(資格集約!$E$497:$E$522,MATCH(20,資格集約!$G$497:$G$522,0)),"")))</f>
        <v/>
      </c>
      <c r="BC22">
        <f>IF(入力!$D$24="","",IF(反映項目!$B$11="×","",IFERROR(INDEX(資格集約!$H$497:$H$522,MATCH(21,資格集約!$G$497:$G$522,0)),"")))</f>
        <v/>
      </c>
      <c r="BD22">
        <f>IF(入力!$D$24="","",IF(反映項目!$B$11="×","",IFERROR(INDEX(資格集約!$E$497:$E$522,MATCH(21,資格集約!$G$497:$G$522,0)),"")))</f>
        <v/>
      </c>
      <c r="BE22">
        <f>IF(入力!$D$24="","",IF(反映項目!$B$11="×","",IFERROR(INDEX(資格集約!$H$497:$H$522,MATCH(22,資格集約!$G$497:$G$522,0)),"")))</f>
        <v/>
      </c>
      <c r="BF22">
        <f>IF(入力!$D$24="","",IF(反映項目!$B$11="×","",IFERROR(INDEX(資格集約!$E$497:$E$522,MATCH(22,資格集約!$G$497:$G$522,0)),"")))</f>
        <v/>
      </c>
      <c r="BG22">
        <f>IF(入力!$D$24="","",IF(反映項目!$B$11="×","",IFERROR(INDEX(資格集約!$H$497:$H$522,MATCH(23,資格集約!$G$497:$G$522,0)),"")))</f>
        <v/>
      </c>
      <c r="BH22">
        <f>IF(入力!$D$24="","",IF(反映項目!$B$11="×","",IFERROR(INDEX(資格集約!$E$497:$E$522,MATCH(23,資格集約!$G$497:$G$522,0)),"")))</f>
        <v/>
      </c>
      <c r="BI22">
        <f>IF(入力!$D$24="","",IF(反映項目!$B$11="×","",IFERROR(INDEX(資格集約!$H$497:$H$522,MATCH(24,資格集約!$G$497:$G$522,0)),"")))</f>
        <v/>
      </c>
      <c r="BJ22">
        <f>IF(入力!$D$24="","",IF(反映項目!$B$11="×","",IFERROR(INDEX(資格集約!$E$497:$E$522,MATCH(24,資格集約!$G$497:$G$522,0)),"")))</f>
        <v/>
      </c>
      <c r="BK22">
        <f>IF(入力!$D$24="","",IF(反映項目!$B$11="×","",IFERROR(INDEX(資格集約!$H$497:$H$522,MATCH(25,資格集約!$G$497:$G$522,0)),"")))</f>
        <v/>
      </c>
      <c r="BL22">
        <f>IF(入力!$D$24="","",IF(反映項目!$B$11="×","",IFERROR(INDEX(資格集約!$E$497:$E$522,MATCH(25,資格集約!$G$497:$G$522,0)),"")))</f>
        <v/>
      </c>
      <c r="BM22">
        <f>IF(入力!$D$24="","",IF(反映項目!$B$11="×","",IFERROR(INDEX(資格集約!$H$497:$H$522,MATCH(26,資格集約!$G$497:$G$522,0)),"")))</f>
        <v/>
      </c>
      <c r="BN22">
        <f>IF(入力!$D$24="","",IF(反映項目!$B$11="×","",IFERROR(INDEX(資格集約!$E$497:$E$522,MATCH(26,資格集約!$G$497:$G$522,0)),"")))</f>
        <v/>
      </c>
      <c r="BO22">
        <f>IF(入力!$D$24="","",IF(OR(反映項目!$B$12="×",入力!$Z$24=""),"",入力!$Z$24))</f>
        <v/>
      </c>
      <c r="BP22">
        <f>IF(入力!$D$24="","",IF(OR(反映項目!$B$13="×",入力!$AA$24=""),"",入力!$AA$24))</f>
        <v/>
      </c>
      <c r="BQ22">
        <f>IF(入力!$D$24="","",IF(OR(反映項目!$B$15="×",入力!$AF$24=""),"",入力!$AF$24))</f>
        <v/>
      </c>
      <c r="BR22">
        <f>IF(入力!$D$24="","",IF(OR(反映項目!$B$14="×",N($BZ$22)=0),"",YEAR($BZ$22)-IF($BZ$22&gt;=DATE(2019,5,1),2018,1988)))&amp;""</f>
        <v/>
      </c>
      <c r="BS22">
        <f>IF(入力!$D$24="","",IF(OR(反映項目!$B$14="×",N($BZ$22)=0),"",MONTH($BZ$22)))&amp;""</f>
        <v/>
      </c>
      <c r="BT22">
        <f>IF(入力!$D$24="","",IF(OR(反映項目!$B$14="×",入力!$AC$24=""),"",入力!$AC$24))</f>
        <v/>
      </c>
      <c r="BU22">
        <f>IF(入力!$D$24="","",IF(OR(反映項目!$B$14="×",N($CA$22)=0),"",YEAR($CA$22)-IF($CA$22&gt;=DATE(2019,5,1),2018,1988)))&amp;""</f>
        <v/>
      </c>
      <c r="BV22">
        <f>IF(入力!$D$24="","",IF(OR(反映項目!$B$14="×",N($CA$22)=0),"",MONTH($CA$22)))&amp;""</f>
        <v/>
      </c>
      <c r="BW22">
        <f>IF(入力!$D$24="","",IF(OR(反映項目!$B$14="×",入力!$AE$24=""),"",入力!$AE$24))</f>
        <v/>
      </c>
      <c r="BY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Z22">
        <f>IF(入力!$D$24="","",IF(入力!$AB$24="","",IF(ISNUMBER(入力!$AB$24),入力!$AB$24,IFERROR(IF(OR(LEFT(入力!$AB$24,2)="令和",LEFT(入力!$AB$24,2)="平成",LEFT(入力!$AB$24,2)="昭和",LEFT(入力!$AB$24,2)="大正"),DATE(VALUE(MID(入力!$AB$24,3,FIND("年",入力!$AB$24)-3))+IF(LEFT(入力!$AB$24,2)="令和",2018,IF(LEFT(入力!$AB$24,2)="平成",1988,IF(LEFT(入力!$AB$24,2)="昭和",1925,IF(LEFT(入力!$AB$24,2)="大正",1911,0)))),VALUE(MID(入力!$AB$24,FIND("年",入力!$AB$24)+1,FIND("月",入力!$AB$24)-FIND("年",入力!$AB$24)-1)),IFERROR(VALUE(SUBSTITUTE(MID(入力!$AB$24,FIND("月",入力!$AB$24)+1,10),"日","")),1)),DATE(VALUE(TRIM(MID(SUBSTITUTE(SUBSTITUTE(SUBSTITUTE(SUBSTITUTE(SUBSTITUTE(SUBSTITUTE(入力!$AB$24,"年","/"),"月","/"),"日",""),"-","/"),".","/"),"/",REPT(" ",50)),1,50))),VALUE(TRIM(MID(SUBSTITUTE(SUBSTITUTE(SUBSTITUTE(SUBSTITUTE(SUBSTITUTE(SUBSTITUTE(入力!$AB$24,"年","/"),"月","/"),"日",""),"-","/"),".","/"),"/",REPT(" ",50)),51,50))),IFERROR(VALUE(TRIM(MID(SUBSTITUTE(SUBSTITUTE(SUBSTITUTE(SUBSTITUTE(SUBSTITUTE(SUBSTITUTE(入力!$AB$24,"年","/"),"月","/"),"日",""),"-","/"),".","/"),"/",REPT(" ",50)),101,50))),1))),IFERROR(DATEVALUE(入力!$AB$24),"")))))</f>
        <v/>
      </c>
      <c r="CA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CB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amp;IF($AR22="","",CHAR(10)&amp;$AQ22)&amp;IF($AT22="","",CHAR(10)&amp;$AS22)&amp;IF($AV22="","",CHAR(10)&amp;$AU22)&amp;IF($AX22="","",CHAR(10)&amp;$AW22)&amp;IF($AZ22="","",CHAR(10)&amp;$AY22)&amp;IF($BB22="","",CHAR(10)&amp;$BA22)&amp;IF($BD22="","",CHAR(10)&amp;$BC22)&amp;IF($BF22="","",CHAR(10)&amp;$BE22)&amp;IF($BH22="","",CHAR(10)&amp;$BG22)&amp;IF($BJ22="","",CHAR(10)&amp;$BI22)&amp;IF($BL22="","",CHAR(10)&amp;$BK22)&amp;IF($BN22="","",CHAR(10)&amp;$BM22))</f>
        <v/>
      </c>
      <c r="CC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amp;IF($AR22="","",CHAR(10)&amp;$AR22)&amp;IF($AT22="","",CHAR(10)&amp;$AT22)&amp;IF($AV22="","",CHAR(10)&amp;$AV22)&amp;IF($AX22="","",CHAR(10)&amp;$AX22)&amp;IF($AZ22="","",CHAR(10)&amp;$AZ22)&amp;IF($BB22="","",CHAR(10)&amp;$BB22)&amp;IF($BD22="","",CHAR(10)&amp;$BD22)&amp;IF($BF22="","",CHAR(10)&amp;$BF22)&amp;IF($BH22="","",CHAR(10)&amp;$BH22)&amp;IF($BJ22="","",CHAR(10)&amp;$BJ22)&amp;IF($BL22="","",CHAR(10)&amp;$BL22)&amp;IF($BN22="","",CHAR(10)&amp;$BN22))</f>
        <v/>
      </c>
      <c r="CD22">
        <f>IF(入力!$D$24="","",IF($P22="",0,1)+IF($R22="",0,1)+IF($T22="",0,1)+IF($V22="",0,1)+IF($X22="",0,1)+IF($Z22="",0,1)+IF($AB22="",0,1)+IF($AD22="",0,1)+IF($AF22="",0,1)+IF($AH22="",0,1)+IF($AJ22="",0,1)+IF($AL22="",0,1)+IF($AN22="",0,1)+IF($AP22="",0,1)+IF($AR22="",0,1)+IF($AT22="",0,1)+IF($AV22="",0,1)+IF($AX22="",0,1)+IF($AZ22="",0,1)+IF($BB22="",0,1)+IF($BD22="",0,1)+IF($BF22="",0,1)+IF($BH22="",0,1)+IF($BJ22="",0,1)+IF($BL22="",0,1)+IF($BN22="",0,1))</f>
        <v/>
      </c>
    </row>
    <row r="23">
      <c r="A23" t="n">
        <v>21</v>
      </c>
      <c r="B23">
        <f>IF(入力!$D$25="","",IF(OR(反映項目!$B$4="×",入力!$D$25=""),"",入力!$D$25))</f>
        <v/>
      </c>
      <c r="C23">
        <f>IF(入力!$D$25="","",IF(OR(反映項目!$B$5="×",入力!$E$25=""),"",入力!$E$25))</f>
        <v/>
      </c>
      <c r="D23">
        <f>IF(入力!$D$25="","",IF(OR(反映項目!$B$6="×",N($BY$23)=0),"",YEAR($BY$23)-IF($BY$23&gt;=DATE(2019,5,1),2018,IF($BY$23&gt;=DATE(1989,1,8),1988,1925))))&amp;""</f>
        <v/>
      </c>
      <c r="E23">
        <f>IF(入力!$D$25="","",IF(OR(反映項目!$B$6="×",N($BY$23)=0),"",MONTH($BY$23)))&amp;""</f>
        <v/>
      </c>
      <c r="F23">
        <f>IF(入力!$D$25="","",IF(OR(反映項目!$B$6="×",N($BY$23)=0),"",DAY($BY$23)))&amp;""</f>
        <v/>
      </c>
      <c r="G23">
        <f>IF(入力!$D$25="","",IF(OR(反映項目!$B$6="×",OR(N($BY$23)=0,N(設定!$B$3)=0)),"",DATEDIF($BY$23,設定!$B$3,"Y")))&amp;""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IF(入力!$D$25="","",IF(OR(反映項目!$B$10="×",入力!$K$25=""),"",入力!$K$25))</f>
        <v/>
      </c>
      <c r="M23">
        <f>IF(入力!$D$25="","",IF(OR(反映項目!$B$10="×",入力!$L$25=""),"",入力!$L$25))</f>
        <v/>
      </c>
      <c r="N23">
        <f>IF(入力!$D$25="","",設定!$B$4&amp;CHAR(10)&amp;IF(入力!$M$25="",設定!$B$5,入力!$M$25))</f>
        <v/>
      </c>
      <c r="O23">
        <f>IF(入力!$D$25="","",IF(反映項目!$B$11="×","",IFERROR(INDEX(資格集約!$H$523:$H$548,MATCH(1,資格集約!$G$523:$G$548,0)),"")))</f>
        <v/>
      </c>
      <c r="P23">
        <f>IF(入力!$D$25="","",IF(反映項目!$B$11="×","",IFERROR(INDEX(資格集約!$E$523:$E$548,MATCH(1,資格集約!$G$523:$G$548,0)),"")))</f>
        <v/>
      </c>
      <c r="Q23">
        <f>IF(入力!$D$25="","",IF(反映項目!$B$11="×","",IFERROR(INDEX(資格集約!$H$523:$H$548,MATCH(2,資格集約!$G$523:$G$548,0)),"")))</f>
        <v/>
      </c>
      <c r="R23">
        <f>IF(入力!$D$25="","",IF(反映項目!$B$11="×","",IFERROR(INDEX(資格集約!$E$523:$E$548,MATCH(2,資格集約!$G$523:$G$548,0)),"")))</f>
        <v/>
      </c>
      <c r="S23">
        <f>IF(入力!$D$25="","",IF(反映項目!$B$11="×","",IFERROR(INDEX(資格集約!$H$523:$H$548,MATCH(3,資格集約!$G$523:$G$548,0)),"")))</f>
        <v/>
      </c>
      <c r="T23">
        <f>IF(入力!$D$25="","",IF(反映項目!$B$11="×","",IFERROR(INDEX(資格集約!$E$523:$E$548,MATCH(3,資格集約!$G$523:$G$548,0)),"")))</f>
        <v/>
      </c>
      <c r="U23">
        <f>IF(入力!$D$25="","",IF(反映項目!$B$11="×","",IFERROR(INDEX(資格集約!$H$523:$H$548,MATCH(4,資格集約!$G$523:$G$548,0)),"")))</f>
        <v/>
      </c>
      <c r="V23">
        <f>IF(入力!$D$25="","",IF(反映項目!$B$11="×","",IFERROR(INDEX(資格集約!$E$523:$E$548,MATCH(4,資格集約!$G$523:$G$548,0)),"")))</f>
        <v/>
      </c>
      <c r="W23">
        <f>IF(入力!$D$25="","",IF(反映項目!$B$11="×","",IFERROR(INDEX(資格集約!$H$523:$H$548,MATCH(5,資格集約!$G$523:$G$548,0)),"")))</f>
        <v/>
      </c>
      <c r="X23">
        <f>IF(入力!$D$25="","",IF(反映項目!$B$11="×","",IFERROR(INDEX(資格集約!$E$523:$E$548,MATCH(5,資格集約!$G$523:$G$548,0)),"")))</f>
        <v/>
      </c>
      <c r="Y23">
        <f>IF(入力!$D$25="","",IF(反映項目!$B$11="×","",IFERROR(INDEX(資格集約!$H$523:$H$548,MATCH(6,資格集約!$G$523:$G$548,0)),"")))</f>
        <v/>
      </c>
      <c r="Z23">
        <f>IF(入力!$D$25="","",IF(反映項目!$B$11="×","",IFERROR(INDEX(資格集約!$E$523:$E$548,MATCH(6,資格集約!$G$523:$G$548,0)),"")))</f>
        <v/>
      </c>
      <c r="AA23">
        <f>IF(入力!$D$25="","",IF(反映項目!$B$11="×","",IFERROR(INDEX(資格集約!$H$523:$H$548,MATCH(7,資格集約!$G$523:$G$548,0)),"")))</f>
        <v/>
      </c>
      <c r="AB23">
        <f>IF(入力!$D$25="","",IF(反映項目!$B$11="×","",IFERROR(INDEX(資格集約!$E$523:$E$548,MATCH(7,資格集約!$G$523:$G$548,0)),"")))</f>
        <v/>
      </c>
      <c r="AC23">
        <f>IF(入力!$D$25="","",IF(反映項目!$B$11="×","",IFERROR(INDEX(資格集約!$H$523:$H$548,MATCH(8,資格集約!$G$523:$G$548,0)),"")))</f>
        <v/>
      </c>
      <c r="AD23">
        <f>IF(入力!$D$25="","",IF(反映項目!$B$11="×","",IFERROR(INDEX(資格集約!$E$523:$E$548,MATCH(8,資格集約!$G$523:$G$548,0)),"")))</f>
        <v/>
      </c>
      <c r="AE23">
        <f>IF(入力!$D$25="","",IF(反映項目!$B$11="×","",IFERROR(INDEX(資格集約!$H$523:$H$548,MATCH(9,資格集約!$G$523:$G$548,0)),"")))</f>
        <v/>
      </c>
      <c r="AF23">
        <f>IF(入力!$D$25="","",IF(反映項目!$B$11="×","",IFERROR(INDEX(資格集約!$E$523:$E$548,MATCH(9,資格集約!$G$523:$G$548,0)),"")))</f>
        <v/>
      </c>
      <c r="AG23">
        <f>IF(入力!$D$25="","",IF(反映項目!$B$11="×","",IFERROR(INDEX(資格集約!$H$523:$H$548,MATCH(10,資格集約!$G$523:$G$548,0)),"")))</f>
        <v/>
      </c>
      <c r="AH23">
        <f>IF(入力!$D$25="","",IF(反映項目!$B$11="×","",IFERROR(INDEX(資格集約!$E$523:$E$548,MATCH(10,資格集約!$G$523:$G$548,0)),"")))</f>
        <v/>
      </c>
      <c r="AI23">
        <f>IF(入力!$D$25="","",IF(反映項目!$B$11="×","",IFERROR(INDEX(資格集約!$H$523:$H$548,MATCH(11,資格集約!$G$523:$G$548,0)),"")))</f>
        <v/>
      </c>
      <c r="AJ23">
        <f>IF(入力!$D$25="","",IF(反映項目!$B$11="×","",IFERROR(INDEX(資格集約!$E$523:$E$548,MATCH(11,資格集約!$G$523:$G$548,0)),"")))</f>
        <v/>
      </c>
      <c r="AK23">
        <f>IF(入力!$D$25="","",IF(反映項目!$B$11="×","",IFERROR(INDEX(資格集約!$H$523:$H$548,MATCH(12,資格集約!$G$523:$G$548,0)),"")))</f>
        <v/>
      </c>
      <c r="AL23">
        <f>IF(入力!$D$25="","",IF(反映項目!$B$11="×","",IFERROR(INDEX(資格集約!$E$523:$E$548,MATCH(12,資格集約!$G$523:$G$548,0)),"")))</f>
        <v/>
      </c>
      <c r="AM23">
        <f>IF(入力!$D$25="","",IF(反映項目!$B$11="×","",IFERROR(INDEX(資格集約!$H$523:$H$548,MATCH(13,資格集約!$G$523:$G$548,0)),"")))</f>
        <v/>
      </c>
      <c r="AN23">
        <f>IF(入力!$D$25="","",IF(反映項目!$B$11="×","",IFERROR(INDEX(資格集約!$E$523:$E$548,MATCH(13,資格集約!$G$523:$G$548,0)),"")))</f>
        <v/>
      </c>
      <c r="AO23">
        <f>IF(入力!$D$25="","",IF(反映項目!$B$11="×","",IFERROR(INDEX(資格集約!$H$523:$H$548,MATCH(14,資格集約!$G$523:$G$548,0)),"")))</f>
        <v/>
      </c>
      <c r="AP23">
        <f>IF(入力!$D$25="","",IF(反映項目!$B$11="×","",IFERROR(INDEX(資格集約!$E$523:$E$548,MATCH(14,資格集約!$G$523:$G$548,0)),"")))</f>
        <v/>
      </c>
      <c r="AQ23">
        <f>IF(入力!$D$25="","",IF(反映項目!$B$11="×","",IFERROR(INDEX(資格集約!$H$523:$H$548,MATCH(15,資格集約!$G$523:$G$548,0)),"")))</f>
        <v/>
      </c>
      <c r="AR23">
        <f>IF(入力!$D$25="","",IF(反映項目!$B$11="×","",IFERROR(INDEX(資格集約!$E$523:$E$548,MATCH(15,資格集約!$G$523:$G$548,0)),"")))</f>
        <v/>
      </c>
      <c r="AS23">
        <f>IF(入力!$D$25="","",IF(反映項目!$B$11="×","",IFERROR(INDEX(資格集約!$H$523:$H$548,MATCH(16,資格集約!$G$523:$G$548,0)),"")))</f>
        <v/>
      </c>
      <c r="AT23">
        <f>IF(入力!$D$25="","",IF(反映項目!$B$11="×","",IFERROR(INDEX(資格集約!$E$523:$E$548,MATCH(16,資格集約!$G$523:$G$548,0)),"")))</f>
        <v/>
      </c>
      <c r="AU23">
        <f>IF(入力!$D$25="","",IF(反映項目!$B$11="×","",IFERROR(INDEX(資格集約!$H$523:$H$548,MATCH(17,資格集約!$G$523:$G$548,0)),"")))</f>
        <v/>
      </c>
      <c r="AV23">
        <f>IF(入力!$D$25="","",IF(反映項目!$B$11="×","",IFERROR(INDEX(資格集約!$E$523:$E$548,MATCH(17,資格集約!$G$523:$G$548,0)),"")))</f>
        <v/>
      </c>
      <c r="AW23">
        <f>IF(入力!$D$25="","",IF(反映項目!$B$11="×","",IFERROR(INDEX(資格集約!$H$523:$H$548,MATCH(18,資格集約!$G$523:$G$548,0)),"")))</f>
        <v/>
      </c>
      <c r="AX23">
        <f>IF(入力!$D$25="","",IF(反映項目!$B$11="×","",IFERROR(INDEX(資格集約!$E$523:$E$548,MATCH(18,資格集約!$G$523:$G$548,0)),"")))</f>
        <v/>
      </c>
      <c r="AY23">
        <f>IF(入力!$D$25="","",IF(反映項目!$B$11="×","",IFERROR(INDEX(資格集約!$H$523:$H$548,MATCH(19,資格集約!$G$523:$G$548,0)),"")))</f>
        <v/>
      </c>
      <c r="AZ23">
        <f>IF(入力!$D$25="","",IF(反映項目!$B$11="×","",IFERROR(INDEX(資格集約!$E$523:$E$548,MATCH(19,資格集約!$G$523:$G$548,0)),"")))</f>
        <v/>
      </c>
      <c r="BA23">
        <f>IF(入力!$D$25="","",IF(反映項目!$B$11="×","",IFERROR(INDEX(資格集約!$H$523:$H$548,MATCH(20,資格集約!$G$523:$G$548,0)),"")))</f>
        <v/>
      </c>
      <c r="BB23">
        <f>IF(入力!$D$25="","",IF(反映項目!$B$11="×","",IFERROR(INDEX(資格集約!$E$523:$E$548,MATCH(20,資格集約!$G$523:$G$548,0)),"")))</f>
        <v/>
      </c>
      <c r="BC23">
        <f>IF(入力!$D$25="","",IF(反映項目!$B$11="×","",IFERROR(INDEX(資格集約!$H$523:$H$548,MATCH(21,資格集約!$G$523:$G$548,0)),"")))</f>
        <v/>
      </c>
      <c r="BD23">
        <f>IF(入力!$D$25="","",IF(反映項目!$B$11="×","",IFERROR(INDEX(資格集約!$E$523:$E$548,MATCH(21,資格集約!$G$523:$G$548,0)),"")))</f>
        <v/>
      </c>
      <c r="BE23">
        <f>IF(入力!$D$25="","",IF(反映項目!$B$11="×","",IFERROR(INDEX(資格集約!$H$523:$H$548,MATCH(22,資格集約!$G$523:$G$548,0)),"")))</f>
        <v/>
      </c>
      <c r="BF23">
        <f>IF(入力!$D$25="","",IF(反映項目!$B$11="×","",IFERROR(INDEX(資格集約!$E$523:$E$548,MATCH(22,資格集約!$G$523:$G$548,0)),"")))</f>
        <v/>
      </c>
      <c r="BG23">
        <f>IF(入力!$D$25="","",IF(反映項目!$B$11="×","",IFERROR(INDEX(資格集約!$H$523:$H$548,MATCH(23,資格集約!$G$523:$G$548,0)),"")))</f>
        <v/>
      </c>
      <c r="BH23">
        <f>IF(入力!$D$25="","",IF(反映項目!$B$11="×","",IFERROR(INDEX(資格集約!$E$523:$E$548,MATCH(23,資格集約!$G$523:$G$548,0)),"")))</f>
        <v/>
      </c>
      <c r="BI23">
        <f>IF(入力!$D$25="","",IF(反映項目!$B$11="×","",IFERROR(INDEX(資格集約!$H$523:$H$548,MATCH(24,資格集約!$G$523:$G$548,0)),"")))</f>
        <v/>
      </c>
      <c r="BJ23">
        <f>IF(入力!$D$25="","",IF(反映項目!$B$11="×","",IFERROR(INDEX(資格集約!$E$523:$E$548,MATCH(24,資格集約!$G$523:$G$548,0)),"")))</f>
        <v/>
      </c>
      <c r="BK23">
        <f>IF(入力!$D$25="","",IF(反映項目!$B$11="×","",IFERROR(INDEX(資格集約!$H$523:$H$548,MATCH(25,資格集約!$G$523:$G$548,0)),"")))</f>
        <v/>
      </c>
      <c r="BL23">
        <f>IF(入力!$D$25="","",IF(反映項目!$B$11="×","",IFERROR(INDEX(資格集約!$E$523:$E$548,MATCH(25,資格集約!$G$523:$G$548,0)),"")))</f>
        <v/>
      </c>
      <c r="BM23">
        <f>IF(入力!$D$25="","",IF(反映項目!$B$11="×","",IFERROR(INDEX(資格集約!$H$523:$H$548,MATCH(26,資格集約!$G$523:$G$548,0)),"")))</f>
        <v/>
      </c>
      <c r="BN23">
        <f>IF(入力!$D$25="","",IF(反映項目!$B$11="×","",IFERROR(INDEX(資格集約!$E$523:$E$548,MATCH(26,資格集約!$G$523:$G$548,0)),"")))</f>
        <v/>
      </c>
      <c r="BO23">
        <f>IF(入力!$D$25="","",IF(OR(反映項目!$B$12="×",入力!$Z$25=""),"",入力!$Z$25))</f>
        <v/>
      </c>
      <c r="BP23">
        <f>IF(入力!$D$25="","",IF(OR(反映項目!$B$13="×",入力!$AA$25=""),"",入力!$AA$25))</f>
        <v/>
      </c>
      <c r="BQ23">
        <f>IF(入力!$D$25="","",IF(OR(反映項目!$B$15="×",入力!$AF$25=""),"",入力!$AF$25))</f>
        <v/>
      </c>
      <c r="BR23">
        <f>IF(入力!$D$25="","",IF(OR(反映項目!$B$14="×",N($BZ$23)=0),"",YEAR($BZ$23)-IF($BZ$23&gt;=DATE(2019,5,1),2018,1988)))&amp;""</f>
        <v/>
      </c>
      <c r="BS23">
        <f>IF(入力!$D$25="","",IF(OR(反映項目!$B$14="×",N($BZ$23)=0),"",MONTH($BZ$23)))&amp;""</f>
        <v/>
      </c>
      <c r="BT23">
        <f>IF(入力!$D$25="","",IF(OR(反映項目!$B$14="×",入力!$AC$25=""),"",入力!$AC$25))</f>
        <v/>
      </c>
      <c r="BU23">
        <f>IF(入力!$D$25="","",IF(OR(反映項目!$B$14="×",N($CA$23)=0),"",YEAR($CA$23)-IF($CA$23&gt;=DATE(2019,5,1),2018,1988)))&amp;""</f>
        <v/>
      </c>
      <c r="BV23">
        <f>IF(入力!$D$25="","",IF(OR(反映項目!$B$14="×",N($CA$23)=0),"",MONTH($CA$23)))&amp;""</f>
        <v/>
      </c>
      <c r="BW23">
        <f>IF(入力!$D$25="","",IF(OR(反映項目!$B$14="×",入力!$AE$25=""),"",入力!$AE$25))</f>
        <v/>
      </c>
      <c r="BY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Z23">
        <f>IF(入力!$D$25="","",IF(入力!$AB$25="","",IF(ISNUMBER(入力!$AB$25),入力!$AB$25,IFERROR(IF(OR(LEFT(入力!$AB$25,2)="令和",LEFT(入力!$AB$25,2)="平成",LEFT(入力!$AB$25,2)="昭和",LEFT(入力!$AB$25,2)="大正"),DATE(VALUE(MID(入力!$AB$25,3,FIND("年",入力!$AB$25)-3))+IF(LEFT(入力!$AB$25,2)="令和",2018,IF(LEFT(入力!$AB$25,2)="平成",1988,IF(LEFT(入力!$AB$25,2)="昭和",1925,IF(LEFT(入力!$AB$25,2)="大正",1911,0)))),VALUE(MID(入力!$AB$25,FIND("年",入力!$AB$25)+1,FIND("月",入力!$AB$25)-FIND("年",入力!$AB$25)-1)),IFERROR(VALUE(SUBSTITUTE(MID(入力!$AB$25,FIND("月",入力!$AB$25)+1,10),"日","")),1)),DATE(VALUE(TRIM(MID(SUBSTITUTE(SUBSTITUTE(SUBSTITUTE(SUBSTITUTE(SUBSTITUTE(SUBSTITUTE(入力!$AB$25,"年","/"),"月","/"),"日",""),"-","/"),".","/"),"/",REPT(" ",50)),1,50))),VALUE(TRIM(MID(SUBSTITUTE(SUBSTITUTE(SUBSTITUTE(SUBSTITUTE(SUBSTITUTE(SUBSTITUTE(入力!$AB$25,"年","/"),"月","/"),"日",""),"-","/"),".","/"),"/",REPT(" ",50)),51,50))),IFERROR(VALUE(TRIM(MID(SUBSTITUTE(SUBSTITUTE(SUBSTITUTE(SUBSTITUTE(SUBSTITUTE(SUBSTITUTE(入力!$AB$25,"年","/"),"月","/"),"日",""),"-","/"),".","/"),"/",REPT(" ",50)),101,50))),1))),IFERROR(DATEVALUE(入力!$AB$25),"")))))</f>
        <v/>
      </c>
      <c r="CA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CB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amp;IF($AR23="","",CHAR(10)&amp;$AQ23)&amp;IF($AT23="","",CHAR(10)&amp;$AS23)&amp;IF($AV23="","",CHAR(10)&amp;$AU23)&amp;IF($AX23="","",CHAR(10)&amp;$AW23)&amp;IF($AZ23="","",CHAR(10)&amp;$AY23)&amp;IF($BB23="","",CHAR(10)&amp;$BA23)&amp;IF($BD23="","",CHAR(10)&amp;$BC23)&amp;IF($BF23="","",CHAR(10)&amp;$BE23)&amp;IF($BH23="","",CHAR(10)&amp;$BG23)&amp;IF($BJ23="","",CHAR(10)&amp;$BI23)&amp;IF($BL23="","",CHAR(10)&amp;$BK23)&amp;IF($BN23="","",CHAR(10)&amp;$BM23))</f>
        <v/>
      </c>
      <c r="CC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amp;IF($AR23="","",CHAR(10)&amp;$AR23)&amp;IF($AT23="","",CHAR(10)&amp;$AT23)&amp;IF($AV23="","",CHAR(10)&amp;$AV23)&amp;IF($AX23="","",CHAR(10)&amp;$AX23)&amp;IF($AZ23="","",CHAR(10)&amp;$AZ23)&amp;IF($BB23="","",CHAR(10)&amp;$BB23)&amp;IF($BD23="","",CHAR(10)&amp;$BD23)&amp;IF($BF23="","",CHAR(10)&amp;$BF23)&amp;IF($BH23="","",CHAR(10)&amp;$BH23)&amp;IF($BJ23="","",CHAR(10)&amp;$BJ23)&amp;IF($BL23="","",CHAR(10)&amp;$BL23)&amp;IF($BN23="","",CHAR(10)&amp;$BN23))</f>
        <v/>
      </c>
      <c r="CD23">
        <f>IF(入力!$D$25="","",IF($P23="",0,1)+IF($R23="",0,1)+IF($T23="",0,1)+IF($V23="",0,1)+IF($X23="",0,1)+IF($Z23="",0,1)+IF($AB23="",0,1)+IF($AD23="",0,1)+IF($AF23="",0,1)+IF($AH23="",0,1)+IF($AJ23="",0,1)+IF($AL23="",0,1)+IF($AN23="",0,1)+IF($AP23="",0,1)+IF($AR23="",0,1)+IF($AT23="",0,1)+IF($AV23="",0,1)+IF($AX23="",0,1)+IF($AZ23="",0,1)+IF($BB23="",0,1)+IF($BD23="",0,1)+IF($BF23="",0,1)+IF($BH23="",0,1)+IF($BJ23="",0,1)+IF($BL23="",0,1)+IF($BN23="",0,1))</f>
        <v/>
      </c>
    </row>
    <row r="24">
      <c r="A24" t="n">
        <v>22</v>
      </c>
      <c r="B24">
        <f>IF(入力!$D$26="","",IF(OR(反映項目!$B$4="×",入力!$D$26=""),"",入力!$D$26))</f>
        <v/>
      </c>
      <c r="C24">
        <f>IF(入力!$D$26="","",IF(OR(反映項目!$B$5="×",入力!$E$26=""),"",入力!$E$26))</f>
        <v/>
      </c>
      <c r="D24">
        <f>IF(入力!$D$26="","",IF(OR(反映項目!$B$6="×",N($BY$24)=0),"",YEAR($BY$24)-IF($BY$24&gt;=DATE(2019,5,1),2018,IF($BY$24&gt;=DATE(1989,1,8),1988,1925))))&amp;""</f>
        <v/>
      </c>
      <c r="E24">
        <f>IF(入力!$D$26="","",IF(OR(反映項目!$B$6="×",N($BY$24)=0),"",MONTH($BY$24)))&amp;""</f>
        <v/>
      </c>
      <c r="F24">
        <f>IF(入力!$D$26="","",IF(OR(反映項目!$B$6="×",N($BY$24)=0),"",DAY($BY$24)))&amp;""</f>
        <v/>
      </c>
      <c r="G24">
        <f>IF(入力!$D$26="","",IF(OR(反映項目!$B$6="×",OR(N($BY$24)=0,N(設定!$B$3)=0)),"",DATEDIF($BY$24,設定!$B$3,"Y")))&amp;""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IF(入力!$D$26="","",IF(OR(反映項目!$B$10="×",入力!$K$26=""),"",入力!$K$26))</f>
        <v/>
      </c>
      <c r="M24">
        <f>IF(入力!$D$26="","",IF(OR(反映項目!$B$10="×",入力!$L$26=""),"",入力!$L$26))</f>
        <v/>
      </c>
      <c r="N24">
        <f>IF(入力!$D$26="","",設定!$B$4&amp;CHAR(10)&amp;IF(入力!$M$26="",設定!$B$5,入力!$M$26))</f>
        <v/>
      </c>
      <c r="O24">
        <f>IF(入力!$D$26="","",IF(反映項目!$B$11="×","",IFERROR(INDEX(資格集約!$H$549:$H$574,MATCH(1,資格集約!$G$549:$G$574,0)),"")))</f>
        <v/>
      </c>
      <c r="P24">
        <f>IF(入力!$D$26="","",IF(反映項目!$B$11="×","",IFERROR(INDEX(資格集約!$E$549:$E$574,MATCH(1,資格集約!$G$549:$G$574,0)),"")))</f>
        <v/>
      </c>
      <c r="Q24">
        <f>IF(入力!$D$26="","",IF(反映項目!$B$11="×","",IFERROR(INDEX(資格集約!$H$549:$H$574,MATCH(2,資格集約!$G$549:$G$574,0)),"")))</f>
        <v/>
      </c>
      <c r="R24">
        <f>IF(入力!$D$26="","",IF(反映項目!$B$11="×","",IFERROR(INDEX(資格集約!$E$549:$E$574,MATCH(2,資格集約!$G$549:$G$574,0)),"")))</f>
        <v/>
      </c>
      <c r="S24">
        <f>IF(入力!$D$26="","",IF(反映項目!$B$11="×","",IFERROR(INDEX(資格集約!$H$549:$H$574,MATCH(3,資格集約!$G$549:$G$574,0)),"")))</f>
        <v/>
      </c>
      <c r="T24">
        <f>IF(入力!$D$26="","",IF(反映項目!$B$11="×","",IFERROR(INDEX(資格集約!$E$549:$E$574,MATCH(3,資格集約!$G$549:$G$574,0)),"")))</f>
        <v/>
      </c>
      <c r="U24">
        <f>IF(入力!$D$26="","",IF(反映項目!$B$11="×","",IFERROR(INDEX(資格集約!$H$549:$H$574,MATCH(4,資格集約!$G$549:$G$574,0)),"")))</f>
        <v/>
      </c>
      <c r="V24">
        <f>IF(入力!$D$26="","",IF(反映項目!$B$11="×","",IFERROR(INDEX(資格集約!$E$549:$E$574,MATCH(4,資格集約!$G$549:$G$574,0)),"")))</f>
        <v/>
      </c>
      <c r="W24">
        <f>IF(入力!$D$26="","",IF(反映項目!$B$11="×","",IFERROR(INDEX(資格集約!$H$549:$H$574,MATCH(5,資格集約!$G$549:$G$574,0)),"")))</f>
        <v/>
      </c>
      <c r="X24">
        <f>IF(入力!$D$26="","",IF(反映項目!$B$11="×","",IFERROR(INDEX(資格集約!$E$549:$E$574,MATCH(5,資格集約!$G$549:$G$574,0)),"")))</f>
        <v/>
      </c>
      <c r="Y24">
        <f>IF(入力!$D$26="","",IF(反映項目!$B$11="×","",IFERROR(INDEX(資格集約!$H$549:$H$574,MATCH(6,資格集約!$G$549:$G$574,0)),"")))</f>
        <v/>
      </c>
      <c r="Z24">
        <f>IF(入力!$D$26="","",IF(反映項目!$B$11="×","",IFERROR(INDEX(資格集約!$E$549:$E$574,MATCH(6,資格集約!$G$549:$G$574,0)),"")))</f>
        <v/>
      </c>
      <c r="AA24">
        <f>IF(入力!$D$26="","",IF(反映項目!$B$11="×","",IFERROR(INDEX(資格集約!$H$549:$H$574,MATCH(7,資格集約!$G$549:$G$574,0)),"")))</f>
        <v/>
      </c>
      <c r="AB24">
        <f>IF(入力!$D$26="","",IF(反映項目!$B$11="×","",IFERROR(INDEX(資格集約!$E$549:$E$574,MATCH(7,資格集約!$G$549:$G$574,0)),"")))</f>
        <v/>
      </c>
      <c r="AC24">
        <f>IF(入力!$D$26="","",IF(反映項目!$B$11="×","",IFERROR(INDEX(資格集約!$H$549:$H$574,MATCH(8,資格集約!$G$549:$G$574,0)),"")))</f>
        <v/>
      </c>
      <c r="AD24">
        <f>IF(入力!$D$26="","",IF(反映項目!$B$11="×","",IFERROR(INDEX(資格集約!$E$549:$E$574,MATCH(8,資格集約!$G$549:$G$574,0)),"")))</f>
        <v/>
      </c>
      <c r="AE24">
        <f>IF(入力!$D$26="","",IF(反映項目!$B$11="×","",IFERROR(INDEX(資格集約!$H$549:$H$574,MATCH(9,資格集約!$G$549:$G$574,0)),"")))</f>
        <v/>
      </c>
      <c r="AF24">
        <f>IF(入力!$D$26="","",IF(反映項目!$B$11="×","",IFERROR(INDEX(資格集約!$E$549:$E$574,MATCH(9,資格集約!$G$549:$G$574,0)),"")))</f>
        <v/>
      </c>
      <c r="AG24">
        <f>IF(入力!$D$26="","",IF(反映項目!$B$11="×","",IFERROR(INDEX(資格集約!$H$549:$H$574,MATCH(10,資格集約!$G$549:$G$574,0)),"")))</f>
        <v/>
      </c>
      <c r="AH24">
        <f>IF(入力!$D$26="","",IF(反映項目!$B$11="×","",IFERROR(INDEX(資格集約!$E$549:$E$574,MATCH(10,資格集約!$G$549:$G$574,0)),"")))</f>
        <v/>
      </c>
      <c r="AI24">
        <f>IF(入力!$D$26="","",IF(反映項目!$B$11="×","",IFERROR(INDEX(資格集約!$H$549:$H$574,MATCH(11,資格集約!$G$549:$G$574,0)),"")))</f>
        <v/>
      </c>
      <c r="AJ24">
        <f>IF(入力!$D$26="","",IF(反映項目!$B$11="×","",IFERROR(INDEX(資格集約!$E$549:$E$574,MATCH(11,資格集約!$G$549:$G$574,0)),"")))</f>
        <v/>
      </c>
      <c r="AK24">
        <f>IF(入力!$D$26="","",IF(反映項目!$B$11="×","",IFERROR(INDEX(資格集約!$H$549:$H$574,MATCH(12,資格集約!$G$549:$G$574,0)),"")))</f>
        <v/>
      </c>
      <c r="AL24">
        <f>IF(入力!$D$26="","",IF(反映項目!$B$11="×","",IFERROR(INDEX(資格集約!$E$549:$E$574,MATCH(12,資格集約!$G$549:$G$574,0)),"")))</f>
        <v/>
      </c>
      <c r="AM24">
        <f>IF(入力!$D$26="","",IF(反映項目!$B$11="×","",IFERROR(INDEX(資格集約!$H$549:$H$574,MATCH(13,資格集約!$G$549:$G$574,0)),"")))</f>
        <v/>
      </c>
      <c r="AN24">
        <f>IF(入力!$D$26="","",IF(反映項目!$B$11="×","",IFERROR(INDEX(資格集約!$E$549:$E$574,MATCH(13,資格集約!$G$549:$G$574,0)),"")))</f>
        <v/>
      </c>
      <c r="AO24">
        <f>IF(入力!$D$26="","",IF(反映項目!$B$11="×","",IFERROR(INDEX(資格集約!$H$549:$H$574,MATCH(14,資格集約!$G$549:$G$574,0)),"")))</f>
        <v/>
      </c>
      <c r="AP24">
        <f>IF(入力!$D$26="","",IF(反映項目!$B$11="×","",IFERROR(INDEX(資格集約!$E$549:$E$574,MATCH(14,資格集約!$G$549:$G$574,0)),"")))</f>
        <v/>
      </c>
      <c r="AQ24">
        <f>IF(入力!$D$26="","",IF(反映項目!$B$11="×","",IFERROR(INDEX(資格集約!$H$549:$H$574,MATCH(15,資格集約!$G$549:$G$574,0)),"")))</f>
        <v/>
      </c>
      <c r="AR24">
        <f>IF(入力!$D$26="","",IF(反映項目!$B$11="×","",IFERROR(INDEX(資格集約!$E$549:$E$574,MATCH(15,資格集約!$G$549:$G$574,0)),"")))</f>
        <v/>
      </c>
      <c r="AS24">
        <f>IF(入力!$D$26="","",IF(反映項目!$B$11="×","",IFERROR(INDEX(資格集約!$H$549:$H$574,MATCH(16,資格集約!$G$549:$G$574,0)),"")))</f>
        <v/>
      </c>
      <c r="AT24">
        <f>IF(入力!$D$26="","",IF(反映項目!$B$11="×","",IFERROR(INDEX(資格集約!$E$549:$E$574,MATCH(16,資格集約!$G$549:$G$574,0)),"")))</f>
        <v/>
      </c>
      <c r="AU24">
        <f>IF(入力!$D$26="","",IF(反映項目!$B$11="×","",IFERROR(INDEX(資格集約!$H$549:$H$574,MATCH(17,資格集約!$G$549:$G$574,0)),"")))</f>
        <v/>
      </c>
      <c r="AV24">
        <f>IF(入力!$D$26="","",IF(反映項目!$B$11="×","",IFERROR(INDEX(資格集約!$E$549:$E$574,MATCH(17,資格集約!$G$549:$G$574,0)),"")))</f>
        <v/>
      </c>
      <c r="AW24">
        <f>IF(入力!$D$26="","",IF(反映項目!$B$11="×","",IFERROR(INDEX(資格集約!$H$549:$H$574,MATCH(18,資格集約!$G$549:$G$574,0)),"")))</f>
        <v/>
      </c>
      <c r="AX24">
        <f>IF(入力!$D$26="","",IF(反映項目!$B$11="×","",IFERROR(INDEX(資格集約!$E$549:$E$574,MATCH(18,資格集約!$G$549:$G$574,0)),"")))</f>
        <v/>
      </c>
      <c r="AY24">
        <f>IF(入力!$D$26="","",IF(反映項目!$B$11="×","",IFERROR(INDEX(資格集約!$H$549:$H$574,MATCH(19,資格集約!$G$549:$G$574,0)),"")))</f>
        <v/>
      </c>
      <c r="AZ24">
        <f>IF(入力!$D$26="","",IF(反映項目!$B$11="×","",IFERROR(INDEX(資格集約!$E$549:$E$574,MATCH(19,資格集約!$G$549:$G$574,0)),"")))</f>
        <v/>
      </c>
      <c r="BA24">
        <f>IF(入力!$D$26="","",IF(反映項目!$B$11="×","",IFERROR(INDEX(資格集約!$H$549:$H$574,MATCH(20,資格集約!$G$549:$G$574,0)),"")))</f>
        <v/>
      </c>
      <c r="BB24">
        <f>IF(入力!$D$26="","",IF(反映項目!$B$11="×","",IFERROR(INDEX(資格集約!$E$549:$E$574,MATCH(20,資格集約!$G$549:$G$574,0)),"")))</f>
        <v/>
      </c>
      <c r="BC24">
        <f>IF(入力!$D$26="","",IF(反映項目!$B$11="×","",IFERROR(INDEX(資格集約!$H$549:$H$574,MATCH(21,資格集約!$G$549:$G$574,0)),"")))</f>
        <v/>
      </c>
      <c r="BD24">
        <f>IF(入力!$D$26="","",IF(反映項目!$B$11="×","",IFERROR(INDEX(資格集約!$E$549:$E$574,MATCH(21,資格集約!$G$549:$G$574,0)),"")))</f>
        <v/>
      </c>
      <c r="BE24">
        <f>IF(入力!$D$26="","",IF(反映項目!$B$11="×","",IFERROR(INDEX(資格集約!$H$549:$H$574,MATCH(22,資格集約!$G$549:$G$574,0)),"")))</f>
        <v/>
      </c>
      <c r="BF24">
        <f>IF(入力!$D$26="","",IF(反映項目!$B$11="×","",IFERROR(INDEX(資格集約!$E$549:$E$574,MATCH(22,資格集約!$G$549:$G$574,0)),"")))</f>
        <v/>
      </c>
      <c r="BG24">
        <f>IF(入力!$D$26="","",IF(反映項目!$B$11="×","",IFERROR(INDEX(資格集約!$H$549:$H$574,MATCH(23,資格集約!$G$549:$G$574,0)),"")))</f>
        <v/>
      </c>
      <c r="BH24">
        <f>IF(入力!$D$26="","",IF(反映項目!$B$11="×","",IFERROR(INDEX(資格集約!$E$549:$E$574,MATCH(23,資格集約!$G$549:$G$574,0)),"")))</f>
        <v/>
      </c>
      <c r="BI24">
        <f>IF(入力!$D$26="","",IF(反映項目!$B$11="×","",IFERROR(INDEX(資格集約!$H$549:$H$574,MATCH(24,資格集約!$G$549:$G$574,0)),"")))</f>
        <v/>
      </c>
      <c r="BJ24">
        <f>IF(入力!$D$26="","",IF(反映項目!$B$11="×","",IFERROR(INDEX(資格集約!$E$549:$E$574,MATCH(24,資格集約!$G$549:$G$574,0)),"")))</f>
        <v/>
      </c>
      <c r="BK24">
        <f>IF(入力!$D$26="","",IF(反映項目!$B$11="×","",IFERROR(INDEX(資格集約!$H$549:$H$574,MATCH(25,資格集約!$G$549:$G$574,0)),"")))</f>
        <v/>
      </c>
      <c r="BL24">
        <f>IF(入力!$D$26="","",IF(反映項目!$B$11="×","",IFERROR(INDEX(資格集約!$E$549:$E$574,MATCH(25,資格集約!$G$549:$G$574,0)),"")))</f>
        <v/>
      </c>
      <c r="BM24">
        <f>IF(入力!$D$26="","",IF(反映項目!$B$11="×","",IFERROR(INDEX(資格集約!$H$549:$H$574,MATCH(26,資格集約!$G$549:$G$574,0)),"")))</f>
        <v/>
      </c>
      <c r="BN24">
        <f>IF(入力!$D$26="","",IF(反映項目!$B$11="×","",IFERROR(INDEX(資格集約!$E$549:$E$574,MATCH(26,資格集約!$G$549:$G$574,0)),"")))</f>
        <v/>
      </c>
      <c r="BO24">
        <f>IF(入力!$D$26="","",IF(OR(反映項目!$B$12="×",入力!$Z$26=""),"",入力!$Z$26))</f>
        <v/>
      </c>
      <c r="BP24">
        <f>IF(入力!$D$26="","",IF(OR(反映項目!$B$13="×",入力!$AA$26=""),"",入力!$AA$26))</f>
        <v/>
      </c>
      <c r="BQ24">
        <f>IF(入力!$D$26="","",IF(OR(反映項目!$B$15="×",入力!$AF$26=""),"",入力!$AF$26))</f>
        <v/>
      </c>
      <c r="BR24">
        <f>IF(入力!$D$26="","",IF(OR(反映項目!$B$14="×",N($BZ$24)=0),"",YEAR($BZ$24)-IF($BZ$24&gt;=DATE(2019,5,1),2018,1988)))&amp;""</f>
        <v/>
      </c>
      <c r="BS24">
        <f>IF(入力!$D$26="","",IF(OR(反映項目!$B$14="×",N($BZ$24)=0),"",MONTH($BZ$24)))&amp;""</f>
        <v/>
      </c>
      <c r="BT24">
        <f>IF(入力!$D$26="","",IF(OR(反映項目!$B$14="×",入力!$AC$26=""),"",入力!$AC$26))</f>
        <v/>
      </c>
      <c r="BU24">
        <f>IF(入力!$D$26="","",IF(OR(反映項目!$B$14="×",N($CA$24)=0),"",YEAR($CA$24)-IF($CA$24&gt;=DATE(2019,5,1),2018,1988)))&amp;""</f>
        <v/>
      </c>
      <c r="BV24">
        <f>IF(入力!$D$26="","",IF(OR(反映項目!$B$14="×",N($CA$24)=0),"",MONTH($CA$24)))&amp;""</f>
        <v/>
      </c>
      <c r="BW24">
        <f>IF(入力!$D$26="","",IF(OR(反映項目!$B$14="×",入力!$AE$26=""),"",入力!$AE$26))</f>
        <v/>
      </c>
      <c r="BY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Z24">
        <f>IF(入力!$D$26="","",IF(入力!$AB$26="","",IF(ISNUMBER(入力!$AB$26),入力!$AB$26,IFERROR(IF(OR(LEFT(入力!$AB$26,2)="令和",LEFT(入力!$AB$26,2)="平成",LEFT(入力!$AB$26,2)="昭和",LEFT(入力!$AB$26,2)="大正"),DATE(VALUE(MID(入力!$AB$26,3,FIND("年",入力!$AB$26)-3))+IF(LEFT(入力!$AB$26,2)="令和",2018,IF(LEFT(入力!$AB$26,2)="平成",1988,IF(LEFT(入力!$AB$26,2)="昭和",1925,IF(LEFT(入力!$AB$26,2)="大正",1911,0)))),VALUE(MID(入力!$AB$26,FIND("年",入力!$AB$26)+1,FIND("月",入力!$AB$26)-FIND("年",入力!$AB$26)-1)),IFERROR(VALUE(SUBSTITUTE(MID(入力!$AB$26,FIND("月",入力!$AB$26)+1,10),"日","")),1)),DATE(VALUE(TRIM(MID(SUBSTITUTE(SUBSTITUTE(SUBSTITUTE(SUBSTITUTE(SUBSTITUTE(SUBSTITUTE(入力!$AB$26,"年","/"),"月","/"),"日",""),"-","/"),".","/"),"/",REPT(" ",50)),1,50))),VALUE(TRIM(MID(SUBSTITUTE(SUBSTITUTE(SUBSTITUTE(SUBSTITUTE(SUBSTITUTE(SUBSTITUTE(入力!$AB$26,"年","/"),"月","/"),"日",""),"-","/"),".","/"),"/",REPT(" ",50)),51,50))),IFERROR(VALUE(TRIM(MID(SUBSTITUTE(SUBSTITUTE(SUBSTITUTE(SUBSTITUTE(SUBSTITUTE(SUBSTITUTE(入力!$AB$26,"年","/"),"月","/"),"日",""),"-","/"),".","/"),"/",REPT(" ",50)),101,50))),1))),IFERROR(DATEVALUE(入力!$AB$26),"")))))</f>
        <v/>
      </c>
      <c r="CA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CB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amp;IF($AR24="","",CHAR(10)&amp;$AQ24)&amp;IF($AT24="","",CHAR(10)&amp;$AS24)&amp;IF($AV24="","",CHAR(10)&amp;$AU24)&amp;IF($AX24="","",CHAR(10)&amp;$AW24)&amp;IF($AZ24="","",CHAR(10)&amp;$AY24)&amp;IF($BB24="","",CHAR(10)&amp;$BA24)&amp;IF($BD24="","",CHAR(10)&amp;$BC24)&amp;IF($BF24="","",CHAR(10)&amp;$BE24)&amp;IF($BH24="","",CHAR(10)&amp;$BG24)&amp;IF($BJ24="","",CHAR(10)&amp;$BI24)&amp;IF($BL24="","",CHAR(10)&amp;$BK24)&amp;IF($BN24="","",CHAR(10)&amp;$BM24))</f>
        <v/>
      </c>
      <c r="CC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amp;IF($AR24="","",CHAR(10)&amp;$AR24)&amp;IF($AT24="","",CHAR(10)&amp;$AT24)&amp;IF($AV24="","",CHAR(10)&amp;$AV24)&amp;IF($AX24="","",CHAR(10)&amp;$AX24)&amp;IF($AZ24="","",CHAR(10)&amp;$AZ24)&amp;IF($BB24="","",CHAR(10)&amp;$BB24)&amp;IF($BD24="","",CHAR(10)&amp;$BD24)&amp;IF($BF24="","",CHAR(10)&amp;$BF24)&amp;IF($BH24="","",CHAR(10)&amp;$BH24)&amp;IF($BJ24="","",CHAR(10)&amp;$BJ24)&amp;IF($BL24="","",CHAR(10)&amp;$BL24)&amp;IF($BN24="","",CHAR(10)&amp;$BN24))</f>
        <v/>
      </c>
      <c r="CD24">
        <f>IF(入力!$D$26="","",IF($P24="",0,1)+IF($R24="",0,1)+IF($T24="",0,1)+IF($V24="",0,1)+IF($X24="",0,1)+IF($Z24="",0,1)+IF($AB24="",0,1)+IF($AD24="",0,1)+IF($AF24="",0,1)+IF($AH24="",0,1)+IF($AJ24="",0,1)+IF($AL24="",0,1)+IF($AN24="",0,1)+IF($AP24="",0,1)+IF($AR24="",0,1)+IF($AT24="",0,1)+IF($AV24="",0,1)+IF($AX24="",0,1)+IF($AZ24="",0,1)+IF($BB24="",0,1)+IF($BD24="",0,1)+IF($BF24="",0,1)+IF($BH24="",0,1)+IF($BJ24="",0,1)+IF($BL24="",0,1)+IF($BN24="",0,1))</f>
        <v/>
      </c>
    </row>
    <row r="25">
      <c r="A25" t="n">
        <v>23</v>
      </c>
      <c r="B25">
        <f>IF(入力!$D$27="","",IF(OR(反映項目!$B$4="×",入力!$D$27=""),"",入力!$D$27))</f>
        <v/>
      </c>
      <c r="C25">
        <f>IF(入力!$D$27="","",IF(OR(反映項目!$B$5="×",入力!$E$27=""),"",入力!$E$27))</f>
        <v/>
      </c>
      <c r="D25">
        <f>IF(入力!$D$27="","",IF(OR(反映項目!$B$6="×",N($BY$25)=0),"",YEAR($BY$25)-IF($BY$25&gt;=DATE(2019,5,1),2018,IF($BY$25&gt;=DATE(1989,1,8),1988,1925))))&amp;""</f>
        <v/>
      </c>
      <c r="E25">
        <f>IF(入力!$D$27="","",IF(OR(反映項目!$B$6="×",N($BY$25)=0),"",MONTH($BY$25)))&amp;""</f>
        <v/>
      </c>
      <c r="F25">
        <f>IF(入力!$D$27="","",IF(OR(反映項目!$B$6="×",N($BY$25)=0),"",DAY($BY$25)))&amp;""</f>
        <v/>
      </c>
      <c r="G25">
        <f>IF(入力!$D$27="","",IF(OR(反映項目!$B$6="×",OR(N($BY$25)=0,N(設定!$B$3)=0)),"",DATEDIF($BY$25,設定!$B$3,"Y")))&amp;""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IF(入力!$D$27="","",IF(OR(反映項目!$B$10="×",入力!$K$27=""),"",入力!$K$27))</f>
        <v/>
      </c>
      <c r="M25">
        <f>IF(入力!$D$27="","",IF(OR(反映項目!$B$10="×",入力!$L$27=""),"",入力!$L$27))</f>
        <v/>
      </c>
      <c r="N25">
        <f>IF(入力!$D$27="","",設定!$B$4&amp;CHAR(10)&amp;IF(入力!$M$27="",設定!$B$5,入力!$M$27))</f>
        <v/>
      </c>
      <c r="O25">
        <f>IF(入力!$D$27="","",IF(反映項目!$B$11="×","",IFERROR(INDEX(資格集約!$H$575:$H$600,MATCH(1,資格集約!$G$575:$G$600,0)),"")))</f>
        <v/>
      </c>
      <c r="P25">
        <f>IF(入力!$D$27="","",IF(反映項目!$B$11="×","",IFERROR(INDEX(資格集約!$E$575:$E$600,MATCH(1,資格集約!$G$575:$G$600,0)),"")))</f>
        <v/>
      </c>
      <c r="Q25">
        <f>IF(入力!$D$27="","",IF(反映項目!$B$11="×","",IFERROR(INDEX(資格集約!$H$575:$H$600,MATCH(2,資格集約!$G$575:$G$600,0)),"")))</f>
        <v/>
      </c>
      <c r="R25">
        <f>IF(入力!$D$27="","",IF(反映項目!$B$11="×","",IFERROR(INDEX(資格集約!$E$575:$E$600,MATCH(2,資格集約!$G$575:$G$600,0)),"")))</f>
        <v/>
      </c>
      <c r="S25">
        <f>IF(入力!$D$27="","",IF(反映項目!$B$11="×","",IFERROR(INDEX(資格集約!$H$575:$H$600,MATCH(3,資格集約!$G$575:$G$600,0)),"")))</f>
        <v/>
      </c>
      <c r="T25">
        <f>IF(入力!$D$27="","",IF(反映項目!$B$11="×","",IFERROR(INDEX(資格集約!$E$575:$E$600,MATCH(3,資格集約!$G$575:$G$600,0)),"")))</f>
        <v/>
      </c>
      <c r="U25">
        <f>IF(入力!$D$27="","",IF(反映項目!$B$11="×","",IFERROR(INDEX(資格集約!$H$575:$H$600,MATCH(4,資格集約!$G$575:$G$600,0)),"")))</f>
        <v/>
      </c>
      <c r="V25">
        <f>IF(入力!$D$27="","",IF(反映項目!$B$11="×","",IFERROR(INDEX(資格集約!$E$575:$E$600,MATCH(4,資格集約!$G$575:$G$600,0)),"")))</f>
        <v/>
      </c>
      <c r="W25">
        <f>IF(入力!$D$27="","",IF(反映項目!$B$11="×","",IFERROR(INDEX(資格集約!$H$575:$H$600,MATCH(5,資格集約!$G$575:$G$600,0)),"")))</f>
        <v/>
      </c>
      <c r="X25">
        <f>IF(入力!$D$27="","",IF(反映項目!$B$11="×","",IFERROR(INDEX(資格集約!$E$575:$E$600,MATCH(5,資格集約!$G$575:$G$600,0)),"")))</f>
        <v/>
      </c>
      <c r="Y25">
        <f>IF(入力!$D$27="","",IF(反映項目!$B$11="×","",IFERROR(INDEX(資格集約!$H$575:$H$600,MATCH(6,資格集約!$G$575:$G$600,0)),"")))</f>
        <v/>
      </c>
      <c r="Z25">
        <f>IF(入力!$D$27="","",IF(反映項目!$B$11="×","",IFERROR(INDEX(資格集約!$E$575:$E$600,MATCH(6,資格集約!$G$575:$G$600,0)),"")))</f>
        <v/>
      </c>
      <c r="AA25">
        <f>IF(入力!$D$27="","",IF(反映項目!$B$11="×","",IFERROR(INDEX(資格集約!$H$575:$H$600,MATCH(7,資格集約!$G$575:$G$600,0)),"")))</f>
        <v/>
      </c>
      <c r="AB25">
        <f>IF(入力!$D$27="","",IF(反映項目!$B$11="×","",IFERROR(INDEX(資格集約!$E$575:$E$600,MATCH(7,資格集約!$G$575:$G$600,0)),"")))</f>
        <v/>
      </c>
      <c r="AC25">
        <f>IF(入力!$D$27="","",IF(反映項目!$B$11="×","",IFERROR(INDEX(資格集約!$H$575:$H$600,MATCH(8,資格集約!$G$575:$G$600,0)),"")))</f>
        <v/>
      </c>
      <c r="AD25">
        <f>IF(入力!$D$27="","",IF(反映項目!$B$11="×","",IFERROR(INDEX(資格集約!$E$575:$E$600,MATCH(8,資格集約!$G$575:$G$600,0)),"")))</f>
        <v/>
      </c>
      <c r="AE25">
        <f>IF(入力!$D$27="","",IF(反映項目!$B$11="×","",IFERROR(INDEX(資格集約!$H$575:$H$600,MATCH(9,資格集約!$G$575:$G$600,0)),"")))</f>
        <v/>
      </c>
      <c r="AF25">
        <f>IF(入力!$D$27="","",IF(反映項目!$B$11="×","",IFERROR(INDEX(資格集約!$E$575:$E$600,MATCH(9,資格集約!$G$575:$G$600,0)),"")))</f>
        <v/>
      </c>
      <c r="AG25">
        <f>IF(入力!$D$27="","",IF(反映項目!$B$11="×","",IFERROR(INDEX(資格集約!$H$575:$H$600,MATCH(10,資格集約!$G$575:$G$600,0)),"")))</f>
        <v/>
      </c>
      <c r="AH25">
        <f>IF(入力!$D$27="","",IF(反映項目!$B$11="×","",IFERROR(INDEX(資格集約!$E$575:$E$600,MATCH(10,資格集約!$G$575:$G$600,0)),"")))</f>
        <v/>
      </c>
      <c r="AI25">
        <f>IF(入力!$D$27="","",IF(反映項目!$B$11="×","",IFERROR(INDEX(資格集約!$H$575:$H$600,MATCH(11,資格集約!$G$575:$G$600,0)),"")))</f>
        <v/>
      </c>
      <c r="AJ25">
        <f>IF(入力!$D$27="","",IF(反映項目!$B$11="×","",IFERROR(INDEX(資格集約!$E$575:$E$600,MATCH(11,資格集約!$G$575:$G$600,0)),"")))</f>
        <v/>
      </c>
      <c r="AK25">
        <f>IF(入力!$D$27="","",IF(反映項目!$B$11="×","",IFERROR(INDEX(資格集約!$H$575:$H$600,MATCH(12,資格集約!$G$575:$G$600,0)),"")))</f>
        <v/>
      </c>
      <c r="AL25">
        <f>IF(入力!$D$27="","",IF(反映項目!$B$11="×","",IFERROR(INDEX(資格集約!$E$575:$E$600,MATCH(12,資格集約!$G$575:$G$600,0)),"")))</f>
        <v/>
      </c>
      <c r="AM25">
        <f>IF(入力!$D$27="","",IF(反映項目!$B$11="×","",IFERROR(INDEX(資格集約!$H$575:$H$600,MATCH(13,資格集約!$G$575:$G$600,0)),"")))</f>
        <v/>
      </c>
      <c r="AN25">
        <f>IF(入力!$D$27="","",IF(反映項目!$B$11="×","",IFERROR(INDEX(資格集約!$E$575:$E$600,MATCH(13,資格集約!$G$575:$G$600,0)),"")))</f>
        <v/>
      </c>
      <c r="AO25">
        <f>IF(入力!$D$27="","",IF(反映項目!$B$11="×","",IFERROR(INDEX(資格集約!$H$575:$H$600,MATCH(14,資格集約!$G$575:$G$600,0)),"")))</f>
        <v/>
      </c>
      <c r="AP25">
        <f>IF(入力!$D$27="","",IF(反映項目!$B$11="×","",IFERROR(INDEX(資格集約!$E$575:$E$600,MATCH(14,資格集約!$G$575:$G$600,0)),"")))</f>
        <v/>
      </c>
      <c r="AQ25">
        <f>IF(入力!$D$27="","",IF(反映項目!$B$11="×","",IFERROR(INDEX(資格集約!$H$575:$H$600,MATCH(15,資格集約!$G$575:$G$600,0)),"")))</f>
        <v/>
      </c>
      <c r="AR25">
        <f>IF(入力!$D$27="","",IF(反映項目!$B$11="×","",IFERROR(INDEX(資格集約!$E$575:$E$600,MATCH(15,資格集約!$G$575:$G$600,0)),"")))</f>
        <v/>
      </c>
      <c r="AS25">
        <f>IF(入力!$D$27="","",IF(反映項目!$B$11="×","",IFERROR(INDEX(資格集約!$H$575:$H$600,MATCH(16,資格集約!$G$575:$G$600,0)),"")))</f>
        <v/>
      </c>
      <c r="AT25">
        <f>IF(入力!$D$27="","",IF(反映項目!$B$11="×","",IFERROR(INDEX(資格集約!$E$575:$E$600,MATCH(16,資格集約!$G$575:$G$600,0)),"")))</f>
        <v/>
      </c>
      <c r="AU25">
        <f>IF(入力!$D$27="","",IF(反映項目!$B$11="×","",IFERROR(INDEX(資格集約!$H$575:$H$600,MATCH(17,資格集約!$G$575:$G$600,0)),"")))</f>
        <v/>
      </c>
      <c r="AV25">
        <f>IF(入力!$D$27="","",IF(反映項目!$B$11="×","",IFERROR(INDEX(資格集約!$E$575:$E$600,MATCH(17,資格集約!$G$575:$G$600,0)),"")))</f>
        <v/>
      </c>
      <c r="AW25">
        <f>IF(入力!$D$27="","",IF(反映項目!$B$11="×","",IFERROR(INDEX(資格集約!$H$575:$H$600,MATCH(18,資格集約!$G$575:$G$600,0)),"")))</f>
        <v/>
      </c>
      <c r="AX25">
        <f>IF(入力!$D$27="","",IF(反映項目!$B$11="×","",IFERROR(INDEX(資格集約!$E$575:$E$600,MATCH(18,資格集約!$G$575:$G$600,0)),"")))</f>
        <v/>
      </c>
      <c r="AY25">
        <f>IF(入力!$D$27="","",IF(反映項目!$B$11="×","",IFERROR(INDEX(資格集約!$H$575:$H$600,MATCH(19,資格集約!$G$575:$G$600,0)),"")))</f>
        <v/>
      </c>
      <c r="AZ25">
        <f>IF(入力!$D$27="","",IF(反映項目!$B$11="×","",IFERROR(INDEX(資格集約!$E$575:$E$600,MATCH(19,資格集約!$G$575:$G$600,0)),"")))</f>
        <v/>
      </c>
      <c r="BA25">
        <f>IF(入力!$D$27="","",IF(反映項目!$B$11="×","",IFERROR(INDEX(資格集約!$H$575:$H$600,MATCH(20,資格集約!$G$575:$G$600,0)),"")))</f>
        <v/>
      </c>
      <c r="BB25">
        <f>IF(入力!$D$27="","",IF(反映項目!$B$11="×","",IFERROR(INDEX(資格集約!$E$575:$E$600,MATCH(20,資格集約!$G$575:$G$600,0)),"")))</f>
        <v/>
      </c>
      <c r="BC25">
        <f>IF(入力!$D$27="","",IF(反映項目!$B$11="×","",IFERROR(INDEX(資格集約!$H$575:$H$600,MATCH(21,資格集約!$G$575:$G$600,0)),"")))</f>
        <v/>
      </c>
      <c r="BD25">
        <f>IF(入力!$D$27="","",IF(反映項目!$B$11="×","",IFERROR(INDEX(資格集約!$E$575:$E$600,MATCH(21,資格集約!$G$575:$G$600,0)),"")))</f>
        <v/>
      </c>
      <c r="BE25">
        <f>IF(入力!$D$27="","",IF(反映項目!$B$11="×","",IFERROR(INDEX(資格集約!$H$575:$H$600,MATCH(22,資格集約!$G$575:$G$600,0)),"")))</f>
        <v/>
      </c>
      <c r="BF25">
        <f>IF(入力!$D$27="","",IF(反映項目!$B$11="×","",IFERROR(INDEX(資格集約!$E$575:$E$600,MATCH(22,資格集約!$G$575:$G$600,0)),"")))</f>
        <v/>
      </c>
      <c r="BG25">
        <f>IF(入力!$D$27="","",IF(反映項目!$B$11="×","",IFERROR(INDEX(資格集約!$H$575:$H$600,MATCH(23,資格集約!$G$575:$G$600,0)),"")))</f>
        <v/>
      </c>
      <c r="BH25">
        <f>IF(入力!$D$27="","",IF(反映項目!$B$11="×","",IFERROR(INDEX(資格集約!$E$575:$E$600,MATCH(23,資格集約!$G$575:$G$600,0)),"")))</f>
        <v/>
      </c>
      <c r="BI25">
        <f>IF(入力!$D$27="","",IF(反映項目!$B$11="×","",IFERROR(INDEX(資格集約!$H$575:$H$600,MATCH(24,資格集約!$G$575:$G$600,0)),"")))</f>
        <v/>
      </c>
      <c r="BJ25">
        <f>IF(入力!$D$27="","",IF(反映項目!$B$11="×","",IFERROR(INDEX(資格集約!$E$575:$E$600,MATCH(24,資格集約!$G$575:$G$600,0)),"")))</f>
        <v/>
      </c>
      <c r="BK25">
        <f>IF(入力!$D$27="","",IF(反映項目!$B$11="×","",IFERROR(INDEX(資格集約!$H$575:$H$600,MATCH(25,資格集約!$G$575:$G$600,0)),"")))</f>
        <v/>
      </c>
      <c r="BL25">
        <f>IF(入力!$D$27="","",IF(反映項目!$B$11="×","",IFERROR(INDEX(資格集約!$E$575:$E$600,MATCH(25,資格集約!$G$575:$G$600,0)),"")))</f>
        <v/>
      </c>
      <c r="BM25">
        <f>IF(入力!$D$27="","",IF(反映項目!$B$11="×","",IFERROR(INDEX(資格集約!$H$575:$H$600,MATCH(26,資格集約!$G$575:$G$600,0)),"")))</f>
        <v/>
      </c>
      <c r="BN25">
        <f>IF(入力!$D$27="","",IF(反映項目!$B$11="×","",IFERROR(INDEX(資格集約!$E$575:$E$600,MATCH(26,資格集約!$G$575:$G$600,0)),"")))</f>
        <v/>
      </c>
      <c r="BO25">
        <f>IF(入力!$D$27="","",IF(OR(反映項目!$B$12="×",入力!$Z$27=""),"",入力!$Z$27))</f>
        <v/>
      </c>
      <c r="BP25">
        <f>IF(入力!$D$27="","",IF(OR(反映項目!$B$13="×",入力!$AA$27=""),"",入力!$AA$27))</f>
        <v/>
      </c>
      <c r="BQ25">
        <f>IF(入力!$D$27="","",IF(OR(反映項目!$B$15="×",入力!$AF$27=""),"",入力!$AF$27))</f>
        <v/>
      </c>
      <c r="BR25">
        <f>IF(入力!$D$27="","",IF(OR(反映項目!$B$14="×",N($BZ$25)=0),"",YEAR($BZ$25)-IF($BZ$25&gt;=DATE(2019,5,1),2018,1988)))&amp;""</f>
        <v/>
      </c>
      <c r="BS25">
        <f>IF(入力!$D$27="","",IF(OR(反映項目!$B$14="×",N($BZ$25)=0),"",MONTH($BZ$25)))&amp;""</f>
        <v/>
      </c>
      <c r="BT25">
        <f>IF(入力!$D$27="","",IF(OR(反映項目!$B$14="×",入力!$AC$27=""),"",入力!$AC$27))</f>
        <v/>
      </c>
      <c r="BU25">
        <f>IF(入力!$D$27="","",IF(OR(反映項目!$B$14="×",N($CA$25)=0),"",YEAR($CA$25)-IF($CA$25&gt;=DATE(2019,5,1),2018,1988)))&amp;""</f>
        <v/>
      </c>
      <c r="BV25">
        <f>IF(入力!$D$27="","",IF(OR(反映項目!$B$14="×",N($CA$25)=0),"",MONTH($CA$25)))&amp;""</f>
        <v/>
      </c>
      <c r="BW25">
        <f>IF(入力!$D$27="","",IF(OR(反映項目!$B$14="×",入力!$AE$27=""),"",入力!$AE$27))</f>
        <v/>
      </c>
      <c r="BY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Z25">
        <f>IF(入力!$D$27="","",IF(入力!$AB$27="","",IF(ISNUMBER(入力!$AB$27),入力!$AB$27,IFERROR(IF(OR(LEFT(入力!$AB$27,2)="令和",LEFT(入力!$AB$27,2)="平成",LEFT(入力!$AB$27,2)="昭和",LEFT(入力!$AB$27,2)="大正"),DATE(VALUE(MID(入力!$AB$27,3,FIND("年",入力!$AB$27)-3))+IF(LEFT(入力!$AB$27,2)="令和",2018,IF(LEFT(入力!$AB$27,2)="平成",1988,IF(LEFT(入力!$AB$27,2)="昭和",1925,IF(LEFT(入力!$AB$27,2)="大正",1911,0)))),VALUE(MID(入力!$AB$27,FIND("年",入力!$AB$27)+1,FIND("月",入力!$AB$27)-FIND("年",入力!$AB$27)-1)),IFERROR(VALUE(SUBSTITUTE(MID(入力!$AB$27,FIND("月",入力!$AB$27)+1,10),"日","")),1)),DATE(VALUE(TRIM(MID(SUBSTITUTE(SUBSTITUTE(SUBSTITUTE(SUBSTITUTE(SUBSTITUTE(SUBSTITUTE(入力!$AB$27,"年","/"),"月","/"),"日",""),"-","/"),".","/"),"/",REPT(" ",50)),1,50))),VALUE(TRIM(MID(SUBSTITUTE(SUBSTITUTE(SUBSTITUTE(SUBSTITUTE(SUBSTITUTE(SUBSTITUTE(入力!$AB$27,"年","/"),"月","/"),"日",""),"-","/"),".","/"),"/",REPT(" ",50)),51,50))),IFERROR(VALUE(TRIM(MID(SUBSTITUTE(SUBSTITUTE(SUBSTITUTE(SUBSTITUTE(SUBSTITUTE(SUBSTITUTE(入力!$AB$27,"年","/"),"月","/"),"日",""),"-","/"),".","/"),"/",REPT(" ",50)),101,50))),1))),IFERROR(DATEVALUE(入力!$AB$27),"")))))</f>
        <v/>
      </c>
      <c r="CA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CB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amp;IF($AR25="","",CHAR(10)&amp;$AQ25)&amp;IF($AT25="","",CHAR(10)&amp;$AS25)&amp;IF($AV25="","",CHAR(10)&amp;$AU25)&amp;IF($AX25="","",CHAR(10)&amp;$AW25)&amp;IF($AZ25="","",CHAR(10)&amp;$AY25)&amp;IF($BB25="","",CHAR(10)&amp;$BA25)&amp;IF($BD25="","",CHAR(10)&amp;$BC25)&amp;IF($BF25="","",CHAR(10)&amp;$BE25)&amp;IF($BH25="","",CHAR(10)&amp;$BG25)&amp;IF($BJ25="","",CHAR(10)&amp;$BI25)&amp;IF($BL25="","",CHAR(10)&amp;$BK25)&amp;IF($BN25="","",CHAR(10)&amp;$BM25))</f>
        <v/>
      </c>
      <c r="CC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amp;IF($AR25="","",CHAR(10)&amp;$AR25)&amp;IF($AT25="","",CHAR(10)&amp;$AT25)&amp;IF($AV25="","",CHAR(10)&amp;$AV25)&amp;IF($AX25="","",CHAR(10)&amp;$AX25)&amp;IF($AZ25="","",CHAR(10)&amp;$AZ25)&amp;IF($BB25="","",CHAR(10)&amp;$BB25)&amp;IF($BD25="","",CHAR(10)&amp;$BD25)&amp;IF($BF25="","",CHAR(10)&amp;$BF25)&amp;IF($BH25="","",CHAR(10)&amp;$BH25)&amp;IF($BJ25="","",CHAR(10)&amp;$BJ25)&amp;IF($BL25="","",CHAR(10)&amp;$BL25)&amp;IF($BN25="","",CHAR(10)&amp;$BN25))</f>
        <v/>
      </c>
      <c r="CD25">
        <f>IF(入力!$D$27="","",IF($P25="",0,1)+IF($R25="",0,1)+IF($T25="",0,1)+IF($V25="",0,1)+IF($X25="",0,1)+IF($Z25="",0,1)+IF($AB25="",0,1)+IF($AD25="",0,1)+IF($AF25="",0,1)+IF($AH25="",0,1)+IF($AJ25="",0,1)+IF($AL25="",0,1)+IF($AN25="",0,1)+IF($AP25="",0,1)+IF($AR25="",0,1)+IF($AT25="",0,1)+IF($AV25="",0,1)+IF($AX25="",0,1)+IF($AZ25="",0,1)+IF($BB25="",0,1)+IF($BD25="",0,1)+IF($BF25="",0,1)+IF($BH25="",0,1)+IF($BJ25="",0,1)+IF($BL25="",0,1)+IF($BN25="",0,1))</f>
        <v/>
      </c>
    </row>
    <row r="26">
      <c r="A26" t="n">
        <v>24</v>
      </c>
      <c r="B26">
        <f>IF(入力!$D$28="","",IF(OR(反映項目!$B$4="×",入力!$D$28=""),"",入力!$D$28))</f>
        <v/>
      </c>
      <c r="C26">
        <f>IF(入力!$D$28="","",IF(OR(反映項目!$B$5="×",入力!$E$28=""),"",入力!$E$28))</f>
        <v/>
      </c>
      <c r="D26">
        <f>IF(入力!$D$28="","",IF(OR(反映項目!$B$6="×",N($BY$26)=0),"",YEAR($BY$26)-IF($BY$26&gt;=DATE(2019,5,1),2018,IF($BY$26&gt;=DATE(1989,1,8),1988,1925))))&amp;""</f>
        <v/>
      </c>
      <c r="E26">
        <f>IF(入力!$D$28="","",IF(OR(反映項目!$B$6="×",N($BY$26)=0),"",MONTH($BY$26)))&amp;""</f>
        <v/>
      </c>
      <c r="F26">
        <f>IF(入力!$D$28="","",IF(OR(反映項目!$B$6="×",N($BY$26)=0),"",DAY($BY$26)))&amp;""</f>
        <v/>
      </c>
      <c r="G26">
        <f>IF(入力!$D$28="","",IF(OR(反映項目!$B$6="×",OR(N($BY$26)=0,N(設定!$B$3)=0)),"",DATEDIF($BY$26,設定!$B$3,"Y")))&amp;""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IF(入力!$D$28="","",IF(OR(反映項目!$B$10="×",入力!$K$28=""),"",入力!$K$28))</f>
        <v/>
      </c>
      <c r="M26">
        <f>IF(入力!$D$28="","",IF(OR(反映項目!$B$10="×",入力!$L$28=""),"",入力!$L$28))</f>
        <v/>
      </c>
      <c r="N26">
        <f>IF(入力!$D$28="","",設定!$B$4&amp;CHAR(10)&amp;IF(入力!$M$28="",設定!$B$5,入力!$M$28))</f>
        <v/>
      </c>
      <c r="O26">
        <f>IF(入力!$D$28="","",IF(反映項目!$B$11="×","",IFERROR(INDEX(資格集約!$H$601:$H$626,MATCH(1,資格集約!$G$601:$G$626,0)),"")))</f>
        <v/>
      </c>
      <c r="P26">
        <f>IF(入力!$D$28="","",IF(反映項目!$B$11="×","",IFERROR(INDEX(資格集約!$E$601:$E$626,MATCH(1,資格集約!$G$601:$G$626,0)),"")))</f>
        <v/>
      </c>
      <c r="Q26">
        <f>IF(入力!$D$28="","",IF(反映項目!$B$11="×","",IFERROR(INDEX(資格集約!$H$601:$H$626,MATCH(2,資格集約!$G$601:$G$626,0)),"")))</f>
        <v/>
      </c>
      <c r="R26">
        <f>IF(入力!$D$28="","",IF(反映項目!$B$11="×","",IFERROR(INDEX(資格集約!$E$601:$E$626,MATCH(2,資格集約!$G$601:$G$626,0)),"")))</f>
        <v/>
      </c>
      <c r="S26">
        <f>IF(入力!$D$28="","",IF(反映項目!$B$11="×","",IFERROR(INDEX(資格集約!$H$601:$H$626,MATCH(3,資格集約!$G$601:$G$626,0)),"")))</f>
        <v/>
      </c>
      <c r="T26">
        <f>IF(入力!$D$28="","",IF(反映項目!$B$11="×","",IFERROR(INDEX(資格集約!$E$601:$E$626,MATCH(3,資格集約!$G$601:$G$626,0)),"")))</f>
        <v/>
      </c>
      <c r="U26">
        <f>IF(入力!$D$28="","",IF(反映項目!$B$11="×","",IFERROR(INDEX(資格集約!$H$601:$H$626,MATCH(4,資格集約!$G$601:$G$626,0)),"")))</f>
        <v/>
      </c>
      <c r="V26">
        <f>IF(入力!$D$28="","",IF(反映項目!$B$11="×","",IFERROR(INDEX(資格集約!$E$601:$E$626,MATCH(4,資格集約!$G$601:$G$626,0)),"")))</f>
        <v/>
      </c>
      <c r="W26">
        <f>IF(入力!$D$28="","",IF(反映項目!$B$11="×","",IFERROR(INDEX(資格集約!$H$601:$H$626,MATCH(5,資格集約!$G$601:$G$626,0)),"")))</f>
        <v/>
      </c>
      <c r="X26">
        <f>IF(入力!$D$28="","",IF(反映項目!$B$11="×","",IFERROR(INDEX(資格集約!$E$601:$E$626,MATCH(5,資格集約!$G$601:$G$626,0)),"")))</f>
        <v/>
      </c>
      <c r="Y26">
        <f>IF(入力!$D$28="","",IF(反映項目!$B$11="×","",IFERROR(INDEX(資格集約!$H$601:$H$626,MATCH(6,資格集約!$G$601:$G$626,0)),"")))</f>
        <v/>
      </c>
      <c r="Z26">
        <f>IF(入力!$D$28="","",IF(反映項目!$B$11="×","",IFERROR(INDEX(資格集約!$E$601:$E$626,MATCH(6,資格集約!$G$601:$G$626,0)),"")))</f>
        <v/>
      </c>
      <c r="AA26">
        <f>IF(入力!$D$28="","",IF(反映項目!$B$11="×","",IFERROR(INDEX(資格集約!$H$601:$H$626,MATCH(7,資格集約!$G$601:$G$626,0)),"")))</f>
        <v/>
      </c>
      <c r="AB26">
        <f>IF(入力!$D$28="","",IF(反映項目!$B$11="×","",IFERROR(INDEX(資格集約!$E$601:$E$626,MATCH(7,資格集約!$G$601:$G$626,0)),"")))</f>
        <v/>
      </c>
      <c r="AC26">
        <f>IF(入力!$D$28="","",IF(反映項目!$B$11="×","",IFERROR(INDEX(資格集約!$H$601:$H$626,MATCH(8,資格集約!$G$601:$G$626,0)),"")))</f>
        <v/>
      </c>
      <c r="AD26">
        <f>IF(入力!$D$28="","",IF(反映項目!$B$11="×","",IFERROR(INDEX(資格集約!$E$601:$E$626,MATCH(8,資格集約!$G$601:$G$626,0)),"")))</f>
        <v/>
      </c>
      <c r="AE26">
        <f>IF(入力!$D$28="","",IF(反映項目!$B$11="×","",IFERROR(INDEX(資格集約!$H$601:$H$626,MATCH(9,資格集約!$G$601:$G$626,0)),"")))</f>
        <v/>
      </c>
      <c r="AF26">
        <f>IF(入力!$D$28="","",IF(反映項目!$B$11="×","",IFERROR(INDEX(資格集約!$E$601:$E$626,MATCH(9,資格集約!$G$601:$G$626,0)),"")))</f>
        <v/>
      </c>
      <c r="AG26">
        <f>IF(入力!$D$28="","",IF(反映項目!$B$11="×","",IFERROR(INDEX(資格集約!$H$601:$H$626,MATCH(10,資格集約!$G$601:$G$626,0)),"")))</f>
        <v/>
      </c>
      <c r="AH26">
        <f>IF(入力!$D$28="","",IF(反映項目!$B$11="×","",IFERROR(INDEX(資格集約!$E$601:$E$626,MATCH(10,資格集約!$G$601:$G$626,0)),"")))</f>
        <v/>
      </c>
      <c r="AI26">
        <f>IF(入力!$D$28="","",IF(反映項目!$B$11="×","",IFERROR(INDEX(資格集約!$H$601:$H$626,MATCH(11,資格集約!$G$601:$G$626,0)),"")))</f>
        <v/>
      </c>
      <c r="AJ26">
        <f>IF(入力!$D$28="","",IF(反映項目!$B$11="×","",IFERROR(INDEX(資格集約!$E$601:$E$626,MATCH(11,資格集約!$G$601:$G$626,0)),"")))</f>
        <v/>
      </c>
      <c r="AK26">
        <f>IF(入力!$D$28="","",IF(反映項目!$B$11="×","",IFERROR(INDEX(資格集約!$H$601:$H$626,MATCH(12,資格集約!$G$601:$G$626,0)),"")))</f>
        <v/>
      </c>
      <c r="AL26">
        <f>IF(入力!$D$28="","",IF(反映項目!$B$11="×","",IFERROR(INDEX(資格集約!$E$601:$E$626,MATCH(12,資格集約!$G$601:$G$626,0)),"")))</f>
        <v/>
      </c>
      <c r="AM26">
        <f>IF(入力!$D$28="","",IF(反映項目!$B$11="×","",IFERROR(INDEX(資格集約!$H$601:$H$626,MATCH(13,資格集約!$G$601:$G$626,0)),"")))</f>
        <v/>
      </c>
      <c r="AN26">
        <f>IF(入力!$D$28="","",IF(反映項目!$B$11="×","",IFERROR(INDEX(資格集約!$E$601:$E$626,MATCH(13,資格集約!$G$601:$G$626,0)),"")))</f>
        <v/>
      </c>
      <c r="AO26">
        <f>IF(入力!$D$28="","",IF(反映項目!$B$11="×","",IFERROR(INDEX(資格集約!$H$601:$H$626,MATCH(14,資格集約!$G$601:$G$626,0)),"")))</f>
        <v/>
      </c>
      <c r="AP26">
        <f>IF(入力!$D$28="","",IF(反映項目!$B$11="×","",IFERROR(INDEX(資格集約!$E$601:$E$626,MATCH(14,資格集約!$G$601:$G$626,0)),"")))</f>
        <v/>
      </c>
      <c r="AQ26">
        <f>IF(入力!$D$28="","",IF(反映項目!$B$11="×","",IFERROR(INDEX(資格集約!$H$601:$H$626,MATCH(15,資格集約!$G$601:$G$626,0)),"")))</f>
        <v/>
      </c>
      <c r="AR26">
        <f>IF(入力!$D$28="","",IF(反映項目!$B$11="×","",IFERROR(INDEX(資格集約!$E$601:$E$626,MATCH(15,資格集約!$G$601:$G$626,0)),"")))</f>
        <v/>
      </c>
      <c r="AS26">
        <f>IF(入力!$D$28="","",IF(反映項目!$B$11="×","",IFERROR(INDEX(資格集約!$H$601:$H$626,MATCH(16,資格集約!$G$601:$G$626,0)),"")))</f>
        <v/>
      </c>
      <c r="AT26">
        <f>IF(入力!$D$28="","",IF(反映項目!$B$11="×","",IFERROR(INDEX(資格集約!$E$601:$E$626,MATCH(16,資格集約!$G$601:$G$626,0)),"")))</f>
        <v/>
      </c>
      <c r="AU26">
        <f>IF(入力!$D$28="","",IF(反映項目!$B$11="×","",IFERROR(INDEX(資格集約!$H$601:$H$626,MATCH(17,資格集約!$G$601:$G$626,0)),"")))</f>
        <v/>
      </c>
      <c r="AV26">
        <f>IF(入力!$D$28="","",IF(反映項目!$B$11="×","",IFERROR(INDEX(資格集約!$E$601:$E$626,MATCH(17,資格集約!$G$601:$G$626,0)),"")))</f>
        <v/>
      </c>
      <c r="AW26">
        <f>IF(入力!$D$28="","",IF(反映項目!$B$11="×","",IFERROR(INDEX(資格集約!$H$601:$H$626,MATCH(18,資格集約!$G$601:$G$626,0)),"")))</f>
        <v/>
      </c>
      <c r="AX26">
        <f>IF(入力!$D$28="","",IF(反映項目!$B$11="×","",IFERROR(INDEX(資格集約!$E$601:$E$626,MATCH(18,資格集約!$G$601:$G$626,0)),"")))</f>
        <v/>
      </c>
      <c r="AY26">
        <f>IF(入力!$D$28="","",IF(反映項目!$B$11="×","",IFERROR(INDEX(資格集約!$H$601:$H$626,MATCH(19,資格集約!$G$601:$G$626,0)),"")))</f>
        <v/>
      </c>
      <c r="AZ26">
        <f>IF(入力!$D$28="","",IF(反映項目!$B$11="×","",IFERROR(INDEX(資格集約!$E$601:$E$626,MATCH(19,資格集約!$G$601:$G$626,0)),"")))</f>
        <v/>
      </c>
      <c r="BA26">
        <f>IF(入力!$D$28="","",IF(反映項目!$B$11="×","",IFERROR(INDEX(資格集約!$H$601:$H$626,MATCH(20,資格集約!$G$601:$G$626,0)),"")))</f>
        <v/>
      </c>
      <c r="BB26">
        <f>IF(入力!$D$28="","",IF(反映項目!$B$11="×","",IFERROR(INDEX(資格集約!$E$601:$E$626,MATCH(20,資格集約!$G$601:$G$626,0)),"")))</f>
        <v/>
      </c>
      <c r="BC26">
        <f>IF(入力!$D$28="","",IF(反映項目!$B$11="×","",IFERROR(INDEX(資格集約!$H$601:$H$626,MATCH(21,資格集約!$G$601:$G$626,0)),"")))</f>
        <v/>
      </c>
      <c r="BD26">
        <f>IF(入力!$D$28="","",IF(反映項目!$B$11="×","",IFERROR(INDEX(資格集約!$E$601:$E$626,MATCH(21,資格集約!$G$601:$G$626,0)),"")))</f>
        <v/>
      </c>
      <c r="BE26">
        <f>IF(入力!$D$28="","",IF(反映項目!$B$11="×","",IFERROR(INDEX(資格集約!$H$601:$H$626,MATCH(22,資格集約!$G$601:$G$626,0)),"")))</f>
        <v/>
      </c>
      <c r="BF26">
        <f>IF(入力!$D$28="","",IF(反映項目!$B$11="×","",IFERROR(INDEX(資格集約!$E$601:$E$626,MATCH(22,資格集約!$G$601:$G$626,0)),"")))</f>
        <v/>
      </c>
      <c r="BG26">
        <f>IF(入力!$D$28="","",IF(反映項目!$B$11="×","",IFERROR(INDEX(資格集約!$H$601:$H$626,MATCH(23,資格集約!$G$601:$G$626,0)),"")))</f>
        <v/>
      </c>
      <c r="BH26">
        <f>IF(入力!$D$28="","",IF(反映項目!$B$11="×","",IFERROR(INDEX(資格集約!$E$601:$E$626,MATCH(23,資格集約!$G$601:$G$626,0)),"")))</f>
        <v/>
      </c>
      <c r="BI26">
        <f>IF(入力!$D$28="","",IF(反映項目!$B$11="×","",IFERROR(INDEX(資格集約!$H$601:$H$626,MATCH(24,資格集約!$G$601:$G$626,0)),"")))</f>
        <v/>
      </c>
      <c r="BJ26">
        <f>IF(入力!$D$28="","",IF(反映項目!$B$11="×","",IFERROR(INDEX(資格集約!$E$601:$E$626,MATCH(24,資格集約!$G$601:$G$626,0)),"")))</f>
        <v/>
      </c>
      <c r="BK26">
        <f>IF(入力!$D$28="","",IF(反映項目!$B$11="×","",IFERROR(INDEX(資格集約!$H$601:$H$626,MATCH(25,資格集約!$G$601:$G$626,0)),"")))</f>
        <v/>
      </c>
      <c r="BL26">
        <f>IF(入力!$D$28="","",IF(反映項目!$B$11="×","",IFERROR(INDEX(資格集約!$E$601:$E$626,MATCH(25,資格集約!$G$601:$G$626,0)),"")))</f>
        <v/>
      </c>
      <c r="BM26">
        <f>IF(入力!$D$28="","",IF(反映項目!$B$11="×","",IFERROR(INDEX(資格集約!$H$601:$H$626,MATCH(26,資格集約!$G$601:$G$626,0)),"")))</f>
        <v/>
      </c>
      <c r="BN26">
        <f>IF(入力!$D$28="","",IF(反映項目!$B$11="×","",IFERROR(INDEX(資格集約!$E$601:$E$626,MATCH(26,資格集約!$G$601:$G$626,0)),"")))</f>
        <v/>
      </c>
      <c r="BO26">
        <f>IF(入力!$D$28="","",IF(OR(反映項目!$B$12="×",入力!$Z$28=""),"",入力!$Z$28))</f>
        <v/>
      </c>
      <c r="BP26">
        <f>IF(入力!$D$28="","",IF(OR(反映項目!$B$13="×",入力!$AA$28=""),"",入力!$AA$28))</f>
        <v/>
      </c>
      <c r="BQ26">
        <f>IF(入力!$D$28="","",IF(OR(反映項目!$B$15="×",入力!$AF$28=""),"",入力!$AF$28))</f>
        <v/>
      </c>
      <c r="BR26">
        <f>IF(入力!$D$28="","",IF(OR(反映項目!$B$14="×",N($BZ$26)=0),"",YEAR($BZ$26)-IF($BZ$26&gt;=DATE(2019,5,1),2018,1988)))&amp;""</f>
        <v/>
      </c>
      <c r="BS26">
        <f>IF(入力!$D$28="","",IF(OR(反映項目!$B$14="×",N($BZ$26)=0),"",MONTH($BZ$26)))&amp;""</f>
        <v/>
      </c>
      <c r="BT26">
        <f>IF(入力!$D$28="","",IF(OR(反映項目!$B$14="×",入力!$AC$28=""),"",入力!$AC$28))</f>
        <v/>
      </c>
      <c r="BU26">
        <f>IF(入力!$D$28="","",IF(OR(反映項目!$B$14="×",N($CA$26)=0),"",YEAR($CA$26)-IF($CA$26&gt;=DATE(2019,5,1),2018,1988)))&amp;""</f>
        <v/>
      </c>
      <c r="BV26">
        <f>IF(入力!$D$28="","",IF(OR(反映項目!$B$14="×",N($CA$26)=0),"",MONTH($CA$26)))&amp;""</f>
        <v/>
      </c>
      <c r="BW26">
        <f>IF(入力!$D$28="","",IF(OR(反映項目!$B$14="×",入力!$AE$28=""),"",入力!$AE$28))</f>
        <v/>
      </c>
      <c r="BY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Z26">
        <f>IF(入力!$D$28="","",IF(入力!$AB$28="","",IF(ISNUMBER(入力!$AB$28),入力!$AB$28,IFERROR(IF(OR(LEFT(入力!$AB$28,2)="令和",LEFT(入力!$AB$28,2)="平成",LEFT(入力!$AB$28,2)="昭和",LEFT(入力!$AB$28,2)="大正"),DATE(VALUE(MID(入力!$AB$28,3,FIND("年",入力!$AB$28)-3))+IF(LEFT(入力!$AB$28,2)="令和",2018,IF(LEFT(入力!$AB$28,2)="平成",1988,IF(LEFT(入力!$AB$28,2)="昭和",1925,IF(LEFT(入力!$AB$28,2)="大正",1911,0)))),VALUE(MID(入力!$AB$28,FIND("年",入力!$AB$28)+1,FIND("月",入力!$AB$28)-FIND("年",入力!$AB$28)-1)),IFERROR(VALUE(SUBSTITUTE(MID(入力!$AB$28,FIND("月",入力!$AB$28)+1,10),"日","")),1)),DATE(VALUE(TRIM(MID(SUBSTITUTE(SUBSTITUTE(SUBSTITUTE(SUBSTITUTE(SUBSTITUTE(SUBSTITUTE(入力!$AB$28,"年","/"),"月","/"),"日",""),"-","/"),".","/"),"/",REPT(" ",50)),1,50))),VALUE(TRIM(MID(SUBSTITUTE(SUBSTITUTE(SUBSTITUTE(SUBSTITUTE(SUBSTITUTE(SUBSTITUTE(入力!$AB$28,"年","/"),"月","/"),"日",""),"-","/"),".","/"),"/",REPT(" ",50)),51,50))),IFERROR(VALUE(TRIM(MID(SUBSTITUTE(SUBSTITUTE(SUBSTITUTE(SUBSTITUTE(SUBSTITUTE(SUBSTITUTE(入力!$AB$28,"年","/"),"月","/"),"日",""),"-","/"),".","/"),"/",REPT(" ",50)),101,50))),1))),IFERROR(DATEVALUE(入力!$AB$28),"")))))</f>
        <v/>
      </c>
      <c r="CA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CB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amp;IF($AR26="","",CHAR(10)&amp;$AQ26)&amp;IF($AT26="","",CHAR(10)&amp;$AS26)&amp;IF($AV26="","",CHAR(10)&amp;$AU26)&amp;IF($AX26="","",CHAR(10)&amp;$AW26)&amp;IF($AZ26="","",CHAR(10)&amp;$AY26)&amp;IF($BB26="","",CHAR(10)&amp;$BA26)&amp;IF($BD26="","",CHAR(10)&amp;$BC26)&amp;IF($BF26="","",CHAR(10)&amp;$BE26)&amp;IF($BH26="","",CHAR(10)&amp;$BG26)&amp;IF($BJ26="","",CHAR(10)&amp;$BI26)&amp;IF($BL26="","",CHAR(10)&amp;$BK26)&amp;IF($BN26="","",CHAR(10)&amp;$BM26))</f>
        <v/>
      </c>
      <c r="CC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amp;IF($AR26="","",CHAR(10)&amp;$AR26)&amp;IF($AT26="","",CHAR(10)&amp;$AT26)&amp;IF($AV26="","",CHAR(10)&amp;$AV26)&amp;IF($AX26="","",CHAR(10)&amp;$AX26)&amp;IF($AZ26="","",CHAR(10)&amp;$AZ26)&amp;IF($BB26="","",CHAR(10)&amp;$BB26)&amp;IF($BD26="","",CHAR(10)&amp;$BD26)&amp;IF($BF26="","",CHAR(10)&amp;$BF26)&amp;IF($BH26="","",CHAR(10)&amp;$BH26)&amp;IF($BJ26="","",CHAR(10)&amp;$BJ26)&amp;IF($BL26="","",CHAR(10)&amp;$BL26)&amp;IF($BN26="","",CHAR(10)&amp;$BN26))</f>
        <v/>
      </c>
      <c r="CD26">
        <f>IF(入力!$D$28="","",IF($P26="",0,1)+IF($R26="",0,1)+IF($T26="",0,1)+IF($V26="",0,1)+IF($X26="",0,1)+IF($Z26="",0,1)+IF($AB26="",0,1)+IF($AD26="",0,1)+IF($AF26="",0,1)+IF($AH26="",0,1)+IF($AJ26="",0,1)+IF($AL26="",0,1)+IF($AN26="",0,1)+IF($AP26="",0,1)+IF($AR26="",0,1)+IF($AT26="",0,1)+IF($AV26="",0,1)+IF($AX26="",0,1)+IF($AZ26="",0,1)+IF($BB26="",0,1)+IF($BD26="",0,1)+IF($BF26="",0,1)+IF($BH26="",0,1)+IF($BJ26="",0,1)+IF($BL26="",0,1)+IF($BN26="",0,1))</f>
        <v/>
      </c>
    </row>
    <row r="27">
      <c r="A27" t="n">
        <v>25</v>
      </c>
      <c r="B27">
        <f>IF(入力!$D$29="","",IF(OR(反映項目!$B$4="×",入力!$D$29=""),"",入力!$D$29))</f>
        <v/>
      </c>
      <c r="C27">
        <f>IF(入力!$D$29="","",IF(OR(反映項目!$B$5="×",入力!$E$29=""),"",入力!$E$29))</f>
        <v/>
      </c>
      <c r="D27">
        <f>IF(入力!$D$29="","",IF(OR(反映項目!$B$6="×",N($BY$27)=0),"",YEAR($BY$27)-IF($BY$27&gt;=DATE(2019,5,1),2018,IF($BY$27&gt;=DATE(1989,1,8),1988,1925))))&amp;""</f>
        <v/>
      </c>
      <c r="E27">
        <f>IF(入力!$D$29="","",IF(OR(反映項目!$B$6="×",N($BY$27)=0),"",MONTH($BY$27)))&amp;""</f>
        <v/>
      </c>
      <c r="F27">
        <f>IF(入力!$D$29="","",IF(OR(反映項目!$B$6="×",N($BY$27)=0),"",DAY($BY$27)))&amp;""</f>
        <v/>
      </c>
      <c r="G27">
        <f>IF(入力!$D$29="","",IF(OR(反映項目!$B$6="×",OR(N($BY$27)=0,N(設定!$B$3)=0)),"",DATEDIF($BY$27,設定!$B$3,"Y")))&amp;""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IF(入力!$D$29="","",IF(OR(反映項目!$B$10="×",入力!$K$29=""),"",入力!$K$29))</f>
        <v/>
      </c>
      <c r="M27">
        <f>IF(入力!$D$29="","",IF(OR(反映項目!$B$10="×",入力!$L$29=""),"",入力!$L$29))</f>
        <v/>
      </c>
      <c r="N27">
        <f>IF(入力!$D$29="","",設定!$B$4&amp;CHAR(10)&amp;IF(入力!$M$29="",設定!$B$5,入力!$M$29))</f>
        <v/>
      </c>
      <c r="O27">
        <f>IF(入力!$D$29="","",IF(反映項目!$B$11="×","",IFERROR(INDEX(資格集約!$H$627:$H$652,MATCH(1,資格集約!$G$627:$G$652,0)),"")))</f>
        <v/>
      </c>
      <c r="P27">
        <f>IF(入力!$D$29="","",IF(反映項目!$B$11="×","",IFERROR(INDEX(資格集約!$E$627:$E$652,MATCH(1,資格集約!$G$627:$G$652,0)),"")))</f>
        <v/>
      </c>
      <c r="Q27">
        <f>IF(入力!$D$29="","",IF(反映項目!$B$11="×","",IFERROR(INDEX(資格集約!$H$627:$H$652,MATCH(2,資格集約!$G$627:$G$652,0)),"")))</f>
        <v/>
      </c>
      <c r="R27">
        <f>IF(入力!$D$29="","",IF(反映項目!$B$11="×","",IFERROR(INDEX(資格集約!$E$627:$E$652,MATCH(2,資格集約!$G$627:$G$652,0)),"")))</f>
        <v/>
      </c>
      <c r="S27">
        <f>IF(入力!$D$29="","",IF(反映項目!$B$11="×","",IFERROR(INDEX(資格集約!$H$627:$H$652,MATCH(3,資格集約!$G$627:$G$652,0)),"")))</f>
        <v/>
      </c>
      <c r="T27">
        <f>IF(入力!$D$29="","",IF(反映項目!$B$11="×","",IFERROR(INDEX(資格集約!$E$627:$E$652,MATCH(3,資格集約!$G$627:$G$652,0)),"")))</f>
        <v/>
      </c>
      <c r="U27">
        <f>IF(入力!$D$29="","",IF(反映項目!$B$11="×","",IFERROR(INDEX(資格集約!$H$627:$H$652,MATCH(4,資格集約!$G$627:$G$652,0)),"")))</f>
        <v/>
      </c>
      <c r="V27">
        <f>IF(入力!$D$29="","",IF(反映項目!$B$11="×","",IFERROR(INDEX(資格集約!$E$627:$E$652,MATCH(4,資格集約!$G$627:$G$652,0)),"")))</f>
        <v/>
      </c>
      <c r="W27">
        <f>IF(入力!$D$29="","",IF(反映項目!$B$11="×","",IFERROR(INDEX(資格集約!$H$627:$H$652,MATCH(5,資格集約!$G$627:$G$652,0)),"")))</f>
        <v/>
      </c>
      <c r="X27">
        <f>IF(入力!$D$29="","",IF(反映項目!$B$11="×","",IFERROR(INDEX(資格集約!$E$627:$E$652,MATCH(5,資格集約!$G$627:$G$652,0)),"")))</f>
        <v/>
      </c>
      <c r="Y27">
        <f>IF(入力!$D$29="","",IF(反映項目!$B$11="×","",IFERROR(INDEX(資格集約!$H$627:$H$652,MATCH(6,資格集約!$G$627:$G$652,0)),"")))</f>
        <v/>
      </c>
      <c r="Z27">
        <f>IF(入力!$D$29="","",IF(反映項目!$B$11="×","",IFERROR(INDEX(資格集約!$E$627:$E$652,MATCH(6,資格集約!$G$627:$G$652,0)),"")))</f>
        <v/>
      </c>
      <c r="AA27">
        <f>IF(入力!$D$29="","",IF(反映項目!$B$11="×","",IFERROR(INDEX(資格集約!$H$627:$H$652,MATCH(7,資格集約!$G$627:$G$652,0)),"")))</f>
        <v/>
      </c>
      <c r="AB27">
        <f>IF(入力!$D$29="","",IF(反映項目!$B$11="×","",IFERROR(INDEX(資格集約!$E$627:$E$652,MATCH(7,資格集約!$G$627:$G$652,0)),"")))</f>
        <v/>
      </c>
      <c r="AC27">
        <f>IF(入力!$D$29="","",IF(反映項目!$B$11="×","",IFERROR(INDEX(資格集約!$H$627:$H$652,MATCH(8,資格集約!$G$627:$G$652,0)),"")))</f>
        <v/>
      </c>
      <c r="AD27">
        <f>IF(入力!$D$29="","",IF(反映項目!$B$11="×","",IFERROR(INDEX(資格集約!$E$627:$E$652,MATCH(8,資格集約!$G$627:$G$652,0)),"")))</f>
        <v/>
      </c>
      <c r="AE27">
        <f>IF(入力!$D$29="","",IF(反映項目!$B$11="×","",IFERROR(INDEX(資格集約!$H$627:$H$652,MATCH(9,資格集約!$G$627:$G$652,0)),"")))</f>
        <v/>
      </c>
      <c r="AF27">
        <f>IF(入力!$D$29="","",IF(反映項目!$B$11="×","",IFERROR(INDEX(資格集約!$E$627:$E$652,MATCH(9,資格集約!$G$627:$G$652,0)),"")))</f>
        <v/>
      </c>
      <c r="AG27">
        <f>IF(入力!$D$29="","",IF(反映項目!$B$11="×","",IFERROR(INDEX(資格集約!$H$627:$H$652,MATCH(10,資格集約!$G$627:$G$652,0)),"")))</f>
        <v/>
      </c>
      <c r="AH27">
        <f>IF(入力!$D$29="","",IF(反映項目!$B$11="×","",IFERROR(INDEX(資格集約!$E$627:$E$652,MATCH(10,資格集約!$G$627:$G$652,0)),"")))</f>
        <v/>
      </c>
      <c r="AI27">
        <f>IF(入力!$D$29="","",IF(反映項目!$B$11="×","",IFERROR(INDEX(資格集約!$H$627:$H$652,MATCH(11,資格集約!$G$627:$G$652,0)),"")))</f>
        <v/>
      </c>
      <c r="AJ27">
        <f>IF(入力!$D$29="","",IF(反映項目!$B$11="×","",IFERROR(INDEX(資格集約!$E$627:$E$652,MATCH(11,資格集約!$G$627:$G$652,0)),"")))</f>
        <v/>
      </c>
      <c r="AK27">
        <f>IF(入力!$D$29="","",IF(反映項目!$B$11="×","",IFERROR(INDEX(資格集約!$H$627:$H$652,MATCH(12,資格集約!$G$627:$G$652,0)),"")))</f>
        <v/>
      </c>
      <c r="AL27">
        <f>IF(入力!$D$29="","",IF(反映項目!$B$11="×","",IFERROR(INDEX(資格集約!$E$627:$E$652,MATCH(12,資格集約!$G$627:$G$652,0)),"")))</f>
        <v/>
      </c>
      <c r="AM27">
        <f>IF(入力!$D$29="","",IF(反映項目!$B$11="×","",IFERROR(INDEX(資格集約!$H$627:$H$652,MATCH(13,資格集約!$G$627:$G$652,0)),"")))</f>
        <v/>
      </c>
      <c r="AN27">
        <f>IF(入力!$D$29="","",IF(反映項目!$B$11="×","",IFERROR(INDEX(資格集約!$E$627:$E$652,MATCH(13,資格集約!$G$627:$G$652,0)),"")))</f>
        <v/>
      </c>
      <c r="AO27">
        <f>IF(入力!$D$29="","",IF(反映項目!$B$11="×","",IFERROR(INDEX(資格集約!$H$627:$H$652,MATCH(14,資格集約!$G$627:$G$652,0)),"")))</f>
        <v/>
      </c>
      <c r="AP27">
        <f>IF(入力!$D$29="","",IF(反映項目!$B$11="×","",IFERROR(INDEX(資格集約!$E$627:$E$652,MATCH(14,資格集約!$G$627:$G$652,0)),"")))</f>
        <v/>
      </c>
      <c r="AQ27">
        <f>IF(入力!$D$29="","",IF(反映項目!$B$11="×","",IFERROR(INDEX(資格集約!$H$627:$H$652,MATCH(15,資格集約!$G$627:$G$652,0)),"")))</f>
        <v/>
      </c>
      <c r="AR27">
        <f>IF(入力!$D$29="","",IF(反映項目!$B$11="×","",IFERROR(INDEX(資格集約!$E$627:$E$652,MATCH(15,資格集約!$G$627:$G$652,0)),"")))</f>
        <v/>
      </c>
      <c r="AS27">
        <f>IF(入力!$D$29="","",IF(反映項目!$B$11="×","",IFERROR(INDEX(資格集約!$H$627:$H$652,MATCH(16,資格集約!$G$627:$G$652,0)),"")))</f>
        <v/>
      </c>
      <c r="AT27">
        <f>IF(入力!$D$29="","",IF(反映項目!$B$11="×","",IFERROR(INDEX(資格集約!$E$627:$E$652,MATCH(16,資格集約!$G$627:$G$652,0)),"")))</f>
        <v/>
      </c>
      <c r="AU27">
        <f>IF(入力!$D$29="","",IF(反映項目!$B$11="×","",IFERROR(INDEX(資格集約!$H$627:$H$652,MATCH(17,資格集約!$G$627:$G$652,0)),"")))</f>
        <v/>
      </c>
      <c r="AV27">
        <f>IF(入力!$D$29="","",IF(反映項目!$B$11="×","",IFERROR(INDEX(資格集約!$E$627:$E$652,MATCH(17,資格集約!$G$627:$G$652,0)),"")))</f>
        <v/>
      </c>
      <c r="AW27">
        <f>IF(入力!$D$29="","",IF(反映項目!$B$11="×","",IFERROR(INDEX(資格集約!$H$627:$H$652,MATCH(18,資格集約!$G$627:$G$652,0)),"")))</f>
        <v/>
      </c>
      <c r="AX27">
        <f>IF(入力!$D$29="","",IF(反映項目!$B$11="×","",IFERROR(INDEX(資格集約!$E$627:$E$652,MATCH(18,資格集約!$G$627:$G$652,0)),"")))</f>
        <v/>
      </c>
      <c r="AY27">
        <f>IF(入力!$D$29="","",IF(反映項目!$B$11="×","",IFERROR(INDEX(資格集約!$H$627:$H$652,MATCH(19,資格集約!$G$627:$G$652,0)),"")))</f>
        <v/>
      </c>
      <c r="AZ27">
        <f>IF(入力!$D$29="","",IF(反映項目!$B$11="×","",IFERROR(INDEX(資格集約!$E$627:$E$652,MATCH(19,資格集約!$G$627:$G$652,0)),"")))</f>
        <v/>
      </c>
      <c r="BA27">
        <f>IF(入力!$D$29="","",IF(反映項目!$B$11="×","",IFERROR(INDEX(資格集約!$H$627:$H$652,MATCH(20,資格集約!$G$627:$G$652,0)),"")))</f>
        <v/>
      </c>
      <c r="BB27">
        <f>IF(入力!$D$29="","",IF(反映項目!$B$11="×","",IFERROR(INDEX(資格集約!$E$627:$E$652,MATCH(20,資格集約!$G$627:$G$652,0)),"")))</f>
        <v/>
      </c>
      <c r="BC27">
        <f>IF(入力!$D$29="","",IF(反映項目!$B$11="×","",IFERROR(INDEX(資格集約!$H$627:$H$652,MATCH(21,資格集約!$G$627:$G$652,0)),"")))</f>
        <v/>
      </c>
      <c r="BD27">
        <f>IF(入力!$D$29="","",IF(反映項目!$B$11="×","",IFERROR(INDEX(資格集約!$E$627:$E$652,MATCH(21,資格集約!$G$627:$G$652,0)),"")))</f>
        <v/>
      </c>
      <c r="BE27">
        <f>IF(入力!$D$29="","",IF(反映項目!$B$11="×","",IFERROR(INDEX(資格集約!$H$627:$H$652,MATCH(22,資格集約!$G$627:$G$652,0)),"")))</f>
        <v/>
      </c>
      <c r="BF27">
        <f>IF(入力!$D$29="","",IF(反映項目!$B$11="×","",IFERROR(INDEX(資格集約!$E$627:$E$652,MATCH(22,資格集約!$G$627:$G$652,0)),"")))</f>
        <v/>
      </c>
      <c r="BG27">
        <f>IF(入力!$D$29="","",IF(反映項目!$B$11="×","",IFERROR(INDEX(資格集約!$H$627:$H$652,MATCH(23,資格集約!$G$627:$G$652,0)),"")))</f>
        <v/>
      </c>
      <c r="BH27">
        <f>IF(入力!$D$29="","",IF(反映項目!$B$11="×","",IFERROR(INDEX(資格集約!$E$627:$E$652,MATCH(23,資格集約!$G$627:$G$652,0)),"")))</f>
        <v/>
      </c>
      <c r="BI27">
        <f>IF(入力!$D$29="","",IF(反映項目!$B$11="×","",IFERROR(INDEX(資格集約!$H$627:$H$652,MATCH(24,資格集約!$G$627:$G$652,0)),"")))</f>
        <v/>
      </c>
      <c r="BJ27">
        <f>IF(入力!$D$29="","",IF(反映項目!$B$11="×","",IFERROR(INDEX(資格集約!$E$627:$E$652,MATCH(24,資格集約!$G$627:$G$652,0)),"")))</f>
        <v/>
      </c>
      <c r="BK27">
        <f>IF(入力!$D$29="","",IF(反映項目!$B$11="×","",IFERROR(INDEX(資格集約!$H$627:$H$652,MATCH(25,資格集約!$G$627:$G$652,0)),"")))</f>
        <v/>
      </c>
      <c r="BL27">
        <f>IF(入力!$D$29="","",IF(反映項目!$B$11="×","",IFERROR(INDEX(資格集約!$E$627:$E$652,MATCH(25,資格集約!$G$627:$G$652,0)),"")))</f>
        <v/>
      </c>
      <c r="BM27">
        <f>IF(入力!$D$29="","",IF(反映項目!$B$11="×","",IFERROR(INDEX(資格集約!$H$627:$H$652,MATCH(26,資格集約!$G$627:$G$652,0)),"")))</f>
        <v/>
      </c>
      <c r="BN27">
        <f>IF(入力!$D$29="","",IF(反映項目!$B$11="×","",IFERROR(INDEX(資格集約!$E$627:$E$652,MATCH(26,資格集約!$G$627:$G$652,0)),"")))</f>
        <v/>
      </c>
      <c r="BO27">
        <f>IF(入力!$D$29="","",IF(OR(反映項目!$B$12="×",入力!$Z$29=""),"",入力!$Z$29))</f>
        <v/>
      </c>
      <c r="BP27">
        <f>IF(入力!$D$29="","",IF(OR(反映項目!$B$13="×",入力!$AA$29=""),"",入力!$AA$29))</f>
        <v/>
      </c>
      <c r="BQ27">
        <f>IF(入力!$D$29="","",IF(OR(反映項目!$B$15="×",入力!$AF$29=""),"",入力!$AF$29))</f>
        <v/>
      </c>
      <c r="BR27">
        <f>IF(入力!$D$29="","",IF(OR(反映項目!$B$14="×",N($BZ$27)=0),"",YEAR($BZ$27)-IF($BZ$27&gt;=DATE(2019,5,1),2018,1988)))&amp;""</f>
        <v/>
      </c>
      <c r="BS27">
        <f>IF(入力!$D$29="","",IF(OR(反映項目!$B$14="×",N($BZ$27)=0),"",MONTH($BZ$27)))&amp;""</f>
        <v/>
      </c>
      <c r="BT27">
        <f>IF(入力!$D$29="","",IF(OR(反映項目!$B$14="×",入力!$AC$29=""),"",入力!$AC$29))</f>
        <v/>
      </c>
      <c r="BU27">
        <f>IF(入力!$D$29="","",IF(OR(反映項目!$B$14="×",N($CA$27)=0),"",YEAR($CA$27)-IF($CA$27&gt;=DATE(2019,5,1),2018,1988)))&amp;""</f>
        <v/>
      </c>
      <c r="BV27">
        <f>IF(入力!$D$29="","",IF(OR(反映項目!$B$14="×",N($CA$27)=0),"",MONTH($CA$27)))&amp;""</f>
        <v/>
      </c>
      <c r="BW27">
        <f>IF(入力!$D$29="","",IF(OR(反映項目!$B$14="×",入力!$AE$29=""),"",入力!$AE$29))</f>
        <v/>
      </c>
      <c r="BY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Z27">
        <f>IF(入力!$D$29="","",IF(入力!$AB$29="","",IF(ISNUMBER(入力!$AB$29),入力!$AB$29,IFERROR(IF(OR(LEFT(入力!$AB$29,2)="令和",LEFT(入力!$AB$29,2)="平成",LEFT(入力!$AB$29,2)="昭和",LEFT(入力!$AB$29,2)="大正"),DATE(VALUE(MID(入力!$AB$29,3,FIND("年",入力!$AB$29)-3))+IF(LEFT(入力!$AB$29,2)="令和",2018,IF(LEFT(入力!$AB$29,2)="平成",1988,IF(LEFT(入力!$AB$29,2)="昭和",1925,IF(LEFT(入力!$AB$29,2)="大正",1911,0)))),VALUE(MID(入力!$AB$29,FIND("年",入力!$AB$29)+1,FIND("月",入力!$AB$29)-FIND("年",入力!$AB$29)-1)),IFERROR(VALUE(SUBSTITUTE(MID(入力!$AB$29,FIND("月",入力!$AB$29)+1,10),"日","")),1)),DATE(VALUE(TRIM(MID(SUBSTITUTE(SUBSTITUTE(SUBSTITUTE(SUBSTITUTE(SUBSTITUTE(SUBSTITUTE(入力!$AB$29,"年","/"),"月","/"),"日",""),"-","/"),".","/"),"/",REPT(" ",50)),1,50))),VALUE(TRIM(MID(SUBSTITUTE(SUBSTITUTE(SUBSTITUTE(SUBSTITUTE(SUBSTITUTE(SUBSTITUTE(入力!$AB$29,"年","/"),"月","/"),"日",""),"-","/"),".","/"),"/",REPT(" ",50)),51,50))),IFERROR(VALUE(TRIM(MID(SUBSTITUTE(SUBSTITUTE(SUBSTITUTE(SUBSTITUTE(SUBSTITUTE(SUBSTITUTE(入力!$AB$29,"年","/"),"月","/"),"日",""),"-","/"),".","/"),"/",REPT(" ",50)),101,50))),1))),IFERROR(DATEVALUE(入力!$AB$29),"")))))</f>
        <v/>
      </c>
      <c r="CA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CB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amp;IF($AR27="","",CHAR(10)&amp;$AQ27)&amp;IF($AT27="","",CHAR(10)&amp;$AS27)&amp;IF($AV27="","",CHAR(10)&amp;$AU27)&amp;IF($AX27="","",CHAR(10)&amp;$AW27)&amp;IF($AZ27="","",CHAR(10)&amp;$AY27)&amp;IF($BB27="","",CHAR(10)&amp;$BA27)&amp;IF($BD27="","",CHAR(10)&amp;$BC27)&amp;IF($BF27="","",CHAR(10)&amp;$BE27)&amp;IF($BH27="","",CHAR(10)&amp;$BG27)&amp;IF($BJ27="","",CHAR(10)&amp;$BI27)&amp;IF($BL27="","",CHAR(10)&amp;$BK27)&amp;IF($BN27="","",CHAR(10)&amp;$BM27))</f>
        <v/>
      </c>
      <c r="CC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amp;IF($AR27="","",CHAR(10)&amp;$AR27)&amp;IF($AT27="","",CHAR(10)&amp;$AT27)&amp;IF($AV27="","",CHAR(10)&amp;$AV27)&amp;IF($AX27="","",CHAR(10)&amp;$AX27)&amp;IF($AZ27="","",CHAR(10)&amp;$AZ27)&amp;IF($BB27="","",CHAR(10)&amp;$BB27)&amp;IF($BD27="","",CHAR(10)&amp;$BD27)&amp;IF($BF27="","",CHAR(10)&amp;$BF27)&amp;IF($BH27="","",CHAR(10)&amp;$BH27)&amp;IF($BJ27="","",CHAR(10)&amp;$BJ27)&amp;IF($BL27="","",CHAR(10)&amp;$BL27)&amp;IF($BN27="","",CHAR(10)&amp;$BN27))</f>
        <v/>
      </c>
      <c r="CD27">
        <f>IF(入力!$D$29="","",IF($P27="",0,1)+IF($R27="",0,1)+IF($T27="",0,1)+IF($V27="",0,1)+IF($X27="",0,1)+IF($Z27="",0,1)+IF($AB27="",0,1)+IF($AD27="",0,1)+IF($AF27="",0,1)+IF($AH27="",0,1)+IF($AJ27="",0,1)+IF($AL27="",0,1)+IF($AN27="",0,1)+IF($AP27="",0,1)+IF($AR27="",0,1)+IF($AT27="",0,1)+IF($AV27="",0,1)+IF($AX27="",0,1)+IF($AZ27="",0,1)+IF($BB27="",0,1)+IF($BD27="",0,1)+IF($BF27="",0,1)+IF($BH27="",0,1)+IF($BJ27="",0,1)+IF($BL27="",0,1)+IF($BN27="",0,1))</f>
        <v/>
      </c>
    </row>
    <row r="28">
      <c r="A28" t="n">
        <v>26</v>
      </c>
      <c r="B28">
        <f>IF(入力!$D$30="","",IF(OR(反映項目!$B$4="×",入力!$D$30=""),"",入力!$D$30))</f>
        <v/>
      </c>
      <c r="C28">
        <f>IF(入力!$D$30="","",IF(OR(反映項目!$B$5="×",入力!$E$30=""),"",入力!$E$30))</f>
        <v/>
      </c>
      <c r="D28">
        <f>IF(入力!$D$30="","",IF(OR(反映項目!$B$6="×",N($BY$28)=0),"",YEAR($BY$28)-IF($BY$28&gt;=DATE(2019,5,1),2018,IF($BY$28&gt;=DATE(1989,1,8),1988,1925))))&amp;""</f>
        <v/>
      </c>
      <c r="E28">
        <f>IF(入力!$D$30="","",IF(OR(反映項目!$B$6="×",N($BY$28)=0),"",MONTH($BY$28)))&amp;""</f>
        <v/>
      </c>
      <c r="F28">
        <f>IF(入力!$D$30="","",IF(OR(反映項目!$B$6="×",N($BY$28)=0),"",DAY($BY$28)))&amp;""</f>
        <v/>
      </c>
      <c r="G28">
        <f>IF(入力!$D$30="","",IF(OR(反映項目!$B$6="×",OR(N($BY$28)=0,N(設定!$B$3)=0)),"",DATEDIF($BY$28,設定!$B$3,"Y")))&amp;""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IF(入力!$D$30="","",IF(OR(反映項目!$B$10="×",入力!$K$30=""),"",入力!$K$30))</f>
        <v/>
      </c>
      <c r="M28">
        <f>IF(入力!$D$30="","",IF(OR(反映項目!$B$10="×",入力!$L$30=""),"",入力!$L$30))</f>
        <v/>
      </c>
      <c r="N28">
        <f>IF(入力!$D$30="","",設定!$B$4&amp;CHAR(10)&amp;IF(入力!$M$30="",設定!$B$5,入力!$M$30))</f>
        <v/>
      </c>
      <c r="O28">
        <f>IF(入力!$D$30="","",IF(反映項目!$B$11="×","",IFERROR(INDEX(資格集約!$H$653:$H$678,MATCH(1,資格集約!$G$653:$G$678,0)),"")))</f>
        <v/>
      </c>
      <c r="P28">
        <f>IF(入力!$D$30="","",IF(反映項目!$B$11="×","",IFERROR(INDEX(資格集約!$E$653:$E$678,MATCH(1,資格集約!$G$653:$G$678,0)),"")))</f>
        <v/>
      </c>
      <c r="Q28">
        <f>IF(入力!$D$30="","",IF(反映項目!$B$11="×","",IFERROR(INDEX(資格集約!$H$653:$H$678,MATCH(2,資格集約!$G$653:$G$678,0)),"")))</f>
        <v/>
      </c>
      <c r="R28">
        <f>IF(入力!$D$30="","",IF(反映項目!$B$11="×","",IFERROR(INDEX(資格集約!$E$653:$E$678,MATCH(2,資格集約!$G$653:$G$678,0)),"")))</f>
        <v/>
      </c>
      <c r="S28">
        <f>IF(入力!$D$30="","",IF(反映項目!$B$11="×","",IFERROR(INDEX(資格集約!$H$653:$H$678,MATCH(3,資格集約!$G$653:$G$678,0)),"")))</f>
        <v/>
      </c>
      <c r="T28">
        <f>IF(入力!$D$30="","",IF(反映項目!$B$11="×","",IFERROR(INDEX(資格集約!$E$653:$E$678,MATCH(3,資格集約!$G$653:$G$678,0)),"")))</f>
        <v/>
      </c>
      <c r="U28">
        <f>IF(入力!$D$30="","",IF(反映項目!$B$11="×","",IFERROR(INDEX(資格集約!$H$653:$H$678,MATCH(4,資格集約!$G$653:$G$678,0)),"")))</f>
        <v/>
      </c>
      <c r="V28">
        <f>IF(入力!$D$30="","",IF(反映項目!$B$11="×","",IFERROR(INDEX(資格集約!$E$653:$E$678,MATCH(4,資格集約!$G$653:$G$678,0)),"")))</f>
        <v/>
      </c>
      <c r="W28">
        <f>IF(入力!$D$30="","",IF(反映項目!$B$11="×","",IFERROR(INDEX(資格集約!$H$653:$H$678,MATCH(5,資格集約!$G$653:$G$678,0)),"")))</f>
        <v/>
      </c>
      <c r="X28">
        <f>IF(入力!$D$30="","",IF(反映項目!$B$11="×","",IFERROR(INDEX(資格集約!$E$653:$E$678,MATCH(5,資格集約!$G$653:$G$678,0)),"")))</f>
        <v/>
      </c>
      <c r="Y28">
        <f>IF(入力!$D$30="","",IF(反映項目!$B$11="×","",IFERROR(INDEX(資格集約!$H$653:$H$678,MATCH(6,資格集約!$G$653:$G$678,0)),"")))</f>
        <v/>
      </c>
      <c r="Z28">
        <f>IF(入力!$D$30="","",IF(反映項目!$B$11="×","",IFERROR(INDEX(資格集約!$E$653:$E$678,MATCH(6,資格集約!$G$653:$G$678,0)),"")))</f>
        <v/>
      </c>
      <c r="AA28">
        <f>IF(入力!$D$30="","",IF(反映項目!$B$11="×","",IFERROR(INDEX(資格集約!$H$653:$H$678,MATCH(7,資格集約!$G$653:$G$678,0)),"")))</f>
        <v/>
      </c>
      <c r="AB28">
        <f>IF(入力!$D$30="","",IF(反映項目!$B$11="×","",IFERROR(INDEX(資格集約!$E$653:$E$678,MATCH(7,資格集約!$G$653:$G$678,0)),"")))</f>
        <v/>
      </c>
      <c r="AC28">
        <f>IF(入力!$D$30="","",IF(反映項目!$B$11="×","",IFERROR(INDEX(資格集約!$H$653:$H$678,MATCH(8,資格集約!$G$653:$G$678,0)),"")))</f>
        <v/>
      </c>
      <c r="AD28">
        <f>IF(入力!$D$30="","",IF(反映項目!$B$11="×","",IFERROR(INDEX(資格集約!$E$653:$E$678,MATCH(8,資格集約!$G$653:$G$678,0)),"")))</f>
        <v/>
      </c>
      <c r="AE28">
        <f>IF(入力!$D$30="","",IF(反映項目!$B$11="×","",IFERROR(INDEX(資格集約!$H$653:$H$678,MATCH(9,資格集約!$G$653:$G$678,0)),"")))</f>
        <v/>
      </c>
      <c r="AF28">
        <f>IF(入力!$D$30="","",IF(反映項目!$B$11="×","",IFERROR(INDEX(資格集約!$E$653:$E$678,MATCH(9,資格集約!$G$653:$G$678,0)),"")))</f>
        <v/>
      </c>
      <c r="AG28">
        <f>IF(入力!$D$30="","",IF(反映項目!$B$11="×","",IFERROR(INDEX(資格集約!$H$653:$H$678,MATCH(10,資格集約!$G$653:$G$678,0)),"")))</f>
        <v/>
      </c>
      <c r="AH28">
        <f>IF(入力!$D$30="","",IF(反映項目!$B$11="×","",IFERROR(INDEX(資格集約!$E$653:$E$678,MATCH(10,資格集約!$G$653:$G$678,0)),"")))</f>
        <v/>
      </c>
      <c r="AI28">
        <f>IF(入力!$D$30="","",IF(反映項目!$B$11="×","",IFERROR(INDEX(資格集約!$H$653:$H$678,MATCH(11,資格集約!$G$653:$G$678,0)),"")))</f>
        <v/>
      </c>
      <c r="AJ28">
        <f>IF(入力!$D$30="","",IF(反映項目!$B$11="×","",IFERROR(INDEX(資格集約!$E$653:$E$678,MATCH(11,資格集約!$G$653:$G$678,0)),"")))</f>
        <v/>
      </c>
      <c r="AK28">
        <f>IF(入力!$D$30="","",IF(反映項目!$B$11="×","",IFERROR(INDEX(資格集約!$H$653:$H$678,MATCH(12,資格集約!$G$653:$G$678,0)),"")))</f>
        <v/>
      </c>
      <c r="AL28">
        <f>IF(入力!$D$30="","",IF(反映項目!$B$11="×","",IFERROR(INDEX(資格集約!$E$653:$E$678,MATCH(12,資格集約!$G$653:$G$678,0)),"")))</f>
        <v/>
      </c>
      <c r="AM28">
        <f>IF(入力!$D$30="","",IF(反映項目!$B$11="×","",IFERROR(INDEX(資格集約!$H$653:$H$678,MATCH(13,資格集約!$G$653:$G$678,0)),"")))</f>
        <v/>
      </c>
      <c r="AN28">
        <f>IF(入力!$D$30="","",IF(反映項目!$B$11="×","",IFERROR(INDEX(資格集約!$E$653:$E$678,MATCH(13,資格集約!$G$653:$G$678,0)),"")))</f>
        <v/>
      </c>
      <c r="AO28">
        <f>IF(入力!$D$30="","",IF(反映項目!$B$11="×","",IFERROR(INDEX(資格集約!$H$653:$H$678,MATCH(14,資格集約!$G$653:$G$678,0)),"")))</f>
        <v/>
      </c>
      <c r="AP28">
        <f>IF(入力!$D$30="","",IF(反映項目!$B$11="×","",IFERROR(INDEX(資格集約!$E$653:$E$678,MATCH(14,資格集約!$G$653:$G$678,0)),"")))</f>
        <v/>
      </c>
      <c r="AQ28">
        <f>IF(入力!$D$30="","",IF(反映項目!$B$11="×","",IFERROR(INDEX(資格集約!$H$653:$H$678,MATCH(15,資格集約!$G$653:$G$678,0)),"")))</f>
        <v/>
      </c>
      <c r="AR28">
        <f>IF(入力!$D$30="","",IF(反映項目!$B$11="×","",IFERROR(INDEX(資格集約!$E$653:$E$678,MATCH(15,資格集約!$G$653:$G$678,0)),"")))</f>
        <v/>
      </c>
      <c r="AS28">
        <f>IF(入力!$D$30="","",IF(反映項目!$B$11="×","",IFERROR(INDEX(資格集約!$H$653:$H$678,MATCH(16,資格集約!$G$653:$G$678,0)),"")))</f>
        <v/>
      </c>
      <c r="AT28">
        <f>IF(入力!$D$30="","",IF(反映項目!$B$11="×","",IFERROR(INDEX(資格集約!$E$653:$E$678,MATCH(16,資格集約!$G$653:$G$678,0)),"")))</f>
        <v/>
      </c>
      <c r="AU28">
        <f>IF(入力!$D$30="","",IF(反映項目!$B$11="×","",IFERROR(INDEX(資格集約!$H$653:$H$678,MATCH(17,資格集約!$G$653:$G$678,0)),"")))</f>
        <v/>
      </c>
      <c r="AV28">
        <f>IF(入力!$D$30="","",IF(反映項目!$B$11="×","",IFERROR(INDEX(資格集約!$E$653:$E$678,MATCH(17,資格集約!$G$653:$G$678,0)),"")))</f>
        <v/>
      </c>
      <c r="AW28">
        <f>IF(入力!$D$30="","",IF(反映項目!$B$11="×","",IFERROR(INDEX(資格集約!$H$653:$H$678,MATCH(18,資格集約!$G$653:$G$678,0)),"")))</f>
        <v/>
      </c>
      <c r="AX28">
        <f>IF(入力!$D$30="","",IF(反映項目!$B$11="×","",IFERROR(INDEX(資格集約!$E$653:$E$678,MATCH(18,資格集約!$G$653:$G$678,0)),"")))</f>
        <v/>
      </c>
      <c r="AY28">
        <f>IF(入力!$D$30="","",IF(反映項目!$B$11="×","",IFERROR(INDEX(資格集約!$H$653:$H$678,MATCH(19,資格集約!$G$653:$G$678,0)),"")))</f>
        <v/>
      </c>
      <c r="AZ28">
        <f>IF(入力!$D$30="","",IF(反映項目!$B$11="×","",IFERROR(INDEX(資格集約!$E$653:$E$678,MATCH(19,資格集約!$G$653:$G$678,0)),"")))</f>
        <v/>
      </c>
      <c r="BA28">
        <f>IF(入力!$D$30="","",IF(反映項目!$B$11="×","",IFERROR(INDEX(資格集約!$H$653:$H$678,MATCH(20,資格集約!$G$653:$G$678,0)),"")))</f>
        <v/>
      </c>
      <c r="BB28">
        <f>IF(入力!$D$30="","",IF(反映項目!$B$11="×","",IFERROR(INDEX(資格集約!$E$653:$E$678,MATCH(20,資格集約!$G$653:$G$678,0)),"")))</f>
        <v/>
      </c>
      <c r="BC28">
        <f>IF(入力!$D$30="","",IF(反映項目!$B$11="×","",IFERROR(INDEX(資格集約!$H$653:$H$678,MATCH(21,資格集約!$G$653:$G$678,0)),"")))</f>
        <v/>
      </c>
      <c r="BD28">
        <f>IF(入力!$D$30="","",IF(反映項目!$B$11="×","",IFERROR(INDEX(資格集約!$E$653:$E$678,MATCH(21,資格集約!$G$653:$G$678,0)),"")))</f>
        <v/>
      </c>
      <c r="BE28">
        <f>IF(入力!$D$30="","",IF(反映項目!$B$11="×","",IFERROR(INDEX(資格集約!$H$653:$H$678,MATCH(22,資格集約!$G$653:$G$678,0)),"")))</f>
        <v/>
      </c>
      <c r="BF28">
        <f>IF(入力!$D$30="","",IF(反映項目!$B$11="×","",IFERROR(INDEX(資格集約!$E$653:$E$678,MATCH(22,資格集約!$G$653:$G$678,0)),"")))</f>
        <v/>
      </c>
      <c r="BG28">
        <f>IF(入力!$D$30="","",IF(反映項目!$B$11="×","",IFERROR(INDEX(資格集約!$H$653:$H$678,MATCH(23,資格集約!$G$653:$G$678,0)),"")))</f>
        <v/>
      </c>
      <c r="BH28">
        <f>IF(入力!$D$30="","",IF(反映項目!$B$11="×","",IFERROR(INDEX(資格集約!$E$653:$E$678,MATCH(23,資格集約!$G$653:$G$678,0)),"")))</f>
        <v/>
      </c>
      <c r="BI28">
        <f>IF(入力!$D$30="","",IF(反映項目!$B$11="×","",IFERROR(INDEX(資格集約!$H$653:$H$678,MATCH(24,資格集約!$G$653:$G$678,0)),"")))</f>
        <v/>
      </c>
      <c r="BJ28">
        <f>IF(入力!$D$30="","",IF(反映項目!$B$11="×","",IFERROR(INDEX(資格集約!$E$653:$E$678,MATCH(24,資格集約!$G$653:$G$678,0)),"")))</f>
        <v/>
      </c>
      <c r="BK28">
        <f>IF(入力!$D$30="","",IF(反映項目!$B$11="×","",IFERROR(INDEX(資格集約!$H$653:$H$678,MATCH(25,資格集約!$G$653:$G$678,0)),"")))</f>
        <v/>
      </c>
      <c r="BL28">
        <f>IF(入力!$D$30="","",IF(反映項目!$B$11="×","",IFERROR(INDEX(資格集約!$E$653:$E$678,MATCH(25,資格集約!$G$653:$G$678,0)),"")))</f>
        <v/>
      </c>
      <c r="BM28">
        <f>IF(入力!$D$30="","",IF(反映項目!$B$11="×","",IFERROR(INDEX(資格集約!$H$653:$H$678,MATCH(26,資格集約!$G$653:$G$678,0)),"")))</f>
        <v/>
      </c>
      <c r="BN28">
        <f>IF(入力!$D$30="","",IF(反映項目!$B$11="×","",IFERROR(INDEX(資格集約!$E$653:$E$678,MATCH(26,資格集約!$G$653:$G$678,0)),"")))</f>
        <v/>
      </c>
      <c r="BO28">
        <f>IF(入力!$D$30="","",IF(OR(反映項目!$B$12="×",入力!$Z$30=""),"",入力!$Z$30))</f>
        <v/>
      </c>
      <c r="BP28">
        <f>IF(入力!$D$30="","",IF(OR(反映項目!$B$13="×",入力!$AA$30=""),"",入力!$AA$30))</f>
        <v/>
      </c>
      <c r="BQ28">
        <f>IF(入力!$D$30="","",IF(OR(反映項目!$B$15="×",入力!$AF$30=""),"",入力!$AF$30))</f>
        <v/>
      </c>
      <c r="BR28">
        <f>IF(入力!$D$30="","",IF(OR(反映項目!$B$14="×",N($BZ$28)=0),"",YEAR($BZ$28)-IF($BZ$28&gt;=DATE(2019,5,1),2018,1988)))&amp;""</f>
        <v/>
      </c>
      <c r="BS28">
        <f>IF(入力!$D$30="","",IF(OR(反映項目!$B$14="×",N($BZ$28)=0),"",MONTH($BZ$28)))&amp;""</f>
        <v/>
      </c>
      <c r="BT28">
        <f>IF(入力!$D$30="","",IF(OR(反映項目!$B$14="×",入力!$AC$30=""),"",入力!$AC$30))</f>
        <v/>
      </c>
      <c r="BU28">
        <f>IF(入力!$D$30="","",IF(OR(反映項目!$B$14="×",N($CA$28)=0),"",YEAR($CA$28)-IF($CA$28&gt;=DATE(2019,5,1),2018,1988)))&amp;""</f>
        <v/>
      </c>
      <c r="BV28">
        <f>IF(入力!$D$30="","",IF(OR(反映項目!$B$14="×",N($CA$28)=0),"",MONTH($CA$28)))&amp;""</f>
        <v/>
      </c>
      <c r="BW28">
        <f>IF(入力!$D$30="","",IF(OR(反映項目!$B$14="×",入力!$AE$30=""),"",入力!$AE$30))</f>
        <v/>
      </c>
      <c r="BY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Z28">
        <f>IF(入力!$D$30="","",IF(入力!$AB$30="","",IF(ISNUMBER(入力!$AB$30),入力!$AB$30,IFERROR(IF(OR(LEFT(入力!$AB$30,2)="令和",LEFT(入力!$AB$30,2)="平成",LEFT(入力!$AB$30,2)="昭和",LEFT(入力!$AB$30,2)="大正"),DATE(VALUE(MID(入力!$AB$30,3,FIND("年",入力!$AB$30)-3))+IF(LEFT(入力!$AB$30,2)="令和",2018,IF(LEFT(入力!$AB$30,2)="平成",1988,IF(LEFT(入力!$AB$30,2)="昭和",1925,IF(LEFT(入力!$AB$30,2)="大正",1911,0)))),VALUE(MID(入力!$AB$30,FIND("年",入力!$AB$30)+1,FIND("月",入力!$AB$30)-FIND("年",入力!$AB$30)-1)),IFERROR(VALUE(SUBSTITUTE(MID(入力!$AB$30,FIND("月",入力!$AB$30)+1,10),"日","")),1)),DATE(VALUE(TRIM(MID(SUBSTITUTE(SUBSTITUTE(SUBSTITUTE(SUBSTITUTE(SUBSTITUTE(SUBSTITUTE(入力!$AB$30,"年","/"),"月","/"),"日",""),"-","/"),".","/"),"/",REPT(" ",50)),1,50))),VALUE(TRIM(MID(SUBSTITUTE(SUBSTITUTE(SUBSTITUTE(SUBSTITUTE(SUBSTITUTE(SUBSTITUTE(入力!$AB$30,"年","/"),"月","/"),"日",""),"-","/"),".","/"),"/",REPT(" ",50)),51,50))),IFERROR(VALUE(TRIM(MID(SUBSTITUTE(SUBSTITUTE(SUBSTITUTE(SUBSTITUTE(SUBSTITUTE(SUBSTITUTE(入力!$AB$30,"年","/"),"月","/"),"日",""),"-","/"),".","/"),"/",REPT(" ",50)),101,50))),1))),IFERROR(DATEVALUE(入力!$AB$30),"")))))</f>
        <v/>
      </c>
      <c r="CA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CB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amp;IF($AR28="","",CHAR(10)&amp;$AQ28)&amp;IF($AT28="","",CHAR(10)&amp;$AS28)&amp;IF($AV28="","",CHAR(10)&amp;$AU28)&amp;IF($AX28="","",CHAR(10)&amp;$AW28)&amp;IF($AZ28="","",CHAR(10)&amp;$AY28)&amp;IF($BB28="","",CHAR(10)&amp;$BA28)&amp;IF($BD28="","",CHAR(10)&amp;$BC28)&amp;IF($BF28="","",CHAR(10)&amp;$BE28)&amp;IF($BH28="","",CHAR(10)&amp;$BG28)&amp;IF($BJ28="","",CHAR(10)&amp;$BI28)&amp;IF($BL28="","",CHAR(10)&amp;$BK28)&amp;IF($BN28="","",CHAR(10)&amp;$BM28))</f>
        <v/>
      </c>
      <c r="CC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amp;IF($AR28="","",CHAR(10)&amp;$AR28)&amp;IF($AT28="","",CHAR(10)&amp;$AT28)&amp;IF($AV28="","",CHAR(10)&amp;$AV28)&amp;IF($AX28="","",CHAR(10)&amp;$AX28)&amp;IF($AZ28="","",CHAR(10)&amp;$AZ28)&amp;IF($BB28="","",CHAR(10)&amp;$BB28)&amp;IF($BD28="","",CHAR(10)&amp;$BD28)&amp;IF($BF28="","",CHAR(10)&amp;$BF28)&amp;IF($BH28="","",CHAR(10)&amp;$BH28)&amp;IF($BJ28="","",CHAR(10)&amp;$BJ28)&amp;IF($BL28="","",CHAR(10)&amp;$BL28)&amp;IF($BN28="","",CHAR(10)&amp;$BN28))</f>
        <v/>
      </c>
      <c r="CD28">
        <f>IF(入力!$D$30="","",IF($P28="",0,1)+IF($R28="",0,1)+IF($T28="",0,1)+IF($V28="",0,1)+IF($X28="",0,1)+IF($Z28="",0,1)+IF($AB28="",0,1)+IF($AD28="",0,1)+IF($AF28="",0,1)+IF($AH28="",0,1)+IF($AJ28="",0,1)+IF($AL28="",0,1)+IF($AN28="",0,1)+IF($AP28="",0,1)+IF($AR28="",0,1)+IF($AT28="",0,1)+IF($AV28="",0,1)+IF($AX28="",0,1)+IF($AZ28="",0,1)+IF($BB28="",0,1)+IF($BD28="",0,1)+IF($BF28="",0,1)+IF($BH28="",0,1)+IF($BJ28="",0,1)+IF($BL28="",0,1)+IF($BN28="",0,1))</f>
        <v/>
      </c>
    </row>
    <row r="29">
      <c r="A29" t="n">
        <v>27</v>
      </c>
      <c r="B29">
        <f>IF(入力!$D$31="","",IF(OR(反映項目!$B$4="×",入力!$D$31=""),"",入力!$D$31))</f>
        <v/>
      </c>
      <c r="C29">
        <f>IF(入力!$D$31="","",IF(OR(反映項目!$B$5="×",入力!$E$31=""),"",入力!$E$31))</f>
        <v/>
      </c>
      <c r="D29">
        <f>IF(入力!$D$31="","",IF(OR(反映項目!$B$6="×",N($BY$29)=0),"",YEAR($BY$29)-IF($BY$29&gt;=DATE(2019,5,1),2018,IF($BY$29&gt;=DATE(1989,1,8),1988,1925))))&amp;""</f>
        <v/>
      </c>
      <c r="E29">
        <f>IF(入力!$D$31="","",IF(OR(反映項目!$B$6="×",N($BY$29)=0),"",MONTH($BY$29)))&amp;""</f>
        <v/>
      </c>
      <c r="F29">
        <f>IF(入力!$D$31="","",IF(OR(反映項目!$B$6="×",N($BY$29)=0),"",DAY($BY$29)))&amp;""</f>
        <v/>
      </c>
      <c r="G29">
        <f>IF(入力!$D$31="","",IF(OR(反映項目!$B$6="×",OR(N($BY$29)=0,N(設定!$B$3)=0)),"",DATEDIF($BY$29,設定!$B$3,"Y")))&amp;""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IF(入力!$D$31="","",IF(OR(反映項目!$B$10="×",入力!$K$31=""),"",入力!$K$31))</f>
        <v/>
      </c>
      <c r="M29">
        <f>IF(入力!$D$31="","",IF(OR(反映項目!$B$10="×",入力!$L$31=""),"",入力!$L$31))</f>
        <v/>
      </c>
      <c r="N29">
        <f>IF(入力!$D$31="","",設定!$B$4&amp;CHAR(10)&amp;IF(入力!$M$31="",設定!$B$5,入力!$M$31))</f>
        <v/>
      </c>
      <c r="O29">
        <f>IF(入力!$D$31="","",IF(反映項目!$B$11="×","",IFERROR(INDEX(資格集約!$H$679:$H$704,MATCH(1,資格集約!$G$679:$G$704,0)),"")))</f>
        <v/>
      </c>
      <c r="P29">
        <f>IF(入力!$D$31="","",IF(反映項目!$B$11="×","",IFERROR(INDEX(資格集約!$E$679:$E$704,MATCH(1,資格集約!$G$679:$G$704,0)),"")))</f>
        <v/>
      </c>
      <c r="Q29">
        <f>IF(入力!$D$31="","",IF(反映項目!$B$11="×","",IFERROR(INDEX(資格集約!$H$679:$H$704,MATCH(2,資格集約!$G$679:$G$704,0)),"")))</f>
        <v/>
      </c>
      <c r="R29">
        <f>IF(入力!$D$31="","",IF(反映項目!$B$11="×","",IFERROR(INDEX(資格集約!$E$679:$E$704,MATCH(2,資格集約!$G$679:$G$704,0)),"")))</f>
        <v/>
      </c>
      <c r="S29">
        <f>IF(入力!$D$31="","",IF(反映項目!$B$11="×","",IFERROR(INDEX(資格集約!$H$679:$H$704,MATCH(3,資格集約!$G$679:$G$704,0)),"")))</f>
        <v/>
      </c>
      <c r="T29">
        <f>IF(入力!$D$31="","",IF(反映項目!$B$11="×","",IFERROR(INDEX(資格集約!$E$679:$E$704,MATCH(3,資格集約!$G$679:$G$704,0)),"")))</f>
        <v/>
      </c>
      <c r="U29">
        <f>IF(入力!$D$31="","",IF(反映項目!$B$11="×","",IFERROR(INDEX(資格集約!$H$679:$H$704,MATCH(4,資格集約!$G$679:$G$704,0)),"")))</f>
        <v/>
      </c>
      <c r="V29">
        <f>IF(入力!$D$31="","",IF(反映項目!$B$11="×","",IFERROR(INDEX(資格集約!$E$679:$E$704,MATCH(4,資格集約!$G$679:$G$704,0)),"")))</f>
        <v/>
      </c>
      <c r="W29">
        <f>IF(入力!$D$31="","",IF(反映項目!$B$11="×","",IFERROR(INDEX(資格集約!$H$679:$H$704,MATCH(5,資格集約!$G$679:$G$704,0)),"")))</f>
        <v/>
      </c>
      <c r="X29">
        <f>IF(入力!$D$31="","",IF(反映項目!$B$11="×","",IFERROR(INDEX(資格集約!$E$679:$E$704,MATCH(5,資格集約!$G$679:$G$704,0)),"")))</f>
        <v/>
      </c>
      <c r="Y29">
        <f>IF(入力!$D$31="","",IF(反映項目!$B$11="×","",IFERROR(INDEX(資格集約!$H$679:$H$704,MATCH(6,資格集約!$G$679:$G$704,0)),"")))</f>
        <v/>
      </c>
      <c r="Z29">
        <f>IF(入力!$D$31="","",IF(反映項目!$B$11="×","",IFERROR(INDEX(資格集約!$E$679:$E$704,MATCH(6,資格集約!$G$679:$G$704,0)),"")))</f>
        <v/>
      </c>
      <c r="AA29">
        <f>IF(入力!$D$31="","",IF(反映項目!$B$11="×","",IFERROR(INDEX(資格集約!$H$679:$H$704,MATCH(7,資格集約!$G$679:$G$704,0)),"")))</f>
        <v/>
      </c>
      <c r="AB29">
        <f>IF(入力!$D$31="","",IF(反映項目!$B$11="×","",IFERROR(INDEX(資格集約!$E$679:$E$704,MATCH(7,資格集約!$G$679:$G$704,0)),"")))</f>
        <v/>
      </c>
      <c r="AC29">
        <f>IF(入力!$D$31="","",IF(反映項目!$B$11="×","",IFERROR(INDEX(資格集約!$H$679:$H$704,MATCH(8,資格集約!$G$679:$G$704,0)),"")))</f>
        <v/>
      </c>
      <c r="AD29">
        <f>IF(入力!$D$31="","",IF(反映項目!$B$11="×","",IFERROR(INDEX(資格集約!$E$679:$E$704,MATCH(8,資格集約!$G$679:$G$704,0)),"")))</f>
        <v/>
      </c>
      <c r="AE29">
        <f>IF(入力!$D$31="","",IF(反映項目!$B$11="×","",IFERROR(INDEX(資格集約!$H$679:$H$704,MATCH(9,資格集約!$G$679:$G$704,0)),"")))</f>
        <v/>
      </c>
      <c r="AF29">
        <f>IF(入力!$D$31="","",IF(反映項目!$B$11="×","",IFERROR(INDEX(資格集約!$E$679:$E$704,MATCH(9,資格集約!$G$679:$G$704,0)),"")))</f>
        <v/>
      </c>
      <c r="AG29">
        <f>IF(入力!$D$31="","",IF(反映項目!$B$11="×","",IFERROR(INDEX(資格集約!$H$679:$H$704,MATCH(10,資格集約!$G$679:$G$704,0)),"")))</f>
        <v/>
      </c>
      <c r="AH29">
        <f>IF(入力!$D$31="","",IF(反映項目!$B$11="×","",IFERROR(INDEX(資格集約!$E$679:$E$704,MATCH(10,資格集約!$G$679:$G$704,0)),"")))</f>
        <v/>
      </c>
      <c r="AI29">
        <f>IF(入力!$D$31="","",IF(反映項目!$B$11="×","",IFERROR(INDEX(資格集約!$H$679:$H$704,MATCH(11,資格集約!$G$679:$G$704,0)),"")))</f>
        <v/>
      </c>
      <c r="AJ29">
        <f>IF(入力!$D$31="","",IF(反映項目!$B$11="×","",IFERROR(INDEX(資格集約!$E$679:$E$704,MATCH(11,資格集約!$G$679:$G$704,0)),"")))</f>
        <v/>
      </c>
      <c r="AK29">
        <f>IF(入力!$D$31="","",IF(反映項目!$B$11="×","",IFERROR(INDEX(資格集約!$H$679:$H$704,MATCH(12,資格集約!$G$679:$G$704,0)),"")))</f>
        <v/>
      </c>
      <c r="AL29">
        <f>IF(入力!$D$31="","",IF(反映項目!$B$11="×","",IFERROR(INDEX(資格集約!$E$679:$E$704,MATCH(12,資格集約!$G$679:$G$704,0)),"")))</f>
        <v/>
      </c>
      <c r="AM29">
        <f>IF(入力!$D$31="","",IF(反映項目!$B$11="×","",IFERROR(INDEX(資格集約!$H$679:$H$704,MATCH(13,資格集約!$G$679:$G$704,0)),"")))</f>
        <v/>
      </c>
      <c r="AN29">
        <f>IF(入力!$D$31="","",IF(反映項目!$B$11="×","",IFERROR(INDEX(資格集約!$E$679:$E$704,MATCH(13,資格集約!$G$679:$G$704,0)),"")))</f>
        <v/>
      </c>
      <c r="AO29">
        <f>IF(入力!$D$31="","",IF(反映項目!$B$11="×","",IFERROR(INDEX(資格集約!$H$679:$H$704,MATCH(14,資格集約!$G$679:$G$704,0)),"")))</f>
        <v/>
      </c>
      <c r="AP29">
        <f>IF(入力!$D$31="","",IF(反映項目!$B$11="×","",IFERROR(INDEX(資格集約!$E$679:$E$704,MATCH(14,資格集約!$G$679:$G$704,0)),"")))</f>
        <v/>
      </c>
      <c r="AQ29">
        <f>IF(入力!$D$31="","",IF(反映項目!$B$11="×","",IFERROR(INDEX(資格集約!$H$679:$H$704,MATCH(15,資格集約!$G$679:$G$704,0)),"")))</f>
        <v/>
      </c>
      <c r="AR29">
        <f>IF(入力!$D$31="","",IF(反映項目!$B$11="×","",IFERROR(INDEX(資格集約!$E$679:$E$704,MATCH(15,資格集約!$G$679:$G$704,0)),"")))</f>
        <v/>
      </c>
      <c r="AS29">
        <f>IF(入力!$D$31="","",IF(反映項目!$B$11="×","",IFERROR(INDEX(資格集約!$H$679:$H$704,MATCH(16,資格集約!$G$679:$G$704,0)),"")))</f>
        <v/>
      </c>
      <c r="AT29">
        <f>IF(入力!$D$31="","",IF(反映項目!$B$11="×","",IFERROR(INDEX(資格集約!$E$679:$E$704,MATCH(16,資格集約!$G$679:$G$704,0)),"")))</f>
        <v/>
      </c>
      <c r="AU29">
        <f>IF(入力!$D$31="","",IF(反映項目!$B$11="×","",IFERROR(INDEX(資格集約!$H$679:$H$704,MATCH(17,資格集約!$G$679:$G$704,0)),"")))</f>
        <v/>
      </c>
      <c r="AV29">
        <f>IF(入力!$D$31="","",IF(反映項目!$B$11="×","",IFERROR(INDEX(資格集約!$E$679:$E$704,MATCH(17,資格集約!$G$679:$G$704,0)),"")))</f>
        <v/>
      </c>
      <c r="AW29">
        <f>IF(入力!$D$31="","",IF(反映項目!$B$11="×","",IFERROR(INDEX(資格集約!$H$679:$H$704,MATCH(18,資格集約!$G$679:$G$704,0)),"")))</f>
        <v/>
      </c>
      <c r="AX29">
        <f>IF(入力!$D$31="","",IF(反映項目!$B$11="×","",IFERROR(INDEX(資格集約!$E$679:$E$704,MATCH(18,資格集約!$G$679:$G$704,0)),"")))</f>
        <v/>
      </c>
      <c r="AY29">
        <f>IF(入力!$D$31="","",IF(反映項目!$B$11="×","",IFERROR(INDEX(資格集約!$H$679:$H$704,MATCH(19,資格集約!$G$679:$G$704,0)),"")))</f>
        <v/>
      </c>
      <c r="AZ29">
        <f>IF(入力!$D$31="","",IF(反映項目!$B$11="×","",IFERROR(INDEX(資格集約!$E$679:$E$704,MATCH(19,資格集約!$G$679:$G$704,0)),"")))</f>
        <v/>
      </c>
      <c r="BA29">
        <f>IF(入力!$D$31="","",IF(反映項目!$B$11="×","",IFERROR(INDEX(資格集約!$H$679:$H$704,MATCH(20,資格集約!$G$679:$G$704,0)),"")))</f>
        <v/>
      </c>
      <c r="BB29">
        <f>IF(入力!$D$31="","",IF(反映項目!$B$11="×","",IFERROR(INDEX(資格集約!$E$679:$E$704,MATCH(20,資格集約!$G$679:$G$704,0)),"")))</f>
        <v/>
      </c>
      <c r="BC29">
        <f>IF(入力!$D$31="","",IF(反映項目!$B$11="×","",IFERROR(INDEX(資格集約!$H$679:$H$704,MATCH(21,資格集約!$G$679:$G$704,0)),"")))</f>
        <v/>
      </c>
      <c r="BD29">
        <f>IF(入力!$D$31="","",IF(反映項目!$B$11="×","",IFERROR(INDEX(資格集約!$E$679:$E$704,MATCH(21,資格集約!$G$679:$G$704,0)),"")))</f>
        <v/>
      </c>
      <c r="BE29">
        <f>IF(入力!$D$31="","",IF(反映項目!$B$11="×","",IFERROR(INDEX(資格集約!$H$679:$H$704,MATCH(22,資格集約!$G$679:$G$704,0)),"")))</f>
        <v/>
      </c>
      <c r="BF29">
        <f>IF(入力!$D$31="","",IF(反映項目!$B$11="×","",IFERROR(INDEX(資格集約!$E$679:$E$704,MATCH(22,資格集約!$G$679:$G$704,0)),"")))</f>
        <v/>
      </c>
      <c r="BG29">
        <f>IF(入力!$D$31="","",IF(反映項目!$B$11="×","",IFERROR(INDEX(資格集約!$H$679:$H$704,MATCH(23,資格集約!$G$679:$G$704,0)),"")))</f>
        <v/>
      </c>
      <c r="BH29">
        <f>IF(入力!$D$31="","",IF(反映項目!$B$11="×","",IFERROR(INDEX(資格集約!$E$679:$E$704,MATCH(23,資格集約!$G$679:$G$704,0)),"")))</f>
        <v/>
      </c>
      <c r="BI29">
        <f>IF(入力!$D$31="","",IF(反映項目!$B$11="×","",IFERROR(INDEX(資格集約!$H$679:$H$704,MATCH(24,資格集約!$G$679:$G$704,0)),"")))</f>
        <v/>
      </c>
      <c r="BJ29">
        <f>IF(入力!$D$31="","",IF(反映項目!$B$11="×","",IFERROR(INDEX(資格集約!$E$679:$E$704,MATCH(24,資格集約!$G$679:$G$704,0)),"")))</f>
        <v/>
      </c>
      <c r="BK29">
        <f>IF(入力!$D$31="","",IF(反映項目!$B$11="×","",IFERROR(INDEX(資格集約!$H$679:$H$704,MATCH(25,資格集約!$G$679:$G$704,0)),"")))</f>
        <v/>
      </c>
      <c r="BL29">
        <f>IF(入力!$D$31="","",IF(反映項目!$B$11="×","",IFERROR(INDEX(資格集約!$E$679:$E$704,MATCH(25,資格集約!$G$679:$G$704,0)),"")))</f>
        <v/>
      </c>
      <c r="BM29">
        <f>IF(入力!$D$31="","",IF(反映項目!$B$11="×","",IFERROR(INDEX(資格集約!$H$679:$H$704,MATCH(26,資格集約!$G$679:$G$704,0)),"")))</f>
        <v/>
      </c>
      <c r="BN29">
        <f>IF(入力!$D$31="","",IF(反映項目!$B$11="×","",IFERROR(INDEX(資格集約!$E$679:$E$704,MATCH(26,資格集約!$G$679:$G$704,0)),"")))</f>
        <v/>
      </c>
      <c r="BO29">
        <f>IF(入力!$D$31="","",IF(OR(反映項目!$B$12="×",入力!$Z$31=""),"",入力!$Z$31))</f>
        <v/>
      </c>
      <c r="BP29">
        <f>IF(入力!$D$31="","",IF(OR(反映項目!$B$13="×",入力!$AA$31=""),"",入力!$AA$31))</f>
        <v/>
      </c>
      <c r="BQ29">
        <f>IF(入力!$D$31="","",IF(OR(反映項目!$B$15="×",入力!$AF$31=""),"",入力!$AF$31))</f>
        <v/>
      </c>
      <c r="BR29">
        <f>IF(入力!$D$31="","",IF(OR(反映項目!$B$14="×",N($BZ$29)=0),"",YEAR($BZ$29)-IF($BZ$29&gt;=DATE(2019,5,1),2018,1988)))&amp;""</f>
        <v/>
      </c>
      <c r="BS29">
        <f>IF(入力!$D$31="","",IF(OR(反映項目!$B$14="×",N($BZ$29)=0),"",MONTH($BZ$29)))&amp;""</f>
        <v/>
      </c>
      <c r="BT29">
        <f>IF(入力!$D$31="","",IF(OR(反映項目!$B$14="×",入力!$AC$31=""),"",入力!$AC$31))</f>
        <v/>
      </c>
      <c r="BU29">
        <f>IF(入力!$D$31="","",IF(OR(反映項目!$B$14="×",N($CA$29)=0),"",YEAR($CA$29)-IF($CA$29&gt;=DATE(2019,5,1),2018,1988)))&amp;""</f>
        <v/>
      </c>
      <c r="BV29">
        <f>IF(入力!$D$31="","",IF(OR(反映項目!$B$14="×",N($CA$29)=0),"",MONTH($CA$29)))&amp;""</f>
        <v/>
      </c>
      <c r="BW29">
        <f>IF(入力!$D$31="","",IF(OR(反映項目!$B$14="×",入力!$AE$31=""),"",入力!$AE$31))</f>
        <v/>
      </c>
      <c r="BY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Z29">
        <f>IF(入力!$D$31="","",IF(入力!$AB$31="","",IF(ISNUMBER(入力!$AB$31),入力!$AB$31,IFERROR(IF(OR(LEFT(入力!$AB$31,2)="令和",LEFT(入力!$AB$31,2)="平成",LEFT(入力!$AB$31,2)="昭和",LEFT(入力!$AB$31,2)="大正"),DATE(VALUE(MID(入力!$AB$31,3,FIND("年",入力!$AB$31)-3))+IF(LEFT(入力!$AB$31,2)="令和",2018,IF(LEFT(入力!$AB$31,2)="平成",1988,IF(LEFT(入力!$AB$31,2)="昭和",1925,IF(LEFT(入力!$AB$31,2)="大正",1911,0)))),VALUE(MID(入力!$AB$31,FIND("年",入力!$AB$31)+1,FIND("月",入力!$AB$31)-FIND("年",入力!$AB$31)-1)),IFERROR(VALUE(SUBSTITUTE(MID(入力!$AB$31,FIND("月",入力!$AB$31)+1,10),"日","")),1)),DATE(VALUE(TRIM(MID(SUBSTITUTE(SUBSTITUTE(SUBSTITUTE(SUBSTITUTE(SUBSTITUTE(SUBSTITUTE(入力!$AB$31,"年","/"),"月","/"),"日",""),"-","/"),".","/"),"/",REPT(" ",50)),1,50))),VALUE(TRIM(MID(SUBSTITUTE(SUBSTITUTE(SUBSTITUTE(SUBSTITUTE(SUBSTITUTE(SUBSTITUTE(入力!$AB$31,"年","/"),"月","/"),"日",""),"-","/"),".","/"),"/",REPT(" ",50)),51,50))),IFERROR(VALUE(TRIM(MID(SUBSTITUTE(SUBSTITUTE(SUBSTITUTE(SUBSTITUTE(SUBSTITUTE(SUBSTITUTE(入力!$AB$31,"年","/"),"月","/"),"日",""),"-","/"),".","/"),"/",REPT(" ",50)),101,50))),1))),IFERROR(DATEVALUE(入力!$AB$31),"")))))</f>
        <v/>
      </c>
      <c r="CA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CB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amp;IF($AR29="","",CHAR(10)&amp;$AQ29)&amp;IF($AT29="","",CHAR(10)&amp;$AS29)&amp;IF($AV29="","",CHAR(10)&amp;$AU29)&amp;IF($AX29="","",CHAR(10)&amp;$AW29)&amp;IF($AZ29="","",CHAR(10)&amp;$AY29)&amp;IF($BB29="","",CHAR(10)&amp;$BA29)&amp;IF($BD29="","",CHAR(10)&amp;$BC29)&amp;IF($BF29="","",CHAR(10)&amp;$BE29)&amp;IF($BH29="","",CHAR(10)&amp;$BG29)&amp;IF($BJ29="","",CHAR(10)&amp;$BI29)&amp;IF($BL29="","",CHAR(10)&amp;$BK29)&amp;IF($BN29="","",CHAR(10)&amp;$BM29))</f>
        <v/>
      </c>
      <c r="CC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amp;IF($AR29="","",CHAR(10)&amp;$AR29)&amp;IF($AT29="","",CHAR(10)&amp;$AT29)&amp;IF($AV29="","",CHAR(10)&amp;$AV29)&amp;IF($AX29="","",CHAR(10)&amp;$AX29)&amp;IF($AZ29="","",CHAR(10)&amp;$AZ29)&amp;IF($BB29="","",CHAR(10)&amp;$BB29)&amp;IF($BD29="","",CHAR(10)&amp;$BD29)&amp;IF($BF29="","",CHAR(10)&amp;$BF29)&amp;IF($BH29="","",CHAR(10)&amp;$BH29)&amp;IF($BJ29="","",CHAR(10)&amp;$BJ29)&amp;IF($BL29="","",CHAR(10)&amp;$BL29)&amp;IF($BN29="","",CHAR(10)&amp;$BN29))</f>
        <v/>
      </c>
      <c r="CD29">
        <f>IF(入力!$D$31="","",IF($P29="",0,1)+IF($R29="",0,1)+IF($T29="",0,1)+IF($V29="",0,1)+IF($X29="",0,1)+IF($Z29="",0,1)+IF($AB29="",0,1)+IF($AD29="",0,1)+IF($AF29="",0,1)+IF($AH29="",0,1)+IF($AJ29="",0,1)+IF($AL29="",0,1)+IF($AN29="",0,1)+IF($AP29="",0,1)+IF($AR29="",0,1)+IF($AT29="",0,1)+IF($AV29="",0,1)+IF($AX29="",0,1)+IF($AZ29="",0,1)+IF($BB29="",0,1)+IF($BD29="",0,1)+IF($BF29="",0,1)+IF($BH29="",0,1)+IF($BJ29="",0,1)+IF($BL29="",0,1)+IF($BN29="",0,1))</f>
        <v/>
      </c>
    </row>
    <row r="30">
      <c r="A30" t="n">
        <v>28</v>
      </c>
      <c r="B30">
        <f>IF(入力!$D$32="","",IF(OR(反映項目!$B$4="×",入力!$D$32=""),"",入力!$D$32))</f>
        <v/>
      </c>
      <c r="C30">
        <f>IF(入力!$D$32="","",IF(OR(反映項目!$B$5="×",入力!$E$32=""),"",入力!$E$32))</f>
        <v/>
      </c>
      <c r="D30">
        <f>IF(入力!$D$32="","",IF(OR(反映項目!$B$6="×",N($BY$30)=0),"",YEAR($BY$30)-IF($BY$30&gt;=DATE(2019,5,1),2018,IF($BY$30&gt;=DATE(1989,1,8),1988,1925))))&amp;""</f>
        <v/>
      </c>
      <c r="E30">
        <f>IF(入力!$D$32="","",IF(OR(反映項目!$B$6="×",N($BY$30)=0),"",MONTH($BY$30)))&amp;""</f>
        <v/>
      </c>
      <c r="F30">
        <f>IF(入力!$D$32="","",IF(OR(反映項目!$B$6="×",N($BY$30)=0),"",DAY($BY$30)))&amp;""</f>
        <v/>
      </c>
      <c r="G30">
        <f>IF(入力!$D$32="","",IF(OR(反映項目!$B$6="×",OR(N($BY$30)=0,N(設定!$B$3)=0)),"",DATEDIF($BY$30,設定!$B$3,"Y")))&amp;""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IF(入力!$D$32="","",IF(OR(反映項目!$B$10="×",入力!$K$32=""),"",入力!$K$32))</f>
        <v/>
      </c>
      <c r="M30">
        <f>IF(入力!$D$32="","",IF(OR(反映項目!$B$10="×",入力!$L$32=""),"",入力!$L$32))</f>
        <v/>
      </c>
      <c r="N30">
        <f>IF(入力!$D$32="","",設定!$B$4&amp;CHAR(10)&amp;IF(入力!$M$32="",設定!$B$5,入力!$M$32))</f>
        <v/>
      </c>
      <c r="O30">
        <f>IF(入力!$D$32="","",IF(反映項目!$B$11="×","",IFERROR(INDEX(資格集約!$H$705:$H$730,MATCH(1,資格集約!$G$705:$G$730,0)),"")))</f>
        <v/>
      </c>
      <c r="P30">
        <f>IF(入力!$D$32="","",IF(反映項目!$B$11="×","",IFERROR(INDEX(資格集約!$E$705:$E$730,MATCH(1,資格集約!$G$705:$G$730,0)),"")))</f>
        <v/>
      </c>
      <c r="Q30">
        <f>IF(入力!$D$32="","",IF(反映項目!$B$11="×","",IFERROR(INDEX(資格集約!$H$705:$H$730,MATCH(2,資格集約!$G$705:$G$730,0)),"")))</f>
        <v/>
      </c>
      <c r="R30">
        <f>IF(入力!$D$32="","",IF(反映項目!$B$11="×","",IFERROR(INDEX(資格集約!$E$705:$E$730,MATCH(2,資格集約!$G$705:$G$730,0)),"")))</f>
        <v/>
      </c>
      <c r="S30">
        <f>IF(入力!$D$32="","",IF(反映項目!$B$11="×","",IFERROR(INDEX(資格集約!$H$705:$H$730,MATCH(3,資格集約!$G$705:$G$730,0)),"")))</f>
        <v/>
      </c>
      <c r="T30">
        <f>IF(入力!$D$32="","",IF(反映項目!$B$11="×","",IFERROR(INDEX(資格集約!$E$705:$E$730,MATCH(3,資格集約!$G$705:$G$730,0)),"")))</f>
        <v/>
      </c>
      <c r="U30">
        <f>IF(入力!$D$32="","",IF(反映項目!$B$11="×","",IFERROR(INDEX(資格集約!$H$705:$H$730,MATCH(4,資格集約!$G$705:$G$730,0)),"")))</f>
        <v/>
      </c>
      <c r="V30">
        <f>IF(入力!$D$32="","",IF(反映項目!$B$11="×","",IFERROR(INDEX(資格集約!$E$705:$E$730,MATCH(4,資格集約!$G$705:$G$730,0)),"")))</f>
        <v/>
      </c>
      <c r="W30">
        <f>IF(入力!$D$32="","",IF(反映項目!$B$11="×","",IFERROR(INDEX(資格集約!$H$705:$H$730,MATCH(5,資格集約!$G$705:$G$730,0)),"")))</f>
        <v/>
      </c>
      <c r="X30">
        <f>IF(入力!$D$32="","",IF(反映項目!$B$11="×","",IFERROR(INDEX(資格集約!$E$705:$E$730,MATCH(5,資格集約!$G$705:$G$730,0)),"")))</f>
        <v/>
      </c>
      <c r="Y30">
        <f>IF(入力!$D$32="","",IF(反映項目!$B$11="×","",IFERROR(INDEX(資格集約!$H$705:$H$730,MATCH(6,資格集約!$G$705:$G$730,0)),"")))</f>
        <v/>
      </c>
      <c r="Z30">
        <f>IF(入力!$D$32="","",IF(反映項目!$B$11="×","",IFERROR(INDEX(資格集約!$E$705:$E$730,MATCH(6,資格集約!$G$705:$G$730,0)),"")))</f>
        <v/>
      </c>
      <c r="AA30">
        <f>IF(入力!$D$32="","",IF(反映項目!$B$11="×","",IFERROR(INDEX(資格集約!$H$705:$H$730,MATCH(7,資格集約!$G$705:$G$730,0)),"")))</f>
        <v/>
      </c>
      <c r="AB30">
        <f>IF(入力!$D$32="","",IF(反映項目!$B$11="×","",IFERROR(INDEX(資格集約!$E$705:$E$730,MATCH(7,資格集約!$G$705:$G$730,0)),"")))</f>
        <v/>
      </c>
      <c r="AC30">
        <f>IF(入力!$D$32="","",IF(反映項目!$B$11="×","",IFERROR(INDEX(資格集約!$H$705:$H$730,MATCH(8,資格集約!$G$705:$G$730,0)),"")))</f>
        <v/>
      </c>
      <c r="AD30">
        <f>IF(入力!$D$32="","",IF(反映項目!$B$11="×","",IFERROR(INDEX(資格集約!$E$705:$E$730,MATCH(8,資格集約!$G$705:$G$730,0)),"")))</f>
        <v/>
      </c>
      <c r="AE30">
        <f>IF(入力!$D$32="","",IF(反映項目!$B$11="×","",IFERROR(INDEX(資格集約!$H$705:$H$730,MATCH(9,資格集約!$G$705:$G$730,0)),"")))</f>
        <v/>
      </c>
      <c r="AF30">
        <f>IF(入力!$D$32="","",IF(反映項目!$B$11="×","",IFERROR(INDEX(資格集約!$E$705:$E$730,MATCH(9,資格集約!$G$705:$G$730,0)),"")))</f>
        <v/>
      </c>
      <c r="AG30">
        <f>IF(入力!$D$32="","",IF(反映項目!$B$11="×","",IFERROR(INDEX(資格集約!$H$705:$H$730,MATCH(10,資格集約!$G$705:$G$730,0)),"")))</f>
        <v/>
      </c>
      <c r="AH30">
        <f>IF(入力!$D$32="","",IF(反映項目!$B$11="×","",IFERROR(INDEX(資格集約!$E$705:$E$730,MATCH(10,資格集約!$G$705:$G$730,0)),"")))</f>
        <v/>
      </c>
      <c r="AI30">
        <f>IF(入力!$D$32="","",IF(反映項目!$B$11="×","",IFERROR(INDEX(資格集約!$H$705:$H$730,MATCH(11,資格集約!$G$705:$G$730,0)),"")))</f>
        <v/>
      </c>
      <c r="AJ30">
        <f>IF(入力!$D$32="","",IF(反映項目!$B$11="×","",IFERROR(INDEX(資格集約!$E$705:$E$730,MATCH(11,資格集約!$G$705:$G$730,0)),"")))</f>
        <v/>
      </c>
      <c r="AK30">
        <f>IF(入力!$D$32="","",IF(反映項目!$B$11="×","",IFERROR(INDEX(資格集約!$H$705:$H$730,MATCH(12,資格集約!$G$705:$G$730,0)),"")))</f>
        <v/>
      </c>
      <c r="AL30">
        <f>IF(入力!$D$32="","",IF(反映項目!$B$11="×","",IFERROR(INDEX(資格集約!$E$705:$E$730,MATCH(12,資格集約!$G$705:$G$730,0)),"")))</f>
        <v/>
      </c>
      <c r="AM30">
        <f>IF(入力!$D$32="","",IF(反映項目!$B$11="×","",IFERROR(INDEX(資格集約!$H$705:$H$730,MATCH(13,資格集約!$G$705:$G$730,0)),"")))</f>
        <v/>
      </c>
      <c r="AN30">
        <f>IF(入力!$D$32="","",IF(反映項目!$B$11="×","",IFERROR(INDEX(資格集約!$E$705:$E$730,MATCH(13,資格集約!$G$705:$G$730,0)),"")))</f>
        <v/>
      </c>
      <c r="AO30">
        <f>IF(入力!$D$32="","",IF(反映項目!$B$11="×","",IFERROR(INDEX(資格集約!$H$705:$H$730,MATCH(14,資格集約!$G$705:$G$730,0)),"")))</f>
        <v/>
      </c>
      <c r="AP30">
        <f>IF(入力!$D$32="","",IF(反映項目!$B$11="×","",IFERROR(INDEX(資格集約!$E$705:$E$730,MATCH(14,資格集約!$G$705:$G$730,0)),"")))</f>
        <v/>
      </c>
      <c r="AQ30">
        <f>IF(入力!$D$32="","",IF(反映項目!$B$11="×","",IFERROR(INDEX(資格集約!$H$705:$H$730,MATCH(15,資格集約!$G$705:$G$730,0)),"")))</f>
        <v/>
      </c>
      <c r="AR30">
        <f>IF(入力!$D$32="","",IF(反映項目!$B$11="×","",IFERROR(INDEX(資格集約!$E$705:$E$730,MATCH(15,資格集約!$G$705:$G$730,0)),"")))</f>
        <v/>
      </c>
      <c r="AS30">
        <f>IF(入力!$D$32="","",IF(反映項目!$B$11="×","",IFERROR(INDEX(資格集約!$H$705:$H$730,MATCH(16,資格集約!$G$705:$G$730,0)),"")))</f>
        <v/>
      </c>
      <c r="AT30">
        <f>IF(入力!$D$32="","",IF(反映項目!$B$11="×","",IFERROR(INDEX(資格集約!$E$705:$E$730,MATCH(16,資格集約!$G$705:$G$730,0)),"")))</f>
        <v/>
      </c>
      <c r="AU30">
        <f>IF(入力!$D$32="","",IF(反映項目!$B$11="×","",IFERROR(INDEX(資格集約!$H$705:$H$730,MATCH(17,資格集約!$G$705:$G$730,0)),"")))</f>
        <v/>
      </c>
      <c r="AV30">
        <f>IF(入力!$D$32="","",IF(反映項目!$B$11="×","",IFERROR(INDEX(資格集約!$E$705:$E$730,MATCH(17,資格集約!$G$705:$G$730,0)),"")))</f>
        <v/>
      </c>
      <c r="AW30">
        <f>IF(入力!$D$32="","",IF(反映項目!$B$11="×","",IFERROR(INDEX(資格集約!$H$705:$H$730,MATCH(18,資格集約!$G$705:$G$730,0)),"")))</f>
        <v/>
      </c>
      <c r="AX30">
        <f>IF(入力!$D$32="","",IF(反映項目!$B$11="×","",IFERROR(INDEX(資格集約!$E$705:$E$730,MATCH(18,資格集約!$G$705:$G$730,0)),"")))</f>
        <v/>
      </c>
      <c r="AY30">
        <f>IF(入力!$D$32="","",IF(反映項目!$B$11="×","",IFERROR(INDEX(資格集約!$H$705:$H$730,MATCH(19,資格集約!$G$705:$G$730,0)),"")))</f>
        <v/>
      </c>
      <c r="AZ30">
        <f>IF(入力!$D$32="","",IF(反映項目!$B$11="×","",IFERROR(INDEX(資格集約!$E$705:$E$730,MATCH(19,資格集約!$G$705:$G$730,0)),"")))</f>
        <v/>
      </c>
      <c r="BA30">
        <f>IF(入力!$D$32="","",IF(反映項目!$B$11="×","",IFERROR(INDEX(資格集約!$H$705:$H$730,MATCH(20,資格集約!$G$705:$G$730,0)),"")))</f>
        <v/>
      </c>
      <c r="BB30">
        <f>IF(入力!$D$32="","",IF(反映項目!$B$11="×","",IFERROR(INDEX(資格集約!$E$705:$E$730,MATCH(20,資格集約!$G$705:$G$730,0)),"")))</f>
        <v/>
      </c>
      <c r="BC30">
        <f>IF(入力!$D$32="","",IF(反映項目!$B$11="×","",IFERROR(INDEX(資格集約!$H$705:$H$730,MATCH(21,資格集約!$G$705:$G$730,0)),"")))</f>
        <v/>
      </c>
      <c r="BD30">
        <f>IF(入力!$D$32="","",IF(反映項目!$B$11="×","",IFERROR(INDEX(資格集約!$E$705:$E$730,MATCH(21,資格集約!$G$705:$G$730,0)),"")))</f>
        <v/>
      </c>
      <c r="BE30">
        <f>IF(入力!$D$32="","",IF(反映項目!$B$11="×","",IFERROR(INDEX(資格集約!$H$705:$H$730,MATCH(22,資格集約!$G$705:$G$730,0)),"")))</f>
        <v/>
      </c>
      <c r="BF30">
        <f>IF(入力!$D$32="","",IF(反映項目!$B$11="×","",IFERROR(INDEX(資格集約!$E$705:$E$730,MATCH(22,資格集約!$G$705:$G$730,0)),"")))</f>
        <v/>
      </c>
      <c r="BG30">
        <f>IF(入力!$D$32="","",IF(反映項目!$B$11="×","",IFERROR(INDEX(資格集約!$H$705:$H$730,MATCH(23,資格集約!$G$705:$G$730,0)),"")))</f>
        <v/>
      </c>
      <c r="BH30">
        <f>IF(入力!$D$32="","",IF(反映項目!$B$11="×","",IFERROR(INDEX(資格集約!$E$705:$E$730,MATCH(23,資格集約!$G$705:$G$730,0)),"")))</f>
        <v/>
      </c>
      <c r="BI30">
        <f>IF(入力!$D$32="","",IF(反映項目!$B$11="×","",IFERROR(INDEX(資格集約!$H$705:$H$730,MATCH(24,資格集約!$G$705:$G$730,0)),"")))</f>
        <v/>
      </c>
      <c r="BJ30">
        <f>IF(入力!$D$32="","",IF(反映項目!$B$11="×","",IFERROR(INDEX(資格集約!$E$705:$E$730,MATCH(24,資格集約!$G$705:$G$730,0)),"")))</f>
        <v/>
      </c>
      <c r="BK30">
        <f>IF(入力!$D$32="","",IF(反映項目!$B$11="×","",IFERROR(INDEX(資格集約!$H$705:$H$730,MATCH(25,資格集約!$G$705:$G$730,0)),"")))</f>
        <v/>
      </c>
      <c r="BL30">
        <f>IF(入力!$D$32="","",IF(反映項目!$B$11="×","",IFERROR(INDEX(資格集約!$E$705:$E$730,MATCH(25,資格集約!$G$705:$G$730,0)),"")))</f>
        <v/>
      </c>
      <c r="BM30">
        <f>IF(入力!$D$32="","",IF(反映項目!$B$11="×","",IFERROR(INDEX(資格集約!$H$705:$H$730,MATCH(26,資格集約!$G$705:$G$730,0)),"")))</f>
        <v/>
      </c>
      <c r="BN30">
        <f>IF(入力!$D$32="","",IF(反映項目!$B$11="×","",IFERROR(INDEX(資格集約!$E$705:$E$730,MATCH(26,資格集約!$G$705:$G$730,0)),"")))</f>
        <v/>
      </c>
      <c r="BO30">
        <f>IF(入力!$D$32="","",IF(OR(反映項目!$B$12="×",入力!$Z$32=""),"",入力!$Z$32))</f>
        <v/>
      </c>
      <c r="BP30">
        <f>IF(入力!$D$32="","",IF(OR(反映項目!$B$13="×",入力!$AA$32=""),"",入力!$AA$32))</f>
        <v/>
      </c>
      <c r="BQ30">
        <f>IF(入力!$D$32="","",IF(OR(反映項目!$B$15="×",入力!$AF$32=""),"",入力!$AF$32))</f>
        <v/>
      </c>
      <c r="BR30">
        <f>IF(入力!$D$32="","",IF(OR(反映項目!$B$14="×",N($BZ$30)=0),"",YEAR($BZ$30)-IF($BZ$30&gt;=DATE(2019,5,1),2018,1988)))&amp;""</f>
        <v/>
      </c>
      <c r="BS30">
        <f>IF(入力!$D$32="","",IF(OR(反映項目!$B$14="×",N($BZ$30)=0),"",MONTH($BZ$30)))&amp;""</f>
        <v/>
      </c>
      <c r="BT30">
        <f>IF(入力!$D$32="","",IF(OR(反映項目!$B$14="×",入力!$AC$32=""),"",入力!$AC$32))</f>
        <v/>
      </c>
      <c r="BU30">
        <f>IF(入力!$D$32="","",IF(OR(反映項目!$B$14="×",N($CA$30)=0),"",YEAR($CA$30)-IF($CA$30&gt;=DATE(2019,5,1),2018,1988)))&amp;""</f>
        <v/>
      </c>
      <c r="BV30">
        <f>IF(入力!$D$32="","",IF(OR(反映項目!$B$14="×",N($CA$30)=0),"",MONTH($CA$30)))&amp;""</f>
        <v/>
      </c>
      <c r="BW30">
        <f>IF(入力!$D$32="","",IF(OR(反映項目!$B$14="×",入力!$AE$32=""),"",入力!$AE$32))</f>
        <v/>
      </c>
      <c r="BY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Z30">
        <f>IF(入力!$D$32="","",IF(入力!$AB$32="","",IF(ISNUMBER(入力!$AB$32),入力!$AB$32,IFERROR(IF(OR(LEFT(入力!$AB$32,2)="令和",LEFT(入力!$AB$32,2)="平成",LEFT(入力!$AB$32,2)="昭和",LEFT(入力!$AB$32,2)="大正"),DATE(VALUE(MID(入力!$AB$32,3,FIND("年",入力!$AB$32)-3))+IF(LEFT(入力!$AB$32,2)="令和",2018,IF(LEFT(入力!$AB$32,2)="平成",1988,IF(LEFT(入力!$AB$32,2)="昭和",1925,IF(LEFT(入力!$AB$32,2)="大正",1911,0)))),VALUE(MID(入力!$AB$32,FIND("年",入力!$AB$32)+1,FIND("月",入力!$AB$32)-FIND("年",入力!$AB$32)-1)),IFERROR(VALUE(SUBSTITUTE(MID(入力!$AB$32,FIND("月",入力!$AB$32)+1,10),"日","")),1)),DATE(VALUE(TRIM(MID(SUBSTITUTE(SUBSTITUTE(SUBSTITUTE(SUBSTITUTE(SUBSTITUTE(SUBSTITUTE(入力!$AB$32,"年","/"),"月","/"),"日",""),"-","/"),".","/"),"/",REPT(" ",50)),1,50))),VALUE(TRIM(MID(SUBSTITUTE(SUBSTITUTE(SUBSTITUTE(SUBSTITUTE(SUBSTITUTE(SUBSTITUTE(入力!$AB$32,"年","/"),"月","/"),"日",""),"-","/"),".","/"),"/",REPT(" ",50)),51,50))),IFERROR(VALUE(TRIM(MID(SUBSTITUTE(SUBSTITUTE(SUBSTITUTE(SUBSTITUTE(SUBSTITUTE(SUBSTITUTE(入力!$AB$32,"年","/"),"月","/"),"日",""),"-","/"),".","/"),"/",REPT(" ",50)),101,50))),1))),IFERROR(DATEVALUE(入力!$AB$32),"")))))</f>
        <v/>
      </c>
      <c r="CA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CB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amp;IF($AR30="","",CHAR(10)&amp;$AQ30)&amp;IF($AT30="","",CHAR(10)&amp;$AS30)&amp;IF($AV30="","",CHAR(10)&amp;$AU30)&amp;IF($AX30="","",CHAR(10)&amp;$AW30)&amp;IF($AZ30="","",CHAR(10)&amp;$AY30)&amp;IF($BB30="","",CHAR(10)&amp;$BA30)&amp;IF($BD30="","",CHAR(10)&amp;$BC30)&amp;IF($BF30="","",CHAR(10)&amp;$BE30)&amp;IF($BH30="","",CHAR(10)&amp;$BG30)&amp;IF($BJ30="","",CHAR(10)&amp;$BI30)&amp;IF($BL30="","",CHAR(10)&amp;$BK30)&amp;IF($BN30="","",CHAR(10)&amp;$BM30))</f>
        <v/>
      </c>
      <c r="CC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amp;IF($AR30="","",CHAR(10)&amp;$AR30)&amp;IF($AT30="","",CHAR(10)&amp;$AT30)&amp;IF($AV30="","",CHAR(10)&amp;$AV30)&amp;IF($AX30="","",CHAR(10)&amp;$AX30)&amp;IF($AZ30="","",CHAR(10)&amp;$AZ30)&amp;IF($BB30="","",CHAR(10)&amp;$BB30)&amp;IF($BD30="","",CHAR(10)&amp;$BD30)&amp;IF($BF30="","",CHAR(10)&amp;$BF30)&amp;IF($BH30="","",CHAR(10)&amp;$BH30)&amp;IF($BJ30="","",CHAR(10)&amp;$BJ30)&amp;IF($BL30="","",CHAR(10)&amp;$BL30)&amp;IF($BN30="","",CHAR(10)&amp;$BN30))</f>
        <v/>
      </c>
      <c r="CD30">
        <f>IF(入力!$D$32="","",IF($P30="",0,1)+IF($R30="",0,1)+IF($T30="",0,1)+IF($V30="",0,1)+IF($X30="",0,1)+IF($Z30="",0,1)+IF($AB30="",0,1)+IF($AD30="",0,1)+IF($AF30="",0,1)+IF($AH30="",0,1)+IF($AJ30="",0,1)+IF($AL30="",0,1)+IF($AN30="",0,1)+IF($AP30="",0,1)+IF($AR30="",0,1)+IF($AT30="",0,1)+IF($AV30="",0,1)+IF($AX30="",0,1)+IF($AZ30="",0,1)+IF($BB30="",0,1)+IF($BD30="",0,1)+IF($BF30="",0,1)+IF($BH30="",0,1)+IF($BJ30="",0,1)+IF($BL30="",0,1)+IF($BN30="",0,1))</f>
        <v/>
      </c>
    </row>
    <row r="31">
      <c r="A31" t="n">
        <v>29</v>
      </c>
      <c r="B31">
        <f>IF(入力!$D$33="","",IF(OR(反映項目!$B$4="×",入力!$D$33=""),"",入力!$D$33))</f>
        <v/>
      </c>
      <c r="C31">
        <f>IF(入力!$D$33="","",IF(OR(反映項目!$B$5="×",入力!$E$33=""),"",入力!$E$33))</f>
        <v/>
      </c>
      <c r="D31">
        <f>IF(入力!$D$33="","",IF(OR(反映項目!$B$6="×",N($BY$31)=0),"",YEAR($BY$31)-IF($BY$31&gt;=DATE(2019,5,1),2018,IF($BY$31&gt;=DATE(1989,1,8),1988,1925))))&amp;""</f>
        <v/>
      </c>
      <c r="E31">
        <f>IF(入力!$D$33="","",IF(OR(反映項目!$B$6="×",N($BY$31)=0),"",MONTH($BY$31)))&amp;""</f>
        <v/>
      </c>
      <c r="F31">
        <f>IF(入力!$D$33="","",IF(OR(反映項目!$B$6="×",N($BY$31)=0),"",DAY($BY$31)))&amp;""</f>
        <v/>
      </c>
      <c r="G31">
        <f>IF(入力!$D$33="","",IF(OR(反映項目!$B$6="×",OR(N($BY$31)=0,N(設定!$B$3)=0)),"",DATEDIF($BY$31,設定!$B$3,"Y")))&amp;""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IF(入力!$D$33="","",IF(OR(反映項目!$B$10="×",入力!$K$33=""),"",入力!$K$33))</f>
        <v/>
      </c>
      <c r="M31">
        <f>IF(入力!$D$33="","",IF(OR(反映項目!$B$10="×",入力!$L$33=""),"",入力!$L$33))</f>
        <v/>
      </c>
      <c r="N31">
        <f>IF(入力!$D$33="","",設定!$B$4&amp;CHAR(10)&amp;IF(入力!$M$33="",設定!$B$5,入力!$M$33))</f>
        <v/>
      </c>
      <c r="O31">
        <f>IF(入力!$D$33="","",IF(反映項目!$B$11="×","",IFERROR(INDEX(資格集約!$H$731:$H$756,MATCH(1,資格集約!$G$731:$G$756,0)),"")))</f>
        <v/>
      </c>
      <c r="P31">
        <f>IF(入力!$D$33="","",IF(反映項目!$B$11="×","",IFERROR(INDEX(資格集約!$E$731:$E$756,MATCH(1,資格集約!$G$731:$G$756,0)),"")))</f>
        <v/>
      </c>
      <c r="Q31">
        <f>IF(入力!$D$33="","",IF(反映項目!$B$11="×","",IFERROR(INDEX(資格集約!$H$731:$H$756,MATCH(2,資格集約!$G$731:$G$756,0)),"")))</f>
        <v/>
      </c>
      <c r="R31">
        <f>IF(入力!$D$33="","",IF(反映項目!$B$11="×","",IFERROR(INDEX(資格集約!$E$731:$E$756,MATCH(2,資格集約!$G$731:$G$756,0)),"")))</f>
        <v/>
      </c>
      <c r="S31">
        <f>IF(入力!$D$33="","",IF(反映項目!$B$11="×","",IFERROR(INDEX(資格集約!$H$731:$H$756,MATCH(3,資格集約!$G$731:$G$756,0)),"")))</f>
        <v/>
      </c>
      <c r="T31">
        <f>IF(入力!$D$33="","",IF(反映項目!$B$11="×","",IFERROR(INDEX(資格集約!$E$731:$E$756,MATCH(3,資格集約!$G$731:$G$756,0)),"")))</f>
        <v/>
      </c>
      <c r="U31">
        <f>IF(入力!$D$33="","",IF(反映項目!$B$11="×","",IFERROR(INDEX(資格集約!$H$731:$H$756,MATCH(4,資格集約!$G$731:$G$756,0)),"")))</f>
        <v/>
      </c>
      <c r="V31">
        <f>IF(入力!$D$33="","",IF(反映項目!$B$11="×","",IFERROR(INDEX(資格集約!$E$731:$E$756,MATCH(4,資格集約!$G$731:$G$756,0)),"")))</f>
        <v/>
      </c>
      <c r="W31">
        <f>IF(入力!$D$33="","",IF(反映項目!$B$11="×","",IFERROR(INDEX(資格集約!$H$731:$H$756,MATCH(5,資格集約!$G$731:$G$756,0)),"")))</f>
        <v/>
      </c>
      <c r="X31">
        <f>IF(入力!$D$33="","",IF(反映項目!$B$11="×","",IFERROR(INDEX(資格集約!$E$731:$E$756,MATCH(5,資格集約!$G$731:$G$756,0)),"")))</f>
        <v/>
      </c>
      <c r="Y31">
        <f>IF(入力!$D$33="","",IF(反映項目!$B$11="×","",IFERROR(INDEX(資格集約!$H$731:$H$756,MATCH(6,資格集約!$G$731:$G$756,0)),"")))</f>
        <v/>
      </c>
      <c r="Z31">
        <f>IF(入力!$D$33="","",IF(反映項目!$B$11="×","",IFERROR(INDEX(資格集約!$E$731:$E$756,MATCH(6,資格集約!$G$731:$G$756,0)),"")))</f>
        <v/>
      </c>
      <c r="AA31">
        <f>IF(入力!$D$33="","",IF(反映項目!$B$11="×","",IFERROR(INDEX(資格集約!$H$731:$H$756,MATCH(7,資格集約!$G$731:$G$756,0)),"")))</f>
        <v/>
      </c>
      <c r="AB31">
        <f>IF(入力!$D$33="","",IF(反映項目!$B$11="×","",IFERROR(INDEX(資格集約!$E$731:$E$756,MATCH(7,資格集約!$G$731:$G$756,0)),"")))</f>
        <v/>
      </c>
      <c r="AC31">
        <f>IF(入力!$D$33="","",IF(反映項目!$B$11="×","",IFERROR(INDEX(資格集約!$H$731:$H$756,MATCH(8,資格集約!$G$731:$G$756,0)),"")))</f>
        <v/>
      </c>
      <c r="AD31">
        <f>IF(入力!$D$33="","",IF(反映項目!$B$11="×","",IFERROR(INDEX(資格集約!$E$731:$E$756,MATCH(8,資格集約!$G$731:$G$756,0)),"")))</f>
        <v/>
      </c>
      <c r="AE31">
        <f>IF(入力!$D$33="","",IF(反映項目!$B$11="×","",IFERROR(INDEX(資格集約!$H$731:$H$756,MATCH(9,資格集約!$G$731:$G$756,0)),"")))</f>
        <v/>
      </c>
      <c r="AF31">
        <f>IF(入力!$D$33="","",IF(反映項目!$B$11="×","",IFERROR(INDEX(資格集約!$E$731:$E$756,MATCH(9,資格集約!$G$731:$G$756,0)),"")))</f>
        <v/>
      </c>
      <c r="AG31">
        <f>IF(入力!$D$33="","",IF(反映項目!$B$11="×","",IFERROR(INDEX(資格集約!$H$731:$H$756,MATCH(10,資格集約!$G$731:$G$756,0)),"")))</f>
        <v/>
      </c>
      <c r="AH31">
        <f>IF(入力!$D$33="","",IF(反映項目!$B$11="×","",IFERROR(INDEX(資格集約!$E$731:$E$756,MATCH(10,資格集約!$G$731:$G$756,0)),"")))</f>
        <v/>
      </c>
      <c r="AI31">
        <f>IF(入力!$D$33="","",IF(反映項目!$B$11="×","",IFERROR(INDEX(資格集約!$H$731:$H$756,MATCH(11,資格集約!$G$731:$G$756,0)),"")))</f>
        <v/>
      </c>
      <c r="AJ31">
        <f>IF(入力!$D$33="","",IF(反映項目!$B$11="×","",IFERROR(INDEX(資格集約!$E$731:$E$756,MATCH(11,資格集約!$G$731:$G$756,0)),"")))</f>
        <v/>
      </c>
      <c r="AK31">
        <f>IF(入力!$D$33="","",IF(反映項目!$B$11="×","",IFERROR(INDEX(資格集約!$H$731:$H$756,MATCH(12,資格集約!$G$731:$G$756,0)),"")))</f>
        <v/>
      </c>
      <c r="AL31">
        <f>IF(入力!$D$33="","",IF(反映項目!$B$11="×","",IFERROR(INDEX(資格集約!$E$731:$E$756,MATCH(12,資格集約!$G$731:$G$756,0)),"")))</f>
        <v/>
      </c>
      <c r="AM31">
        <f>IF(入力!$D$33="","",IF(反映項目!$B$11="×","",IFERROR(INDEX(資格集約!$H$731:$H$756,MATCH(13,資格集約!$G$731:$G$756,0)),"")))</f>
        <v/>
      </c>
      <c r="AN31">
        <f>IF(入力!$D$33="","",IF(反映項目!$B$11="×","",IFERROR(INDEX(資格集約!$E$731:$E$756,MATCH(13,資格集約!$G$731:$G$756,0)),"")))</f>
        <v/>
      </c>
      <c r="AO31">
        <f>IF(入力!$D$33="","",IF(反映項目!$B$11="×","",IFERROR(INDEX(資格集約!$H$731:$H$756,MATCH(14,資格集約!$G$731:$G$756,0)),"")))</f>
        <v/>
      </c>
      <c r="AP31">
        <f>IF(入力!$D$33="","",IF(反映項目!$B$11="×","",IFERROR(INDEX(資格集約!$E$731:$E$756,MATCH(14,資格集約!$G$731:$G$756,0)),"")))</f>
        <v/>
      </c>
      <c r="AQ31">
        <f>IF(入力!$D$33="","",IF(反映項目!$B$11="×","",IFERROR(INDEX(資格集約!$H$731:$H$756,MATCH(15,資格集約!$G$731:$G$756,0)),"")))</f>
        <v/>
      </c>
      <c r="AR31">
        <f>IF(入力!$D$33="","",IF(反映項目!$B$11="×","",IFERROR(INDEX(資格集約!$E$731:$E$756,MATCH(15,資格集約!$G$731:$G$756,0)),"")))</f>
        <v/>
      </c>
      <c r="AS31">
        <f>IF(入力!$D$33="","",IF(反映項目!$B$11="×","",IFERROR(INDEX(資格集約!$H$731:$H$756,MATCH(16,資格集約!$G$731:$G$756,0)),"")))</f>
        <v/>
      </c>
      <c r="AT31">
        <f>IF(入力!$D$33="","",IF(反映項目!$B$11="×","",IFERROR(INDEX(資格集約!$E$731:$E$756,MATCH(16,資格集約!$G$731:$G$756,0)),"")))</f>
        <v/>
      </c>
      <c r="AU31">
        <f>IF(入力!$D$33="","",IF(反映項目!$B$11="×","",IFERROR(INDEX(資格集約!$H$731:$H$756,MATCH(17,資格集約!$G$731:$G$756,0)),"")))</f>
        <v/>
      </c>
      <c r="AV31">
        <f>IF(入力!$D$33="","",IF(反映項目!$B$11="×","",IFERROR(INDEX(資格集約!$E$731:$E$756,MATCH(17,資格集約!$G$731:$G$756,0)),"")))</f>
        <v/>
      </c>
      <c r="AW31">
        <f>IF(入力!$D$33="","",IF(反映項目!$B$11="×","",IFERROR(INDEX(資格集約!$H$731:$H$756,MATCH(18,資格集約!$G$731:$G$756,0)),"")))</f>
        <v/>
      </c>
      <c r="AX31">
        <f>IF(入力!$D$33="","",IF(反映項目!$B$11="×","",IFERROR(INDEX(資格集約!$E$731:$E$756,MATCH(18,資格集約!$G$731:$G$756,0)),"")))</f>
        <v/>
      </c>
      <c r="AY31">
        <f>IF(入力!$D$33="","",IF(反映項目!$B$11="×","",IFERROR(INDEX(資格集約!$H$731:$H$756,MATCH(19,資格集約!$G$731:$G$756,0)),"")))</f>
        <v/>
      </c>
      <c r="AZ31">
        <f>IF(入力!$D$33="","",IF(反映項目!$B$11="×","",IFERROR(INDEX(資格集約!$E$731:$E$756,MATCH(19,資格集約!$G$731:$G$756,0)),"")))</f>
        <v/>
      </c>
      <c r="BA31">
        <f>IF(入力!$D$33="","",IF(反映項目!$B$11="×","",IFERROR(INDEX(資格集約!$H$731:$H$756,MATCH(20,資格集約!$G$731:$G$756,0)),"")))</f>
        <v/>
      </c>
      <c r="BB31">
        <f>IF(入力!$D$33="","",IF(反映項目!$B$11="×","",IFERROR(INDEX(資格集約!$E$731:$E$756,MATCH(20,資格集約!$G$731:$G$756,0)),"")))</f>
        <v/>
      </c>
      <c r="BC31">
        <f>IF(入力!$D$33="","",IF(反映項目!$B$11="×","",IFERROR(INDEX(資格集約!$H$731:$H$756,MATCH(21,資格集約!$G$731:$G$756,0)),"")))</f>
        <v/>
      </c>
      <c r="BD31">
        <f>IF(入力!$D$33="","",IF(反映項目!$B$11="×","",IFERROR(INDEX(資格集約!$E$731:$E$756,MATCH(21,資格集約!$G$731:$G$756,0)),"")))</f>
        <v/>
      </c>
      <c r="BE31">
        <f>IF(入力!$D$33="","",IF(反映項目!$B$11="×","",IFERROR(INDEX(資格集約!$H$731:$H$756,MATCH(22,資格集約!$G$731:$G$756,0)),"")))</f>
        <v/>
      </c>
      <c r="BF31">
        <f>IF(入力!$D$33="","",IF(反映項目!$B$11="×","",IFERROR(INDEX(資格集約!$E$731:$E$756,MATCH(22,資格集約!$G$731:$G$756,0)),"")))</f>
        <v/>
      </c>
      <c r="BG31">
        <f>IF(入力!$D$33="","",IF(反映項目!$B$11="×","",IFERROR(INDEX(資格集約!$H$731:$H$756,MATCH(23,資格集約!$G$731:$G$756,0)),"")))</f>
        <v/>
      </c>
      <c r="BH31">
        <f>IF(入力!$D$33="","",IF(反映項目!$B$11="×","",IFERROR(INDEX(資格集約!$E$731:$E$756,MATCH(23,資格集約!$G$731:$G$756,0)),"")))</f>
        <v/>
      </c>
      <c r="BI31">
        <f>IF(入力!$D$33="","",IF(反映項目!$B$11="×","",IFERROR(INDEX(資格集約!$H$731:$H$756,MATCH(24,資格集約!$G$731:$G$756,0)),"")))</f>
        <v/>
      </c>
      <c r="BJ31">
        <f>IF(入力!$D$33="","",IF(反映項目!$B$11="×","",IFERROR(INDEX(資格集約!$E$731:$E$756,MATCH(24,資格集約!$G$731:$G$756,0)),"")))</f>
        <v/>
      </c>
      <c r="BK31">
        <f>IF(入力!$D$33="","",IF(反映項目!$B$11="×","",IFERROR(INDEX(資格集約!$H$731:$H$756,MATCH(25,資格集約!$G$731:$G$756,0)),"")))</f>
        <v/>
      </c>
      <c r="BL31">
        <f>IF(入力!$D$33="","",IF(反映項目!$B$11="×","",IFERROR(INDEX(資格集約!$E$731:$E$756,MATCH(25,資格集約!$G$731:$G$756,0)),"")))</f>
        <v/>
      </c>
      <c r="BM31">
        <f>IF(入力!$D$33="","",IF(反映項目!$B$11="×","",IFERROR(INDEX(資格集約!$H$731:$H$756,MATCH(26,資格集約!$G$731:$G$756,0)),"")))</f>
        <v/>
      </c>
      <c r="BN31">
        <f>IF(入力!$D$33="","",IF(反映項目!$B$11="×","",IFERROR(INDEX(資格集約!$E$731:$E$756,MATCH(26,資格集約!$G$731:$G$756,0)),"")))</f>
        <v/>
      </c>
      <c r="BO31">
        <f>IF(入力!$D$33="","",IF(OR(反映項目!$B$12="×",入力!$Z$33=""),"",入力!$Z$33))</f>
        <v/>
      </c>
      <c r="BP31">
        <f>IF(入力!$D$33="","",IF(OR(反映項目!$B$13="×",入力!$AA$33=""),"",入力!$AA$33))</f>
        <v/>
      </c>
      <c r="BQ31">
        <f>IF(入力!$D$33="","",IF(OR(反映項目!$B$15="×",入力!$AF$33=""),"",入力!$AF$33))</f>
        <v/>
      </c>
      <c r="BR31">
        <f>IF(入力!$D$33="","",IF(OR(反映項目!$B$14="×",N($BZ$31)=0),"",YEAR($BZ$31)-IF($BZ$31&gt;=DATE(2019,5,1),2018,1988)))&amp;""</f>
        <v/>
      </c>
      <c r="BS31">
        <f>IF(入力!$D$33="","",IF(OR(反映項目!$B$14="×",N($BZ$31)=0),"",MONTH($BZ$31)))&amp;""</f>
        <v/>
      </c>
      <c r="BT31">
        <f>IF(入力!$D$33="","",IF(OR(反映項目!$B$14="×",入力!$AC$33=""),"",入力!$AC$33))</f>
        <v/>
      </c>
      <c r="BU31">
        <f>IF(入力!$D$33="","",IF(OR(反映項目!$B$14="×",N($CA$31)=0),"",YEAR($CA$31)-IF($CA$31&gt;=DATE(2019,5,1),2018,1988)))&amp;""</f>
        <v/>
      </c>
      <c r="BV31">
        <f>IF(入力!$D$33="","",IF(OR(反映項目!$B$14="×",N($CA$31)=0),"",MONTH($CA$31)))&amp;""</f>
        <v/>
      </c>
      <c r="BW31">
        <f>IF(入力!$D$33="","",IF(OR(反映項目!$B$14="×",入力!$AE$33=""),"",入力!$AE$33))</f>
        <v/>
      </c>
      <c r="BY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Z31">
        <f>IF(入力!$D$33="","",IF(入力!$AB$33="","",IF(ISNUMBER(入力!$AB$33),入力!$AB$33,IFERROR(IF(OR(LEFT(入力!$AB$33,2)="令和",LEFT(入力!$AB$33,2)="平成",LEFT(入力!$AB$33,2)="昭和",LEFT(入力!$AB$33,2)="大正"),DATE(VALUE(MID(入力!$AB$33,3,FIND("年",入力!$AB$33)-3))+IF(LEFT(入力!$AB$33,2)="令和",2018,IF(LEFT(入力!$AB$33,2)="平成",1988,IF(LEFT(入力!$AB$33,2)="昭和",1925,IF(LEFT(入力!$AB$33,2)="大正",1911,0)))),VALUE(MID(入力!$AB$33,FIND("年",入力!$AB$33)+1,FIND("月",入力!$AB$33)-FIND("年",入力!$AB$33)-1)),IFERROR(VALUE(SUBSTITUTE(MID(入力!$AB$33,FIND("月",入力!$AB$33)+1,10),"日","")),1)),DATE(VALUE(TRIM(MID(SUBSTITUTE(SUBSTITUTE(SUBSTITUTE(SUBSTITUTE(SUBSTITUTE(SUBSTITUTE(入力!$AB$33,"年","/"),"月","/"),"日",""),"-","/"),".","/"),"/",REPT(" ",50)),1,50))),VALUE(TRIM(MID(SUBSTITUTE(SUBSTITUTE(SUBSTITUTE(SUBSTITUTE(SUBSTITUTE(SUBSTITUTE(入力!$AB$33,"年","/"),"月","/"),"日",""),"-","/"),".","/"),"/",REPT(" ",50)),51,50))),IFERROR(VALUE(TRIM(MID(SUBSTITUTE(SUBSTITUTE(SUBSTITUTE(SUBSTITUTE(SUBSTITUTE(SUBSTITUTE(入力!$AB$33,"年","/"),"月","/"),"日",""),"-","/"),".","/"),"/",REPT(" ",50)),101,50))),1))),IFERROR(DATEVALUE(入力!$AB$33),"")))))</f>
        <v/>
      </c>
      <c r="CA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CB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amp;IF($AR31="","",CHAR(10)&amp;$AQ31)&amp;IF($AT31="","",CHAR(10)&amp;$AS31)&amp;IF($AV31="","",CHAR(10)&amp;$AU31)&amp;IF($AX31="","",CHAR(10)&amp;$AW31)&amp;IF($AZ31="","",CHAR(10)&amp;$AY31)&amp;IF($BB31="","",CHAR(10)&amp;$BA31)&amp;IF($BD31="","",CHAR(10)&amp;$BC31)&amp;IF($BF31="","",CHAR(10)&amp;$BE31)&amp;IF($BH31="","",CHAR(10)&amp;$BG31)&amp;IF($BJ31="","",CHAR(10)&amp;$BI31)&amp;IF($BL31="","",CHAR(10)&amp;$BK31)&amp;IF($BN31="","",CHAR(10)&amp;$BM31))</f>
        <v/>
      </c>
      <c r="CC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amp;IF($AR31="","",CHAR(10)&amp;$AR31)&amp;IF($AT31="","",CHAR(10)&amp;$AT31)&amp;IF($AV31="","",CHAR(10)&amp;$AV31)&amp;IF($AX31="","",CHAR(10)&amp;$AX31)&amp;IF($AZ31="","",CHAR(10)&amp;$AZ31)&amp;IF($BB31="","",CHAR(10)&amp;$BB31)&amp;IF($BD31="","",CHAR(10)&amp;$BD31)&amp;IF($BF31="","",CHAR(10)&amp;$BF31)&amp;IF($BH31="","",CHAR(10)&amp;$BH31)&amp;IF($BJ31="","",CHAR(10)&amp;$BJ31)&amp;IF($BL31="","",CHAR(10)&amp;$BL31)&amp;IF($BN31="","",CHAR(10)&amp;$BN31))</f>
        <v/>
      </c>
      <c r="CD31">
        <f>IF(入力!$D$33="","",IF($P31="",0,1)+IF($R31="",0,1)+IF($T31="",0,1)+IF($V31="",0,1)+IF($X31="",0,1)+IF($Z31="",0,1)+IF($AB31="",0,1)+IF($AD31="",0,1)+IF($AF31="",0,1)+IF($AH31="",0,1)+IF($AJ31="",0,1)+IF($AL31="",0,1)+IF($AN31="",0,1)+IF($AP31="",0,1)+IF($AR31="",0,1)+IF($AT31="",0,1)+IF($AV31="",0,1)+IF($AX31="",0,1)+IF($AZ31="",0,1)+IF($BB31="",0,1)+IF($BD31="",0,1)+IF($BF31="",0,1)+IF($BH31="",0,1)+IF($BJ31="",0,1)+IF($BL31="",0,1)+IF($BN31="",0,1))</f>
        <v/>
      </c>
    </row>
    <row r="32">
      <c r="A32" t="n">
        <v>30</v>
      </c>
      <c r="B32">
        <f>IF(入力!$D$34="","",IF(OR(反映項目!$B$4="×",入力!$D$34=""),"",入力!$D$34))</f>
        <v/>
      </c>
      <c r="C32">
        <f>IF(入力!$D$34="","",IF(OR(反映項目!$B$5="×",入力!$E$34=""),"",入力!$E$34))</f>
        <v/>
      </c>
      <c r="D32">
        <f>IF(入力!$D$34="","",IF(OR(反映項目!$B$6="×",N($BY$32)=0),"",YEAR($BY$32)-IF($BY$32&gt;=DATE(2019,5,1),2018,IF($BY$32&gt;=DATE(1989,1,8),1988,1925))))&amp;""</f>
        <v/>
      </c>
      <c r="E32">
        <f>IF(入力!$D$34="","",IF(OR(反映項目!$B$6="×",N($BY$32)=0),"",MONTH($BY$32)))&amp;""</f>
        <v/>
      </c>
      <c r="F32">
        <f>IF(入力!$D$34="","",IF(OR(反映項目!$B$6="×",N($BY$32)=0),"",DAY($BY$32)))&amp;""</f>
        <v/>
      </c>
      <c r="G32">
        <f>IF(入力!$D$34="","",IF(OR(反映項目!$B$6="×",OR(N($BY$32)=0,N(設定!$B$3)=0)),"",DATEDIF($BY$32,設定!$B$3,"Y")))&amp;""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IF(入力!$D$34="","",IF(OR(反映項目!$B$10="×",入力!$K$34=""),"",入力!$K$34))</f>
        <v/>
      </c>
      <c r="M32">
        <f>IF(入力!$D$34="","",IF(OR(反映項目!$B$10="×",入力!$L$34=""),"",入力!$L$34))</f>
        <v/>
      </c>
      <c r="N32">
        <f>IF(入力!$D$34="","",設定!$B$4&amp;CHAR(10)&amp;IF(入力!$M$34="",設定!$B$5,入力!$M$34))</f>
        <v/>
      </c>
      <c r="O32">
        <f>IF(入力!$D$34="","",IF(反映項目!$B$11="×","",IFERROR(INDEX(資格集約!$H$757:$H$782,MATCH(1,資格集約!$G$757:$G$782,0)),"")))</f>
        <v/>
      </c>
      <c r="P32">
        <f>IF(入力!$D$34="","",IF(反映項目!$B$11="×","",IFERROR(INDEX(資格集約!$E$757:$E$782,MATCH(1,資格集約!$G$757:$G$782,0)),"")))</f>
        <v/>
      </c>
      <c r="Q32">
        <f>IF(入力!$D$34="","",IF(反映項目!$B$11="×","",IFERROR(INDEX(資格集約!$H$757:$H$782,MATCH(2,資格集約!$G$757:$G$782,0)),"")))</f>
        <v/>
      </c>
      <c r="R32">
        <f>IF(入力!$D$34="","",IF(反映項目!$B$11="×","",IFERROR(INDEX(資格集約!$E$757:$E$782,MATCH(2,資格集約!$G$757:$G$782,0)),"")))</f>
        <v/>
      </c>
      <c r="S32">
        <f>IF(入力!$D$34="","",IF(反映項目!$B$11="×","",IFERROR(INDEX(資格集約!$H$757:$H$782,MATCH(3,資格集約!$G$757:$G$782,0)),"")))</f>
        <v/>
      </c>
      <c r="T32">
        <f>IF(入力!$D$34="","",IF(反映項目!$B$11="×","",IFERROR(INDEX(資格集約!$E$757:$E$782,MATCH(3,資格集約!$G$757:$G$782,0)),"")))</f>
        <v/>
      </c>
      <c r="U32">
        <f>IF(入力!$D$34="","",IF(反映項目!$B$11="×","",IFERROR(INDEX(資格集約!$H$757:$H$782,MATCH(4,資格集約!$G$757:$G$782,0)),"")))</f>
        <v/>
      </c>
      <c r="V32">
        <f>IF(入力!$D$34="","",IF(反映項目!$B$11="×","",IFERROR(INDEX(資格集約!$E$757:$E$782,MATCH(4,資格集約!$G$757:$G$782,0)),"")))</f>
        <v/>
      </c>
      <c r="W32">
        <f>IF(入力!$D$34="","",IF(反映項目!$B$11="×","",IFERROR(INDEX(資格集約!$H$757:$H$782,MATCH(5,資格集約!$G$757:$G$782,0)),"")))</f>
        <v/>
      </c>
      <c r="X32">
        <f>IF(入力!$D$34="","",IF(反映項目!$B$11="×","",IFERROR(INDEX(資格集約!$E$757:$E$782,MATCH(5,資格集約!$G$757:$G$782,0)),"")))</f>
        <v/>
      </c>
      <c r="Y32">
        <f>IF(入力!$D$34="","",IF(反映項目!$B$11="×","",IFERROR(INDEX(資格集約!$H$757:$H$782,MATCH(6,資格集約!$G$757:$G$782,0)),"")))</f>
        <v/>
      </c>
      <c r="Z32">
        <f>IF(入力!$D$34="","",IF(反映項目!$B$11="×","",IFERROR(INDEX(資格集約!$E$757:$E$782,MATCH(6,資格集約!$G$757:$G$782,0)),"")))</f>
        <v/>
      </c>
      <c r="AA32">
        <f>IF(入力!$D$34="","",IF(反映項目!$B$11="×","",IFERROR(INDEX(資格集約!$H$757:$H$782,MATCH(7,資格集約!$G$757:$G$782,0)),"")))</f>
        <v/>
      </c>
      <c r="AB32">
        <f>IF(入力!$D$34="","",IF(反映項目!$B$11="×","",IFERROR(INDEX(資格集約!$E$757:$E$782,MATCH(7,資格集約!$G$757:$G$782,0)),"")))</f>
        <v/>
      </c>
      <c r="AC32">
        <f>IF(入力!$D$34="","",IF(反映項目!$B$11="×","",IFERROR(INDEX(資格集約!$H$757:$H$782,MATCH(8,資格集約!$G$757:$G$782,0)),"")))</f>
        <v/>
      </c>
      <c r="AD32">
        <f>IF(入力!$D$34="","",IF(反映項目!$B$11="×","",IFERROR(INDEX(資格集約!$E$757:$E$782,MATCH(8,資格集約!$G$757:$G$782,0)),"")))</f>
        <v/>
      </c>
      <c r="AE32">
        <f>IF(入力!$D$34="","",IF(反映項目!$B$11="×","",IFERROR(INDEX(資格集約!$H$757:$H$782,MATCH(9,資格集約!$G$757:$G$782,0)),"")))</f>
        <v/>
      </c>
      <c r="AF32">
        <f>IF(入力!$D$34="","",IF(反映項目!$B$11="×","",IFERROR(INDEX(資格集約!$E$757:$E$782,MATCH(9,資格集約!$G$757:$G$782,0)),"")))</f>
        <v/>
      </c>
      <c r="AG32">
        <f>IF(入力!$D$34="","",IF(反映項目!$B$11="×","",IFERROR(INDEX(資格集約!$H$757:$H$782,MATCH(10,資格集約!$G$757:$G$782,0)),"")))</f>
        <v/>
      </c>
      <c r="AH32">
        <f>IF(入力!$D$34="","",IF(反映項目!$B$11="×","",IFERROR(INDEX(資格集約!$E$757:$E$782,MATCH(10,資格集約!$G$757:$G$782,0)),"")))</f>
        <v/>
      </c>
      <c r="AI32">
        <f>IF(入力!$D$34="","",IF(反映項目!$B$11="×","",IFERROR(INDEX(資格集約!$H$757:$H$782,MATCH(11,資格集約!$G$757:$G$782,0)),"")))</f>
        <v/>
      </c>
      <c r="AJ32">
        <f>IF(入力!$D$34="","",IF(反映項目!$B$11="×","",IFERROR(INDEX(資格集約!$E$757:$E$782,MATCH(11,資格集約!$G$757:$G$782,0)),"")))</f>
        <v/>
      </c>
      <c r="AK32">
        <f>IF(入力!$D$34="","",IF(反映項目!$B$11="×","",IFERROR(INDEX(資格集約!$H$757:$H$782,MATCH(12,資格集約!$G$757:$G$782,0)),"")))</f>
        <v/>
      </c>
      <c r="AL32">
        <f>IF(入力!$D$34="","",IF(反映項目!$B$11="×","",IFERROR(INDEX(資格集約!$E$757:$E$782,MATCH(12,資格集約!$G$757:$G$782,0)),"")))</f>
        <v/>
      </c>
      <c r="AM32">
        <f>IF(入力!$D$34="","",IF(反映項目!$B$11="×","",IFERROR(INDEX(資格集約!$H$757:$H$782,MATCH(13,資格集約!$G$757:$G$782,0)),"")))</f>
        <v/>
      </c>
      <c r="AN32">
        <f>IF(入力!$D$34="","",IF(反映項目!$B$11="×","",IFERROR(INDEX(資格集約!$E$757:$E$782,MATCH(13,資格集約!$G$757:$G$782,0)),"")))</f>
        <v/>
      </c>
      <c r="AO32">
        <f>IF(入力!$D$34="","",IF(反映項目!$B$11="×","",IFERROR(INDEX(資格集約!$H$757:$H$782,MATCH(14,資格集約!$G$757:$G$782,0)),"")))</f>
        <v/>
      </c>
      <c r="AP32">
        <f>IF(入力!$D$34="","",IF(反映項目!$B$11="×","",IFERROR(INDEX(資格集約!$E$757:$E$782,MATCH(14,資格集約!$G$757:$G$782,0)),"")))</f>
        <v/>
      </c>
      <c r="AQ32">
        <f>IF(入力!$D$34="","",IF(反映項目!$B$11="×","",IFERROR(INDEX(資格集約!$H$757:$H$782,MATCH(15,資格集約!$G$757:$G$782,0)),"")))</f>
        <v/>
      </c>
      <c r="AR32">
        <f>IF(入力!$D$34="","",IF(反映項目!$B$11="×","",IFERROR(INDEX(資格集約!$E$757:$E$782,MATCH(15,資格集約!$G$757:$G$782,0)),"")))</f>
        <v/>
      </c>
      <c r="AS32">
        <f>IF(入力!$D$34="","",IF(反映項目!$B$11="×","",IFERROR(INDEX(資格集約!$H$757:$H$782,MATCH(16,資格集約!$G$757:$G$782,0)),"")))</f>
        <v/>
      </c>
      <c r="AT32">
        <f>IF(入力!$D$34="","",IF(反映項目!$B$11="×","",IFERROR(INDEX(資格集約!$E$757:$E$782,MATCH(16,資格集約!$G$757:$G$782,0)),"")))</f>
        <v/>
      </c>
      <c r="AU32">
        <f>IF(入力!$D$34="","",IF(反映項目!$B$11="×","",IFERROR(INDEX(資格集約!$H$757:$H$782,MATCH(17,資格集約!$G$757:$G$782,0)),"")))</f>
        <v/>
      </c>
      <c r="AV32">
        <f>IF(入力!$D$34="","",IF(反映項目!$B$11="×","",IFERROR(INDEX(資格集約!$E$757:$E$782,MATCH(17,資格集約!$G$757:$G$782,0)),"")))</f>
        <v/>
      </c>
      <c r="AW32">
        <f>IF(入力!$D$34="","",IF(反映項目!$B$11="×","",IFERROR(INDEX(資格集約!$H$757:$H$782,MATCH(18,資格集約!$G$757:$G$782,0)),"")))</f>
        <v/>
      </c>
      <c r="AX32">
        <f>IF(入力!$D$34="","",IF(反映項目!$B$11="×","",IFERROR(INDEX(資格集約!$E$757:$E$782,MATCH(18,資格集約!$G$757:$G$782,0)),"")))</f>
        <v/>
      </c>
      <c r="AY32">
        <f>IF(入力!$D$34="","",IF(反映項目!$B$11="×","",IFERROR(INDEX(資格集約!$H$757:$H$782,MATCH(19,資格集約!$G$757:$G$782,0)),"")))</f>
        <v/>
      </c>
      <c r="AZ32">
        <f>IF(入力!$D$34="","",IF(反映項目!$B$11="×","",IFERROR(INDEX(資格集約!$E$757:$E$782,MATCH(19,資格集約!$G$757:$G$782,0)),"")))</f>
        <v/>
      </c>
      <c r="BA32">
        <f>IF(入力!$D$34="","",IF(反映項目!$B$11="×","",IFERROR(INDEX(資格集約!$H$757:$H$782,MATCH(20,資格集約!$G$757:$G$782,0)),"")))</f>
        <v/>
      </c>
      <c r="BB32">
        <f>IF(入力!$D$34="","",IF(反映項目!$B$11="×","",IFERROR(INDEX(資格集約!$E$757:$E$782,MATCH(20,資格集約!$G$757:$G$782,0)),"")))</f>
        <v/>
      </c>
      <c r="BC32">
        <f>IF(入力!$D$34="","",IF(反映項目!$B$11="×","",IFERROR(INDEX(資格集約!$H$757:$H$782,MATCH(21,資格集約!$G$757:$G$782,0)),"")))</f>
        <v/>
      </c>
      <c r="BD32">
        <f>IF(入力!$D$34="","",IF(反映項目!$B$11="×","",IFERROR(INDEX(資格集約!$E$757:$E$782,MATCH(21,資格集約!$G$757:$G$782,0)),"")))</f>
        <v/>
      </c>
      <c r="BE32">
        <f>IF(入力!$D$34="","",IF(反映項目!$B$11="×","",IFERROR(INDEX(資格集約!$H$757:$H$782,MATCH(22,資格集約!$G$757:$G$782,0)),"")))</f>
        <v/>
      </c>
      <c r="BF32">
        <f>IF(入力!$D$34="","",IF(反映項目!$B$11="×","",IFERROR(INDEX(資格集約!$E$757:$E$782,MATCH(22,資格集約!$G$757:$G$782,0)),"")))</f>
        <v/>
      </c>
      <c r="BG32">
        <f>IF(入力!$D$34="","",IF(反映項目!$B$11="×","",IFERROR(INDEX(資格集約!$H$757:$H$782,MATCH(23,資格集約!$G$757:$G$782,0)),"")))</f>
        <v/>
      </c>
      <c r="BH32">
        <f>IF(入力!$D$34="","",IF(反映項目!$B$11="×","",IFERROR(INDEX(資格集約!$E$757:$E$782,MATCH(23,資格集約!$G$757:$G$782,0)),"")))</f>
        <v/>
      </c>
      <c r="BI32">
        <f>IF(入力!$D$34="","",IF(反映項目!$B$11="×","",IFERROR(INDEX(資格集約!$H$757:$H$782,MATCH(24,資格集約!$G$757:$G$782,0)),"")))</f>
        <v/>
      </c>
      <c r="BJ32">
        <f>IF(入力!$D$34="","",IF(反映項目!$B$11="×","",IFERROR(INDEX(資格集約!$E$757:$E$782,MATCH(24,資格集約!$G$757:$G$782,0)),"")))</f>
        <v/>
      </c>
      <c r="BK32">
        <f>IF(入力!$D$34="","",IF(反映項目!$B$11="×","",IFERROR(INDEX(資格集約!$H$757:$H$782,MATCH(25,資格集約!$G$757:$G$782,0)),"")))</f>
        <v/>
      </c>
      <c r="BL32">
        <f>IF(入力!$D$34="","",IF(反映項目!$B$11="×","",IFERROR(INDEX(資格集約!$E$757:$E$782,MATCH(25,資格集約!$G$757:$G$782,0)),"")))</f>
        <v/>
      </c>
      <c r="BM32">
        <f>IF(入力!$D$34="","",IF(反映項目!$B$11="×","",IFERROR(INDEX(資格集約!$H$757:$H$782,MATCH(26,資格集約!$G$757:$G$782,0)),"")))</f>
        <v/>
      </c>
      <c r="BN32">
        <f>IF(入力!$D$34="","",IF(反映項目!$B$11="×","",IFERROR(INDEX(資格集約!$E$757:$E$782,MATCH(26,資格集約!$G$757:$G$782,0)),"")))</f>
        <v/>
      </c>
      <c r="BO32">
        <f>IF(入力!$D$34="","",IF(OR(反映項目!$B$12="×",入力!$Z$34=""),"",入力!$Z$34))</f>
        <v/>
      </c>
      <c r="BP32">
        <f>IF(入力!$D$34="","",IF(OR(反映項目!$B$13="×",入力!$AA$34=""),"",入力!$AA$34))</f>
        <v/>
      </c>
      <c r="BQ32">
        <f>IF(入力!$D$34="","",IF(OR(反映項目!$B$15="×",入力!$AF$34=""),"",入力!$AF$34))</f>
        <v/>
      </c>
      <c r="BR32">
        <f>IF(入力!$D$34="","",IF(OR(反映項目!$B$14="×",N($BZ$32)=0),"",YEAR($BZ$32)-IF($BZ$32&gt;=DATE(2019,5,1),2018,1988)))&amp;""</f>
        <v/>
      </c>
      <c r="BS32">
        <f>IF(入力!$D$34="","",IF(OR(反映項目!$B$14="×",N($BZ$32)=0),"",MONTH($BZ$32)))&amp;""</f>
        <v/>
      </c>
      <c r="BT32">
        <f>IF(入力!$D$34="","",IF(OR(反映項目!$B$14="×",入力!$AC$34=""),"",入力!$AC$34))</f>
        <v/>
      </c>
      <c r="BU32">
        <f>IF(入力!$D$34="","",IF(OR(反映項目!$B$14="×",N($CA$32)=0),"",YEAR($CA$32)-IF($CA$32&gt;=DATE(2019,5,1),2018,1988)))&amp;""</f>
        <v/>
      </c>
      <c r="BV32">
        <f>IF(入力!$D$34="","",IF(OR(反映項目!$B$14="×",N($CA$32)=0),"",MONTH($CA$32)))&amp;""</f>
        <v/>
      </c>
      <c r="BW32">
        <f>IF(入力!$D$34="","",IF(OR(反映項目!$B$14="×",入力!$AE$34=""),"",入力!$AE$34))</f>
        <v/>
      </c>
      <c r="BY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Z32">
        <f>IF(入力!$D$34="","",IF(入力!$AB$34="","",IF(ISNUMBER(入力!$AB$34),入力!$AB$34,IFERROR(IF(OR(LEFT(入力!$AB$34,2)="令和",LEFT(入力!$AB$34,2)="平成",LEFT(入力!$AB$34,2)="昭和",LEFT(入力!$AB$34,2)="大正"),DATE(VALUE(MID(入力!$AB$34,3,FIND("年",入力!$AB$34)-3))+IF(LEFT(入力!$AB$34,2)="令和",2018,IF(LEFT(入力!$AB$34,2)="平成",1988,IF(LEFT(入力!$AB$34,2)="昭和",1925,IF(LEFT(入力!$AB$34,2)="大正",1911,0)))),VALUE(MID(入力!$AB$34,FIND("年",入力!$AB$34)+1,FIND("月",入力!$AB$34)-FIND("年",入力!$AB$34)-1)),IFERROR(VALUE(SUBSTITUTE(MID(入力!$AB$34,FIND("月",入力!$AB$34)+1,10),"日","")),1)),DATE(VALUE(TRIM(MID(SUBSTITUTE(SUBSTITUTE(SUBSTITUTE(SUBSTITUTE(SUBSTITUTE(SUBSTITUTE(入力!$AB$34,"年","/"),"月","/"),"日",""),"-","/"),".","/"),"/",REPT(" ",50)),1,50))),VALUE(TRIM(MID(SUBSTITUTE(SUBSTITUTE(SUBSTITUTE(SUBSTITUTE(SUBSTITUTE(SUBSTITUTE(入力!$AB$34,"年","/"),"月","/"),"日",""),"-","/"),".","/"),"/",REPT(" ",50)),51,50))),IFERROR(VALUE(TRIM(MID(SUBSTITUTE(SUBSTITUTE(SUBSTITUTE(SUBSTITUTE(SUBSTITUTE(SUBSTITUTE(入力!$AB$34,"年","/"),"月","/"),"日",""),"-","/"),".","/"),"/",REPT(" ",50)),101,50))),1))),IFERROR(DATEVALUE(入力!$AB$34),"")))))</f>
        <v/>
      </c>
      <c r="CA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CB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amp;IF($AR32="","",CHAR(10)&amp;$AQ32)&amp;IF($AT32="","",CHAR(10)&amp;$AS32)&amp;IF($AV32="","",CHAR(10)&amp;$AU32)&amp;IF($AX32="","",CHAR(10)&amp;$AW32)&amp;IF($AZ32="","",CHAR(10)&amp;$AY32)&amp;IF($BB32="","",CHAR(10)&amp;$BA32)&amp;IF($BD32="","",CHAR(10)&amp;$BC32)&amp;IF($BF32="","",CHAR(10)&amp;$BE32)&amp;IF($BH32="","",CHAR(10)&amp;$BG32)&amp;IF($BJ32="","",CHAR(10)&amp;$BI32)&amp;IF($BL32="","",CHAR(10)&amp;$BK32)&amp;IF($BN32="","",CHAR(10)&amp;$BM32))</f>
        <v/>
      </c>
      <c r="CC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amp;IF($AR32="","",CHAR(10)&amp;$AR32)&amp;IF($AT32="","",CHAR(10)&amp;$AT32)&amp;IF($AV32="","",CHAR(10)&amp;$AV32)&amp;IF($AX32="","",CHAR(10)&amp;$AX32)&amp;IF($AZ32="","",CHAR(10)&amp;$AZ32)&amp;IF($BB32="","",CHAR(10)&amp;$BB32)&amp;IF($BD32="","",CHAR(10)&amp;$BD32)&amp;IF($BF32="","",CHAR(10)&amp;$BF32)&amp;IF($BH32="","",CHAR(10)&amp;$BH32)&amp;IF($BJ32="","",CHAR(10)&amp;$BJ32)&amp;IF($BL32="","",CHAR(10)&amp;$BL32)&amp;IF($BN32="","",CHAR(10)&amp;$BN32))</f>
        <v/>
      </c>
      <c r="CD32">
        <f>IF(入力!$D$34="","",IF($P32="",0,1)+IF($R32="",0,1)+IF($T32="",0,1)+IF($V32="",0,1)+IF($X32="",0,1)+IF($Z32="",0,1)+IF($AB32="",0,1)+IF($AD32="",0,1)+IF($AF32="",0,1)+IF($AH32="",0,1)+IF($AJ32="",0,1)+IF($AL32="",0,1)+IF($AN32="",0,1)+IF($AP32="",0,1)+IF($AR32="",0,1)+IF($AT32="",0,1)+IF($AV32="",0,1)+IF($AX32="",0,1)+IF($AZ32="",0,1)+IF($BB32="",0,1)+IF($BD32="",0,1)+IF($BF32="",0,1)+IF($BH32="",0,1)+IF($BJ32="",0,1)+IF($BL32="",0,1)+IF($BN32="",0,1))</f>
        <v/>
      </c>
    </row>
    <row r="33">
      <c r="A33" t="n">
        <v>31</v>
      </c>
      <c r="B33">
        <f>IF(入力!$D$35="","",IF(OR(反映項目!$B$4="×",入力!$D$35=""),"",入力!$D$35))</f>
        <v/>
      </c>
      <c r="C33">
        <f>IF(入力!$D$35="","",IF(OR(反映項目!$B$5="×",入力!$E$35=""),"",入力!$E$35))</f>
        <v/>
      </c>
      <c r="D33">
        <f>IF(入力!$D$35="","",IF(OR(反映項目!$B$6="×",N($BY$33)=0),"",YEAR($BY$33)-IF($BY$33&gt;=DATE(2019,5,1),2018,IF($BY$33&gt;=DATE(1989,1,8),1988,1925))))&amp;""</f>
        <v/>
      </c>
      <c r="E33">
        <f>IF(入力!$D$35="","",IF(OR(反映項目!$B$6="×",N($BY$33)=0),"",MONTH($BY$33)))&amp;""</f>
        <v/>
      </c>
      <c r="F33">
        <f>IF(入力!$D$35="","",IF(OR(反映項目!$B$6="×",N($BY$33)=0),"",DAY($BY$33)))&amp;""</f>
        <v/>
      </c>
      <c r="G33">
        <f>IF(入力!$D$35="","",IF(OR(反映項目!$B$6="×",OR(N($BY$33)=0,N(設定!$B$3)=0)),"",DATEDIF($BY$33,設定!$B$3,"Y")))&amp;""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IF(入力!$D$35="","",IF(OR(反映項目!$B$10="×",入力!$K$35=""),"",入力!$K$35))</f>
        <v/>
      </c>
      <c r="M33">
        <f>IF(入力!$D$35="","",IF(OR(反映項目!$B$10="×",入力!$L$35=""),"",入力!$L$35))</f>
        <v/>
      </c>
      <c r="N33">
        <f>IF(入力!$D$35="","",設定!$B$4&amp;CHAR(10)&amp;IF(入力!$M$35="",設定!$B$5,入力!$M$35))</f>
        <v/>
      </c>
      <c r="O33">
        <f>IF(入力!$D$35="","",IF(反映項目!$B$11="×","",IFERROR(INDEX(資格集約!$H$783:$H$808,MATCH(1,資格集約!$G$783:$G$808,0)),"")))</f>
        <v/>
      </c>
      <c r="P33">
        <f>IF(入力!$D$35="","",IF(反映項目!$B$11="×","",IFERROR(INDEX(資格集約!$E$783:$E$808,MATCH(1,資格集約!$G$783:$G$808,0)),"")))</f>
        <v/>
      </c>
      <c r="Q33">
        <f>IF(入力!$D$35="","",IF(反映項目!$B$11="×","",IFERROR(INDEX(資格集約!$H$783:$H$808,MATCH(2,資格集約!$G$783:$G$808,0)),"")))</f>
        <v/>
      </c>
      <c r="R33">
        <f>IF(入力!$D$35="","",IF(反映項目!$B$11="×","",IFERROR(INDEX(資格集約!$E$783:$E$808,MATCH(2,資格集約!$G$783:$G$808,0)),"")))</f>
        <v/>
      </c>
      <c r="S33">
        <f>IF(入力!$D$35="","",IF(反映項目!$B$11="×","",IFERROR(INDEX(資格集約!$H$783:$H$808,MATCH(3,資格集約!$G$783:$G$808,0)),"")))</f>
        <v/>
      </c>
      <c r="T33">
        <f>IF(入力!$D$35="","",IF(反映項目!$B$11="×","",IFERROR(INDEX(資格集約!$E$783:$E$808,MATCH(3,資格集約!$G$783:$G$808,0)),"")))</f>
        <v/>
      </c>
      <c r="U33">
        <f>IF(入力!$D$35="","",IF(反映項目!$B$11="×","",IFERROR(INDEX(資格集約!$H$783:$H$808,MATCH(4,資格集約!$G$783:$G$808,0)),"")))</f>
        <v/>
      </c>
      <c r="V33">
        <f>IF(入力!$D$35="","",IF(反映項目!$B$11="×","",IFERROR(INDEX(資格集約!$E$783:$E$808,MATCH(4,資格集約!$G$783:$G$808,0)),"")))</f>
        <v/>
      </c>
      <c r="W33">
        <f>IF(入力!$D$35="","",IF(反映項目!$B$11="×","",IFERROR(INDEX(資格集約!$H$783:$H$808,MATCH(5,資格集約!$G$783:$G$808,0)),"")))</f>
        <v/>
      </c>
      <c r="X33">
        <f>IF(入力!$D$35="","",IF(反映項目!$B$11="×","",IFERROR(INDEX(資格集約!$E$783:$E$808,MATCH(5,資格集約!$G$783:$G$808,0)),"")))</f>
        <v/>
      </c>
      <c r="Y33">
        <f>IF(入力!$D$35="","",IF(反映項目!$B$11="×","",IFERROR(INDEX(資格集約!$H$783:$H$808,MATCH(6,資格集約!$G$783:$G$808,0)),"")))</f>
        <v/>
      </c>
      <c r="Z33">
        <f>IF(入力!$D$35="","",IF(反映項目!$B$11="×","",IFERROR(INDEX(資格集約!$E$783:$E$808,MATCH(6,資格集約!$G$783:$G$808,0)),"")))</f>
        <v/>
      </c>
      <c r="AA33">
        <f>IF(入力!$D$35="","",IF(反映項目!$B$11="×","",IFERROR(INDEX(資格集約!$H$783:$H$808,MATCH(7,資格集約!$G$783:$G$808,0)),"")))</f>
        <v/>
      </c>
      <c r="AB33">
        <f>IF(入力!$D$35="","",IF(反映項目!$B$11="×","",IFERROR(INDEX(資格集約!$E$783:$E$808,MATCH(7,資格集約!$G$783:$G$808,0)),"")))</f>
        <v/>
      </c>
      <c r="AC33">
        <f>IF(入力!$D$35="","",IF(反映項目!$B$11="×","",IFERROR(INDEX(資格集約!$H$783:$H$808,MATCH(8,資格集約!$G$783:$G$808,0)),"")))</f>
        <v/>
      </c>
      <c r="AD33">
        <f>IF(入力!$D$35="","",IF(反映項目!$B$11="×","",IFERROR(INDEX(資格集約!$E$783:$E$808,MATCH(8,資格集約!$G$783:$G$808,0)),"")))</f>
        <v/>
      </c>
      <c r="AE33">
        <f>IF(入力!$D$35="","",IF(反映項目!$B$11="×","",IFERROR(INDEX(資格集約!$H$783:$H$808,MATCH(9,資格集約!$G$783:$G$808,0)),"")))</f>
        <v/>
      </c>
      <c r="AF33">
        <f>IF(入力!$D$35="","",IF(反映項目!$B$11="×","",IFERROR(INDEX(資格集約!$E$783:$E$808,MATCH(9,資格集約!$G$783:$G$808,0)),"")))</f>
        <v/>
      </c>
      <c r="AG33">
        <f>IF(入力!$D$35="","",IF(反映項目!$B$11="×","",IFERROR(INDEX(資格集約!$H$783:$H$808,MATCH(10,資格集約!$G$783:$G$808,0)),"")))</f>
        <v/>
      </c>
      <c r="AH33">
        <f>IF(入力!$D$35="","",IF(反映項目!$B$11="×","",IFERROR(INDEX(資格集約!$E$783:$E$808,MATCH(10,資格集約!$G$783:$G$808,0)),"")))</f>
        <v/>
      </c>
      <c r="AI33">
        <f>IF(入力!$D$35="","",IF(反映項目!$B$11="×","",IFERROR(INDEX(資格集約!$H$783:$H$808,MATCH(11,資格集約!$G$783:$G$808,0)),"")))</f>
        <v/>
      </c>
      <c r="AJ33">
        <f>IF(入力!$D$35="","",IF(反映項目!$B$11="×","",IFERROR(INDEX(資格集約!$E$783:$E$808,MATCH(11,資格集約!$G$783:$G$808,0)),"")))</f>
        <v/>
      </c>
      <c r="AK33">
        <f>IF(入力!$D$35="","",IF(反映項目!$B$11="×","",IFERROR(INDEX(資格集約!$H$783:$H$808,MATCH(12,資格集約!$G$783:$G$808,0)),"")))</f>
        <v/>
      </c>
      <c r="AL33">
        <f>IF(入力!$D$35="","",IF(反映項目!$B$11="×","",IFERROR(INDEX(資格集約!$E$783:$E$808,MATCH(12,資格集約!$G$783:$G$808,0)),"")))</f>
        <v/>
      </c>
      <c r="AM33">
        <f>IF(入力!$D$35="","",IF(反映項目!$B$11="×","",IFERROR(INDEX(資格集約!$H$783:$H$808,MATCH(13,資格集約!$G$783:$G$808,0)),"")))</f>
        <v/>
      </c>
      <c r="AN33">
        <f>IF(入力!$D$35="","",IF(反映項目!$B$11="×","",IFERROR(INDEX(資格集約!$E$783:$E$808,MATCH(13,資格集約!$G$783:$G$808,0)),"")))</f>
        <v/>
      </c>
      <c r="AO33">
        <f>IF(入力!$D$35="","",IF(反映項目!$B$11="×","",IFERROR(INDEX(資格集約!$H$783:$H$808,MATCH(14,資格集約!$G$783:$G$808,0)),"")))</f>
        <v/>
      </c>
      <c r="AP33">
        <f>IF(入力!$D$35="","",IF(反映項目!$B$11="×","",IFERROR(INDEX(資格集約!$E$783:$E$808,MATCH(14,資格集約!$G$783:$G$808,0)),"")))</f>
        <v/>
      </c>
      <c r="AQ33">
        <f>IF(入力!$D$35="","",IF(反映項目!$B$11="×","",IFERROR(INDEX(資格集約!$H$783:$H$808,MATCH(15,資格集約!$G$783:$G$808,0)),"")))</f>
        <v/>
      </c>
      <c r="AR33">
        <f>IF(入力!$D$35="","",IF(反映項目!$B$11="×","",IFERROR(INDEX(資格集約!$E$783:$E$808,MATCH(15,資格集約!$G$783:$G$808,0)),"")))</f>
        <v/>
      </c>
      <c r="AS33">
        <f>IF(入力!$D$35="","",IF(反映項目!$B$11="×","",IFERROR(INDEX(資格集約!$H$783:$H$808,MATCH(16,資格集約!$G$783:$G$808,0)),"")))</f>
        <v/>
      </c>
      <c r="AT33">
        <f>IF(入力!$D$35="","",IF(反映項目!$B$11="×","",IFERROR(INDEX(資格集約!$E$783:$E$808,MATCH(16,資格集約!$G$783:$G$808,0)),"")))</f>
        <v/>
      </c>
      <c r="AU33">
        <f>IF(入力!$D$35="","",IF(反映項目!$B$11="×","",IFERROR(INDEX(資格集約!$H$783:$H$808,MATCH(17,資格集約!$G$783:$G$808,0)),"")))</f>
        <v/>
      </c>
      <c r="AV33">
        <f>IF(入力!$D$35="","",IF(反映項目!$B$11="×","",IFERROR(INDEX(資格集約!$E$783:$E$808,MATCH(17,資格集約!$G$783:$G$808,0)),"")))</f>
        <v/>
      </c>
      <c r="AW33">
        <f>IF(入力!$D$35="","",IF(反映項目!$B$11="×","",IFERROR(INDEX(資格集約!$H$783:$H$808,MATCH(18,資格集約!$G$783:$G$808,0)),"")))</f>
        <v/>
      </c>
      <c r="AX33">
        <f>IF(入力!$D$35="","",IF(反映項目!$B$11="×","",IFERROR(INDEX(資格集約!$E$783:$E$808,MATCH(18,資格集約!$G$783:$G$808,0)),"")))</f>
        <v/>
      </c>
      <c r="AY33">
        <f>IF(入力!$D$35="","",IF(反映項目!$B$11="×","",IFERROR(INDEX(資格集約!$H$783:$H$808,MATCH(19,資格集約!$G$783:$G$808,0)),"")))</f>
        <v/>
      </c>
      <c r="AZ33">
        <f>IF(入力!$D$35="","",IF(反映項目!$B$11="×","",IFERROR(INDEX(資格集約!$E$783:$E$808,MATCH(19,資格集約!$G$783:$G$808,0)),"")))</f>
        <v/>
      </c>
      <c r="BA33">
        <f>IF(入力!$D$35="","",IF(反映項目!$B$11="×","",IFERROR(INDEX(資格集約!$H$783:$H$808,MATCH(20,資格集約!$G$783:$G$808,0)),"")))</f>
        <v/>
      </c>
      <c r="BB33">
        <f>IF(入力!$D$35="","",IF(反映項目!$B$11="×","",IFERROR(INDEX(資格集約!$E$783:$E$808,MATCH(20,資格集約!$G$783:$G$808,0)),"")))</f>
        <v/>
      </c>
      <c r="BC33">
        <f>IF(入力!$D$35="","",IF(反映項目!$B$11="×","",IFERROR(INDEX(資格集約!$H$783:$H$808,MATCH(21,資格集約!$G$783:$G$808,0)),"")))</f>
        <v/>
      </c>
      <c r="BD33">
        <f>IF(入力!$D$35="","",IF(反映項目!$B$11="×","",IFERROR(INDEX(資格集約!$E$783:$E$808,MATCH(21,資格集約!$G$783:$G$808,0)),"")))</f>
        <v/>
      </c>
      <c r="BE33">
        <f>IF(入力!$D$35="","",IF(反映項目!$B$11="×","",IFERROR(INDEX(資格集約!$H$783:$H$808,MATCH(22,資格集約!$G$783:$G$808,0)),"")))</f>
        <v/>
      </c>
      <c r="BF33">
        <f>IF(入力!$D$35="","",IF(反映項目!$B$11="×","",IFERROR(INDEX(資格集約!$E$783:$E$808,MATCH(22,資格集約!$G$783:$G$808,0)),"")))</f>
        <v/>
      </c>
      <c r="BG33">
        <f>IF(入力!$D$35="","",IF(反映項目!$B$11="×","",IFERROR(INDEX(資格集約!$H$783:$H$808,MATCH(23,資格集約!$G$783:$G$808,0)),"")))</f>
        <v/>
      </c>
      <c r="BH33">
        <f>IF(入力!$D$35="","",IF(反映項目!$B$11="×","",IFERROR(INDEX(資格集約!$E$783:$E$808,MATCH(23,資格集約!$G$783:$G$808,0)),"")))</f>
        <v/>
      </c>
      <c r="BI33">
        <f>IF(入力!$D$35="","",IF(反映項目!$B$11="×","",IFERROR(INDEX(資格集約!$H$783:$H$808,MATCH(24,資格集約!$G$783:$G$808,0)),"")))</f>
        <v/>
      </c>
      <c r="BJ33">
        <f>IF(入力!$D$35="","",IF(反映項目!$B$11="×","",IFERROR(INDEX(資格集約!$E$783:$E$808,MATCH(24,資格集約!$G$783:$G$808,0)),"")))</f>
        <v/>
      </c>
      <c r="BK33">
        <f>IF(入力!$D$35="","",IF(反映項目!$B$11="×","",IFERROR(INDEX(資格集約!$H$783:$H$808,MATCH(25,資格集約!$G$783:$G$808,0)),"")))</f>
        <v/>
      </c>
      <c r="BL33">
        <f>IF(入力!$D$35="","",IF(反映項目!$B$11="×","",IFERROR(INDEX(資格集約!$E$783:$E$808,MATCH(25,資格集約!$G$783:$G$808,0)),"")))</f>
        <v/>
      </c>
      <c r="BM33">
        <f>IF(入力!$D$35="","",IF(反映項目!$B$11="×","",IFERROR(INDEX(資格集約!$H$783:$H$808,MATCH(26,資格集約!$G$783:$G$808,0)),"")))</f>
        <v/>
      </c>
      <c r="BN33">
        <f>IF(入力!$D$35="","",IF(反映項目!$B$11="×","",IFERROR(INDEX(資格集約!$E$783:$E$808,MATCH(26,資格集約!$G$783:$G$808,0)),"")))</f>
        <v/>
      </c>
      <c r="BO33">
        <f>IF(入力!$D$35="","",IF(OR(反映項目!$B$12="×",入力!$Z$35=""),"",入力!$Z$35))</f>
        <v/>
      </c>
      <c r="BP33">
        <f>IF(入力!$D$35="","",IF(OR(反映項目!$B$13="×",入力!$AA$35=""),"",入力!$AA$35))</f>
        <v/>
      </c>
      <c r="BQ33">
        <f>IF(入力!$D$35="","",IF(OR(反映項目!$B$15="×",入力!$AF$35=""),"",入力!$AF$35))</f>
        <v/>
      </c>
      <c r="BR33">
        <f>IF(入力!$D$35="","",IF(OR(反映項目!$B$14="×",N($BZ$33)=0),"",YEAR($BZ$33)-IF($BZ$33&gt;=DATE(2019,5,1),2018,1988)))&amp;""</f>
        <v/>
      </c>
      <c r="BS33">
        <f>IF(入力!$D$35="","",IF(OR(反映項目!$B$14="×",N($BZ$33)=0),"",MONTH($BZ$33)))&amp;""</f>
        <v/>
      </c>
      <c r="BT33">
        <f>IF(入力!$D$35="","",IF(OR(反映項目!$B$14="×",入力!$AC$35=""),"",入力!$AC$35))</f>
        <v/>
      </c>
      <c r="BU33">
        <f>IF(入力!$D$35="","",IF(OR(反映項目!$B$14="×",N($CA$33)=0),"",YEAR($CA$33)-IF($CA$33&gt;=DATE(2019,5,1),2018,1988)))&amp;""</f>
        <v/>
      </c>
      <c r="BV33">
        <f>IF(入力!$D$35="","",IF(OR(反映項目!$B$14="×",N($CA$33)=0),"",MONTH($CA$33)))&amp;""</f>
        <v/>
      </c>
      <c r="BW33">
        <f>IF(入力!$D$35="","",IF(OR(反映項目!$B$14="×",入力!$AE$35=""),"",入力!$AE$35))</f>
        <v/>
      </c>
      <c r="BY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Z33">
        <f>IF(入力!$D$35="","",IF(入力!$AB$35="","",IF(ISNUMBER(入力!$AB$35),入力!$AB$35,IFERROR(IF(OR(LEFT(入力!$AB$35,2)="令和",LEFT(入力!$AB$35,2)="平成",LEFT(入力!$AB$35,2)="昭和",LEFT(入力!$AB$35,2)="大正"),DATE(VALUE(MID(入力!$AB$35,3,FIND("年",入力!$AB$35)-3))+IF(LEFT(入力!$AB$35,2)="令和",2018,IF(LEFT(入力!$AB$35,2)="平成",1988,IF(LEFT(入力!$AB$35,2)="昭和",1925,IF(LEFT(入力!$AB$35,2)="大正",1911,0)))),VALUE(MID(入力!$AB$35,FIND("年",入力!$AB$35)+1,FIND("月",入力!$AB$35)-FIND("年",入力!$AB$35)-1)),IFERROR(VALUE(SUBSTITUTE(MID(入力!$AB$35,FIND("月",入力!$AB$35)+1,10),"日","")),1)),DATE(VALUE(TRIM(MID(SUBSTITUTE(SUBSTITUTE(SUBSTITUTE(SUBSTITUTE(SUBSTITUTE(SUBSTITUTE(入力!$AB$35,"年","/"),"月","/"),"日",""),"-","/"),".","/"),"/",REPT(" ",50)),1,50))),VALUE(TRIM(MID(SUBSTITUTE(SUBSTITUTE(SUBSTITUTE(SUBSTITUTE(SUBSTITUTE(SUBSTITUTE(入力!$AB$35,"年","/"),"月","/"),"日",""),"-","/"),".","/"),"/",REPT(" ",50)),51,50))),IFERROR(VALUE(TRIM(MID(SUBSTITUTE(SUBSTITUTE(SUBSTITUTE(SUBSTITUTE(SUBSTITUTE(SUBSTITUTE(入力!$AB$35,"年","/"),"月","/"),"日",""),"-","/"),".","/"),"/",REPT(" ",50)),101,50))),1))),IFERROR(DATEVALUE(入力!$AB$35),"")))))</f>
        <v/>
      </c>
      <c r="CA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CB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amp;IF($AR33="","",CHAR(10)&amp;$AQ33)&amp;IF($AT33="","",CHAR(10)&amp;$AS33)&amp;IF($AV33="","",CHAR(10)&amp;$AU33)&amp;IF($AX33="","",CHAR(10)&amp;$AW33)&amp;IF($AZ33="","",CHAR(10)&amp;$AY33)&amp;IF($BB33="","",CHAR(10)&amp;$BA33)&amp;IF($BD33="","",CHAR(10)&amp;$BC33)&amp;IF($BF33="","",CHAR(10)&amp;$BE33)&amp;IF($BH33="","",CHAR(10)&amp;$BG33)&amp;IF($BJ33="","",CHAR(10)&amp;$BI33)&amp;IF($BL33="","",CHAR(10)&amp;$BK33)&amp;IF($BN33="","",CHAR(10)&amp;$BM33))</f>
        <v/>
      </c>
      <c r="CC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amp;IF($AR33="","",CHAR(10)&amp;$AR33)&amp;IF($AT33="","",CHAR(10)&amp;$AT33)&amp;IF($AV33="","",CHAR(10)&amp;$AV33)&amp;IF($AX33="","",CHAR(10)&amp;$AX33)&amp;IF($AZ33="","",CHAR(10)&amp;$AZ33)&amp;IF($BB33="","",CHAR(10)&amp;$BB33)&amp;IF($BD33="","",CHAR(10)&amp;$BD33)&amp;IF($BF33="","",CHAR(10)&amp;$BF33)&amp;IF($BH33="","",CHAR(10)&amp;$BH33)&amp;IF($BJ33="","",CHAR(10)&amp;$BJ33)&amp;IF($BL33="","",CHAR(10)&amp;$BL33)&amp;IF($BN33="","",CHAR(10)&amp;$BN33))</f>
        <v/>
      </c>
      <c r="CD33">
        <f>IF(入力!$D$35="","",IF($P33="",0,1)+IF($R33="",0,1)+IF($T33="",0,1)+IF($V33="",0,1)+IF($X33="",0,1)+IF($Z33="",0,1)+IF($AB33="",0,1)+IF($AD33="",0,1)+IF($AF33="",0,1)+IF($AH33="",0,1)+IF($AJ33="",0,1)+IF($AL33="",0,1)+IF($AN33="",0,1)+IF($AP33="",0,1)+IF($AR33="",0,1)+IF($AT33="",0,1)+IF($AV33="",0,1)+IF($AX33="",0,1)+IF($AZ33="",0,1)+IF($BB33="",0,1)+IF($BD33="",0,1)+IF($BF33="",0,1)+IF($BH33="",0,1)+IF($BJ33="",0,1)+IF($BL33="",0,1)+IF($BN33="",0,1))</f>
        <v/>
      </c>
    </row>
    <row r="34">
      <c r="A34" t="n">
        <v>32</v>
      </c>
      <c r="B34">
        <f>IF(入力!$D$36="","",IF(OR(反映項目!$B$4="×",入力!$D$36=""),"",入力!$D$36))</f>
        <v/>
      </c>
      <c r="C34">
        <f>IF(入力!$D$36="","",IF(OR(反映項目!$B$5="×",入力!$E$36=""),"",入力!$E$36))</f>
        <v/>
      </c>
      <c r="D34">
        <f>IF(入力!$D$36="","",IF(OR(反映項目!$B$6="×",N($BY$34)=0),"",YEAR($BY$34)-IF($BY$34&gt;=DATE(2019,5,1),2018,IF($BY$34&gt;=DATE(1989,1,8),1988,1925))))&amp;""</f>
        <v/>
      </c>
      <c r="E34">
        <f>IF(入力!$D$36="","",IF(OR(反映項目!$B$6="×",N($BY$34)=0),"",MONTH($BY$34)))&amp;""</f>
        <v/>
      </c>
      <c r="F34">
        <f>IF(入力!$D$36="","",IF(OR(反映項目!$B$6="×",N($BY$34)=0),"",DAY($BY$34)))&amp;""</f>
        <v/>
      </c>
      <c r="G34">
        <f>IF(入力!$D$36="","",IF(OR(反映項目!$B$6="×",OR(N($BY$34)=0,N(設定!$B$3)=0)),"",DATEDIF($BY$34,設定!$B$3,"Y")))&amp;""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IF(入力!$D$36="","",IF(OR(反映項目!$B$10="×",入力!$K$36=""),"",入力!$K$36))</f>
        <v/>
      </c>
      <c r="M34">
        <f>IF(入力!$D$36="","",IF(OR(反映項目!$B$10="×",入力!$L$36=""),"",入力!$L$36))</f>
        <v/>
      </c>
      <c r="N34">
        <f>IF(入力!$D$36="","",設定!$B$4&amp;CHAR(10)&amp;IF(入力!$M$36="",設定!$B$5,入力!$M$36))</f>
        <v/>
      </c>
      <c r="O34">
        <f>IF(入力!$D$36="","",IF(反映項目!$B$11="×","",IFERROR(INDEX(資格集約!$H$809:$H$834,MATCH(1,資格集約!$G$809:$G$834,0)),"")))</f>
        <v/>
      </c>
      <c r="P34">
        <f>IF(入力!$D$36="","",IF(反映項目!$B$11="×","",IFERROR(INDEX(資格集約!$E$809:$E$834,MATCH(1,資格集約!$G$809:$G$834,0)),"")))</f>
        <v/>
      </c>
      <c r="Q34">
        <f>IF(入力!$D$36="","",IF(反映項目!$B$11="×","",IFERROR(INDEX(資格集約!$H$809:$H$834,MATCH(2,資格集約!$G$809:$G$834,0)),"")))</f>
        <v/>
      </c>
      <c r="R34">
        <f>IF(入力!$D$36="","",IF(反映項目!$B$11="×","",IFERROR(INDEX(資格集約!$E$809:$E$834,MATCH(2,資格集約!$G$809:$G$834,0)),"")))</f>
        <v/>
      </c>
      <c r="S34">
        <f>IF(入力!$D$36="","",IF(反映項目!$B$11="×","",IFERROR(INDEX(資格集約!$H$809:$H$834,MATCH(3,資格集約!$G$809:$G$834,0)),"")))</f>
        <v/>
      </c>
      <c r="T34">
        <f>IF(入力!$D$36="","",IF(反映項目!$B$11="×","",IFERROR(INDEX(資格集約!$E$809:$E$834,MATCH(3,資格集約!$G$809:$G$834,0)),"")))</f>
        <v/>
      </c>
      <c r="U34">
        <f>IF(入力!$D$36="","",IF(反映項目!$B$11="×","",IFERROR(INDEX(資格集約!$H$809:$H$834,MATCH(4,資格集約!$G$809:$G$834,0)),"")))</f>
        <v/>
      </c>
      <c r="V34">
        <f>IF(入力!$D$36="","",IF(反映項目!$B$11="×","",IFERROR(INDEX(資格集約!$E$809:$E$834,MATCH(4,資格集約!$G$809:$G$834,0)),"")))</f>
        <v/>
      </c>
      <c r="W34">
        <f>IF(入力!$D$36="","",IF(反映項目!$B$11="×","",IFERROR(INDEX(資格集約!$H$809:$H$834,MATCH(5,資格集約!$G$809:$G$834,0)),"")))</f>
        <v/>
      </c>
      <c r="X34">
        <f>IF(入力!$D$36="","",IF(反映項目!$B$11="×","",IFERROR(INDEX(資格集約!$E$809:$E$834,MATCH(5,資格集約!$G$809:$G$834,0)),"")))</f>
        <v/>
      </c>
      <c r="Y34">
        <f>IF(入力!$D$36="","",IF(反映項目!$B$11="×","",IFERROR(INDEX(資格集約!$H$809:$H$834,MATCH(6,資格集約!$G$809:$G$834,0)),"")))</f>
        <v/>
      </c>
      <c r="Z34">
        <f>IF(入力!$D$36="","",IF(反映項目!$B$11="×","",IFERROR(INDEX(資格集約!$E$809:$E$834,MATCH(6,資格集約!$G$809:$G$834,0)),"")))</f>
        <v/>
      </c>
      <c r="AA34">
        <f>IF(入力!$D$36="","",IF(反映項目!$B$11="×","",IFERROR(INDEX(資格集約!$H$809:$H$834,MATCH(7,資格集約!$G$809:$G$834,0)),"")))</f>
        <v/>
      </c>
      <c r="AB34">
        <f>IF(入力!$D$36="","",IF(反映項目!$B$11="×","",IFERROR(INDEX(資格集約!$E$809:$E$834,MATCH(7,資格集約!$G$809:$G$834,0)),"")))</f>
        <v/>
      </c>
      <c r="AC34">
        <f>IF(入力!$D$36="","",IF(反映項目!$B$11="×","",IFERROR(INDEX(資格集約!$H$809:$H$834,MATCH(8,資格集約!$G$809:$G$834,0)),"")))</f>
        <v/>
      </c>
      <c r="AD34">
        <f>IF(入力!$D$36="","",IF(反映項目!$B$11="×","",IFERROR(INDEX(資格集約!$E$809:$E$834,MATCH(8,資格集約!$G$809:$G$834,0)),"")))</f>
        <v/>
      </c>
      <c r="AE34">
        <f>IF(入力!$D$36="","",IF(反映項目!$B$11="×","",IFERROR(INDEX(資格集約!$H$809:$H$834,MATCH(9,資格集約!$G$809:$G$834,0)),"")))</f>
        <v/>
      </c>
      <c r="AF34">
        <f>IF(入力!$D$36="","",IF(反映項目!$B$11="×","",IFERROR(INDEX(資格集約!$E$809:$E$834,MATCH(9,資格集約!$G$809:$G$834,0)),"")))</f>
        <v/>
      </c>
      <c r="AG34">
        <f>IF(入力!$D$36="","",IF(反映項目!$B$11="×","",IFERROR(INDEX(資格集約!$H$809:$H$834,MATCH(10,資格集約!$G$809:$G$834,0)),"")))</f>
        <v/>
      </c>
      <c r="AH34">
        <f>IF(入力!$D$36="","",IF(反映項目!$B$11="×","",IFERROR(INDEX(資格集約!$E$809:$E$834,MATCH(10,資格集約!$G$809:$G$834,0)),"")))</f>
        <v/>
      </c>
      <c r="AI34">
        <f>IF(入力!$D$36="","",IF(反映項目!$B$11="×","",IFERROR(INDEX(資格集約!$H$809:$H$834,MATCH(11,資格集約!$G$809:$G$834,0)),"")))</f>
        <v/>
      </c>
      <c r="AJ34">
        <f>IF(入力!$D$36="","",IF(反映項目!$B$11="×","",IFERROR(INDEX(資格集約!$E$809:$E$834,MATCH(11,資格集約!$G$809:$G$834,0)),"")))</f>
        <v/>
      </c>
      <c r="AK34">
        <f>IF(入力!$D$36="","",IF(反映項目!$B$11="×","",IFERROR(INDEX(資格集約!$H$809:$H$834,MATCH(12,資格集約!$G$809:$G$834,0)),"")))</f>
        <v/>
      </c>
      <c r="AL34">
        <f>IF(入力!$D$36="","",IF(反映項目!$B$11="×","",IFERROR(INDEX(資格集約!$E$809:$E$834,MATCH(12,資格集約!$G$809:$G$834,0)),"")))</f>
        <v/>
      </c>
      <c r="AM34">
        <f>IF(入力!$D$36="","",IF(反映項目!$B$11="×","",IFERROR(INDEX(資格集約!$H$809:$H$834,MATCH(13,資格集約!$G$809:$G$834,0)),"")))</f>
        <v/>
      </c>
      <c r="AN34">
        <f>IF(入力!$D$36="","",IF(反映項目!$B$11="×","",IFERROR(INDEX(資格集約!$E$809:$E$834,MATCH(13,資格集約!$G$809:$G$834,0)),"")))</f>
        <v/>
      </c>
      <c r="AO34">
        <f>IF(入力!$D$36="","",IF(反映項目!$B$11="×","",IFERROR(INDEX(資格集約!$H$809:$H$834,MATCH(14,資格集約!$G$809:$G$834,0)),"")))</f>
        <v/>
      </c>
      <c r="AP34">
        <f>IF(入力!$D$36="","",IF(反映項目!$B$11="×","",IFERROR(INDEX(資格集約!$E$809:$E$834,MATCH(14,資格集約!$G$809:$G$834,0)),"")))</f>
        <v/>
      </c>
      <c r="AQ34">
        <f>IF(入力!$D$36="","",IF(反映項目!$B$11="×","",IFERROR(INDEX(資格集約!$H$809:$H$834,MATCH(15,資格集約!$G$809:$G$834,0)),"")))</f>
        <v/>
      </c>
      <c r="AR34">
        <f>IF(入力!$D$36="","",IF(反映項目!$B$11="×","",IFERROR(INDEX(資格集約!$E$809:$E$834,MATCH(15,資格集約!$G$809:$G$834,0)),"")))</f>
        <v/>
      </c>
      <c r="AS34">
        <f>IF(入力!$D$36="","",IF(反映項目!$B$11="×","",IFERROR(INDEX(資格集約!$H$809:$H$834,MATCH(16,資格集約!$G$809:$G$834,0)),"")))</f>
        <v/>
      </c>
      <c r="AT34">
        <f>IF(入力!$D$36="","",IF(反映項目!$B$11="×","",IFERROR(INDEX(資格集約!$E$809:$E$834,MATCH(16,資格集約!$G$809:$G$834,0)),"")))</f>
        <v/>
      </c>
      <c r="AU34">
        <f>IF(入力!$D$36="","",IF(反映項目!$B$11="×","",IFERROR(INDEX(資格集約!$H$809:$H$834,MATCH(17,資格集約!$G$809:$G$834,0)),"")))</f>
        <v/>
      </c>
      <c r="AV34">
        <f>IF(入力!$D$36="","",IF(反映項目!$B$11="×","",IFERROR(INDEX(資格集約!$E$809:$E$834,MATCH(17,資格集約!$G$809:$G$834,0)),"")))</f>
        <v/>
      </c>
      <c r="AW34">
        <f>IF(入力!$D$36="","",IF(反映項目!$B$11="×","",IFERROR(INDEX(資格集約!$H$809:$H$834,MATCH(18,資格集約!$G$809:$G$834,0)),"")))</f>
        <v/>
      </c>
      <c r="AX34">
        <f>IF(入力!$D$36="","",IF(反映項目!$B$11="×","",IFERROR(INDEX(資格集約!$E$809:$E$834,MATCH(18,資格集約!$G$809:$G$834,0)),"")))</f>
        <v/>
      </c>
      <c r="AY34">
        <f>IF(入力!$D$36="","",IF(反映項目!$B$11="×","",IFERROR(INDEX(資格集約!$H$809:$H$834,MATCH(19,資格集約!$G$809:$G$834,0)),"")))</f>
        <v/>
      </c>
      <c r="AZ34">
        <f>IF(入力!$D$36="","",IF(反映項目!$B$11="×","",IFERROR(INDEX(資格集約!$E$809:$E$834,MATCH(19,資格集約!$G$809:$G$834,0)),"")))</f>
        <v/>
      </c>
      <c r="BA34">
        <f>IF(入力!$D$36="","",IF(反映項目!$B$11="×","",IFERROR(INDEX(資格集約!$H$809:$H$834,MATCH(20,資格集約!$G$809:$G$834,0)),"")))</f>
        <v/>
      </c>
      <c r="BB34">
        <f>IF(入力!$D$36="","",IF(反映項目!$B$11="×","",IFERROR(INDEX(資格集約!$E$809:$E$834,MATCH(20,資格集約!$G$809:$G$834,0)),"")))</f>
        <v/>
      </c>
      <c r="BC34">
        <f>IF(入力!$D$36="","",IF(反映項目!$B$11="×","",IFERROR(INDEX(資格集約!$H$809:$H$834,MATCH(21,資格集約!$G$809:$G$834,0)),"")))</f>
        <v/>
      </c>
      <c r="BD34">
        <f>IF(入力!$D$36="","",IF(反映項目!$B$11="×","",IFERROR(INDEX(資格集約!$E$809:$E$834,MATCH(21,資格集約!$G$809:$G$834,0)),"")))</f>
        <v/>
      </c>
      <c r="BE34">
        <f>IF(入力!$D$36="","",IF(反映項目!$B$11="×","",IFERROR(INDEX(資格集約!$H$809:$H$834,MATCH(22,資格集約!$G$809:$G$834,0)),"")))</f>
        <v/>
      </c>
      <c r="BF34">
        <f>IF(入力!$D$36="","",IF(反映項目!$B$11="×","",IFERROR(INDEX(資格集約!$E$809:$E$834,MATCH(22,資格集約!$G$809:$G$834,0)),"")))</f>
        <v/>
      </c>
      <c r="BG34">
        <f>IF(入力!$D$36="","",IF(反映項目!$B$11="×","",IFERROR(INDEX(資格集約!$H$809:$H$834,MATCH(23,資格集約!$G$809:$G$834,0)),"")))</f>
        <v/>
      </c>
      <c r="BH34">
        <f>IF(入力!$D$36="","",IF(反映項目!$B$11="×","",IFERROR(INDEX(資格集約!$E$809:$E$834,MATCH(23,資格集約!$G$809:$G$834,0)),"")))</f>
        <v/>
      </c>
      <c r="BI34">
        <f>IF(入力!$D$36="","",IF(反映項目!$B$11="×","",IFERROR(INDEX(資格集約!$H$809:$H$834,MATCH(24,資格集約!$G$809:$G$834,0)),"")))</f>
        <v/>
      </c>
      <c r="BJ34">
        <f>IF(入力!$D$36="","",IF(反映項目!$B$11="×","",IFERROR(INDEX(資格集約!$E$809:$E$834,MATCH(24,資格集約!$G$809:$G$834,0)),"")))</f>
        <v/>
      </c>
      <c r="BK34">
        <f>IF(入力!$D$36="","",IF(反映項目!$B$11="×","",IFERROR(INDEX(資格集約!$H$809:$H$834,MATCH(25,資格集約!$G$809:$G$834,0)),"")))</f>
        <v/>
      </c>
      <c r="BL34">
        <f>IF(入力!$D$36="","",IF(反映項目!$B$11="×","",IFERROR(INDEX(資格集約!$E$809:$E$834,MATCH(25,資格集約!$G$809:$G$834,0)),"")))</f>
        <v/>
      </c>
      <c r="BM34">
        <f>IF(入力!$D$36="","",IF(反映項目!$B$11="×","",IFERROR(INDEX(資格集約!$H$809:$H$834,MATCH(26,資格集約!$G$809:$G$834,0)),"")))</f>
        <v/>
      </c>
      <c r="BN34">
        <f>IF(入力!$D$36="","",IF(反映項目!$B$11="×","",IFERROR(INDEX(資格集約!$E$809:$E$834,MATCH(26,資格集約!$G$809:$G$834,0)),"")))</f>
        <v/>
      </c>
      <c r="BO34">
        <f>IF(入力!$D$36="","",IF(OR(反映項目!$B$12="×",入力!$Z$36=""),"",入力!$Z$36))</f>
        <v/>
      </c>
      <c r="BP34">
        <f>IF(入力!$D$36="","",IF(OR(反映項目!$B$13="×",入力!$AA$36=""),"",入力!$AA$36))</f>
        <v/>
      </c>
      <c r="BQ34">
        <f>IF(入力!$D$36="","",IF(OR(反映項目!$B$15="×",入力!$AF$36=""),"",入力!$AF$36))</f>
        <v/>
      </c>
      <c r="BR34">
        <f>IF(入力!$D$36="","",IF(OR(反映項目!$B$14="×",N($BZ$34)=0),"",YEAR($BZ$34)-IF($BZ$34&gt;=DATE(2019,5,1),2018,1988)))&amp;""</f>
        <v/>
      </c>
      <c r="BS34">
        <f>IF(入力!$D$36="","",IF(OR(反映項目!$B$14="×",N($BZ$34)=0),"",MONTH($BZ$34)))&amp;""</f>
        <v/>
      </c>
      <c r="BT34">
        <f>IF(入力!$D$36="","",IF(OR(反映項目!$B$14="×",入力!$AC$36=""),"",入力!$AC$36))</f>
        <v/>
      </c>
      <c r="BU34">
        <f>IF(入力!$D$36="","",IF(OR(反映項目!$B$14="×",N($CA$34)=0),"",YEAR($CA$34)-IF($CA$34&gt;=DATE(2019,5,1),2018,1988)))&amp;""</f>
        <v/>
      </c>
      <c r="BV34">
        <f>IF(入力!$D$36="","",IF(OR(反映項目!$B$14="×",N($CA$34)=0),"",MONTH($CA$34)))&amp;""</f>
        <v/>
      </c>
      <c r="BW34">
        <f>IF(入力!$D$36="","",IF(OR(反映項目!$B$14="×",入力!$AE$36=""),"",入力!$AE$36))</f>
        <v/>
      </c>
      <c r="BY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Z34">
        <f>IF(入力!$D$36="","",IF(入力!$AB$36="","",IF(ISNUMBER(入力!$AB$36),入力!$AB$36,IFERROR(IF(OR(LEFT(入力!$AB$36,2)="令和",LEFT(入力!$AB$36,2)="平成",LEFT(入力!$AB$36,2)="昭和",LEFT(入力!$AB$36,2)="大正"),DATE(VALUE(MID(入力!$AB$36,3,FIND("年",入力!$AB$36)-3))+IF(LEFT(入力!$AB$36,2)="令和",2018,IF(LEFT(入力!$AB$36,2)="平成",1988,IF(LEFT(入力!$AB$36,2)="昭和",1925,IF(LEFT(入力!$AB$36,2)="大正",1911,0)))),VALUE(MID(入力!$AB$36,FIND("年",入力!$AB$36)+1,FIND("月",入力!$AB$36)-FIND("年",入力!$AB$36)-1)),IFERROR(VALUE(SUBSTITUTE(MID(入力!$AB$36,FIND("月",入力!$AB$36)+1,10),"日","")),1)),DATE(VALUE(TRIM(MID(SUBSTITUTE(SUBSTITUTE(SUBSTITUTE(SUBSTITUTE(SUBSTITUTE(SUBSTITUTE(入力!$AB$36,"年","/"),"月","/"),"日",""),"-","/"),".","/"),"/",REPT(" ",50)),1,50))),VALUE(TRIM(MID(SUBSTITUTE(SUBSTITUTE(SUBSTITUTE(SUBSTITUTE(SUBSTITUTE(SUBSTITUTE(入力!$AB$36,"年","/"),"月","/"),"日",""),"-","/"),".","/"),"/",REPT(" ",50)),51,50))),IFERROR(VALUE(TRIM(MID(SUBSTITUTE(SUBSTITUTE(SUBSTITUTE(SUBSTITUTE(SUBSTITUTE(SUBSTITUTE(入力!$AB$36,"年","/"),"月","/"),"日",""),"-","/"),".","/"),"/",REPT(" ",50)),101,50))),1))),IFERROR(DATEVALUE(入力!$AB$36),"")))))</f>
        <v/>
      </c>
      <c r="CA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CB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amp;IF($AR34="","",CHAR(10)&amp;$AQ34)&amp;IF($AT34="","",CHAR(10)&amp;$AS34)&amp;IF($AV34="","",CHAR(10)&amp;$AU34)&amp;IF($AX34="","",CHAR(10)&amp;$AW34)&amp;IF($AZ34="","",CHAR(10)&amp;$AY34)&amp;IF($BB34="","",CHAR(10)&amp;$BA34)&amp;IF($BD34="","",CHAR(10)&amp;$BC34)&amp;IF($BF34="","",CHAR(10)&amp;$BE34)&amp;IF($BH34="","",CHAR(10)&amp;$BG34)&amp;IF($BJ34="","",CHAR(10)&amp;$BI34)&amp;IF($BL34="","",CHAR(10)&amp;$BK34)&amp;IF($BN34="","",CHAR(10)&amp;$BM34))</f>
        <v/>
      </c>
      <c r="CC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amp;IF($AR34="","",CHAR(10)&amp;$AR34)&amp;IF($AT34="","",CHAR(10)&amp;$AT34)&amp;IF($AV34="","",CHAR(10)&amp;$AV34)&amp;IF($AX34="","",CHAR(10)&amp;$AX34)&amp;IF($AZ34="","",CHAR(10)&amp;$AZ34)&amp;IF($BB34="","",CHAR(10)&amp;$BB34)&amp;IF($BD34="","",CHAR(10)&amp;$BD34)&amp;IF($BF34="","",CHAR(10)&amp;$BF34)&amp;IF($BH34="","",CHAR(10)&amp;$BH34)&amp;IF($BJ34="","",CHAR(10)&amp;$BJ34)&amp;IF($BL34="","",CHAR(10)&amp;$BL34)&amp;IF($BN34="","",CHAR(10)&amp;$BN34))</f>
        <v/>
      </c>
      <c r="CD34">
        <f>IF(入力!$D$36="","",IF($P34="",0,1)+IF($R34="",0,1)+IF($T34="",0,1)+IF($V34="",0,1)+IF($X34="",0,1)+IF($Z34="",0,1)+IF($AB34="",0,1)+IF($AD34="",0,1)+IF($AF34="",0,1)+IF($AH34="",0,1)+IF($AJ34="",0,1)+IF($AL34="",0,1)+IF($AN34="",0,1)+IF($AP34="",0,1)+IF($AR34="",0,1)+IF($AT34="",0,1)+IF($AV34="",0,1)+IF($AX34="",0,1)+IF($AZ34="",0,1)+IF($BB34="",0,1)+IF($BD34="",0,1)+IF($BF34="",0,1)+IF($BH34="",0,1)+IF($BJ34="",0,1)+IF($BL34="",0,1)+IF($BN34="",0,1))</f>
        <v/>
      </c>
    </row>
    <row r="35">
      <c r="A35" t="n">
        <v>33</v>
      </c>
      <c r="B35">
        <f>IF(入力!$D$37="","",IF(OR(反映項目!$B$4="×",入力!$D$37=""),"",入力!$D$37))</f>
        <v/>
      </c>
      <c r="C35">
        <f>IF(入力!$D$37="","",IF(OR(反映項目!$B$5="×",入力!$E$37=""),"",入力!$E$37))</f>
        <v/>
      </c>
      <c r="D35">
        <f>IF(入力!$D$37="","",IF(OR(反映項目!$B$6="×",N($BY$35)=0),"",YEAR($BY$35)-IF($BY$35&gt;=DATE(2019,5,1),2018,IF($BY$35&gt;=DATE(1989,1,8),1988,1925))))&amp;""</f>
        <v/>
      </c>
      <c r="E35">
        <f>IF(入力!$D$37="","",IF(OR(反映項目!$B$6="×",N($BY$35)=0),"",MONTH($BY$35)))&amp;""</f>
        <v/>
      </c>
      <c r="F35">
        <f>IF(入力!$D$37="","",IF(OR(反映項目!$B$6="×",N($BY$35)=0),"",DAY($BY$35)))&amp;""</f>
        <v/>
      </c>
      <c r="G35">
        <f>IF(入力!$D$37="","",IF(OR(反映項目!$B$6="×",OR(N($BY$35)=0,N(設定!$B$3)=0)),"",DATEDIF($BY$35,設定!$B$3,"Y")))&amp;""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IF(入力!$D$37="","",IF(OR(反映項目!$B$10="×",入力!$K$37=""),"",入力!$K$37))</f>
        <v/>
      </c>
      <c r="M35">
        <f>IF(入力!$D$37="","",IF(OR(反映項目!$B$10="×",入力!$L$37=""),"",入力!$L$37))</f>
        <v/>
      </c>
      <c r="N35">
        <f>IF(入力!$D$37="","",設定!$B$4&amp;CHAR(10)&amp;IF(入力!$M$37="",設定!$B$5,入力!$M$37))</f>
        <v/>
      </c>
      <c r="O35">
        <f>IF(入力!$D$37="","",IF(反映項目!$B$11="×","",IFERROR(INDEX(資格集約!$H$835:$H$860,MATCH(1,資格集約!$G$835:$G$860,0)),"")))</f>
        <v/>
      </c>
      <c r="P35">
        <f>IF(入力!$D$37="","",IF(反映項目!$B$11="×","",IFERROR(INDEX(資格集約!$E$835:$E$860,MATCH(1,資格集約!$G$835:$G$860,0)),"")))</f>
        <v/>
      </c>
      <c r="Q35">
        <f>IF(入力!$D$37="","",IF(反映項目!$B$11="×","",IFERROR(INDEX(資格集約!$H$835:$H$860,MATCH(2,資格集約!$G$835:$G$860,0)),"")))</f>
        <v/>
      </c>
      <c r="R35">
        <f>IF(入力!$D$37="","",IF(反映項目!$B$11="×","",IFERROR(INDEX(資格集約!$E$835:$E$860,MATCH(2,資格集約!$G$835:$G$860,0)),"")))</f>
        <v/>
      </c>
      <c r="S35">
        <f>IF(入力!$D$37="","",IF(反映項目!$B$11="×","",IFERROR(INDEX(資格集約!$H$835:$H$860,MATCH(3,資格集約!$G$835:$G$860,0)),"")))</f>
        <v/>
      </c>
      <c r="T35">
        <f>IF(入力!$D$37="","",IF(反映項目!$B$11="×","",IFERROR(INDEX(資格集約!$E$835:$E$860,MATCH(3,資格集約!$G$835:$G$860,0)),"")))</f>
        <v/>
      </c>
      <c r="U35">
        <f>IF(入力!$D$37="","",IF(反映項目!$B$11="×","",IFERROR(INDEX(資格集約!$H$835:$H$860,MATCH(4,資格集約!$G$835:$G$860,0)),"")))</f>
        <v/>
      </c>
      <c r="V35">
        <f>IF(入力!$D$37="","",IF(反映項目!$B$11="×","",IFERROR(INDEX(資格集約!$E$835:$E$860,MATCH(4,資格集約!$G$835:$G$860,0)),"")))</f>
        <v/>
      </c>
      <c r="W35">
        <f>IF(入力!$D$37="","",IF(反映項目!$B$11="×","",IFERROR(INDEX(資格集約!$H$835:$H$860,MATCH(5,資格集約!$G$835:$G$860,0)),"")))</f>
        <v/>
      </c>
      <c r="X35">
        <f>IF(入力!$D$37="","",IF(反映項目!$B$11="×","",IFERROR(INDEX(資格集約!$E$835:$E$860,MATCH(5,資格集約!$G$835:$G$860,0)),"")))</f>
        <v/>
      </c>
      <c r="Y35">
        <f>IF(入力!$D$37="","",IF(反映項目!$B$11="×","",IFERROR(INDEX(資格集約!$H$835:$H$860,MATCH(6,資格集約!$G$835:$G$860,0)),"")))</f>
        <v/>
      </c>
      <c r="Z35">
        <f>IF(入力!$D$37="","",IF(反映項目!$B$11="×","",IFERROR(INDEX(資格集約!$E$835:$E$860,MATCH(6,資格集約!$G$835:$G$860,0)),"")))</f>
        <v/>
      </c>
      <c r="AA35">
        <f>IF(入力!$D$37="","",IF(反映項目!$B$11="×","",IFERROR(INDEX(資格集約!$H$835:$H$860,MATCH(7,資格集約!$G$835:$G$860,0)),"")))</f>
        <v/>
      </c>
      <c r="AB35">
        <f>IF(入力!$D$37="","",IF(反映項目!$B$11="×","",IFERROR(INDEX(資格集約!$E$835:$E$860,MATCH(7,資格集約!$G$835:$G$860,0)),"")))</f>
        <v/>
      </c>
      <c r="AC35">
        <f>IF(入力!$D$37="","",IF(反映項目!$B$11="×","",IFERROR(INDEX(資格集約!$H$835:$H$860,MATCH(8,資格集約!$G$835:$G$860,0)),"")))</f>
        <v/>
      </c>
      <c r="AD35">
        <f>IF(入力!$D$37="","",IF(反映項目!$B$11="×","",IFERROR(INDEX(資格集約!$E$835:$E$860,MATCH(8,資格集約!$G$835:$G$860,0)),"")))</f>
        <v/>
      </c>
      <c r="AE35">
        <f>IF(入力!$D$37="","",IF(反映項目!$B$11="×","",IFERROR(INDEX(資格集約!$H$835:$H$860,MATCH(9,資格集約!$G$835:$G$860,0)),"")))</f>
        <v/>
      </c>
      <c r="AF35">
        <f>IF(入力!$D$37="","",IF(反映項目!$B$11="×","",IFERROR(INDEX(資格集約!$E$835:$E$860,MATCH(9,資格集約!$G$835:$G$860,0)),"")))</f>
        <v/>
      </c>
      <c r="AG35">
        <f>IF(入力!$D$37="","",IF(反映項目!$B$11="×","",IFERROR(INDEX(資格集約!$H$835:$H$860,MATCH(10,資格集約!$G$835:$G$860,0)),"")))</f>
        <v/>
      </c>
      <c r="AH35">
        <f>IF(入力!$D$37="","",IF(反映項目!$B$11="×","",IFERROR(INDEX(資格集約!$E$835:$E$860,MATCH(10,資格集約!$G$835:$G$860,0)),"")))</f>
        <v/>
      </c>
      <c r="AI35">
        <f>IF(入力!$D$37="","",IF(反映項目!$B$11="×","",IFERROR(INDEX(資格集約!$H$835:$H$860,MATCH(11,資格集約!$G$835:$G$860,0)),"")))</f>
        <v/>
      </c>
      <c r="AJ35">
        <f>IF(入力!$D$37="","",IF(反映項目!$B$11="×","",IFERROR(INDEX(資格集約!$E$835:$E$860,MATCH(11,資格集約!$G$835:$G$860,0)),"")))</f>
        <v/>
      </c>
      <c r="AK35">
        <f>IF(入力!$D$37="","",IF(反映項目!$B$11="×","",IFERROR(INDEX(資格集約!$H$835:$H$860,MATCH(12,資格集約!$G$835:$G$860,0)),"")))</f>
        <v/>
      </c>
      <c r="AL35">
        <f>IF(入力!$D$37="","",IF(反映項目!$B$11="×","",IFERROR(INDEX(資格集約!$E$835:$E$860,MATCH(12,資格集約!$G$835:$G$860,0)),"")))</f>
        <v/>
      </c>
      <c r="AM35">
        <f>IF(入力!$D$37="","",IF(反映項目!$B$11="×","",IFERROR(INDEX(資格集約!$H$835:$H$860,MATCH(13,資格集約!$G$835:$G$860,0)),"")))</f>
        <v/>
      </c>
      <c r="AN35">
        <f>IF(入力!$D$37="","",IF(反映項目!$B$11="×","",IFERROR(INDEX(資格集約!$E$835:$E$860,MATCH(13,資格集約!$G$835:$G$860,0)),"")))</f>
        <v/>
      </c>
      <c r="AO35">
        <f>IF(入力!$D$37="","",IF(反映項目!$B$11="×","",IFERROR(INDEX(資格集約!$H$835:$H$860,MATCH(14,資格集約!$G$835:$G$860,0)),"")))</f>
        <v/>
      </c>
      <c r="AP35">
        <f>IF(入力!$D$37="","",IF(反映項目!$B$11="×","",IFERROR(INDEX(資格集約!$E$835:$E$860,MATCH(14,資格集約!$G$835:$G$860,0)),"")))</f>
        <v/>
      </c>
      <c r="AQ35">
        <f>IF(入力!$D$37="","",IF(反映項目!$B$11="×","",IFERROR(INDEX(資格集約!$H$835:$H$860,MATCH(15,資格集約!$G$835:$G$860,0)),"")))</f>
        <v/>
      </c>
      <c r="AR35">
        <f>IF(入力!$D$37="","",IF(反映項目!$B$11="×","",IFERROR(INDEX(資格集約!$E$835:$E$860,MATCH(15,資格集約!$G$835:$G$860,0)),"")))</f>
        <v/>
      </c>
      <c r="AS35">
        <f>IF(入力!$D$37="","",IF(反映項目!$B$11="×","",IFERROR(INDEX(資格集約!$H$835:$H$860,MATCH(16,資格集約!$G$835:$G$860,0)),"")))</f>
        <v/>
      </c>
      <c r="AT35">
        <f>IF(入力!$D$37="","",IF(反映項目!$B$11="×","",IFERROR(INDEX(資格集約!$E$835:$E$860,MATCH(16,資格集約!$G$835:$G$860,0)),"")))</f>
        <v/>
      </c>
      <c r="AU35">
        <f>IF(入力!$D$37="","",IF(反映項目!$B$11="×","",IFERROR(INDEX(資格集約!$H$835:$H$860,MATCH(17,資格集約!$G$835:$G$860,0)),"")))</f>
        <v/>
      </c>
      <c r="AV35">
        <f>IF(入力!$D$37="","",IF(反映項目!$B$11="×","",IFERROR(INDEX(資格集約!$E$835:$E$860,MATCH(17,資格集約!$G$835:$G$860,0)),"")))</f>
        <v/>
      </c>
      <c r="AW35">
        <f>IF(入力!$D$37="","",IF(反映項目!$B$11="×","",IFERROR(INDEX(資格集約!$H$835:$H$860,MATCH(18,資格集約!$G$835:$G$860,0)),"")))</f>
        <v/>
      </c>
      <c r="AX35">
        <f>IF(入力!$D$37="","",IF(反映項目!$B$11="×","",IFERROR(INDEX(資格集約!$E$835:$E$860,MATCH(18,資格集約!$G$835:$G$860,0)),"")))</f>
        <v/>
      </c>
      <c r="AY35">
        <f>IF(入力!$D$37="","",IF(反映項目!$B$11="×","",IFERROR(INDEX(資格集約!$H$835:$H$860,MATCH(19,資格集約!$G$835:$G$860,0)),"")))</f>
        <v/>
      </c>
      <c r="AZ35">
        <f>IF(入力!$D$37="","",IF(反映項目!$B$11="×","",IFERROR(INDEX(資格集約!$E$835:$E$860,MATCH(19,資格集約!$G$835:$G$860,0)),"")))</f>
        <v/>
      </c>
      <c r="BA35">
        <f>IF(入力!$D$37="","",IF(反映項目!$B$11="×","",IFERROR(INDEX(資格集約!$H$835:$H$860,MATCH(20,資格集約!$G$835:$G$860,0)),"")))</f>
        <v/>
      </c>
      <c r="BB35">
        <f>IF(入力!$D$37="","",IF(反映項目!$B$11="×","",IFERROR(INDEX(資格集約!$E$835:$E$860,MATCH(20,資格集約!$G$835:$G$860,0)),"")))</f>
        <v/>
      </c>
      <c r="BC35">
        <f>IF(入力!$D$37="","",IF(反映項目!$B$11="×","",IFERROR(INDEX(資格集約!$H$835:$H$860,MATCH(21,資格集約!$G$835:$G$860,0)),"")))</f>
        <v/>
      </c>
      <c r="BD35">
        <f>IF(入力!$D$37="","",IF(反映項目!$B$11="×","",IFERROR(INDEX(資格集約!$E$835:$E$860,MATCH(21,資格集約!$G$835:$G$860,0)),"")))</f>
        <v/>
      </c>
      <c r="BE35">
        <f>IF(入力!$D$37="","",IF(反映項目!$B$11="×","",IFERROR(INDEX(資格集約!$H$835:$H$860,MATCH(22,資格集約!$G$835:$G$860,0)),"")))</f>
        <v/>
      </c>
      <c r="BF35">
        <f>IF(入力!$D$37="","",IF(反映項目!$B$11="×","",IFERROR(INDEX(資格集約!$E$835:$E$860,MATCH(22,資格集約!$G$835:$G$860,0)),"")))</f>
        <v/>
      </c>
      <c r="BG35">
        <f>IF(入力!$D$37="","",IF(反映項目!$B$11="×","",IFERROR(INDEX(資格集約!$H$835:$H$860,MATCH(23,資格集約!$G$835:$G$860,0)),"")))</f>
        <v/>
      </c>
      <c r="BH35">
        <f>IF(入力!$D$37="","",IF(反映項目!$B$11="×","",IFERROR(INDEX(資格集約!$E$835:$E$860,MATCH(23,資格集約!$G$835:$G$860,0)),"")))</f>
        <v/>
      </c>
      <c r="BI35">
        <f>IF(入力!$D$37="","",IF(反映項目!$B$11="×","",IFERROR(INDEX(資格集約!$H$835:$H$860,MATCH(24,資格集約!$G$835:$G$860,0)),"")))</f>
        <v/>
      </c>
      <c r="BJ35">
        <f>IF(入力!$D$37="","",IF(反映項目!$B$11="×","",IFERROR(INDEX(資格集約!$E$835:$E$860,MATCH(24,資格集約!$G$835:$G$860,0)),"")))</f>
        <v/>
      </c>
      <c r="BK35">
        <f>IF(入力!$D$37="","",IF(反映項目!$B$11="×","",IFERROR(INDEX(資格集約!$H$835:$H$860,MATCH(25,資格集約!$G$835:$G$860,0)),"")))</f>
        <v/>
      </c>
      <c r="BL35">
        <f>IF(入力!$D$37="","",IF(反映項目!$B$11="×","",IFERROR(INDEX(資格集約!$E$835:$E$860,MATCH(25,資格集約!$G$835:$G$860,0)),"")))</f>
        <v/>
      </c>
      <c r="BM35">
        <f>IF(入力!$D$37="","",IF(反映項目!$B$11="×","",IFERROR(INDEX(資格集約!$H$835:$H$860,MATCH(26,資格集約!$G$835:$G$860,0)),"")))</f>
        <v/>
      </c>
      <c r="BN35">
        <f>IF(入力!$D$37="","",IF(反映項目!$B$11="×","",IFERROR(INDEX(資格集約!$E$835:$E$860,MATCH(26,資格集約!$G$835:$G$860,0)),"")))</f>
        <v/>
      </c>
      <c r="BO35">
        <f>IF(入力!$D$37="","",IF(OR(反映項目!$B$12="×",入力!$Z$37=""),"",入力!$Z$37))</f>
        <v/>
      </c>
      <c r="BP35">
        <f>IF(入力!$D$37="","",IF(OR(反映項目!$B$13="×",入力!$AA$37=""),"",入力!$AA$37))</f>
        <v/>
      </c>
      <c r="BQ35">
        <f>IF(入力!$D$37="","",IF(OR(反映項目!$B$15="×",入力!$AF$37=""),"",入力!$AF$37))</f>
        <v/>
      </c>
      <c r="BR35">
        <f>IF(入力!$D$37="","",IF(OR(反映項目!$B$14="×",N($BZ$35)=0),"",YEAR($BZ$35)-IF($BZ$35&gt;=DATE(2019,5,1),2018,1988)))&amp;""</f>
        <v/>
      </c>
      <c r="BS35">
        <f>IF(入力!$D$37="","",IF(OR(反映項目!$B$14="×",N($BZ$35)=0),"",MONTH($BZ$35)))&amp;""</f>
        <v/>
      </c>
      <c r="BT35">
        <f>IF(入力!$D$37="","",IF(OR(反映項目!$B$14="×",入力!$AC$37=""),"",入力!$AC$37))</f>
        <v/>
      </c>
      <c r="BU35">
        <f>IF(入力!$D$37="","",IF(OR(反映項目!$B$14="×",N($CA$35)=0),"",YEAR($CA$35)-IF($CA$35&gt;=DATE(2019,5,1),2018,1988)))&amp;""</f>
        <v/>
      </c>
      <c r="BV35">
        <f>IF(入力!$D$37="","",IF(OR(反映項目!$B$14="×",N($CA$35)=0),"",MONTH($CA$35)))&amp;""</f>
        <v/>
      </c>
      <c r="BW35">
        <f>IF(入力!$D$37="","",IF(OR(反映項目!$B$14="×",入力!$AE$37=""),"",入力!$AE$37))</f>
        <v/>
      </c>
      <c r="BY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Z35">
        <f>IF(入力!$D$37="","",IF(入力!$AB$37="","",IF(ISNUMBER(入力!$AB$37),入力!$AB$37,IFERROR(IF(OR(LEFT(入力!$AB$37,2)="令和",LEFT(入力!$AB$37,2)="平成",LEFT(入力!$AB$37,2)="昭和",LEFT(入力!$AB$37,2)="大正"),DATE(VALUE(MID(入力!$AB$37,3,FIND("年",入力!$AB$37)-3))+IF(LEFT(入力!$AB$37,2)="令和",2018,IF(LEFT(入力!$AB$37,2)="平成",1988,IF(LEFT(入力!$AB$37,2)="昭和",1925,IF(LEFT(入力!$AB$37,2)="大正",1911,0)))),VALUE(MID(入力!$AB$37,FIND("年",入力!$AB$37)+1,FIND("月",入力!$AB$37)-FIND("年",入力!$AB$37)-1)),IFERROR(VALUE(SUBSTITUTE(MID(入力!$AB$37,FIND("月",入力!$AB$37)+1,10),"日","")),1)),DATE(VALUE(TRIM(MID(SUBSTITUTE(SUBSTITUTE(SUBSTITUTE(SUBSTITUTE(SUBSTITUTE(SUBSTITUTE(入力!$AB$37,"年","/"),"月","/"),"日",""),"-","/"),".","/"),"/",REPT(" ",50)),1,50))),VALUE(TRIM(MID(SUBSTITUTE(SUBSTITUTE(SUBSTITUTE(SUBSTITUTE(SUBSTITUTE(SUBSTITUTE(入力!$AB$37,"年","/"),"月","/"),"日",""),"-","/"),".","/"),"/",REPT(" ",50)),51,50))),IFERROR(VALUE(TRIM(MID(SUBSTITUTE(SUBSTITUTE(SUBSTITUTE(SUBSTITUTE(SUBSTITUTE(SUBSTITUTE(入力!$AB$37,"年","/"),"月","/"),"日",""),"-","/"),".","/"),"/",REPT(" ",50)),101,50))),1))),IFERROR(DATEVALUE(入力!$AB$37),"")))))</f>
        <v/>
      </c>
      <c r="CA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CB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amp;IF($AR35="","",CHAR(10)&amp;$AQ35)&amp;IF($AT35="","",CHAR(10)&amp;$AS35)&amp;IF($AV35="","",CHAR(10)&amp;$AU35)&amp;IF($AX35="","",CHAR(10)&amp;$AW35)&amp;IF($AZ35="","",CHAR(10)&amp;$AY35)&amp;IF($BB35="","",CHAR(10)&amp;$BA35)&amp;IF($BD35="","",CHAR(10)&amp;$BC35)&amp;IF($BF35="","",CHAR(10)&amp;$BE35)&amp;IF($BH35="","",CHAR(10)&amp;$BG35)&amp;IF($BJ35="","",CHAR(10)&amp;$BI35)&amp;IF($BL35="","",CHAR(10)&amp;$BK35)&amp;IF($BN35="","",CHAR(10)&amp;$BM35))</f>
        <v/>
      </c>
      <c r="CC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amp;IF($AR35="","",CHAR(10)&amp;$AR35)&amp;IF($AT35="","",CHAR(10)&amp;$AT35)&amp;IF($AV35="","",CHAR(10)&amp;$AV35)&amp;IF($AX35="","",CHAR(10)&amp;$AX35)&amp;IF($AZ35="","",CHAR(10)&amp;$AZ35)&amp;IF($BB35="","",CHAR(10)&amp;$BB35)&amp;IF($BD35="","",CHAR(10)&amp;$BD35)&amp;IF($BF35="","",CHAR(10)&amp;$BF35)&amp;IF($BH35="","",CHAR(10)&amp;$BH35)&amp;IF($BJ35="","",CHAR(10)&amp;$BJ35)&amp;IF($BL35="","",CHAR(10)&amp;$BL35)&amp;IF($BN35="","",CHAR(10)&amp;$BN35))</f>
        <v/>
      </c>
      <c r="CD35">
        <f>IF(入力!$D$37="","",IF($P35="",0,1)+IF($R35="",0,1)+IF($T35="",0,1)+IF($V35="",0,1)+IF($X35="",0,1)+IF($Z35="",0,1)+IF($AB35="",0,1)+IF($AD35="",0,1)+IF($AF35="",0,1)+IF($AH35="",0,1)+IF($AJ35="",0,1)+IF($AL35="",0,1)+IF($AN35="",0,1)+IF($AP35="",0,1)+IF($AR35="",0,1)+IF($AT35="",0,1)+IF($AV35="",0,1)+IF($AX35="",0,1)+IF($AZ35="",0,1)+IF($BB35="",0,1)+IF($BD35="",0,1)+IF($BF35="",0,1)+IF($BH35="",0,1)+IF($BJ35="",0,1)+IF($BL35="",0,1)+IF($BN35="",0,1))</f>
        <v/>
      </c>
    </row>
    <row r="36">
      <c r="A36" t="n">
        <v>34</v>
      </c>
      <c r="B36">
        <f>IF(入力!$D$38="","",IF(OR(反映項目!$B$4="×",入力!$D$38=""),"",入力!$D$38))</f>
        <v/>
      </c>
      <c r="C36">
        <f>IF(入力!$D$38="","",IF(OR(反映項目!$B$5="×",入力!$E$38=""),"",入力!$E$38))</f>
        <v/>
      </c>
      <c r="D36">
        <f>IF(入力!$D$38="","",IF(OR(反映項目!$B$6="×",N($BY$36)=0),"",YEAR($BY$36)-IF($BY$36&gt;=DATE(2019,5,1),2018,IF($BY$36&gt;=DATE(1989,1,8),1988,1925))))&amp;""</f>
        <v/>
      </c>
      <c r="E36">
        <f>IF(入力!$D$38="","",IF(OR(反映項目!$B$6="×",N($BY$36)=0),"",MONTH($BY$36)))&amp;""</f>
        <v/>
      </c>
      <c r="F36">
        <f>IF(入力!$D$38="","",IF(OR(反映項目!$B$6="×",N($BY$36)=0),"",DAY($BY$36)))&amp;""</f>
        <v/>
      </c>
      <c r="G36">
        <f>IF(入力!$D$38="","",IF(OR(反映項目!$B$6="×",OR(N($BY$36)=0,N(設定!$B$3)=0)),"",DATEDIF($BY$36,設定!$B$3,"Y")))&amp;""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IF(入力!$D$38="","",IF(OR(反映項目!$B$10="×",入力!$K$38=""),"",入力!$K$38))</f>
        <v/>
      </c>
      <c r="M36">
        <f>IF(入力!$D$38="","",IF(OR(反映項目!$B$10="×",入力!$L$38=""),"",入力!$L$38))</f>
        <v/>
      </c>
      <c r="N36">
        <f>IF(入力!$D$38="","",設定!$B$4&amp;CHAR(10)&amp;IF(入力!$M$38="",設定!$B$5,入力!$M$38))</f>
        <v/>
      </c>
      <c r="O36">
        <f>IF(入力!$D$38="","",IF(反映項目!$B$11="×","",IFERROR(INDEX(資格集約!$H$861:$H$886,MATCH(1,資格集約!$G$861:$G$886,0)),"")))</f>
        <v/>
      </c>
      <c r="P36">
        <f>IF(入力!$D$38="","",IF(反映項目!$B$11="×","",IFERROR(INDEX(資格集約!$E$861:$E$886,MATCH(1,資格集約!$G$861:$G$886,0)),"")))</f>
        <v/>
      </c>
      <c r="Q36">
        <f>IF(入力!$D$38="","",IF(反映項目!$B$11="×","",IFERROR(INDEX(資格集約!$H$861:$H$886,MATCH(2,資格集約!$G$861:$G$886,0)),"")))</f>
        <v/>
      </c>
      <c r="R36">
        <f>IF(入力!$D$38="","",IF(反映項目!$B$11="×","",IFERROR(INDEX(資格集約!$E$861:$E$886,MATCH(2,資格集約!$G$861:$G$886,0)),"")))</f>
        <v/>
      </c>
      <c r="S36">
        <f>IF(入力!$D$38="","",IF(反映項目!$B$11="×","",IFERROR(INDEX(資格集約!$H$861:$H$886,MATCH(3,資格集約!$G$861:$G$886,0)),"")))</f>
        <v/>
      </c>
      <c r="T36">
        <f>IF(入力!$D$38="","",IF(反映項目!$B$11="×","",IFERROR(INDEX(資格集約!$E$861:$E$886,MATCH(3,資格集約!$G$861:$G$886,0)),"")))</f>
        <v/>
      </c>
      <c r="U36">
        <f>IF(入力!$D$38="","",IF(反映項目!$B$11="×","",IFERROR(INDEX(資格集約!$H$861:$H$886,MATCH(4,資格集約!$G$861:$G$886,0)),"")))</f>
        <v/>
      </c>
      <c r="V36">
        <f>IF(入力!$D$38="","",IF(反映項目!$B$11="×","",IFERROR(INDEX(資格集約!$E$861:$E$886,MATCH(4,資格集約!$G$861:$G$886,0)),"")))</f>
        <v/>
      </c>
      <c r="W36">
        <f>IF(入力!$D$38="","",IF(反映項目!$B$11="×","",IFERROR(INDEX(資格集約!$H$861:$H$886,MATCH(5,資格集約!$G$861:$G$886,0)),"")))</f>
        <v/>
      </c>
      <c r="X36">
        <f>IF(入力!$D$38="","",IF(反映項目!$B$11="×","",IFERROR(INDEX(資格集約!$E$861:$E$886,MATCH(5,資格集約!$G$861:$G$886,0)),"")))</f>
        <v/>
      </c>
      <c r="Y36">
        <f>IF(入力!$D$38="","",IF(反映項目!$B$11="×","",IFERROR(INDEX(資格集約!$H$861:$H$886,MATCH(6,資格集約!$G$861:$G$886,0)),"")))</f>
        <v/>
      </c>
      <c r="Z36">
        <f>IF(入力!$D$38="","",IF(反映項目!$B$11="×","",IFERROR(INDEX(資格集約!$E$861:$E$886,MATCH(6,資格集約!$G$861:$G$886,0)),"")))</f>
        <v/>
      </c>
      <c r="AA36">
        <f>IF(入力!$D$38="","",IF(反映項目!$B$11="×","",IFERROR(INDEX(資格集約!$H$861:$H$886,MATCH(7,資格集約!$G$861:$G$886,0)),"")))</f>
        <v/>
      </c>
      <c r="AB36">
        <f>IF(入力!$D$38="","",IF(反映項目!$B$11="×","",IFERROR(INDEX(資格集約!$E$861:$E$886,MATCH(7,資格集約!$G$861:$G$886,0)),"")))</f>
        <v/>
      </c>
      <c r="AC36">
        <f>IF(入力!$D$38="","",IF(反映項目!$B$11="×","",IFERROR(INDEX(資格集約!$H$861:$H$886,MATCH(8,資格集約!$G$861:$G$886,0)),"")))</f>
        <v/>
      </c>
      <c r="AD36">
        <f>IF(入力!$D$38="","",IF(反映項目!$B$11="×","",IFERROR(INDEX(資格集約!$E$861:$E$886,MATCH(8,資格集約!$G$861:$G$886,0)),"")))</f>
        <v/>
      </c>
      <c r="AE36">
        <f>IF(入力!$D$38="","",IF(反映項目!$B$11="×","",IFERROR(INDEX(資格集約!$H$861:$H$886,MATCH(9,資格集約!$G$861:$G$886,0)),"")))</f>
        <v/>
      </c>
      <c r="AF36">
        <f>IF(入力!$D$38="","",IF(反映項目!$B$11="×","",IFERROR(INDEX(資格集約!$E$861:$E$886,MATCH(9,資格集約!$G$861:$G$886,0)),"")))</f>
        <v/>
      </c>
      <c r="AG36">
        <f>IF(入力!$D$38="","",IF(反映項目!$B$11="×","",IFERROR(INDEX(資格集約!$H$861:$H$886,MATCH(10,資格集約!$G$861:$G$886,0)),"")))</f>
        <v/>
      </c>
      <c r="AH36">
        <f>IF(入力!$D$38="","",IF(反映項目!$B$11="×","",IFERROR(INDEX(資格集約!$E$861:$E$886,MATCH(10,資格集約!$G$861:$G$886,0)),"")))</f>
        <v/>
      </c>
      <c r="AI36">
        <f>IF(入力!$D$38="","",IF(反映項目!$B$11="×","",IFERROR(INDEX(資格集約!$H$861:$H$886,MATCH(11,資格集約!$G$861:$G$886,0)),"")))</f>
        <v/>
      </c>
      <c r="AJ36">
        <f>IF(入力!$D$38="","",IF(反映項目!$B$11="×","",IFERROR(INDEX(資格集約!$E$861:$E$886,MATCH(11,資格集約!$G$861:$G$886,0)),"")))</f>
        <v/>
      </c>
      <c r="AK36">
        <f>IF(入力!$D$38="","",IF(反映項目!$B$11="×","",IFERROR(INDEX(資格集約!$H$861:$H$886,MATCH(12,資格集約!$G$861:$G$886,0)),"")))</f>
        <v/>
      </c>
      <c r="AL36">
        <f>IF(入力!$D$38="","",IF(反映項目!$B$11="×","",IFERROR(INDEX(資格集約!$E$861:$E$886,MATCH(12,資格集約!$G$861:$G$886,0)),"")))</f>
        <v/>
      </c>
      <c r="AM36">
        <f>IF(入力!$D$38="","",IF(反映項目!$B$11="×","",IFERROR(INDEX(資格集約!$H$861:$H$886,MATCH(13,資格集約!$G$861:$G$886,0)),"")))</f>
        <v/>
      </c>
      <c r="AN36">
        <f>IF(入力!$D$38="","",IF(反映項目!$B$11="×","",IFERROR(INDEX(資格集約!$E$861:$E$886,MATCH(13,資格集約!$G$861:$G$886,0)),"")))</f>
        <v/>
      </c>
      <c r="AO36">
        <f>IF(入力!$D$38="","",IF(反映項目!$B$11="×","",IFERROR(INDEX(資格集約!$H$861:$H$886,MATCH(14,資格集約!$G$861:$G$886,0)),"")))</f>
        <v/>
      </c>
      <c r="AP36">
        <f>IF(入力!$D$38="","",IF(反映項目!$B$11="×","",IFERROR(INDEX(資格集約!$E$861:$E$886,MATCH(14,資格集約!$G$861:$G$886,0)),"")))</f>
        <v/>
      </c>
      <c r="AQ36">
        <f>IF(入力!$D$38="","",IF(反映項目!$B$11="×","",IFERROR(INDEX(資格集約!$H$861:$H$886,MATCH(15,資格集約!$G$861:$G$886,0)),"")))</f>
        <v/>
      </c>
      <c r="AR36">
        <f>IF(入力!$D$38="","",IF(反映項目!$B$11="×","",IFERROR(INDEX(資格集約!$E$861:$E$886,MATCH(15,資格集約!$G$861:$G$886,0)),"")))</f>
        <v/>
      </c>
      <c r="AS36">
        <f>IF(入力!$D$38="","",IF(反映項目!$B$11="×","",IFERROR(INDEX(資格集約!$H$861:$H$886,MATCH(16,資格集約!$G$861:$G$886,0)),"")))</f>
        <v/>
      </c>
      <c r="AT36">
        <f>IF(入力!$D$38="","",IF(反映項目!$B$11="×","",IFERROR(INDEX(資格集約!$E$861:$E$886,MATCH(16,資格集約!$G$861:$G$886,0)),"")))</f>
        <v/>
      </c>
      <c r="AU36">
        <f>IF(入力!$D$38="","",IF(反映項目!$B$11="×","",IFERROR(INDEX(資格集約!$H$861:$H$886,MATCH(17,資格集約!$G$861:$G$886,0)),"")))</f>
        <v/>
      </c>
      <c r="AV36">
        <f>IF(入力!$D$38="","",IF(反映項目!$B$11="×","",IFERROR(INDEX(資格集約!$E$861:$E$886,MATCH(17,資格集約!$G$861:$G$886,0)),"")))</f>
        <v/>
      </c>
      <c r="AW36">
        <f>IF(入力!$D$38="","",IF(反映項目!$B$11="×","",IFERROR(INDEX(資格集約!$H$861:$H$886,MATCH(18,資格集約!$G$861:$G$886,0)),"")))</f>
        <v/>
      </c>
      <c r="AX36">
        <f>IF(入力!$D$38="","",IF(反映項目!$B$11="×","",IFERROR(INDEX(資格集約!$E$861:$E$886,MATCH(18,資格集約!$G$861:$G$886,0)),"")))</f>
        <v/>
      </c>
      <c r="AY36">
        <f>IF(入力!$D$38="","",IF(反映項目!$B$11="×","",IFERROR(INDEX(資格集約!$H$861:$H$886,MATCH(19,資格集約!$G$861:$G$886,0)),"")))</f>
        <v/>
      </c>
      <c r="AZ36">
        <f>IF(入力!$D$38="","",IF(反映項目!$B$11="×","",IFERROR(INDEX(資格集約!$E$861:$E$886,MATCH(19,資格集約!$G$861:$G$886,0)),"")))</f>
        <v/>
      </c>
      <c r="BA36">
        <f>IF(入力!$D$38="","",IF(反映項目!$B$11="×","",IFERROR(INDEX(資格集約!$H$861:$H$886,MATCH(20,資格集約!$G$861:$G$886,0)),"")))</f>
        <v/>
      </c>
      <c r="BB36">
        <f>IF(入力!$D$38="","",IF(反映項目!$B$11="×","",IFERROR(INDEX(資格集約!$E$861:$E$886,MATCH(20,資格集約!$G$861:$G$886,0)),"")))</f>
        <v/>
      </c>
      <c r="BC36">
        <f>IF(入力!$D$38="","",IF(反映項目!$B$11="×","",IFERROR(INDEX(資格集約!$H$861:$H$886,MATCH(21,資格集約!$G$861:$G$886,0)),"")))</f>
        <v/>
      </c>
      <c r="BD36">
        <f>IF(入力!$D$38="","",IF(反映項目!$B$11="×","",IFERROR(INDEX(資格集約!$E$861:$E$886,MATCH(21,資格集約!$G$861:$G$886,0)),"")))</f>
        <v/>
      </c>
      <c r="BE36">
        <f>IF(入力!$D$38="","",IF(反映項目!$B$11="×","",IFERROR(INDEX(資格集約!$H$861:$H$886,MATCH(22,資格集約!$G$861:$G$886,0)),"")))</f>
        <v/>
      </c>
      <c r="BF36">
        <f>IF(入力!$D$38="","",IF(反映項目!$B$11="×","",IFERROR(INDEX(資格集約!$E$861:$E$886,MATCH(22,資格集約!$G$861:$G$886,0)),"")))</f>
        <v/>
      </c>
      <c r="BG36">
        <f>IF(入力!$D$38="","",IF(反映項目!$B$11="×","",IFERROR(INDEX(資格集約!$H$861:$H$886,MATCH(23,資格集約!$G$861:$G$886,0)),"")))</f>
        <v/>
      </c>
      <c r="BH36">
        <f>IF(入力!$D$38="","",IF(反映項目!$B$11="×","",IFERROR(INDEX(資格集約!$E$861:$E$886,MATCH(23,資格集約!$G$861:$G$886,0)),"")))</f>
        <v/>
      </c>
      <c r="BI36">
        <f>IF(入力!$D$38="","",IF(反映項目!$B$11="×","",IFERROR(INDEX(資格集約!$H$861:$H$886,MATCH(24,資格集約!$G$861:$G$886,0)),"")))</f>
        <v/>
      </c>
      <c r="BJ36">
        <f>IF(入力!$D$38="","",IF(反映項目!$B$11="×","",IFERROR(INDEX(資格集約!$E$861:$E$886,MATCH(24,資格集約!$G$861:$G$886,0)),"")))</f>
        <v/>
      </c>
      <c r="BK36">
        <f>IF(入力!$D$38="","",IF(反映項目!$B$11="×","",IFERROR(INDEX(資格集約!$H$861:$H$886,MATCH(25,資格集約!$G$861:$G$886,0)),"")))</f>
        <v/>
      </c>
      <c r="BL36">
        <f>IF(入力!$D$38="","",IF(反映項目!$B$11="×","",IFERROR(INDEX(資格集約!$E$861:$E$886,MATCH(25,資格集約!$G$861:$G$886,0)),"")))</f>
        <v/>
      </c>
      <c r="BM36">
        <f>IF(入力!$D$38="","",IF(反映項目!$B$11="×","",IFERROR(INDEX(資格集約!$H$861:$H$886,MATCH(26,資格集約!$G$861:$G$886,0)),"")))</f>
        <v/>
      </c>
      <c r="BN36">
        <f>IF(入力!$D$38="","",IF(反映項目!$B$11="×","",IFERROR(INDEX(資格集約!$E$861:$E$886,MATCH(26,資格集約!$G$861:$G$886,0)),"")))</f>
        <v/>
      </c>
      <c r="BO36">
        <f>IF(入力!$D$38="","",IF(OR(反映項目!$B$12="×",入力!$Z$38=""),"",入力!$Z$38))</f>
        <v/>
      </c>
      <c r="BP36">
        <f>IF(入力!$D$38="","",IF(OR(反映項目!$B$13="×",入力!$AA$38=""),"",入力!$AA$38))</f>
        <v/>
      </c>
      <c r="BQ36">
        <f>IF(入力!$D$38="","",IF(OR(反映項目!$B$15="×",入力!$AF$38=""),"",入力!$AF$38))</f>
        <v/>
      </c>
      <c r="BR36">
        <f>IF(入力!$D$38="","",IF(OR(反映項目!$B$14="×",N($BZ$36)=0),"",YEAR($BZ$36)-IF($BZ$36&gt;=DATE(2019,5,1),2018,1988)))&amp;""</f>
        <v/>
      </c>
      <c r="BS36">
        <f>IF(入力!$D$38="","",IF(OR(反映項目!$B$14="×",N($BZ$36)=0),"",MONTH($BZ$36)))&amp;""</f>
        <v/>
      </c>
      <c r="BT36">
        <f>IF(入力!$D$38="","",IF(OR(反映項目!$B$14="×",入力!$AC$38=""),"",入力!$AC$38))</f>
        <v/>
      </c>
      <c r="BU36">
        <f>IF(入力!$D$38="","",IF(OR(反映項目!$B$14="×",N($CA$36)=0),"",YEAR($CA$36)-IF($CA$36&gt;=DATE(2019,5,1),2018,1988)))&amp;""</f>
        <v/>
      </c>
      <c r="BV36">
        <f>IF(入力!$D$38="","",IF(OR(反映項目!$B$14="×",N($CA$36)=0),"",MONTH($CA$36)))&amp;""</f>
        <v/>
      </c>
      <c r="BW36">
        <f>IF(入力!$D$38="","",IF(OR(反映項目!$B$14="×",入力!$AE$38=""),"",入力!$AE$38))</f>
        <v/>
      </c>
      <c r="BY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Z36">
        <f>IF(入力!$D$38="","",IF(入力!$AB$38="","",IF(ISNUMBER(入力!$AB$38),入力!$AB$38,IFERROR(IF(OR(LEFT(入力!$AB$38,2)="令和",LEFT(入力!$AB$38,2)="平成",LEFT(入力!$AB$38,2)="昭和",LEFT(入力!$AB$38,2)="大正"),DATE(VALUE(MID(入力!$AB$38,3,FIND("年",入力!$AB$38)-3))+IF(LEFT(入力!$AB$38,2)="令和",2018,IF(LEFT(入力!$AB$38,2)="平成",1988,IF(LEFT(入力!$AB$38,2)="昭和",1925,IF(LEFT(入力!$AB$38,2)="大正",1911,0)))),VALUE(MID(入力!$AB$38,FIND("年",入力!$AB$38)+1,FIND("月",入力!$AB$38)-FIND("年",入力!$AB$38)-1)),IFERROR(VALUE(SUBSTITUTE(MID(入力!$AB$38,FIND("月",入力!$AB$38)+1,10),"日","")),1)),DATE(VALUE(TRIM(MID(SUBSTITUTE(SUBSTITUTE(SUBSTITUTE(SUBSTITUTE(SUBSTITUTE(SUBSTITUTE(入力!$AB$38,"年","/"),"月","/"),"日",""),"-","/"),".","/"),"/",REPT(" ",50)),1,50))),VALUE(TRIM(MID(SUBSTITUTE(SUBSTITUTE(SUBSTITUTE(SUBSTITUTE(SUBSTITUTE(SUBSTITUTE(入力!$AB$38,"年","/"),"月","/"),"日",""),"-","/"),".","/"),"/",REPT(" ",50)),51,50))),IFERROR(VALUE(TRIM(MID(SUBSTITUTE(SUBSTITUTE(SUBSTITUTE(SUBSTITUTE(SUBSTITUTE(SUBSTITUTE(入力!$AB$38,"年","/"),"月","/"),"日",""),"-","/"),".","/"),"/",REPT(" ",50)),101,50))),1))),IFERROR(DATEVALUE(入力!$AB$38),"")))))</f>
        <v/>
      </c>
      <c r="CA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CB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amp;IF($AR36="","",CHAR(10)&amp;$AQ36)&amp;IF($AT36="","",CHAR(10)&amp;$AS36)&amp;IF($AV36="","",CHAR(10)&amp;$AU36)&amp;IF($AX36="","",CHAR(10)&amp;$AW36)&amp;IF($AZ36="","",CHAR(10)&amp;$AY36)&amp;IF($BB36="","",CHAR(10)&amp;$BA36)&amp;IF($BD36="","",CHAR(10)&amp;$BC36)&amp;IF($BF36="","",CHAR(10)&amp;$BE36)&amp;IF($BH36="","",CHAR(10)&amp;$BG36)&amp;IF($BJ36="","",CHAR(10)&amp;$BI36)&amp;IF($BL36="","",CHAR(10)&amp;$BK36)&amp;IF($BN36="","",CHAR(10)&amp;$BM36))</f>
        <v/>
      </c>
      <c r="CC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amp;IF($AR36="","",CHAR(10)&amp;$AR36)&amp;IF($AT36="","",CHAR(10)&amp;$AT36)&amp;IF($AV36="","",CHAR(10)&amp;$AV36)&amp;IF($AX36="","",CHAR(10)&amp;$AX36)&amp;IF($AZ36="","",CHAR(10)&amp;$AZ36)&amp;IF($BB36="","",CHAR(10)&amp;$BB36)&amp;IF($BD36="","",CHAR(10)&amp;$BD36)&amp;IF($BF36="","",CHAR(10)&amp;$BF36)&amp;IF($BH36="","",CHAR(10)&amp;$BH36)&amp;IF($BJ36="","",CHAR(10)&amp;$BJ36)&amp;IF($BL36="","",CHAR(10)&amp;$BL36)&amp;IF($BN36="","",CHAR(10)&amp;$BN36))</f>
        <v/>
      </c>
      <c r="CD36">
        <f>IF(入力!$D$38="","",IF($P36="",0,1)+IF($R36="",0,1)+IF($T36="",0,1)+IF($V36="",0,1)+IF($X36="",0,1)+IF($Z36="",0,1)+IF($AB36="",0,1)+IF($AD36="",0,1)+IF($AF36="",0,1)+IF($AH36="",0,1)+IF($AJ36="",0,1)+IF($AL36="",0,1)+IF($AN36="",0,1)+IF($AP36="",0,1)+IF($AR36="",0,1)+IF($AT36="",0,1)+IF($AV36="",0,1)+IF($AX36="",0,1)+IF($AZ36="",0,1)+IF($BB36="",0,1)+IF($BD36="",0,1)+IF($BF36="",0,1)+IF($BH36="",0,1)+IF($BJ36="",0,1)+IF($BL36="",0,1)+IF($BN36="",0,1))</f>
        <v/>
      </c>
    </row>
    <row r="37">
      <c r="A37" t="n">
        <v>35</v>
      </c>
      <c r="B37">
        <f>IF(入力!$D$39="","",IF(OR(反映項目!$B$4="×",入力!$D$39=""),"",入力!$D$39))</f>
        <v/>
      </c>
      <c r="C37">
        <f>IF(入力!$D$39="","",IF(OR(反映項目!$B$5="×",入力!$E$39=""),"",入力!$E$39))</f>
        <v/>
      </c>
      <c r="D37">
        <f>IF(入力!$D$39="","",IF(OR(反映項目!$B$6="×",N($BY$37)=0),"",YEAR($BY$37)-IF($BY$37&gt;=DATE(2019,5,1),2018,IF($BY$37&gt;=DATE(1989,1,8),1988,1925))))&amp;""</f>
        <v/>
      </c>
      <c r="E37">
        <f>IF(入力!$D$39="","",IF(OR(反映項目!$B$6="×",N($BY$37)=0),"",MONTH($BY$37)))&amp;""</f>
        <v/>
      </c>
      <c r="F37">
        <f>IF(入力!$D$39="","",IF(OR(反映項目!$B$6="×",N($BY$37)=0),"",DAY($BY$37)))&amp;""</f>
        <v/>
      </c>
      <c r="G37">
        <f>IF(入力!$D$39="","",IF(OR(反映項目!$B$6="×",OR(N($BY$37)=0,N(設定!$B$3)=0)),"",DATEDIF($BY$37,設定!$B$3,"Y")))&amp;""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IF(入力!$D$39="","",IF(OR(反映項目!$B$10="×",入力!$K$39=""),"",入力!$K$39))</f>
        <v/>
      </c>
      <c r="M37">
        <f>IF(入力!$D$39="","",IF(OR(反映項目!$B$10="×",入力!$L$39=""),"",入力!$L$39))</f>
        <v/>
      </c>
      <c r="N37">
        <f>IF(入力!$D$39="","",設定!$B$4&amp;CHAR(10)&amp;IF(入力!$M$39="",設定!$B$5,入力!$M$39))</f>
        <v/>
      </c>
      <c r="O37">
        <f>IF(入力!$D$39="","",IF(反映項目!$B$11="×","",IFERROR(INDEX(資格集約!$H$887:$H$912,MATCH(1,資格集約!$G$887:$G$912,0)),"")))</f>
        <v/>
      </c>
      <c r="P37">
        <f>IF(入力!$D$39="","",IF(反映項目!$B$11="×","",IFERROR(INDEX(資格集約!$E$887:$E$912,MATCH(1,資格集約!$G$887:$G$912,0)),"")))</f>
        <v/>
      </c>
      <c r="Q37">
        <f>IF(入力!$D$39="","",IF(反映項目!$B$11="×","",IFERROR(INDEX(資格集約!$H$887:$H$912,MATCH(2,資格集約!$G$887:$G$912,0)),"")))</f>
        <v/>
      </c>
      <c r="R37">
        <f>IF(入力!$D$39="","",IF(反映項目!$B$11="×","",IFERROR(INDEX(資格集約!$E$887:$E$912,MATCH(2,資格集約!$G$887:$G$912,0)),"")))</f>
        <v/>
      </c>
      <c r="S37">
        <f>IF(入力!$D$39="","",IF(反映項目!$B$11="×","",IFERROR(INDEX(資格集約!$H$887:$H$912,MATCH(3,資格集約!$G$887:$G$912,0)),"")))</f>
        <v/>
      </c>
      <c r="T37">
        <f>IF(入力!$D$39="","",IF(反映項目!$B$11="×","",IFERROR(INDEX(資格集約!$E$887:$E$912,MATCH(3,資格集約!$G$887:$G$912,0)),"")))</f>
        <v/>
      </c>
      <c r="U37">
        <f>IF(入力!$D$39="","",IF(反映項目!$B$11="×","",IFERROR(INDEX(資格集約!$H$887:$H$912,MATCH(4,資格集約!$G$887:$G$912,0)),"")))</f>
        <v/>
      </c>
      <c r="V37">
        <f>IF(入力!$D$39="","",IF(反映項目!$B$11="×","",IFERROR(INDEX(資格集約!$E$887:$E$912,MATCH(4,資格集約!$G$887:$G$912,0)),"")))</f>
        <v/>
      </c>
      <c r="W37">
        <f>IF(入力!$D$39="","",IF(反映項目!$B$11="×","",IFERROR(INDEX(資格集約!$H$887:$H$912,MATCH(5,資格集約!$G$887:$G$912,0)),"")))</f>
        <v/>
      </c>
      <c r="X37">
        <f>IF(入力!$D$39="","",IF(反映項目!$B$11="×","",IFERROR(INDEX(資格集約!$E$887:$E$912,MATCH(5,資格集約!$G$887:$G$912,0)),"")))</f>
        <v/>
      </c>
      <c r="Y37">
        <f>IF(入力!$D$39="","",IF(反映項目!$B$11="×","",IFERROR(INDEX(資格集約!$H$887:$H$912,MATCH(6,資格集約!$G$887:$G$912,0)),"")))</f>
        <v/>
      </c>
      <c r="Z37">
        <f>IF(入力!$D$39="","",IF(反映項目!$B$11="×","",IFERROR(INDEX(資格集約!$E$887:$E$912,MATCH(6,資格集約!$G$887:$G$912,0)),"")))</f>
        <v/>
      </c>
      <c r="AA37">
        <f>IF(入力!$D$39="","",IF(反映項目!$B$11="×","",IFERROR(INDEX(資格集約!$H$887:$H$912,MATCH(7,資格集約!$G$887:$G$912,0)),"")))</f>
        <v/>
      </c>
      <c r="AB37">
        <f>IF(入力!$D$39="","",IF(反映項目!$B$11="×","",IFERROR(INDEX(資格集約!$E$887:$E$912,MATCH(7,資格集約!$G$887:$G$912,0)),"")))</f>
        <v/>
      </c>
      <c r="AC37">
        <f>IF(入力!$D$39="","",IF(反映項目!$B$11="×","",IFERROR(INDEX(資格集約!$H$887:$H$912,MATCH(8,資格集約!$G$887:$G$912,0)),"")))</f>
        <v/>
      </c>
      <c r="AD37">
        <f>IF(入力!$D$39="","",IF(反映項目!$B$11="×","",IFERROR(INDEX(資格集約!$E$887:$E$912,MATCH(8,資格集約!$G$887:$G$912,0)),"")))</f>
        <v/>
      </c>
      <c r="AE37">
        <f>IF(入力!$D$39="","",IF(反映項目!$B$11="×","",IFERROR(INDEX(資格集約!$H$887:$H$912,MATCH(9,資格集約!$G$887:$G$912,0)),"")))</f>
        <v/>
      </c>
      <c r="AF37">
        <f>IF(入力!$D$39="","",IF(反映項目!$B$11="×","",IFERROR(INDEX(資格集約!$E$887:$E$912,MATCH(9,資格集約!$G$887:$G$912,0)),"")))</f>
        <v/>
      </c>
      <c r="AG37">
        <f>IF(入力!$D$39="","",IF(反映項目!$B$11="×","",IFERROR(INDEX(資格集約!$H$887:$H$912,MATCH(10,資格集約!$G$887:$G$912,0)),"")))</f>
        <v/>
      </c>
      <c r="AH37">
        <f>IF(入力!$D$39="","",IF(反映項目!$B$11="×","",IFERROR(INDEX(資格集約!$E$887:$E$912,MATCH(10,資格集約!$G$887:$G$912,0)),"")))</f>
        <v/>
      </c>
      <c r="AI37">
        <f>IF(入力!$D$39="","",IF(反映項目!$B$11="×","",IFERROR(INDEX(資格集約!$H$887:$H$912,MATCH(11,資格集約!$G$887:$G$912,0)),"")))</f>
        <v/>
      </c>
      <c r="AJ37">
        <f>IF(入力!$D$39="","",IF(反映項目!$B$11="×","",IFERROR(INDEX(資格集約!$E$887:$E$912,MATCH(11,資格集約!$G$887:$G$912,0)),"")))</f>
        <v/>
      </c>
      <c r="AK37">
        <f>IF(入力!$D$39="","",IF(反映項目!$B$11="×","",IFERROR(INDEX(資格集約!$H$887:$H$912,MATCH(12,資格集約!$G$887:$G$912,0)),"")))</f>
        <v/>
      </c>
      <c r="AL37">
        <f>IF(入力!$D$39="","",IF(反映項目!$B$11="×","",IFERROR(INDEX(資格集約!$E$887:$E$912,MATCH(12,資格集約!$G$887:$G$912,0)),"")))</f>
        <v/>
      </c>
      <c r="AM37">
        <f>IF(入力!$D$39="","",IF(反映項目!$B$11="×","",IFERROR(INDEX(資格集約!$H$887:$H$912,MATCH(13,資格集約!$G$887:$G$912,0)),"")))</f>
        <v/>
      </c>
      <c r="AN37">
        <f>IF(入力!$D$39="","",IF(反映項目!$B$11="×","",IFERROR(INDEX(資格集約!$E$887:$E$912,MATCH(13,資格集約!$G$887:$G$912,0)),"")))</f>
        <v/>
      </c>
      <c r="AO37">
        <f>IF(入力!$D$39="","",IF(反映項目!$B$11="×","",IFERROR(INDEX(資格集約!$H$887:$H$912,MATCH(14,資格集約!$G$887:$G$912,0)),"")))</f>
        <v/>
      </c>
      <c r="AP37">
        <f>IF(入力!$D$39="","",IF(反映項目!$B$11="×","",IFERROR(INDEX(資格集約!$E$887:$E$912,MATCH(14,資格集約!$G$887:$G$912,0)),"")))</f>
        <v/>
      </c>
      <c r="AQ37">
        <f>IF(入力!$D$39="","",IF(反映項目!$B$11="×","",IFERROR(INDEX(資格集約!$H$887:$H$912,MATCH(15,資格集約!$G$887:$G$912,0)),"")))</f>
        <v/>
      </c>
      <c r="AR37">
        <f>IF(入力!$D$39="","",IF(反映項目!$B$11="×","",IFERROR(INDEX(資格集約!$E$887:$E$912,MATCH(15,資格集約!$G$887:$G$912,0)),"")))</f>
        <v/>
      </c>
      <c r="AS37">
        <f>IF(入力!$D$39="","",IF(反映項目!$B$11="×","",IFERROR(INDEX(資格集約!$H$887:$H$912,MATCH(16,資格集約!$G$887:$G$912,0)),"")))</f>
        <v/>
      </c>
      <c r="AT37">
        <f>IF(入力!$D$39="","",IF(反映項目!$B$11="×","",IFERROR(INDEX(資格集約!$E$887:$E$912,MATCH(16,資格集約!$G$887:$G$912,0)),"")))</f>
        <v/>
      </c>
      <c r="AU37">
        <f>IF(入力!$D$39="","",IF(反映項目!$B$11="×","",IFERROR(INDEX(資格集約!$H$887:$H$912,MATCH(17,資格集約!$G$887:$G$912,0)),"")))</f>
        <v/>
      </c>
      <c r="AV37">
        <f>IF(入力!$D$39="","",IF(反映項目!$B$11="×","",IFERROR(INDEX(資格集約!$E$887:$E$912,MATCH(17,資格集約!$G$887:$G$912,0)),"")))</f>
        <v/>
      </c>
      <c r="AW37">
        <f>IF(入力!$D$39="","",IF(反映項目!$B$11="×","",IFERROR(INDEX(資格集約!$H$887:$H$912,MATCH(18,資格集約!$G$887:$G$912,0)),"")))</f>
        <v/>
      </c>
      <c r="AX37">
        <f>IF(入力!$D$39="","",IF(反映項目!$B$11="×","",IFERROR(INDEX(資格集約!$E$887:$E$912,MATCH(18,資格集約!$G$887:$G$912,0)),"")))</f>
        <v/>
      </c>
      <c r="AY37">
        <f>IF(入力!$D$39="","",IF(反映項目!$B$11="×","",IFERROR(INDEX(資格集約!$H$887:$H$912,MATCH(19,資格集約!$G$887:$G$912,0)),"")))</f>
        <v/>
      </c>
      <c r="AZ37">
        <f>IF(入力!$D$39="","",IF(反映項目!$B$11="×","",IFERROR(INDEX(資格集約!$E$887:$E$912,MATCH(19,資格集約!$G$887:$G$912,0)),"")))</f>
        <v/>
      </c>
      <c r="BA37">
        <f>IF(入力!$D$39="","",IF(反映項目!$B$11="×","",IFERROR(INDEX(資格集約!$H$887:$H$912,MATCH(20,資格集約!$G$887:$G$912,0)),"")))</f>
        <v/>
      </c>
      <c r="BB37">
        <f>IF(入力!$D$39="","",IF(反映項目!$B$11="×","",IFERROR(INDEX(資格集約!$E$887:$E$912,MATCH(20,資格集約!$G$887:$G$912,0)),"")))</f>
        <v/>
      </c>
      <c r="BC37">
        <f>IF(入力!$D$39="","",IF(反映項目!$B$11="×","",IFERROR(INDEX(資格集約!$H$887:$H$912,MATCH(21,資格集約!$G$887:$G$912,0)),"")))</f>
        <v/>
      </c>
      <c r="BD37">
        <f>IF(入力!$D$39="","",IF(反映項目!$B$11="×","",IFERROR(INDEX(資格集約!$E$887:$E$912,MATCH(21,資格集約!$G$887:$G$912,0)),"")))</f>
        <v/>
      </c>
      <c r="BE37">
        <f>IF(入力!$D$39="","",IF(反映項目!$B$11="×","",IFERROR(INDEX(資格集約!$H$887:$H$912,MATCH(22,資格集約!$G$887:$G$912,0)),"")))</f>
        <v/>
      </c>
      <c r="BF37">
        <f>IF(入力!$D$39="","",IF(反映項目!$B$11="×","",IFERROR(INDEX(資格集約!$E$887:$E$912,MATCH(22,資格集約!$G$887:$G$912,0)),"")))</f>
        <v/>
      </c>
      <c r="BG37">
        <f>IF(入力!$D$39="","",IF(反映項目!$B$11="×","",IFERROR(INDEX(資格集約!$H$887:$H$912,MATCH(23,資格集約!$G$887:$G$912,0)),"")))</f>
        <v/>
      </c>
      <c r="BH37">
        <f>IF(入力!$D$39="","",IF(反映項目!$B$11="×","",IFERROR(INDEX(資格集約!$E$887:$E$912,MATCH(23,資格集約!$G$887:$G$912,0)),"")))</f>
        <v/>
      </c>
      <c r="BI37">
        <f>IF(入力!$D$39="","",IF(反映項目!$B$11="×","",IFERROR(INDEX(資格集約!$H$887:$H$912,MATCH(24,資格集約!$G$887:$G$912,0)),"")))</f>
        <v/>
      </c>
      <c r="BJ37">
        <f>IF(入力!$D$39="","",IF(反映項目!$B$11="×","",IFERROR(INDEX(資格集約!$E$887:$E$912,MATCH(24,資格集約!$G$887:$G$912,0)),"")))</f>
        <v/>
      </c>
      <c r="BK37">
        <f>IF(入力!$D$39="","",IF(反映項目!$B$11="×","",IFERROR(INDEX(資格集約!$H$887:$H$912,MATCH(25,資格集約!$G$887:$G$912,0)),"")))</f>
        <v/>
      </c>
      <c r="BL37">
        <f>IF(入力!$D$39="","",IF(反映項目!$B$11="×","",IFERROR(INDEX(資格集約!$E$887:$E$912,MATCH(25,資格集約!$G$887:$G$912,0)),"")))</f>
        <v/>
      </c>
      <c r="BM37">
        <f>IF(入力!$D$39="","",IF(反映項目!$B$11="×","",IFERROR(INDEX(資格集約!$H$887:$H$912,MATCH(26,資格集約!$G$887:$G$912,0)),"")))</f>
        <v/>
      </c>
      <c r="BN37">
        <f>IF(入力!$D$39="","",IF(反映項目!$B$11="×","",IFERROR(INDEX(資格集約!$E$887:$E$912,MATCH(26,資格集約!$G$887:$G$912,0)),"")))</f>
        <v/>
      </c>
      <c r="BO37">
        <f>IF(入力!$D$39="","",IF(OR(反映項目!$B$12="×",入力!$Z$39=""),"",入力!$Z$39))</f>
        <v/>
      </c>
      <c r="BP37">
        <f>IF(入力!$D$39="","",IF(OR(反映項目!$B$13="×",入力!$AA$39=""),"",入力!$AA$39))</f>
        <v/>
      </c>
      <c r="BQ37">
        <f>IF(入力!$D$39="","",IF(OR(反映項目!$B$15="×",入力!$AF$39=""),"",入力!$AF$39))</f>
        <v/>
      </c>
      <c r="BR37">
        <f>IF(入力!$D$39="","",IF(OR(反映項目!$B$14="×",N($BZ$37)=0),"",YEAR($BZ$37)-IF($BZ$37&gt;=DATE(2019,5,1),2018,1988)))&amp;""</f>
        <v/>
      </c>
      <c r="BS37">
        <f>IF(入力!$D$39="","",IF(OR(反映項目!$B$14="×",N($BZ$37)=0),"",MONTH($BZ$37)))&amp;""</f>
        <v/>
      </c>
      <c r="BT37">
        <f>IF(入力!$D$39="","",IF(OR(反映項目!$B$14="×",入力!$AC$39=""),"",入力!$AC$39))</f>
        <v/>
      </c>
      <c r="BU37">
        <f>IF(入力!$D$39="","",IF(OR(反映項目!$B$14="×",N($CA$37)=0),"",YEAR($CA$37)-IF($CA$37&gt;=DATE(2019,5,1),2018,1988)))&amp;""</f>
        <v/>
      </c>
      <c r="BV37">
        <f>IF(入力!$D$39="","",IF(OR(反映項目!$B$14="×",N($CA$37)=0),"",MONTH($CA$37)))&amp;""</f>
        <v/>
      </c>
      <c r="BW37">
        <f>IF(入力!$D$39="","",IF(OR(反映項目!$B$14="×",入力!$AE$39=""),"",入力!$AE$39))</f>
        <v/>
      </c>
      <c r="BY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Z37">
        <f>IF(入力!$D$39="","",IF(入力!$AB$39="","",IF(ISNUMBER(入力!$AB$39),入力!$AB$39,IFERROR(IF(OR(LEFT(入力!$AB$39,2)="令和",LEFT(入力!$AB$39,2)="平成",LEFT(入力!$AB$39,2)="昭和",LEFT(入力!$AB$39,2)="大正"),DATE(VALUE(MID(入力!$AB$39,3,FIND("年",入力!$AB$39)-3))+IF(LEFT(入力!$AB$39,2)="令和",2018,IF(LEFT(入力!$AB$39,2)="平成",1988,IF(LEFT(入力!$AB$39,2)="昭和",1925,IF(LEFT(入力!$AB$39,2)="大正",1911,0)))),VALUE(MID(入力!$AB$39,FIND("年",入力!$AB$39)+1,FIND("月",入力!$AB$39)-FIND("年",入力!$AB$39)-1)),IFERROR(VALUE(SUBSTITUTE(MID(入力!$AB$39,FIND("月",入力!$AB$39)+1,10),"日","")),1)),DATE(VALUE(TRIM(MID(SUBSTITUTE(SUBSTITUTE(SUBSTITUTE(SUBSTITUTE(SUBSTITUTE(SUBSTITUTE(入力!$AB$39,"年","/"),"月","/"),"日",""),"-","/"),".","/"),"/",REPT(" ",50)),1,50))),VALUE(TRIM(MID(SUBSTITUTE(SUBSTITUTE(SUBSTITUTE(SUBSTITUTE(SUBSTITUTE(SUBSTITUTE(入力!$AB$39,"年","/"),"月","/"),"日",""),"-","/"),".","/"),"/",REPT(" ",50)),51,50))),IFERROR(VALUE(TRIM(MID(SUBSTITUTE(SUBSTITUTE(SUBSTITUTE(SUBSTITUTE(SUBSTITUTE(SUBSTITUTE(入力!$AB$39,"年","/"),"月","/"),"日",""),"-","/"),".","/"),"/",REPT(" ",50)),101,50))),1))),IFERROR(DATEVALUE(入力!$AB$39),"")))))</f>
        <v/>
      </c>
      <c r="CA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CB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amp;IF($AR37="","",CHAR(10)&amp;$AQ37)&amp;IF($AT37="","",CHAR(10)&amp;$AS37)&amp;IF($AV37="","",CHAR(10)&amp;$AU37)&amp;IF($AX37="","",CHAR(10)&amp;$AW37)&amp;IF($AZ37="","",CHAR(10)&amp;$AY37)&amp;IF($BB37="","",CHAR(10)&amp;$BA37)&amp;IF($BD37="","",CHAR(10)&amp;$BC37)&amp;IF($BF37="","",CHAR(10)&amp;$BE37)&amp;IF($BH37="","",CHAR(10)&amp;$BG37)&amp;IF($BJ37="","",CHAR(10)&amp;$BI37)&amp;IF($BL37="","",CHAR(10)&amp;$BK37)&amp;IF($BN37="","",CHAR(10)&amp;$BM37))</f>
        <v/>
      </c>
      <c r="CC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amp;IF($AR37="","",CHAR(10)&amp;$AR37)&amp;IF($AT37="","",CHAR(10)&amp;$AT37)&amp;IF($AV37="","",CHAR(10)&amp;$AV37)&amp;IF($AX37="","",CHAR(10)&amp;$AX37)&amp;IF($AZ37="","",CHAR(10)&amp;$AZ37)&amp;IF($BB37="","",CHAR(10)&amp;$BB37)&amp;IF($BD37="","",CHAR(10)&amp;$BD37)&amp;IF($BF37="","",CHAR(10)&amp;$BF37)&amp;IF($BH37="","",CHAR(10)&amp;$BH37)&amp;IF($BJ37="","",CHAR(10)&amp;$BJ37)&amp;IF($BL37="","",CHAR(10)&amp;$BL37)&amp;IF($BN37="","",CHAR(10)&amp;$BN37))</f>
        <v/>
      </c>
      <c r="CD37">
        <f>IF(入力!$D$39="","",IF($P37="",0,1)+IF($R37="",0,1)+IF($T37="",0,1)+IF($V37="",0,1)+IF($X37="",0,1)+IF($Z37="",0,1)+IF($AB37="",0,1)+IF($AD37="",0,1)+IF($AF37="",0,1)+IF($AH37="",0,1)+IF($AJ37="",0,1)+IF($AL37="",0,1)+IF($AN37="",0,1)+IF($AP37="",0,1)+IF($AR37="",0,1)+IF($AT37="",0,1)+IF($AV37="",0,1)+IF($AX37="",0,1)+IF($AZ37="",0,1)+IF($BB37="",0,1)+IF($BD37="",0,1)+IF($BF37="",0,1)+IF($BH37="",0,1)+IF($BJ37="",0,1)+IF($BL37="",0,1)+IF($BN37="",0,1))</f>
        <v/>
      </c>
    </row>
    <row r="38">
      <c r="A38" t="n">
        <v>36</v>
      </c>
      <c r="B38">
        <f>IF(入力!$D$40="","",IF(OR(反映項目!$B$4="×",入力!$D$40=""),"",入力!$D$40))</f>
        <v/>
      </c>
      <c r="C38">
        <f>IF(入力!$D$40="","",IF(OR(反映項目!$B$5="×",入力!$E$40=""),"",入力!$E$40))</f>
        <v/>
      </c>
      <c r="D38">
        <f>IF(入力!$D$40="","",IF(OR(反映項目!$B$6="×",N($BY$38)=0),"",YEAR($BY$38)-IF($BY$38&gt;=DATE(2019,5,1),2018,IF($BY$38&gt;=DATE(1989,1,8),1988,1925))))&amp;""</f>
        <v/>
      </c>
      <c r="E38">
        <f>IF(入力!$D$40="","",IF(OR(反映項目!$B$6="×",N($BY$38)=0),"",MONTH($BY$38)))&amp;""</f>
        <v/>
      </c>
      <c r="F38">
        <f>IF(入力!$D$40="","",IF(OR(反映項目!$B$6="×",N($BY$38)=0),"",DAY($BY$38)))&amp;""</f>
        <v/>
      </c>
      <c r="G38">
        <f>IF(入力!$D$40="","",IF(OR(反映項目!$B$6="×",OR(N($BY$38)=0,N(設定!$B$3)=0)),"",DATEDIF($BY$38,設定!$B$3,"Y")))&amp;""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IF(入力!$D$40="","",IF(OR(反映項目!$B$10="×",入力!$K$40=""),"",入力!$K$40))</f>
        <v/>
      </c>
      <c r="M38">
        <f>IF(入力!$D$40="","",IF(OR(反映項目!$B$10="×",入力!$L$40=""),"",入力!$L$40))</f>
        <v/>
      </c>
      <c r="N38">
        <f>IF(入力!$D$40="","",設定!$B$4&amp;CHAR(10)&amp;IF(入力!$M$40="",設定!$B$5,入力!$M$40))</f>
        <v/>
      </c>
      <c r="O38">
        <f>IF(入力!$D$40="","",IF(反映項目!$B$11="×","",IFERROR(INDEX(資格集約!$H$913:$H$938,MATCH(1,資格集約!$G$913:$G$938,0)),"")))</f>
        <v/>
      </c>
      <c r="P38">
        <f>IF(入力!$D$40="","",IF(反映項目!$B$11="×","",IFERROR(INDEX(資格集約!$E$913:$E$938,MATCH(1,資格集約!$G$913:$G$938,0)),"")))</f>
        <v/>
      </c>
      <c r="Q38">
        <f>IF(入力!$D$40="","",IF(反映項目!$B$11="×","",IFERROR(INDEX(資格集約!$H$913:$H$938,MATCH(2,資格集約!$G$913:$G$938,0)),"")))</f>
        <v/>
      </c>
      <c r="R38">
        <f>IF(入力!$D$40="","",IF(反映項目!$B$11="×","",IFERROR(INDEX(資格集約!$E$913:$E$938,MATCH(2,資格集約!$G$913:$G$938,0)),"")))</f>
        <v/>
      </c>
      <c r="S38">
        <f>IF(入力!$D$40="","",IF(反映項目!$B$11="×","",IFERROR(INDEX(資格集約!$H$913:$H$938,MATCH(3,資格集約!$G$913:$G$938,0)),"")))</f>
        <v/>
      </c>
      <c r="T38">
        <f>IF(入力!$D$40="","",IF(反映項目!$B$11="×","",IFERROR(INDEX(資格集約!$E$913:$E$938,MATCH(3,資格集約!$G$913:$G$938,0)),"")))</f>
        <v/>
      </c>
      <c r="U38">
        <f>IF(入力!$D$40="","",IF(反映項目!$B$11="×","",IFERROR(INDEX(資格集約!$H$913:$H$938,MATCH(4,資格集約!$G$913:$G$938,0)),"")))</f>
        <v/>
      </c>
      <c r="V38">
        <f>IF(入力!$D$40="","",IF(反映項目!$B$11="×","",IFERROR(INDEX(資格集約!$E$913:$E$938,MATCH(4,資格集約!$G$913:$G$938,0)),"")))</f>
        <v/>
      </c>
      <c r="W38">
        <f>IF(入力!$D$40="","",IF(反映項目!$B$11="×","",IFERROR(INDEX(資格集約!$H$913:$H$938,MATCH(5,資格集約!$G$913:$G$938,0)),"")))</f>
        <v/>
      </c>
      <c r="X38">
        <f>IF(入力!$D$40="","",IF(反映項目!$B$11="×","",IFERROR(INDEX(資格集約!$E$913:$E$938,MATCH(5,資格集約!$G$913:$G$938,0)),"")))</f>
        <v/>
      </c>
      <c r="Y38">
        <f>IF(入力!$D$40="","",IF(反映項目!$B$11="×","",IFERROR(INDEX(資格集約!$H$913:$H$938,MATCH(6,資格集約!$G$913:$G$938,0)),"")))</f>
        <v/>
      </c>
      <c r="Z38">
        <f>IF(入力!$D$40="","",IF(反映項目!$B$11="×","",IFERROR(INDEX(資格集約!$E$913:$E$938,MATCH(6,資格集約!$G$913:$G$938,0)),"")))</f>
        <v/>
      </c>
      <c r="AA38">
        <f>IF(入力!$D$40="","",IF(反映項目!$B$11="×","",IFERROR(INDEX(資格集約!$H$913:$H$938,MATCH(7,資格集約!$G$913:$G$938,0)),"")))</f>
        <v/>
      </c>
      <c r="AB38">
        <f>IF(入力!$D$40="","",IF(反映項目!$B$11="×","",IFERROR(INDEX(資格集約!$E$913:$E$938,MATCH(7,資格集約!$G$913:$G$938,0)),"")))</f>
        <v/>
      </c>
      <c r="AC38">
        <f>IF(入力!$D$40="","",IF(反映項目!$B$11="×","",IFERROR(INDEX(資格集約!$H$913:$H$938,MATCH(8,資格集約!$G$913:$G$938,0)),"")))</f>
        <v/>
      </c>
      <c r="AD38">
        <f>IF(入力!$D$40="","",IF(反映項目!$B$11="×","",IFERROR(INDEX(資格集約!$E$913:$E$938,MATCH(8,資格集約!$G$913:$G$938,0)),"")))</f>
        <v/>
      </c>
      <c r="AE38">
        <f>IF(入力!$D$40="","",IF(反映項目!$B$11="×","",IFERROR(INDEX(資格集約!$H$913:$H$938,MATCH(9,資格集約!$G$913:$G$938,0)),"")))</f>
        <v/>
      </c>
      <c r="AF38">
        <f>IF(入力!$D$40="","",IF(反映項目!$B$11="×","",IFERROR(INDEX(資格集約!$E$913:$E$938,MATCH(9,資格集約!$G$913:$G$938,0)),"")))</f>
        <v/>
      </c>
      <c r="AG38">
        <f>IF(入力!$D$40="","",IF(反映項目!$B$11="×","",IFERROR(INDEX(資格集約!$H$913:$H$938,MATCH(10,資格集約!$G$913:$G$938,0)),"")))</f>
        <v/>
      </c>
      <c r="AH38">
        <f>IF(入力!$D$40="","",IF(反映項目!$B$11="×","",IFERROR(INDEX(資格集約!$E$913:$E$938,MATCH(10,資格集約!$G$913:$G$938,0)),"")))</f>
        <v/>
      </c>
      <c r="AI38">
        <f>IF(入力!$D$40="","",IF(反映項目!$B$11="×","",IFERROR(INDEX(資格集約!$H$913:$H$938,MATCH(11,資格集約!$G$913:$G$938,0)),"")))</f>
        <v/>
      </c>
      <c r="AJ38">
        <f>IF(入力!$D$40="","",IF(反映項目!$B$11="×","",IFERROR(INDEX(資格集約!$E$913:$E$938,MATCH(11,資格集約!$G$913:$G$938,0)),"")))</f>
        <v/>
      </c>
      <c r="AK38">
        <f>IF(入力!$D$40="","",IF(反映項目!$B$11="×","",IFERROR(INDEX(資格集約!$H$913:$H$938,MATCH(12,資格集約!$G$913:$G$938,0)),"")))</f>
        <v/>
      </c>
      <c r="AL38">
        <f>IF(入力!$D$40="","",IF(反映項目!$B$11="×","",IFERROR(INDEX(資格集約!$E$913:$E$938,MATCH(12,資格集約!$G$913:$G$938,0)),"")))</f>
        <v/>
      </c>
      <c r="AM38">
        <f>IF(入力!$D$40="","",IF(反映項目!$B$11="×","",IFERROR(INDEX(資格集約!$H$913:$H$938,MATCH(13,資格集約!$G$913:$G$938,0)),"")))</f>
        <v/>
      </c>
      <c r="AN38">
        <f>IF(入力!$D$40="","",IF(反映項目!$B$11="×","",IFERROR(INDEX(資格集約!$E$913:$E$938,MATCH(13,資格集約!$G$913:$G$938,0)),"")))</f>
        <v/>
      </c>
      <c r="AO38">
        <f>IF(入力!$D$40="","",IF(反映項目!$B$11="×","",IFERROR(INDEX(資格集約!$H$913:$H$938,MATCH(14,資格集約!$G$913:$G$938,0)),"")))</f>
        <v/>
      </c>
      <c r="AP38">
        <f>IF(入力!$D$40="","",IF(反映項目!$B$11="×","",IFERROR(INDEX(資格集約!$E$913:$E$938,MATCH(14,資格集約!$G$913:$G$938,0)),"")))</f>
        <v/>
      </c>
      <c r="AQ38">
        <f>IF(入力!$D$40="","",IF(反映項目!$B$11="×","",IFERROR(INDEX(資格集約!$H$913:$H$938,MATCH(15,資格集約!$G$913:$G$938,0)),"")))</f>
        <v/>
      </c>
      <c r="AR38">
        <f>IF(入力!$D$40="","",IF(反映項目!$B$11="×","",IFERROR(INDEX(資格集約!$E$913:$E$938,MATCH(15,資格集約!$G$913:$G$938,0)),"")))</f>
        <v/>
      </c>
      <c r="AS38">
        <f>IF(入力!$D$40="","",IF(反映項目!$B$11="×","",IFERROR(INDEX(資格集約!$H$913:$H$938,MATCH(16,資格集約!$G$913:$G$938,0)),"")))</f>
        <v/>
      </c>
      <c r="AT38">
        <f>IF(入力!$D$40="","",IF(反映項目!$B$11="×","",IFERROR(INDEX(資格集約!$E$913:$E$938,MATCH(16,資格集約!$G$913:$G$938,0)),"")))</f>
        <v/>
      </c>
      <c r="AU38">
        <f>IF(入力!$D$40="","",IF(反映項目!$B$11="×","",IFERROR(INDEX(資格集約!$H$913:$H$938,MATCH(17,資格集約!$G$913:$G$938,0)),"")))</f>
        <v/>
      </c>
      <c r="AV38">
        <f>IF(入力!$D$40="","",IF(反映項目!$B$11="×","",IFERROR(INDEX(資格集約!$E$913:$E$938,MATCH(17,資格集約!$G$913:$G$938,0)),"")))</f>
        <v/>
      </c>
      <c r="AW38">
        <f>IF(入力!$D$40="","",IF(反映項目!$B$11="×","",IFERROR(INDEX(資格集約!$H$913:$H$938,MATCH(18,資格集約!$G$913:$G$938,0)),"")))</f>
        <v/>
      </c>
      <c r="AX38">
        <f>IF(入力!$D$40="","",IF(反映項目!$B$11="×","",IFERROR(INDEX(資格集約!$E$913:$E$938,MATCH(18,資格集約!$G$913:$G$938,0)),"")))</f>
        <v/>
      </c>
      <c r="AY38">
        <f>IF(入力!$D$40="","",IF(反映項目!$B$11="×","",IFERROR(INDEX(資格集約!$H$913:$H$938,MATCH(19,資格集約!$G$913:$G$938,0)),"")))</f>
        <v/>
      </c>
      <c r="AZ38">
        <f>IF(入力!$D$40="","",IF(反映項目!$B$11="×","",IFERROR(INDEX(資格集約!$E$913:$E$938,MATCH(19,資格集約!$G$913:$G$938,0)),"")))</f>
        <v/>
      </c>
      <c r="BA38">
        <f>IF(入力!$D$40="","",IF(反映項目!$B$11="×","",IFERROR(INDEX(資格集約!$H$913:$H$938,MATCH(20,資格集約!$G$913:$G$938,0)),"")))</f>
        <v/>
      </c>
      <c r="BB38">
        <f>IF(入力!$D$40="","",IF(反映項目!$B$11="×","",IFERROR(INDEX(資格集約!$E$913:$E$938,MATCH(20,資格集約!$G$913:$G$938,0)),"")))</f>
        <v/>
      </c>
      <c r="BC38">
        <f>IF(入力!$D$40="","",IF(反映項目!$B$11="×","",IFERROR(INDEX(資格集約!$H$913:$H$938,MATCH(21,資格集約!$G$913:$G$938,0)),"")))</f>
        <v/>
      </c>
      <c r="BD38">
        <f>IF(入力!$D$40="","",IF(反映項目!$B$11="×","",IFERROR(INDEX(資格集約!$E$913:$E$938,MATCH(21,資格集約!$G$913:$G$938,0)),"")))</f>
        <v/>
      </c>
      <c r="BE38">
        <f>IF(入力!$D$40="","",IF(反映項目!$B$11="×","",IFERROR(INDEX(資格集約!$H$913:$H$938,MATCH(22,資格集約!$G$913:$G$938,0)),"")))</f>
        <v/>
      </c>
      <c r="BF38">
        <f>IF(入力!$D$40="","",IF(反映項目!$B$11="×","",IFERROR(INDEX(資格集約!$E$913:$E$938,MATCH(22,資格集約!$G$913:$G$938,0)),"")))</f>
        <v/>
      </c>
      <c r="BG38">
        <f>IF(入力!$D$40="","",IF(反映項目!$B$11="×","",IFERROR(INDEX(資格集約!$H$913:$H$938,MATCH(23,資格集約!$G$913:$G$938,0)),"")))</f>
        <v/>
      </c>
      <c r="BH38">
        <f>IF(入力!$D$40="","",IF(反映項目!$B$11="×","",IFERROR(INDEX(資格集約!$E$913:$E$938,MATCH(23,資格集約!$G$913:$G$938,0)),"")))</f>
        <v/>
      </c>
      <c r="BI38">
        <f>IF(入力!$D$40="","",IF(反映項目!$B$11="×","",IFERROR(INDEX(資格集約!$H$913:$H$938,MATCH(24,資格集約!$G$913:$G$938,0)),"")))</f>
        <v/>
      </c>
      <c r="BJ38">
        <f>IF(入力!$D$40="","",IF(反映項目!$B$11="×","",IFERROR(INDEX(資格集約!$E$913:$E$938,MATCH(24,資格集約!$G$913:$G$938,0)),"")))</f>
        <v/>
      </c>
      <c r="BK38">
        <f>IF(入力!$D$40="","",IF(反映項目!$B$11="×","",IFERROR(INDEX(資格集約!$H$913:$H$938,MATCH(25,資格集約!$G$913:$G$938,0)),"")))</f>
        <v/>
      </c>
      <c r="BL38">
        <f>IF(入力!$D$40="","",IF(反映項目!$B$11="×","",IFERROR(INDEX(資格集約!$E$913:$E$938,MATCH(25,資格集約!$G$913:$G$938,0)),"")))</f>
        <v/>
      </c>
      <c r="BM38">
        <f>IF(入力!$D$40="","",IF(反映項目!$B$11="×","",IFERROR(INDEX(資格集約!$H$913:$H$938,MATCH(26,資格集約!$G$913:$G$938,0)),"")))</f>
        <v/>
      </c>
      <c r="BN38">
        <f>IF(入力!$D$40="","",IF(反映項目!$B$11="×","",IFERROR(INDEX(資格集約!$E$913:$E$938,MATCH(26,資格集約!$G$913:$G$938,0)),"")))</f>
        <v/>
      </c>
      <c r="BO38">
        <f>IF(入力!$D$40="","",IF(OR(反映項目!$B$12="×",入力!$Z$40=""),"",入力!$Z$40))</f>
        <v/>
      </c>
      <c r="BP38">
        <f>IF(入力!$D$40="","",IF(OR(反映項目!$B$13="×",入力!$AA$40=""),"",入力!$AA$40))</f>
        <v/>
      </c>
      <c r="BQ38">
        <f>IF(入力!$D$40="","",IF(OR(反映項目!$B$15="×",入力!$AF$40=""),"",入力!$AF$40))</f>
        <v/>
      </c>
      <c r="BR38">
        <f>IF(入力!$D$40="","",IF(OR(反映項目!$B$14="×",N($BZ$38)=0),"",YEAR($BZ$38)-IF($BZ$38&gt;=DATE(2019,5,1),2018,1988)))&amp;""</f>
        <v/>
      </c>
      <c r="BS38">
        <f>IF(入力!$D$40="","",IF(OR(反映項目!$B$14="×",N($BZ$38)=0),"",MONTH($BZ$38)))&amp;""</f>
        <v/>
      </c>
      <c r="BT38">
        <f>IF(入力!$D$40="","",IF(OR(反映項目!$B$14="×",入力!$AC$40=""),"",入力!$AC$40))</f>
        <v/>
      </c>
      <c r="BU38">
        <f>IF(入力!$D$40="","",IF(OR(反映項目!$B$14="×",N($CA$38)=0),"",YEAR($CA$38)-IF($CA$38&gt;=DATE(2019,5,1),2018,1988)))&amp;""</f>
        <v/>
      </c>
      <c r="BV38">
        <f>IF(入力!$D$40="","",IF(OR(反映項目!$B$14="×",N($CA$38)=0),"",MONTH($CA$38)))&amp;""</f>
        <v/>
      </c>
      <c r="BW38">
        <f>IF(入力!$D$40="","",IF(OR(反映項目!$B$14="×",入力!$AE$40=""),"",入力!$AE$40))</f>
        <v/>
      </c>
      <c r="BY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Z38">
        <f>IF(入力!$D$40="","",IF(入力!$AB$40="","",IF(ISNUMBER(入力!$AB$40),入力!$AB$40,IFERROR(IF(OR(LEFT(入力!$AB$40,2)="令和",LEFT(入力!$AB$40,2)="平成",LEFT(入力!$AB$40,2)="昭和",LEFT(入力!$AB$40,2)="大正"),DATE(VALUE(MID(入力!$AB$40,3,FIND("年",入力!$AB$40)-3))+IF(LEFT(入力!$AB$40,2)="令和",2018,IF(LEFT(入力!$AB$40,2)="平成",1988,IF(LEFT(入力!$AB$40,2)="昭和",1925,IF(LEFT(入力!$AB$40,2)="大正",1911,0)))),VALUE(MID(入力!$AB$40,FIND("年",入力!$AB$40)+1,FIND("月",入力!$AB$40)-FIND("年",入力!$AB$40)-1)),IFERROR(VALUE(SUBSTITUTE(MID(入力!$AB$40,FIND("月",入力!$AB$40)+1,10),"日","")),1)),DATE(VALUE(TRIM(MID(SUBSTITUTE(SUBSTITUTE(SUBSTITUTE(SUBSTITUTE(SUBSTITUTE(SUBSTITUTE(入力!$AB$40,"年","/"),"月","/"),"日",""),"-","/"),".","/"),"/",REPT(" ",50)),1,50))),VALUE(TRIM(MID(SUBSTITUTE(SUBSTITUTE(SUBSTITUTE(SUBSTITUTE(SUBSTITUTE(SUBSTITUTE(入力!$AB$40,"年","/"),"月","/"),"日",""),"-","/"),".","/"),"/",REPT(" ",50)),51,50))),IFERROR(VALUE(TRIM(MID(SUBSTITUTE(SUBSTITUTE(SUBSTITUTE(SUBSTITUTE(SUBSTITUTE(SUBSTITUTE(入力!$AB$40,"年","/"),"月","/"),"日",""),"-","/"),".","/"),"/",REPT(" ",50)),101,50))),1))),IFERROR(DATEVALUE(入力!$AB$40),"")))))</f>
        <v/>
      </c>
      <c r="CA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CB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amp;IF($AR38="","",CHAR(10)&amp;$AQ38)&amp;IF($AT38="","",CHAR(10)&amp;$AS38)&amp;IF($AV38="","",CHAR(10)&amp;$AU38)&amp;IF($AX38="","",CHAR(10)&amp;$AW38)&amp;IF($AZ38="","",CHAR(10)&amp;$AY38)&amp;IF($BB38="","",CHAR(10)&amp;$BA38)&amp;IF($BD38="","",CHAR(10)&amp;$BC38)&amp;IF($BF38="","",CHAR(10)&amp;$BE38)&amp;IF($BH38="","",CHAR(10)&amp;$BG38)&amp;IF($BJ38="","",CHAR(10)&amp;$BI38)&amp;IF($BL38="","",CHAR(10)&amp;$BK38)&amp;IF($BN38="","",CHAR(10)&amp;$BM38))</f>
        <v/>
      </c>
      <c r="CC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amp;IF($AR38="","",CHAR(10)&amp;$AR38)&amp;IF($AT38="","",CHAR(10)&amp;$AT38)&amp;IF($AV38="","",CHAR(10)&amp;$AV38)&amp;IF($AX38="","",CHAR(10)&amp;$AX38)&amp;IF($AZ38="","",CHAR(10)&amp;$AZ38)&amp;IF($BB38="","",CHAR(10)&amp;$BB38)&amp;IF($BD38="","",CHAR(10)&amp;$BD38)&amp;IF($BF38="","",CHAR(10)&amp;$BF38)&amp;IF($BH38="","",CHAR(10)&amp;$BH38)&amp;IF($BJ38="","",CHAR(10)&amp;$BJ38)&amp;IF($BL38="","",CHAR(10)&amp;$BL38)&amp;IF($BN38="","",CHAR(10)&amp;$BN38))</f>
        <v/>
      </c>
      <c r="CD38">
        <f>IF(入力!$D$40="","",IF($P38="",0,1)+IF($R38="",0,1)+IF($T38="",0,1)+IF($V38="",0,1)+IF($X38="",0,1)+IF($Z38="",0,1)+IF($AB38="",0,1)+IF($AD38="",0,1)+IF($AF38="",0,1)+IF($AH38="",0,1)+IF($AJ38="",0,1)+IF($AL38="",0,1)+IF($AN38="",0,1)+IF($AP38="",0,1)+IF($AR38="",0,1)+IF($AT38="",0,1)+IF($AV38="",0,1)+IF($AX38="",0,1)+IF($AZ38="",0,1)+IF($BB38="",0,1)+IF($BD38="",0,1)+IF($BF38="",0,1)+IF($BH38="",0,1)+IF($BJ38="",0,1)+IF($BL38="",0,1)+IF($BN38="",0,1))</f>
        <v/>
      </c>
    </row>
    <row r="39">
      <c r="A39" t="n">
        <v>37</v>
      </c>
      <c r="B39">
        <f>IF(入力!$D$41="","",IF(OR(反映項目!$B$4="×",入力!$D$41=""),"",入力!$D$41))</f>
        <v/>
      </c>
      <c r="C39">
        <f>IF(入力!$D$41="","",IF(OR(反映項目!$B$5="×",入力!$E$41=""),"",入力!$E$41))</f>
        <v/>
      </c>
      <c r="D39">
        <f>IF(入力!$D$41="","",IF(OR(反映項目!$B$6="×",N($BY$39)=0),"",YEAR($BY$39)-IF($BY$39&gt;=DATE(2019,5,1),2018,IF($BY$39&gt;=DATE(1989,1,8),1988,1925))))&amp;""</f>
        <v/>
      </c>
      <c r="E39">
        <f>IF(入力!$D$41="","",IF(OR(反映項目!$B$6="×",N($BY$39)=0),"",MONTH($BY$39)))&amp;""</f>
        <v/>
      </c>
      <c r="F39">
        <f>IF(入力!$D$41="","",IF(OR(反映項目!$B$6="×",N($BY$39)=0),"",DAY($BY$39)))&amp;""</f>
        <v/>
      </c>
      <c r="G39">
        <f>IF(入力!$D$41="","",IF(OR(反映項目!$B$6="×",OR(N($BY$39)=0,N(設定!$B$3)=0)),"",DATEDIF($BY$39,設定!$B$3,"Y")))&amp;""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IF(入力!$D$41="","",IF(OR(反映項目!$B$10="×",入力!$K$41=""),"",入力!$K$41))</f>
        <v/>
      </c>
      <c r="M39">
        <f>IF(入力!$D$41="","",IF(OR(反映項目!$B$10="×",入力!$L$41=""),"",入力!$L$41))</f>
        <v/>
      </c>
      <c r="N39">
        <f>IF(入力!$D$41="","",設定!$B$4&amp;CHAR(10)&amp;IF(入力!$M$41="",設定!$B$5,入力!$M$41))</f>
        <v/>
      </c>
      <c r="O39">
        <f>IF(入力!$D$41="","",IF(反映項目!$B$11="×","",IFERROR(INDEX(資格集約!$H$939:$H$964,MATCH(1,資格集約!$G$939:$G$964,0)),"")))</f>
        <v/>
      </c>
      <c r="P39">
        <f>IF(入力!$D$41="","",IF(反映項目!$B$11="×","",IFERROR(INDEX(資格集約!$E$939:$E$964,MATCH(1,資格集約!$G$939:$G$964,0)),"")))</f>
        <v/>
      </c>
      <c r="Q39">
        <f>IF(入力!$D$41="","",IF(反映項目!$B$11="×","",IFERROR(INDEX(資格集約!$H$939:$H$964,MATCH(2,資格集約!$G$939:$G$964,0)),"")))</f>
        <v/>
      </c>
      <c r="R39">
        <f>IF(入力!$D$41="","",IF(反映項目!$B$11="×","",IFERROR(INDEX(資格集約!$E$939:$E$964,MATCH(2,資格集約!$G$939:$G$964,0)),"")))</f>
        <v/>
      </c>
      <c r="S39">
        <f>IF(入力!$D$41="","",IF(反映項目!$B$11="×","",IFERROR(INDEX(資格集約!$H$939:$H$964,MATCH(3,資格集約!$G$939:$G$964,0)),"")))</f>
        <v/>
      </c>
      <c r="T39">
        <f>IF(入力!$D$41="","",IF(反映項目!$B$11="×","",IFERROR(INDEX(資格集約!$E$939:$E$964,MATCH(3,資格集約!$G$939:$G$964,0)),"")))</f>
        <v/>
      </c>
      <c r="U39">
        <f>IF(入力!$D$41="","",IF(反映項目!$B$11="×","",IFERROR(INDEX(資格集約!$H$939:$H$964,MATCH(4,資格集約!$G$939:$G$964,0)),"")))</f>
        <v/>
      </c>
      <c r="V39">
        <f>IF(入力!$D$41="","",IF(反映項目!$B$11="×","",IFERROR(INDEX(資格集約!$E$939:$E$964,MATCH(4,資格集約!$G$939:$G$964,0)),"")))</f>
        <v/>
      </c>
      <c r="W39">
        <f>IF(入力!$D$41="","",IF(反映項目!$B$11="×","",IFERROR(INDEX(資格集約!$H$939:$H$964,MATCH(5,資格集約!$G$939:$G$964,0)),"")))</f>
        <v/>
      </c>
      <c r="X39">
        <f>IF(入力!$D$41="","",IF(反映項目!$B$11="×","",IFERROR(INDEX(資格集約!$E$939:$E$964,MATCH(5,資格集約!$G$939:$G$964,0)),"")))</f>
        <v/>
      </c>
      <c r="Y39">
        <f>IF(入力!$D$41="","",IF(反映項目!$B$11="×","",IFERROR(INDEX(資格集約!$H$939:$H$964,MATCH(6,資格集約!$G$939:$G$964,0)),"")))</f>
        <v/>
      </c>
      <c r="Z39">
        <f>IF(入力!$D$41="","",IF(反映項目!$B$11="×","",IFERROR(INDEX(資格集約!$E$939:$E$964,MATCH(6,資格集約!$G$939:$G$964,0)),"")))</f>
        <v/>
      </c>
      <c r="AA39">
        <f>IF(入力!$D$41="","",IF(反映項目!$B$11="×","",IFERROR(INDEX(資格集約!$H$939:$H$964,MATCH(7,資格集約!$G$939:$G$964,0)),"")))</f>
        <v/>
      </c>
      <c r="AB39">
        <f>IF(入力!$D$41="","",IF(反映項目!$B$11="×","",IFERROR(INDEX(資格集約!$E$939:$E$964,MATCH(7,資格集約!$G$939:$G$964,0)),"")))</f>
        <v/>
      </c>
      <c r="AC39">
        <f>IF(入力!$D$41="","",IF(反映項目!$B$11="×","",IFERROR(INDEX(資格集約!$H$939:$H$964,MATCH(8,資格集約!$G$939:$G$964,0)),"")))</f>
        <v/>
      </c>
      <c r="AD39">
        <f>IF(入力!$D$41="","",IF(反映項目!$B$11="×","",IFERROR(INDEX(資格集約!$E$939:$E$964,MATCH(8,資格集約!$G$939:$G$964,0)),"")))</f>
        <v/>
      </c>
      <c r="AE39">
        <f>IF(入力!$D$41="","",IF(反映項目!$B$11="×","",IFERROR(INDEX(資格集約!$H$939:$H$964,MATCH(9,資格集約!$G$939:$G$964,0)),"")))</f>
        <v/>
      </c>
      <c r="AF39">
        <f>IF(入力!$D$41="","",IF(反映項目!$B$11="×","",IFERROR(INDEX(資格集約!$E$939:$E$964,MATCH(9,資格集約!$G$939:$G$964,0)),"")))</f>
        <v/>
      </c>
      <c r="AG39">
        <f>IF(入力!$D$41="","",IF(反映項目!$B$11="×","",IFERROR(INDEX(資格集約!$H$939:$H$964,MATCH(10,資格集約!$G$939:$G$964,0)),"")))</f>
        <v/>
      </c>
      <c r="AH39">
        <f>IF(入力!$D$41="","",IF(反映項目!$B$11="×","",IFERROR(INDEX(資格集約!$E$939:$E$964,MATCH(10,資格集約!$G$939:$G$964,0)),"")))</f>
        <v/>
      </c>
      <c r="AI39">
        <f>IF(入力!$D$41="","",IF(反映項目!$B$11="×","",IFERROR(INDEX(資格集約!$H$939:$H$964,MATCH(11,資格集約!$G$939:$G$964,0)),"")))</f>
        <v/>
      </c>
      <c r="AJ39">
        <f>IF(入力!$D$41="","",IF(反映項目!$B$11="×","",IFERROR(INDEX(資格集約!$E$939:$E$964,MATCH(11,資格集約!$G$939:$G$964,0)),"")))</f>
        <v/>
      </c>
      <c r="AK39">
        <f>IF(入力!$D$41="","",IF(反映項目!$B$11="×","",IFERROR(INDEX(資格集約!$H$939:$H$964,MATCH(12,資格集約!$G$939:$G$964,0)),"")))</f>
        <v/>
      </c>
      <c r="AL39">
        <f>IF(入力!$D$41="","",IF(反映項目!$B$11="×","",IFERROR(INDEX(資格集約!$E$939:$E$964,MATCH(12,資格集約!$G$939:$G$964,0)),"")))</f>
        <v/>
      </c>
      <c r="AM39">
        <f>IF(入力!$D$41="","",IF(反映項目!$B$11="×","",IFERROR(INDEX(資格集約!$H$939:$H$964,MATCH(13,資格集約!$G$939:$G$964,0)),"")))</f>
        <v/>
      </c>
      <c r="AN39">
        <f>IF(入力!$D$41="","",IF(反映項目!$B$11="×","",IFERROR(INDEX(資格集約!$E$939:$E$964,MATCH(13,資格集約!$G$939:$G$964,0)),"")))</f>
        <v/>
      </c>
      <c r="AO39">
        <f>IF(入力!$D$41="","",IF(反映項目!$B$11="×","",IFERROR(INDEX(資格集約!$H$939:$H$964,MATCH(14,資格集約!$G$939:$G$964,0)),"")))</f>
        <v/>
      </c>
      <c r="AP39">
        <f>IF(入力!$D$41="","",IF(反映項目!$B$11="×","",IFERROR(INDEX(資格集約!$E$939:$E$964,MATCH(14,資格集約!$G$939:$G$964,0)),"")))</f>
        <v/>
      </c>
      <c r="AQ39">
        <f>IF(入力!$D$41="","",IF(反映項目!$B$11="×","",IFERROR(INDEX(資格集約!$H$939:$H$964,MATCH(15,資格集約!$G$939:$G$964,0)),"")))</f>
        <v/>
      </c>
      <c r="AR39">
        <f>IF(入力!$D$41="","",IF(反映項目!$B$11="×","",IFERROR(INDEX(資格集約!$E$939:$E$964,MATCH(15,資格集約!$G$939:$G$964,0)),"")))</f>
        <v/>
      </c>
      <c r="AS39">
        <f>IF(入力!$D$41="","",IF(反映項目!$B$11="×","",IFERROR(INDEX(資格集約!$H$939:$H$964,MATCH(16,資格集約!$G$939:$G$964,0)),"")))</f>
        <v/>
      </c>
      <c r="AT39">
        <f>IF(入力!$D$41="","",IF(反映項目!$B$11="×","",IFERROR(INDEX(資格集約!$E$939:$E$964,MATCH(16,資格集約!$G$939:$G$964,0)),"")))</f>
        <v/>
      </c>
      <c r="AU39">
        <f>IF(入力!$D$41="","",IF(反映項目!$B$11="×","",IFERROR(INDEX(資格集約!$H$939:$H$964,MATCH(17,資格集約!$G$939:$G$964,0)),"")))</f>
        <v/>
      </c>
      <c r="AV39">
        <f>IF(入力!$D$41="","",IF(反映項目!$B$11="×","",IFERROR(INDEX(資格集約!$E$939:$E$964,MATCH(17,資格集約!$G$939:$G$964,0)),"")))</f>
        <v/>
      </c>
      <c r="AW39">
        <f>IF(入力!$D$41="","",IF(反映項目!$B$11="×","",IFERROR(INDEX(資格集約!$H$939:$H$964,MATCH(18,資格集約!$G$939:$G$964,0)),"")))</f>
        <v/>
      </c>
      <c r="AX39">
        <f>IF(入力!$D$41="","",IF(反映項目!$B$11="×","",IFERROR(INDEX(資格集約!$E$939:$E$964,MATCH(18,資格集約!$G$939:$G$964,0)),"")))</f>
        <v/>
      </c>
      <c r="AY39">
        <f>IF(入力!$D$41="","",IF(反映項目!$B$11="×","",IFERROR(INDEX(資格集約!$H$939:$H$964,MATCH(19,資格集約!$G$939:$G$964,0)),"")))</f>
        <v/>
      </c>
      <c r="AZ39">
        <f>IF(入力!$D$41="","",IF(反映項目!$B$11="×","",IFERROR(INDEX(資格集約!$E$939:$E$964,MATCH(19,資格集約!$G$939:$G$964,0)),"")))</f>
        <v/>
      </c>
      <c r="BA39">
        <f>IF(入力!$D$41="","",IF(反映項目!$B$11="×","",IFERROR(INDEX(資格集約!$H$939:$H$964,MATCH(20,資格集約!$G$939:$G$964,0)),"")))</f>
        <v/>
      </c>
      <c r="BB39">
        <f>IF(入力!$D$41="","",IF(反映項目!$B$11="×","",IFERROR(INDEX(資格集約!$E$939:$E$964,MATCH(20,資格集約!$G$939:$G$964,0)),"")))</f>
        <v/>
      </c>
      <c r="BC39">
        <f>IF(入力!$D$41="","",IF(反映項目!$B$11="×","",IFERROR(INDEX(資格集約!$H$939:$H$964,MATCH(21,資格集約!$G$939:$G$964,0)),"")))</f>
        <v/>
      </c>
      <c r="BD39">
        <f>IF(入力!$D$41="","",IF(反映項目!$B$11="×","",IFERROR(INDEX(資格集約!$E$939:$E$964,MATCH(21,資格集約!$G$939:$G$964,0)),"")))</f>
        <v/>
      </c>
      <c r="BE39">
        <f>IF(入力!$D$41="","",IF(反映項目!$B$11="×","",IFERROR(INDEX(資格集約!$H$939:$H$964,MATCH(22,資格集約!$G$939:$G$964,0)),"")))</f>
        <v/>
      </c>
      <c r="BF39">
        <f>IF(入力!$D$41="","",IF(反映項目!$B$11="×","",IFERROR(INDEX(資格集約!$E$939:$E$964,MATCH(22,資格集約!$G$939:$G$964,0)),"")))</f>
        <v/>
      </c>
      <c r="BG39">
        <f>IF(入力!$D$41="","",IF(反映項目!$B$11="×","",IFERROR(INDEX(資格集約!$H$939:$H$964,MATCH(23,資格集約!$G$939:$G$964,0)),"")))</f>
        <v/>
      </c>
      <c r="BH39">
        <f>IF(入力!$D$41="","",IF(反映項目!$B$11="×","",IFERROR(INDEX(資格集約!$E$939:$E$964,MATCH(23,資格集約!$G$939:$G$964,0)),"")))</f>
        <v/>
      </c>
      <c r="BI39">
        <f>IF(入力!$D$41="","",IF(反映項目!$B$11="×","",IFERROR(INDEX(資格集約!$H$939:$H$964,MATCH(24,資格集約!$G$939:$G$964,0)),"")))</f>
        <v/>
      </c>
      <c r="BJ39">
        <f>IF(入力!$D$41="","",IF(反映項目!$B$11="×","",IFERROR(INDEX(資格集約!$E$939:$E$964,MATCH(24,資格集約!$G$939:$G$964,0)),"")))</f>
        <v/>
      </c>
      <c r="BK39">
        <f>IF(入力!$D$41="","",IF(反映項目!$B$11="×","",IFERROR(INDEX(資格集約!$H$939:$H$964,MATCH(25,資格集約!$G$939:$G$964,0)),"")))</f>
        <v/>
      </c>
      <c r="BL39">
        <f>IF(入力!$D$41="","",IF(反映項目!$B$11="×","",IFERROR(INDEX(資格集約!$E$939:$E$964,MATCH(25,資格集約!$G$939:$G$964,0)),"")))</f>
        <v/>
      </c>
      <c r="BM39">
        <f>IF(入力!$D$41="","",IF(反映項目!$B$11="×","",IFERROR(INDEX(資格集約!$H$939:$H$964,MATCH(26,資格集約!$G$939:$G$964,0)),"")))</f>
        <v/>
      </c>
      <c r="BN39">
        <f>IF(入力!$D$41="","",IF(反映項目!$B$11="×","",IFERROR(INDEX(資格集約!$E$939:$E$964,MATCH(26,資格集約!$G$939:$G$964,0)),"")))</f>
        <v/>
      </c>
      <c r="BO39">
        <f>IF(入力!$D$41="","",IF(OR(反映項目!$B$12="×",入力!$Z$41=""),"",入力!$Z$41))</f>
        <v/>
      </c>
      <c r="BP39">
        <f>IF(入力!$D$41="","",IF(OR(反映項目!$B$13="×",入力!$AA$41=""),"",入力!$AA$41))</f>
        <v/>
      </c>
      <c r="BQ39">
        <f>IF(入力!$D$41="","",IF(OR(反映項目!$B$15="×",入力!$AF$41=""),"",入力!$AF$41))</f>
        <v/>
      </c>
      <c r="BR39">
        <f>IF(入力!$D$41="","",IF(OR(反映項目!$B$14="×",N($BZ$39)=0),"",YEAR($BZ$39)-IF($BZ$39&gt;=DATE(2019,5,1),2018,1988)))&amp;""</f>
        <v/>
      </c>
      <c r="BS39">
        <f>IF(入力!$D$41="","",IF(OR(反映項目!$B$14="×",N($BZ$39)=0),"",MONTH($BZ$39)))&amp;""</f>
        <v/>
      </c>
      <c r="BT39">
        <f>IF(入力!$D$41="","",IF(OR(反映項目!$B$14="×",入力!$AC$41=""),"",入力!$AC$41))</f>
        <v/>
      </c>
      <c r="BU39">
        <f>IF(入力!$D$41="","",IF(OR(反映項目!$B$14="×",N($CA$39)=0),"",YEAR($CA$39)-IF($CA$39&gt;=DATE(2019,5,1),2018,1988)))&amp;""</f>
        <v/>
      </c>
      <c r="BV39">
        <f>IF(入力!$D$41="","",IF(OR(反映項目!$B$14="×",N($CA$39)=0),"",MONTH($CA$39)))&amp;""</f>
        <v/>
      </c>
      <c r="BW39">
        <f>IF(入力!$D$41="","",IF(OR(反映項目!$B$14="×",入力!$AE$41=""),"",入力!$AE$41))</f>
        <v/>
      </c>
      <c r="BY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Z39">
        <f>IF(入力!$D$41="","",IF(入力!$AB$41="","",IF(ISNUMBER(入力!$AB$41),入力!$AB$41,IFERROR(IF(OR(LEFT(入力!$AB$41,2)="令和",LEFT(入力!$AB$41,2)="平成",LEFT(入力!$AB$41,2)="昭和",LEFT(入力!$AB$41,2)="大正"),DATE(VALUE(MID(入力!$AB$41,3,FIND("年",入力!$AB$41)-3))+IF(LEFT(入力!$AB$41,2)="令和",2018,IF(LEFT(入力!$AB$41,2)="平成",1988,IF(LEFT(入力!$AB$41,2)="昭和",1925,IF(LEFT(入力!$AB$41,2)="大正",1911,0)))),VALUE(MID(入力!$AB$41,FIND("年",入力!$AB$41)+1,FIND("月",入力!$AB$41)-FIND("年",入力!$AB$41)-1)),IFERROR(VALUE(SUBSTITUTE(MID(入力!$AB$41,FIND("月",入力!$AB$41)+1,10),"日","")),1)),DATE(VALUE(TRIM(MID(SUBSTITUTE(SUBSTITUTE(SUBSTITUTE(SUBSTITUTE(SUBSTITUTE(SUBSTITUTE(入力!$AB$41,"年","/"),"月","/"),"日",""),"-","/"),".","/"),"/",REPT(" ",50)),1,50))),VALUE(TRIM(MID(SUBSTITUTE(SUBSTITUTE(SUBSTITUTE(SUBSTITUTE(SUBSTITUTE(SUBSTITUTE(入力!$AB$41,"年","/"),"月","/"),"日",""),"-","/"),".","/"),"/",REPT(" ",50)),51,50))),IFERROR(VALUE(TRIM(MID(SUBSTITUTE(SUBSTITUTE(SUBSTITUTE(SUBSTITUTE(SUBSTITUTE(SUBSTITUTE(入力!$AB$41,"年","/"),"月","/"),"日",""),"-","/"),".","/"),"/",REPT(" ",50)),101,50))),1))),IFERROR(DATEVALUE(入力!$AB$41),"")))))</f>
        <v/>
      </c>
      <c r="CA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CB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amp;IF($AR39="","",CHAR(10)&amp;$AQ39)&amp;IF($AT39="","",CHAR(10)&amp;$AS39)&amp;IF($AV39="","",CHAR(10)&amp;$AU39)&amp;IF($AX39="","",CHAR(10)&amp;$AW39)&amp;IF($AZ39="","",CHAR(10)&amp;$AY39)&amp;IF($BB39="","",CHAR(10)&amp;$BA39)&amp;IF($BD39="","",CHAR(10)&amp;$BC39)&amp;IF($BF39="","",CHAR(10)&amp;$BE39)&amp;IF($BH39="","",CHAR(10)&amp;$BG39)&amp;IF($BJ39="","",CHAR(10)&amp;$BI39)&amp;IF($BL39="","",CHAR(10)&amp;$BK39)&amp;IF($BN39="","",CHAR(10)&amp;$BM39))</f>
        <v/>
      </c>
      <c r="CC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amp;IF($AR39="","",CHAR(10)&amp;$AR39)&amp;IF($AT39="","",CHAR(10)&amp;$AT39)&amp;IF($AV39="","",CHAR(10)&amp;$AV39)&amp;IF($AX39="","",CHAR(10)&amp;$AX39)&amp;IF($AZ39="","",CHAR(10)&amp;$AZ39)&amp;IF($BB39="","",CHAR(10)&amp;$BB39)&amp;IF($BD39="","",CHAR(10)&amp;$BD39)&amp;IF($BF39="","",CHAR(10)&amp;$BF39)&amp;IF($BH39="","",CHAR(10)&amp;$BH39)&amp;IF($BJ39="","",CHAR(10)&amp;$BJ39)&amp;IF($BL39="","",CHAR(10)&amp;$BL39)&amp;IF($BN39="","",CHAR(10)&amp;$BN39))</f>
        <v/>
      </c>
      <c r="CD39">
        <f>IF(入力!$D$41="","",IF($P39="",0,1)+IF($R39="",0,1)+IF($T39="",0,1)+IF($V39="",0,1)+IF($X39="",0,1)+IF($Z39="",0,1)+IF($AB39="",0,1)+IF($AD39="",0,1)+IF($AF39="",0,1)+IF($AH39="",0,1)+IF($AJ39="",0,1)+IF($AL39="",0,1)+IF($AN39="",0,1)+IF($AP39="",0,1)+IF($AR39="",0,1)+IF($AT39="",0,1)+IF($AV39="",0,1)+IF($AX39="",0,1)+IF($AZ39="",0,1)+IF($BB39="",0,1)+IF($BD39="",0,1)+IF($BF39="",0,1)+IF($BH39="",0,1)+IF($BJ39="",0,1)+IF($BL39="",0,1)+IF($BN39="",0,1))</f>
        <v/>
      </c>
    </row>
    <row r="40">
      <c r="A40" t="n">
        <v>38</v>
      </c>
      <c r="B40">
        <f>IF(入力!$D$42="","",IF(OR(反映項目!$B$4="×",入力!$D$42=""),"",入力!$D$42))</f>
        <v/>
      </c>
      <c r="C40">
        <f>IF(入力!$D$42="","",IF(OR(反映項目!$B$5="×",入力!$E$42=""),"",入力!$E$42))</f>
        <v/>
      </c>
      <c r="D40">
        <f>IF(入力!$D$42="","",IF(OR(反映項目!$B$6="×",N($BY$40)=0),"",YEAR($BY$40)-IF($BY$40&gt;=DATE(2019,5,1),2018,IF($BY$40&gt;=DATE(1989,1,8),1988,1925))))&amp;""</f>
        <v/>
      </c>
      <c r="E40">
        <f>IF(入力!$D$42="","",IF(OR(反映項目!$B$6="×",N($BY$40)=0),"",MONTH($BY$40)))&amp;""</f>
        <v/>
      </c>
      <c r="F40">
        <f>IF(入力!$D$42="","",IF(OR(反映項目!$B$6="×",N($BY$40)=0),"",DAY($BY$40)))&amp;""</f>
        <v/>
      </c>
      <c r="G40">
        <f>IF(入力!$D$42="","",IF(OR(反映項目!$B$6="×",OR(N($BY$40)=0,N(設定!$B$3)=0)),"",DATEDIF($BY$40,設定!$B$3,"Y")))&amp;""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IF(入力!$D$42="","",IF(OR(反映項目!$B$10="×",入力!$K$42=""),"",入力!$K$42))</f>
        <v/>
      </c>
      <c r="M40">
        <f>IF(入力!$D$42="","",IF(OR(反映項目!$B$10="×",入力!$L$42=""),"",入力!$L$42))</f>
        <v/>
      </c>
      <c r="N40">
        <f>IF(入力!$D$42="","",設定!$B$4&amp;CHAR(10)&amp;IF(入力!$M$42="",設定!$B$5,入力!$M$42))</f>
        <v/>
      </c>
      <c r="O40">
        <f>IF(入力!$D$42="","",IF(反映項目!$B$11="×","",IFERROR(INDEX(資格集約!$H$965:$H$990,MATCH(1,資格集約!$G$965:$G$990,0)),"")))</f>
        <v/>
      </c>
      <c r="P40">
        <f>IF(入力!$D$42="","",IF(反映項目!$B$11="×","",IFERROR(INDEX(資格集約!$E$965:$E$990,MATCH(1,資格集約!$G$965:$G$990,0)),"")))</f>
        <v/>
      </c>
      <c r="Q40">
        <f>IF(入力!$D$42="","",IF(反映項目!$B$11="×","",IFERROR(INDEX(資格集約!$H$965:$H$990,MATCH(2,資格集約!$G$965:$G$990,0)),"")))</f>
        <v/>
      </c>
      <c r="R40">
        <f>IF(入力!$D$42="","",IF(反映項目!$B$11="×","",IFERROR(INDEX(資格集約!$E$965:$E$990,MATCH(2,資格集約!$G$965:$G$990,0)),"")))</f>
        <v/>
      </c>
      <c r="S40">
        <f>IF(入力!$D$42="","",IF(反映項目!$B$11="×","",IFERROR(INDEX(資格集約!$H$965:$H$990,MATCH(3,資格集約!$G$965:$G$990,0)),"")))</f>
        <v/>
      </c>
      <c r="T40">
        <f>IF(入力!$D$42="","",IF(反映項目!$B$11="×","",IFERROR(INDEX(資格集約!$E$965:$E$990,MATCH(3,資格集約!$G$965:$G$990,0)),"")))</f>
        <v/>
      </c>
      <c r="U40">
        <f>IF(入力!$D$42="","",IF(反映項目!$B$11="×","",IFERROR(INDEX(資格集約!$H$965:$H$990,MATCH(4,資格集約!$G$965:$G$990,0)),"")))</f>
        <v/>
      </c>
      <c r="V40">
        <f>IF(入力!$D$42="","",IF(反映項目!$B$11="×","",IFERROR(INDEX(資格集約!$E$965:$E$990,MATCH(4,資格集約!$G$965:$G$990,0)),"")))</f>
        <v/>
      </c>
      <c r="W40">
        <f>IF(入力!$D$42="","",IF(反映項目!$B$11="×","",IFERROR(INDEX(資格集約!$H$965:$H$990,MATCH(5,資格集約!$G$965:$G$990,0)),"")))</f>
        <v/>
      </c>
      <c r="X40">
        <f>IF(入力!$D$42="","",IF(反映項目!$B$11="×","",IFERROR(INDEX(資格集約!$E$965:$E$990,MATCH(5,資格集約!$G$965:$G$990,0)),"")))</f>
        <v/>
      </c>
      <c r="Y40">
        <f>IF(入力!$D$42="","",IF(反映項目!$B$11="×","",IFERROR(INDEX(資格集約!$H$965:$H$990,MATCH(6,資格集約!$G$965:$G$990,0)),"")))</f>
        <v/>
      </c>
      <c r="Z40">
        <f>IF(入力!$D$42="","",IF(反映項目!$B$11="×","",IFERROR(INDEX(資格集約!$E$965:$E$990,MATCH(6,資格集約!$G$965:$G$990,0)),"")))</f>
        <v/>
      </c>
      <c r="AA40">
        <f>IF(入力!$D$42="","",IF(反映項目!$B$11="×","",IFERROR(INDEX(資格集約!$H$965:$H$990,MATCH(7,資格集約!$G$965:$G$990,0)),"")))</f>
        <v/>
      </c>
      <c r="AB40">
        <f>IF(入力!$D$42="","",IF(反映項目!$B$11="×","",IFERROR(INDEX(資格集約!$E$965:$E$990,MATCH(7,資格集約!$G$965:$G$990,0)),"")))</f>
        <v/>
      </c>
      <c r="AC40">
        <f>IF(入力!$D$42="","",IF(反映項目!$B$11="×","",IFERROR(INDEX(資格集約!$H$965:$H$990,MATCH(8,資格集約!$G$965:$G$990,0)),"")))</f>
        <v/>
      </c>
      <c r="AD40">
        <f>IF(入力!$D$42="","",IF(反映項目!$B$11="×","",IFERROR(INDEX(資格集約!$E$965:$E$990,MATCH(8,資格集約!$G$965:$G$990,0)),"")))</f>
        <v/>
      </c>
      <c r="AE40">
        <f>IF(入力!$D$42="","",IF(反映項目!$B$11="×","",IFERROR(INDEX(資格集約!$H$965:$H$990,MATCH(9,資格集約!$G$965:$G$990,0)),"")))</f>
        <v/>
      </c>
      <c r="AF40">
        <f>IF(入力!$D$42="","",IF(反映項目!$B$11="×","",IFERROR(INDEX(資格集約!$E$965:$E$990,MATCH(9,資格集約!$G$965:$G$990,0)),"")))</f>
        <v/>
      </c>
      <c r="AG40">
        <f>IF(入力!$D$42="","",IF(反映項目!$B$11="×","",IFERROR(INDEX(資格集約!$H$965:$H$990,MATCH(10,資格集約!$G$965:$G$990,0)),"")))</f>
        <v/>
      </c>
      <c r="AH40">
        <f>IF(入力!$D$42="","",IF(反映項目!$B$11="×","",IFERROR(INDEX(資格集約!$E$965:$E$990,MATCH(10,資格集約!$G$965:$G$990,0)),"")))</f>
        <v/>
      </c>
      <c r="AI40">
        <f>IF(入力!$D$42="","",IF(反映項目!$B$11="×","",IFERROR(INDEX(資格集約!$H$965:$H$990,MATCH(11,資格集約!$G$965:$G$990,0)),"")))</f>
        <v/>
      </c>
      <c r="AJ40">
        <f>IF(入力!$D$42="","",IF(反映項目!$B$11="×","",IFERROR(INDEX(資格集約!$E$965:$E$990,MATCH(11,資格集約!$G$965:$G$990,0)),"")))</f>
        <v/>
      </c>
      <c r="AK40">
        <f>IF(入力!$D$42="","",IF(反映項目!$B$11="×","",IFERROR(INDEX(資格集約!$H$965:$H$990,MATCH(12,資格集約!$G$965:$G$990,0)),"")))</f>
        <v/>
      </c>
      <c r="AL40">
        <f>IF(入力!$D$42="","",IF(反映項目!$B$11="×","",IFERROR(INDEX(資格集約!$E$965:$E$990,MATCH(12,資格集約!$G$965:$G$990,0)),"")))</f>
        <v/>
      </c>
      <c r="AM40">
        <f>IF(入力!$D$42="","",IF(反映項目!$B$11="×","",IFERROR(INDEX(資格集約!$H$965:$H$990,MATCH(13,資格集約!$G$965:$G$990,0)),"")))</f>
        <v/>
      </c>
      <c r="AN40">
        <f>IF(入力!$D$42="","",IF(反映項目!$B$11="×","",IFERROR(INDEX(資格集約!$E$965:$E$990,MATCH(13,資格集約!$G$965:$G$990,0)),"")))</f>
        <v/>
      </c>
      <c r="AO40">
        <f>IF(入力!$D$42="","",IF(反映項目!$B$11="×","",IFERROR(INDEX(資格集約!$H$965:$H$990,MATCH(14,資格集約!$G$965:$G$990,0)),"")))</f>
        <v/>
      </c>
      <c r="AP40">
        <f>IF(入力!$D$42="","",IF(反映項目!$B$11="×","",IFERROR(INDEX(資格集約!$E$965:$E$990,MATCH(14,資格集約!$G$965:$G$990,0)),"")))</f>
        <v/>
      </c>
      <c r="AQ40">
        <f>IF(入力!$D$42="","",IF(反映項目!$B$11="×","",IFERROR(INDEX(資格集約!$H$965:$H$990,MATCH(15,資格集約!$G$965:$G$990,0)),"")))</f>
        <v/>
      </c>
      <c r="AR40">
        <f>IF(入力!$D$42="","",IF(反映項目!$B$11="×","",IFERROR(INDEX(資格集約!$E$965:$E$990,MATCH(15,資格集約!$G$965:$G$990,0)),"")))</f>
        <v/>
      </c>
      <c r="AS40">
        <f>IF(入力!$D$42="","",IF(反映項目!$B$11="×","",IFERROR(INDEX(資格集約!$H$965:$H$990,MATCH(16,資格集約!$G$965:$G$990,0)),"")))</f>
        <v/>
      </c>
      <c r="AT40">
        <f>IF(入力!$D$42="","",IF(反映項目!$B$11="×","",IFERROR(INDEX(資格集約!$E$965:$E$990,MATCH(16,資格集約!$G$965:$G$990,0)),"")))</f>
        <v/>
      </c>
      <c r="AU40">
        <f>IF(入力!$D$42="","",IF(反映項目!$B$11="×","",IFERROR(INDEX(資格集約!$H$965:$H$990,MATCH(17,資格集約!$G$965:$G$990,0)),"")))</f>
        <v/>
      </c>
      <c r="AV40">
        <f>IF(入力!$D$42="","",IF(反映項目!$B$11="×","",IFERROR(INDEX(資格集約!$E$965:$E$990,MATCH(17,資格集約!$G$965:$G$990,0)),"")))</f>
        <v/>
      </c>
      <c r="AW40">
        <f>IF(入力!$D$42="","",IF(反映項目!$B$11="×","",IFERROR(INDEX(資格集約!$H$965:$H$990,MATCH(18,資格集約!$G$965:$G$990,0)),"")))</f>
        <v/>
      </c>
      <c r="AX40">
        <f>IF(入力!$D$42="","",IF(反映項目!$B$11="×","",IFERROR(INDEX(資格集約!$E$965:$E$990,MATCH(18,資格集約!$G$965:$G$990,0)),"")))</f>
        <v/>
      </c>
      <c r="AY40">
        <f>IF(入力!$D$42="","",IF(反映項目!$B$11="×","",IFERROR(INDEX(資格集約!$H$965:$H$990,MATCH(19,資格集約!$G$965:$G$990,0)),"")))</f>
        <v/>
      </c>
      <c r="AZ40">
        <f>IF(入力!$D$42="","",IF(反映項目!$B$11="×","",IFERROR(INDEX(資格集約!$E$965:$E$990,MATCH(19,資格集約!$G$965:$G$990,0)),"")))</f>
        <v/>
      </c>
      <c r="BA40">
        <f>IF(入力!$D$42="","",IF(反映項目!$B$11="×","",IFERROR(INDEX(資格集約!$H$965:$H$990,MATCH(20,資格集約!$G$965:$G$990,0)),"")))</f>
        <v/>
      </c>
      <c r="BB40">
        <f>IF(入力!$D$42="","",IF(反映項目!$B$11="×","",IFERROR(INDEX(資格集約!$E$965:$E$990,MATCH(20,資格集約!$G$965:$G$990,0)),"")))</f>
        <v/>
      </c>
      <c r="BC40">
        <f>IF(入力!$D$42="","",IF(反映項目!$B$11="×","",IFERROR(INDEX(資格集約!$H$965:$H$990,MATCH(21,資格集約!$G$965:$G$990,0)),"")))</f>
        <v/>
      </c>
      <c r="BD40">
        <f>IF(入力!$D$42="","",IF(反映項目!$B$11="×","",IFERROR(INDEX(資格集約!$E$965:$E$990,MATCH(21,資格集約!$G$965:$G$990,0)),"")))</f>
        <v/>
      </c>
      <c r="BE40">
        <f>IF(入力!$D$42="","",IF(反映項目!$B$11="×","",IFERROR(INDEX(資格集約!$H$965:$H$990,MATCH(22,資格集約!$G$965:$G$990,0)),"")))</f>
        <v/>
      </c>
      <c r="BF40">
        <f>IF(入力!$D$42="","",IF(反映項目!$B$11="×","",IFERROR(INDEX(資格集約!$E$965:$E$990,MATCH(22,資格集約!$G$965:$G$990,0)),"")))</f>
        <v/>
      </c>
      <c r="BG40">
        <f>IF(入力!$D$42="","",IF(反映項目!$B$11="×","",IFERROR(INDEX(資格集約!$H$965:$H$990,MATCH(23,資格集約!$G$965:$G$990,0)),"")))</f>
        <v/>
      </c>
      <c r="BH40">
        <f>IF(入力!$D$42="","",IF(反映項目!$B$11="×","",IFERROR(INDEX(資格集約!$E$965:$E$990,MATCH(23,資格集約!$G$965:$G$990,0)),"")))</f>
        <v/>
      </c>
      <c r="BI40">
        <f>IF(入力!$D$42="","",IF(反映項目!$B$11="×","",IFERROR(INDEX(資格集約!$H$965:$H$990,MATCH(24,資格集約!$G$965:$G$990,0)),"")))</f>
        <v/>
      </c>
      <c r="BJ40">
        <f>IF(入力!$D$42="","",IF(反映項目!$B$11="×","",IFERROR(INDEX(資格集約!$E$965:$E$990,MATCH(24,資格集約!$G$965:$G$990,0)),"")))</f>
        <v/>
      </c>
      <c r="BK40">
        <f>IF(入力!$D$42="","",IF(反映項目!$B$11="×","",IFERROR(INDEX(資格集約!$H$965:$H$990,MATCH(25,資格集約!$G$965:$G$990,0)),"")))</f>
        <v/>
      </c>
      <c r="BL40">
        <f>IF(入力!$D$42="","",IF(反映項目!$B$11="×","",IFERROR(INDEX(資格集約!$E$965:$E$990,MATCH(25,資格集約!$G$965:$G$990,0)),"")))</f>
        <v/>
      </c>
      <c r="BM40">
        <f>IF(入力!$D$42="","",IF(反映項目!$B$11="×","",IFERROR(INDEX(資格集約!$H$965:$H$990,MATCH(26,資格集約!$G$965:$G$990,0)),"")))</f>
        <v/>
      </c>
      <c r="BN40">
        <f>IF(入力!$D$42="","",IF(反映項目!$B$11="×","",IFERROR(INDEX(資格集約!$E$965:$E$990,MATCH(26,資格集約!$G$965:$G$990,0)),"")))</f>
        <v/>
      </c>
      <c r="BO40">
        <f>IF(入力!$D$42="","",IF(OR(反映項目!$B$12="×",入力!$Z$42=""),"",入力!$Z$42))</f>
        <v/>
      </c>
      <c r="BP40">
        <f>IF(入力!$D$42="","",IF(OR(反映項目!$B$13="×",入力!$AA$42=""),"",入力!$AA$42))</f>
        <v/>
      </c>
      <c r="BQ40">
        <f>IF(入力!$D$42="","",IF(OR(反映項目!$B$15="×",入力!$AF$42=""),"",入力!$AF$42))</f>
        <v/>
      </c>
      <c r="BR40">
        <f>IF(入力!$D$42="","",IF(OR(反映項目!$B$14="×",N($BZ$40)=0),"",YEAR($BZ$40)-IF($BZ$40&gt;=DATE(2019,5,1),2018,1988)))&amp;""</f>
        <v/>
      </c>
      <c r="BS40">
        <f>IF(入力!$D$42="","",IF(OR(反映項目!$B$14="×",N($BZ$40)=0),"",MONTH($BZ$40)))&amp;""</f>
        <v/>
      </c>
      <c r="BT40">
        <f>IF(入力!$D$42="","",IF(OR(反映項目!$B$14="×",入力!$AC$42=""),"",入力!$AC$42))</f>
        <v/>
      </c>
      <c r="BU40">
        <f>IF(入力!$D$42="","",IF(OR(反映項目!$B$14="×",N($CA$40)=0),"",YEAR($CA$40)-IF($CA$40&gt;=DATE(2019,5,1),2018,1988)))&amp;""</f>
        <v/>
      </c>
      <c r="BV40">
        <f>IF(入力!$D$42="","",IF(OR(反映項目!$B$14="×",N($CA$40)=0),"",MONTH($CA$40)))&amp;""</f>
        <v/>
      </c>
      <c r="BW40">
        <f>IF(入力!$D$42="","",IF(OR(反映項目!$B$14="×",入力!$AE$42=""),"",入力!$AE$42))</f>
        <v/>
      </c>
      <c r="BY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Z40">
        <f>IF(入力!$D$42="","",IF(入力!$AB$42="","",IF(ISNUMBER(入力!$AB$42),入力!$AB$42,IFERROR(IF(OR(LEFT(入力!$AB$42,2)="令和",LEFT(入力!$AB$42,2)="平成",LEFT(入力!$AB$42,2)="昭和",LEFT(入力!$AB$42,2)="大正"),DATE(VALUE(MID(入力!$AB$42,3,FIND("年",入力!$AB$42)-3))+IF(LEFT(入力!$AB$42,2)="令和",2018,IF(LEFT(入力!$AB$42,2)="平成",1988,IF(LEFT(入力!$AB$42,2)="昭和",1925,IF(LEFT(入力!$AB$42,2)="大正",1911,0)))),VALUE(MID(入力!$AB$42,FIND("年",入力!$AB$42)+1,FIND("月",入力!$AB$42)-FIND("年",入力!$AB$42)-1)),IFERROR(VALUE(SUBSTITUTE(MID(入力!$AB$42,FIND("月",入力!$AB$42)+1,10),"日","")),1)),DATE(VALUE(TRIM(MID(SUBSTITUTE(SUBSTITUTE(SUBSTITUTE(SUBSTITUTE(SUBSTITUTE(SUBSTITUTE(入力!$AB$42,"年","/"),"月","/"),"日",""),"-","/"),".","/"),"/",REPT(" ",50)),1,50))),VALUE(TRIM(MID(SUBSTITUTE(SUBSTITUTE(SUBSTITUTE(SUBSTITUTE(SUBSTITUTE(SUBSTITUTE(入力!$AB$42,"年","/"),"月","/"),"日",""),"-","/"),".","/"),"/",REPT(" ",50)),51,50))),IFERROR(VALUE(TRIM(MID(SUBSTITUTE(SUBSTITUTE(SUBSTITUTE(SUBSTITUTE(SUBSTITUTE(SUBSTITUTE(入力!$AB$42,"年","/"),"月","/"),"日",""),"-","/"),".","/"),"/",REPT(" ",50)),101,50))),1))),IFERROR(DATEVALUE(入力!$AB$42),"")))))</f>
        <v/>
      </c>
      <c r="CA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CB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amp;IF($AR40="","",CHAR(10)&amp;$AQ40)&amp;IF($AT40="","",CHAR(10)&amp;$AS40)&amp;IF($AV40="","",CHAR(10)&amp;$AU40)&amp;IF($AX40="","",CHAR(10)&amp;$AW40)&amp;IF($AZ40="","",CHAR(10)&amp;$AY40)&amp;IF($BB40="","",CHAR(10)&amp;$BA40)&amp;IF($BD40="","",CHAR(10)&amp;$BC40)&amp;IF($BF40="","",CHAR(10)&amp;$BE40)&amp;IF($BH40="","",CHAR(10)&amp;$BG40)&amp;IF($BJ40="","",CHAR(10)&amp;$BI40)&amp;IF($BL40="","",CHAR(10)&amp;$BK40)&amp;IF($BN40="","",CHAR(10)&amp;$BM40))</f>
        <v/>
      </c>
      <c r="CC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amp;IF($AR40="","",CHAR(10)&amp;$AR40)&amp;IF($AT40="","",CHAR(10)&amp;$AT40)&amp;IF($AV40="","",CHAR(10)&amp;$AV40)&amp;IF($AX40="","",CHAR(10)&amp;$AX40)&amp;IF($AZ40="","",CHAR(10)&amp;$AZ40)&amp;IF($BB40="","",CHAR(10)&amp;$BB40)&amp;IF($BD40="","",CHAR(10)&amp;$BD40)&amp;IF($BF40="","",CHAR(10)&amp;$BF40)&amp;IF($BH40="","",CHAR(10)&amp;$BH40)&amp;IF($BJ40="","",CHAR(10)&amp;$BJ40)&amp;IF($BL40="","",CHAR(10)&amp;$BL40)&amp;IF($BN40="","",CHAR(10)&amp;$BN40))</f>
        <v/>
      </c>
      <c r="CD40">
        <f>IF(入力!$D$42="","",IF($P40="",0,1)+IF($R40="",0,1)+IF($T40="",0,1)+IF($V40="",0,1)+IF($X40="",0,1)+IF($Z40="",0,1)+IF($AB40="",0,1)+IF($AD40="",0,1)+IF($AF40="",0,1)+IF($AH40="",0,1)+IF($AJ40="",0,1)+IF($AL40="",0,1)+IF($AN40="",0,1)+IF($AP40="",0,1)+IF($AR40="",0,1)+IF($AT40="",0,1)+IF($AV40="",0,1)+IF($AX40="",0,1)+IF($AZ40="",0,1)+IF($BB40="",0,1)+IF($BD40="",0,1)+IF($BF40="",0,1)+IF($BH40="",0,1)+IF($BJ40="",0,1)+IF($BL40="",0,1)+IF($BN40="",0,1))</f>
        <v/>
      </c>
    </row>
    <row r="41">
      <c r="A41" t="n">
        <v>39</v>
      </c>
      <c r="B41">
        <f>IF(入力!$D$43="","",IF(OR(反映項目!$B$4="×",入力!$D$43=""),"",入力!$D$43))</f>
        <v/>
      </c>
      <c r="C41">
        <f>IF(入力!$D$43="","",IF(OR(反映項目!$B$5="×",入力!$E$43=""),"",入力!$E$43))</f>
        <v/>
      </c>
      <c r="D41">
        <f>IF(入力!$D$43="","",IF(OR(反映項目!$B$6="×",N($BY$41)=0),"",YEAR($BY$41)-IF($BY$41&gt;=DATE(2019,5,1),2018,IF($BY$41&gt;=DATE(1989,1,8),1988,1925))))&amp;""</f>
        <v/>
      </c>
      <c r="E41">
        <f>IF(入力!$D$43="","",IF(OR(反映項目!$B$6="×",N($BY$41)=0),"",MONTH($BY$41)))&amp;""</f>
        <v/>
      </c>
      <c r="F41">
        <f>IF(入力!$D$43="","",IF(OR(反映項目!$B$6="×",N($BY$41)=0),"",DAY($BY$41)))&amp;""</f>
        <v/>
      </c>
      <c r="G41">
        <f>IF(入力!$D$43="","",IF(OR(反映項目!$B$6="×",OR(N($BY$41)=0,N(設定!$B$3)=0)),"",DATEDIF($BY$41,設定!$B$3,"Y")))&amp;""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IF(入力!$D$43="","",IF(OR(反映項目!$B$10="×",入力!$K$43=""),"",入力!$K$43))</f>
        <v/>
      </c>
      <c r="M41">
        <f>IF(入力!$D$43="","",IF(OR(反映項目!$B$10="×",入力!$L$43=""),"",入力!$L$43))</f>
        <v/>
      </c>
      <c r="N41">
        <f>IF(入力!$D$43="","",設定!$B$4&amp;CHAR(10)&amp;IF(入力!$M$43="",設定!$B$5,入力!$M$43))</f>
        <v/>
      </c>
      <c r="O41">
        <f>IF(入力!$D$43="","",IF(反映項目!$B$11="×","",IFERROR(INDEX(資格集約!$H$991:$H$1016,MATCH(1,資格集約!$G$991:$G$1016,0)),"")))</f>
        <v/>
      </c>
      <c r="P41">
        <f>IF(入力!$D$43="","",IF(反映項目!$B$11="×","",IFERROR(INDEX(資格集約!$E$991:$E$1016,MATCH(1,資格集約!$G$991:$G$1016,0)),"")))</f>
        <v/>
      </c>
      <c r="Q41">
        <f>IF(入力!$D$43="","",IF(反映項目!$B$11="×","",IFERROR(INDEX(資格集約!$H$991:$H$1016,MATCH(2,資格集約!$G$991:$G$1016,0)),"")))</f>
        <v/>
      </c>
      <c r="R41">
        <f>IF(入力!$D$43="","",IF(反映項目!$B$11="×","",IFERROR(INDEX(資格集約!$E$991:$E$1016,MATCH(2,資格集約!$G$991:$G$1016,0)),"")))</f>
        <v/>
      </c>
      <c r="S41">
        <f>IF(入力!$D$43="","",IF(反映項目!$B$11="×","",IFERROR(INDEX(資格集約!$H$991:$H$1016,MATCH(3,資格集約!$G$991:$G$1016,0)),"")))</f>
        <v/>
      </c>
      <c r="T41">
        <f>IF(入力!$D$43="","",IF(反映項目!$B$11="×","",IFERROR(INDEX(資格集約!$E$991:$E$1016,MATCH(3,資格集約!$G$991:$G$1016,0)),"")))</f>
        <v/>
      </c>
      <c r="U41">
        <f>IF(入力!$D$43="","",IF(反映項目!$B$11="×","",IFERROR(INDEX(資格集約!$H$991:$H$1016,MATCH(4,資格集約!$G$991:$G$1016,0)),"")))</f>
        <v/>
      </c>
      <c r="V41">
        <f>IF(入力!$D$43="","",IF(反映項目!$B$11="×","",IFERROR(INDEX(資格集約!$E$991:$E$1016,MATCH(4,資格集約!$G$991:$G$1016,0)),"")))</f>
        <v/>
      </c>
      <c r="W41">
        <f>IF(入力!$D$43="","",IF(反映項目!$B$11="×","",IFERROR(INDEX(資格集約!$H$991:$H$1016,MATCH(5,資格集約!$G$991:$G$1016,0)),"")))</f>
        <v/>
      </c>
      <c r="X41">
        <f>IF(入力!$D$43="","",IF(反映項目!$B$11="×","",IFERROR(INDEX(資格集約!$E$991:$E$1016,MATCH(5,資格集約!$G$991:$G$1016,0)),"")))</f>
        <v/>
      </c>
      <c r="Y41">
        <f>IF(入力!$D$43="","",IF(反映項目!$B$11="×","",IFERROR(INDEX(資格集約!$H$991:$H$1016,MATCH(6,資格集約!$G$991:$G$1016,0)),"")))</f>
        <v/>
      </c>
      <c r="Z41">
        <f>IF(入力!$D$43="","",IF(反映項目!$B$11="×","",IFERROR(INDEX(資格集約!$E$991:$E$1016,MATCH(6,資格集約!$G$991:$G$1016,0)),"")))</f>
        <v/>
      </c>
      <c r="AA41">
        <f>IF(入力!$D$43="","",IF(反映項目!$B$11="×","",IFERROR(INDEX(資格集約!$H$991:$H$1016,MATCH(7,資格集約!$G$991:$G$1016,0)),"")))</f>
        <v/>
      </c>
      <c r="AB41">
        <f>IF(入力!$D$43="","",IF(反映項目!$B$11="×","",IFERROR(INDEX(資格集約!$E$991:$E$1016,MATCH(7,資格集約!$G$991:$G$1016,0)),"")))</f>
        <v/>
      </c>
      <c r="AC41">
        <f>IF(入力!$D$43="","",IF(反映項目!$B$11="×","",IFERROR(INDEX(資格集約!$H$991:$H$1016,MATCH(8,資格集約!$G$991:$G$1016,0)),"")))</f>
        <v/>
      </c>
      <c r="AD41">
        <f>IF(入力!$D$43="","",IF(反映項目!$B$11="×","",IFERROR(INDEX(資格集約!$E$991:$E$1016,MATCH(8,資格集約!$G$991:$G$1016,0)),"")))</f>
        <v/>
      </c>
      <c r="AE41">
        <f>IF(入力!$D$43="","",IF(反映項目!$B$11="×","",IFERROR(INDEX(資格集約!$H$991:$H$1016,MATCH(9,資格集約!$G$991:$G$1016,0)),"")))</f>
        <v/>
      </c>
      <c r="AF41">
        <f>IF(入力!$D$43="","",IF(反映項目!$B$11="×","",IFERROR(INDEX(資格集約!$E$991:$E$1016,MATCH(9,資格集約!$G$991:$G$1016,0)),"")))</f>
        <v/>
      </c>
      <c r="AG41">
        <f>IF(入力!$D$43="","",IF(反映項目!$B$11="×","",IFERROR(INDEX(資格集約!$H$991:$H$1016,MATCH(10,資格集約!$G$991:$G$1016,0)),"")))</f>
        <v/>
      </c>
      <c r="AH41">
        <f>IF(入力!$D$43="","",IF(反映項目!$B$11="×","",IFERROR(INDEX(資格集約!$E$991:$E$1016,MATCH(10,資格集約!$G$991:$G$1016,0)),"")))</f>
        <v/>
      </c>
      <c r="AI41">
        <f>IF(入力!$D$43="","",IF(反映項目!$B$11="×","",IFERROR(INDEX(資格集約!$H$991:$H$1016,MATCH(11,資格集約!$G$991:$G$1016,0)),"")))</f>
        <v/>
      </c>
      <c r="AJ41">
        <f>IF(入力!$D$43="","",IF(反映項目!$B$11="×","",IFERROR(INDEX(資格集約!$E$991:$E$1016,MATCH(11,資格集約!$G$991:$G$1016,0)),"")))</f>
        <v/>
      </c>
      <c r="AK41">
        <f>IF(入力!$D$43="","",IF(反映項目!$B$11="×","",IFERROR(INDEX(資格集約!$H$991:$H$1016,MATCH(12,資格集約!$G$991:$G$1016,0)),"")))</f>
        <v/>
      </c>
      <c r="AL41">
        <f>IF(入力!$D$43="","",IF(反映項目!$B$11="×","",IFERROR(INDEX(資格集約!$E$991:$E$1016,MATCH(12,資格集約!$G$991:$G$1016,0)),"")))</f>
        <v/>
      </c>
      <c r="AM41">
        <f>IF(入力!$D$43="","",IF(反映項目!$B$11="×","",IFERROR(INDEX(資格集約!$H$991:$H$1016,MATCH(13,資格集約!$G$991:$G$1016,0)),"")))</f>
        <v/>
      </c>
      <c r="AN41">
        <f>IF(入力!$D$43="","",IF(反映項目!$B$11="×","",IFERROR(INDEX(資格集約!$E$991:$E$1016,MATCH(13,資格集約!$G$991:$G$1016,0)),"")))</f>
        <v/>
      </c>
      <c r="AO41">
        <f>IF(入力!$D$43="","",IF(反映項目!$B$11="×","",IFERROR(INDEX(資格集約!$H$991:$H$1016,MATCH(14,資格集約!$G$991:$G$1016,0)),"")))</f>
        <v/>
      </c>
      <c r="AP41">
        <f>IF(入力!$D$43="","",IF(反映項目!$B$11="×","",IFERROR(INDEX(資格集約!$E$991:$E$1016,MATCH(14,資格集約!$G$991:$G$1016,0)),"")))</f>
        <v/>
      </c>
      <c r="AQ41">
        <f>IF(入力!$D$43="","",IF(反映項目!$B$11="×","",IFERROR(INDEX(資格集約!$H$991:$H$1016,MATCH(15,資格集約!$G$991:$G$1016,0)),"")))</f>
        <v/>
      </c>
      <c r="AR41">
        <f>IF(入力!$D$43="","",IF(反映項目!$B$11="×","",IFERROR(INDEX(資格集約!$E$991:$E$1016,MATCH(15,資格集約!$G$991:$G$1016,0)),"")))</f>
        <v/>
      </c>
      <c r="AS41">
        <f>IF(入力!$D$43="","",IF(反映項目!$B$11="×","",IFERROR(INDEX(資格集約!$H$991:$H$1016,MATCH(16,資格集約!$G$991:$G$1016,0)),"")))</f>
        <v/>
      </c>
      <c r="AT41">
        <f>IF(入力!$D$43="","",IF(反映項目!$B$11="×","",IFERROR(INDEX(資格集約!$E$991:$E$1016,MATCH(16,資格集約!$G$991:$G$1016,0)),"")))</f>
        <v/>
      </c>
      <c r="AU41">
        <f>IF(入力!$D$43="","",IF(反映項目!$B$11="×","",IFERROR(INDEX(資格集約!$H$991:$H$1016,MATCH(17,資格集約!$G$991:$G$1016,0)),"")))</f>
        <v/>
      </c>
      <c r="AV41">
        <f>IF(入力!$D$43="","",IF(反映項目!$B$11="×","",IFERROR(INDEX(資格集約!$E$991:$E$1016,MATCH(17,資格集約!$G$991:$G$1016,0)),"")))</f>
        <v/>
      </c>
      <c r="AW41">
        <f>IF(入力!$D$43="","",IF(反映項目!$B$11="×","",IFERROR(INDEX(資格集約!$H$991:$H$1016,MATCH(18,資格集約!$G$991:$G$1016,0)),"")))</f>
        <v/>
      </c>
      <c r="AX41">
        <f>IF(入力!$D$43="","",IF(反映項目!$B$11="×","",IFERROR(INDEX(資格集約!$E$991:$E$1016,MATCH(18,資格集約!$G$991:$G$1016,0)),"")))</f>
        <v/>
      </c>
      <c r="AY41">
        <f>IF(入力!$D$43="","",IF(反映項目!$B$11="×","",IFERROR(INDEX(資格集約!$H$991:$H$1016,MATCH(19,資格集約!$G$991:$G$1016,0)),"")))</f>
        <v/>
      </c>
      <c r="AZ41">
        <f>IF(入力!$D$43="","",IF(反映項目!$B$11="×","",IFERROR(INDEX(資格集約!$E$991:$E$1016,MATCH(19,資格集約!$G$991:$G$1016,0)),"")))</f>
        <v/>
      </c>
      <c r="BA41">
        <f>IF(入力!$D$43="","",IF(反映項目!$B$11="×","",IFERROR(INDEX(資格集約!$H$991:$H$1016,MATCH(20,資格集約!$G$991:$G$1016,0)),"")))</f>
        <v/>
      </c>
      <c r="BB41">
        <f>IF(入力!$D$43="","",IF(反映項目!$B$11="×","",IFERROR(INDEX(資格集約!$E$991:$E$1016,MATCH(20,資格集約!$G$991:$G$1016,0)),"")))</f>
        <v/>
      </c>
      <c r="BC41">
        <f>IF(入力!$D$43="","",IF(反映項目!$B$11="×","",IFERROR(INDEX(資格集約!$H$991:$H$1016,MATCH(21,資格集約!$G$991:$G$1016,0)),"")))</f>
        <v/>
      </c>
      <c r="BD41">
        <f>IF(入力!$D$43="","",IF(反映項目!$B$11="×","",IFERROR(INDEX(資格集約!$E$991:$E$1016,MATCH(21,資格集約!$G$991:$G$1016,0)),"")))</f>
        <v/>
      </c>
      <c r="BE41">
        <f>IF(入力!$D$43="","",IF(反映項目!$B$11="×","",IFERROR(INDEX(資格集約!$H$991:$H$1016,MATCH(22,資格集約!$G$991:$G$1016,0)),"")))</f>
        <v/>
      </c>
      <c r="BF41">
        <f>IF(入力!$D$43="","",IF(反映項目!$B$11="×","",IFERROR(INDEX(資格集約!$E$991:$E$1016,MATCH(22,資格集約!$G$991:$G$1016,0)),"")))</f>
        <v/>
      </c>
      <c r="BG41">
        <f>IF(入力!$D$43="","",IF(反映項目!$B$11="×","",IFERROR(INDEX(資格集約!$H$991:$H$1016,MATCH(23,資格集約!$G$991:$G$1016,0)),"")))</f>
        <v/>
      </c>
      <c r="BH41">
        <f>IF(入力!$D$43="","",IF(反映項目!$B$11="×","",IFERROR(INDEX(資格集約!$E$991:$E$1016,MATCH(23,資格集約!$G$991:$G$1016,0)),"")))</f>
        <v/>
      </c>
      <c r="BI41">
        <f>IF(入力!$D$43="","",IF(反映項目!$B$11="×","",IFERROR(INDEX(資格集約!$H$991:$H$1016,MATCH(24,資格集約!$G$991:$G$1016,0)),"")))</f>
        <v/>
      </c>
      <c r="BJ41">
        <f>IF(入力!$D$43="","",IF(反映項目!$B$11="×","",IFERROR(INDEX(資格集約!$E$991:$E$1016,MATCH(24,資格集約!$G$991:$G$1016,0)),"")))</f>
        <v/>
      </c>
      <c r="BK41">
        <f>IF(入力!$D$43="","",IF(反映項目!$B$11="×","",IFERROR(INDEX(資格集約!$H$991:$H$1016,MATCH(25,資格集約!$G$991:$G$1016,0)),"")))</f>
        <v/>
      </c>
      <c r="BL41">
        <f>IF(入力!$D$43="","",IF(反映項目!$B$11="×","",IFERROR(INDEX(資格集約!$E$991:$E$1016,MATCH(25,資格集約!$G$991:$G$1016,0)),"")))</f>
        <v/>
      </c>
      <c r="BM41">
        <f>IF(入力!$D$43="","",IF(反映項目!$B$11="×","",IFERROR(INDEX(資格集約!$H$991:$H$1016,MATCH(26,資格集約!$G$991:$G$1016,0)),"")))</f>
        <v/>
      </c>
      <c r="BN41">
        <f>IF(入力!$D$43="","",IF(反映項目!$B$11="×","",IFERROR(INDEX(資格集約!$E$991:$E$1016,MATCH(26,資格集約!$G$991:$G$1016,0)),"")))</f>
        <v/>
      </c>
      <c r="BO41">
        <f>IF(入力!$D$43="","",IF(OR(反映項目!$B$12="×",入力!$Z$43=""),"",入力!$Z$43))</f>
        <v/>
      </c>
      <c r="BP41">
        <f>IF(入力!$D$43="","",IF(OR(反映項目!$B$13="×",入力!$AA$43=""),"",入力!$AA$43))</f>
        <v/>
      </c>
      <c r="BQ41">
        <f>IF(入力!$D$43="","",IF(OR(反映項目!$B$15="×",入力!$AF$43=""),"",入力!$AF$43))</f>
        <v/>
      </c>
      <c r="BR41">
        <f>IF(入力!$D$43="","",IF(OR(反映項目!$B$14="×",N($BZ$41)=0),"",YEAR($BZ$41)-IF($BZ$41&gt;=DATE(2019,5,1),2018,1988)))&amp;""</f>
        <v/>
      </c>
      <c r="BS41">
        <f>IF(入力!$D$43="","",IF(OR(反映項目!$B$14="×",N($BZ$41)=0),"",MONTH($BZ$41)))&amp;""</f>
        <v/>
      </c>
      <c r="BT41">
        <f>IF(入力!$D$43="","",IF(OR(反映項目!$B$14="×",入力!$AC$43=""),"",入力!$AC$43))</f>
        <v/>
      </c>
      <c r="BU41">
        <f>IF(入力!$D$43="","",IF(OR(反映項目!$B$14="×",N($CA$41)=0),"",YEAR($CA$41)-IF($CA$41&gt;=DATE(2019,5,1),2018,1988)))&amp;""</f>
        <v/>
      </c>
      <c r="BV41">
        <f>IF(入力!$D$43="","",IF(OR(反映項目!$B$14="×",N($CA$41)=0),"",MONTH($CA$41)))&amp;""</f>
        <v/>
      </c>
      <c r="BW41">
        <f>IF(入力!$D$43="","",IF(OR(反映項目!$B$14="×",入力!$AE$43=""),"",入力!$AE$43))</f>
        <v/>
      </c>
      <c r="BY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Z41">
        <f>IF(入力!$D$43="","",IF(入力!$AB$43="","",IF(ISNUMBER(入力!$AB$43),入力!$AB$43,IFERROR(IF(OR(LEFT(入力!$AB$43,2)="令和",LEFT(入力!$AB$43,2)="平成",LEFT(入力!$AB$43,2)="昭和",LEFT(入力!$AB$43,2)="大正"),DATE(VALUE(MID(入力!$AB$43,3,FIND("年",入力!$AB$43)-3))+IF(LEFT(入力!$AB$43,2)="令和",2018,IF(LEFT(入力!$AB$43,2)="平成",1988,IF(LEFT(入力!$AB$43,2)="昭和",1925,IF(LEFT(入力!$AB$43,2)="大正",1911,0)))),VALUE(MID(入力!$AB$43,FIND("年",入力!$AB$43)+1,FIND("月",入力!$AB$43)-FIND("年",入力!$AB$43)-1)),IFERROR(VALUE(SUBSTITUTE(MID(入力!$AB$43,FIND("月",入力!$AB$43)+1,10),"日","")),1)),DATE(VALUE(TRIM(MID(SUBSTITUTE(SUBSTITUTE(SUBSTITUTE(SUBSTITUTE(SUBSTITUTE(SUBSTITUTE(入力!$AB$43,"年","/"),"月","/"),"日",""),"-","/"),".","/"),"/",REPT(" ",50)),1,50))),VALUE(TRIM(MID(SUBSTITUTE(SUBSTITUTE(SUBSTITUTE(SUBSTITUTE(SUBSTITUTE(SUBSTITUTE(入力!$AB$43,"年","/"),"月","/"),"日",""),"-","/"),".","/"),"/",REPT(" ",50)),51,50))),IFERROR(VALUE(TRIM(MID(SUBSTITUTE(SUBSTITUTE(SUBSTITUTE(SUBSTITUTE(SUBSTITUTE(SUBSTITUTE(入力!$AB$43,"年","/"),"月","/"),"日",""),"-","/"),".","/"),"/",REPT(" ",50)),101,50))),1))),IFERROR(DATEVALUE(入力!$AB$43),"")))))</f>
        <v/>
      </c>
      <c r="CA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CB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amp;IF($AR41="","",CHAR(10)&amp;$AQ41)&amp;IF($AT41="","",CHAR(10)&amp;$AS41)&amp;IF($AV41="","",CHAR(10)&amp;$AU41)&amp;IF($AX41="","",CHAR(10)&amp;$AW41)&amp;IF($AZ41="","",CHAR(10)&amp;$AY41)&amp;IF($BB41="","",CHAR(10)&amp;$BA41)&amp;IF($BD41="","",CHAR(10)&amp;$BC41)&amp;IF($BF41="","",CHAR(10)&amp;$BE41)&amp;IF($BH41="","",CHAR(10)&amp;$BG41)&amp;IF($BJ41="","",CHAR(10)&amp;$BI41)&amp;IF($BL41="","",CHAR(10)&amp;$BK41)&amp;IF($BN41="","",CHAR(10)&amp;$BM41))</f>
        <v/>
      </c>
      <c r="CC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amp;IF($AR41="","",CHAR(10)&amp;$AR41)&amp;IF($AT41="","",CHAR(10)&amp;$AT41)&amp;IF($AV41="","",CHAR(10)&amp;$AV41)&amp;IF($AX41="","",CHAR(10)&amp;$AX41)&amp;IF($AZ41="","",CHAR(10)&amp;$AZ41)&amp;IF($BB41="","",CHAR(10)&amp;$BB41)&amp;IF($BD41="","",CHAR(10)&amp;$BD41)&amp;IF($BF41="","",CHAR(10)&amp;$BF41)&amp;IF($BH41="","",CHAR(10)&amp;$BH41)&amp;IF($BJ41="","",CHAR(10)&amp;$BJ41)&amp;IF($BL41="","",CHAR(10)&amp;$BL41)&amp;IF($BN41="","",CHAR(10)&amp;$BN41))</f>
        <v/>
      </c>
      <c r="CD41">
        <f>IF(入力!$D$43="","",IF($P41="",0,1)+IF($R41="",0,1)+IF($T41="",0,1)+IF($V41="",0,1)+IF($X41="",0,1)+IF($Z41="",0,1)+IF($AB41="",0,1)+IF($AD41="",0,1)+IF($AF41="",0,1)+IF($AH41="",0,1)+IF($AJ41="",0,1)+IF($AL41="",0,1)+IF($AN41="",0,1)+IF($AP41="",0,1)+IF($AR41="",0,1)+IF($AT41="",0,1)+IF($AV41="",0,1)+IF($AX41="",0,1)+IF($AZ41="",0,1)+IF($BB41="",0,1)+IF($BD41="",0,1)+IF($BF41="",0,1)+IF($BH41="",0,1)+IF($BJ41="",0,1)+IF($BL41="",0,1)+IF($BN41="",0,1))</f>
        <v/>
      </c>
    </row>
    <row r="42">
      <c r="A42" t="n">
        <v>40</v>
      </c>
      <c r="B42">
        <f>IF(入力!$D$44="","",IF(OR(反映項目!$B$4="×",入力!$D$44=""),"",入力!$D$44))</f>
        <v/>
      </c>
      <c r="C42">
        <f>IF(入力!$D$44="","",IF(OR(反映項目!$B$5="×",入力!$E$44=""),"",入力!$E$44))</f>
        <v/>
      </c>
      <c r="D42">
        <f>IF(入力!$D$44="","",IF(OR(反映項目!$B$6="×",N($BY$42)=0),"",YEAR($BY$42)-IF($BY$42&gt;=DATE(2019,5,1),2018,IF($BY$42&gt;=DATE(1989,1,8),1988,1925))))&amp;""</f>
        <v/>
      </c>
      <c r="E42">
        <f>IF(入力!$D$44="","",IF(OR(反映項目!$B$6="×",N($BY$42)=0),"",MONTH($BY$42)))&amp;""</f>
        <v/>
      </c>
      <c r="F42">
        <f>IF(入力!$D$44="","",IF(OR(反映項目!$B$6="×",N($BY$42)=0),"",DAY($BY$42)))&amp;""</f>
        <v/>
      </c>
      <c r="G42">
        <f>IF(入力!$D$44="","",IF(OR(反映項目!$B$6="×",OR(N($BY$42)=0,N(設定!$B$3)=0)),"",DATEDIF($BY$42,設定!$B$3,"Y")))&amp;""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IF(入力!$D$44="","",IF(OR(反映項目!$B$10="×",入力!$K$44=""),"",入力!$K$44))</f>
        <v/>
      </c>
      <c r="M42">
        <f>IF(入力!$D$44="","",IF(OR(反映項目!$B$10="×",入力!$L$44=""),"",入力!$L$44))</f>
        <v/>
      </c>
      <c r="N42">
        <f>IF(入力!$D$44="","",設定!$B$4&amp;CHAR(10)&amp;IF(入力!$M$44="",設定!$B$5,入力!$M$44))</f>
        <v/>
      </c>
      <c r="O42">
        <f>IF(入力!$D$44="","",IF(反映項目!$B$11="×","",IFERROR(INDEX(資格集約!$H$1017:$H$1042,MATCH(1,資格集約!$G$1017:$G$1042,0)),"")))</f>
        <v/>
      </c>
      <c r="P42">
        <f>IF(入力!$D$44="","",IF(反映項目!$B$11="×","",IFERROR(INDEX(資格集約!$E$1017:$E$1042,MATCH(1,資格集約!$G$1017:$G$1042,0)),"")))</f>
        <v/>
      </c>
      <c r="Q42">
        <f>IF(入力!$D$44="","",IF(反映項目!$B$11="×","",IFERROR(INDEX(資格集約!$H$1017:$H$1042,MATCH(2,資格集約!$G$1017:$G$1042,0)),"")))</f>
        <v/>
      </c>
      <c r="R42">
        <f>IF(入力!$D$44="","",IF(反映項目!$B$11="×","",IFERROR(INDEX(資格集約!$E$1017:$E$1042,MATCH(2,資格集約!$G$1017:$G$1042,0)),"")))</f>
        <v/>
      </c>
      <c r="S42">
        <f>IF(入力!$D$44="","",IF(反映項目!$B$11="×","",IFERROR(INDEX(資格集約!$H$1017:$H$1042,MATCH(3,資格集約!$G$1017:$G$1042,0)),"")))</f>
        <v/>
      </c>
      <c r="T42">
        <f>IF(入力!$D$44="","",IF(反映項目!$B$11="×","",IFERROR(INDEX(資格集約!$E$1017:$E$1042,MATCH(3,資格集約!$G$1017:$G$1042,0)),"")))</f>
        <v/>
      </c>
      <c r="U42">
        <f>IF(入力!$D$44="","",IF(反映項目!$B$11="×","",IFERROR(INDEX(資格集約!$H$1017:$H$1042,MATCH(4,資格集約!$G$1017:$G$1042,0)),"")))</f>
        <v/>
      </c>
      <c r="V42">
        <f>IF(入力!$D$44="","",IF(反映項目!$B$11="×","",IFERROR(INDEX(資格集約!$E$1017:$E$1042,MATCH(4,資格集約!$G$1017:$G$1042,0)),"")))</f>
        <v/>
      </c>
      <c r="W42">
        <f>IF(入力!$D$44="","",IF(反映項目!$B$11="×","",IFERROR(INDEX(資格集約!$H$1017:$H$1042,MATCH(5,資格集約!$G$1017:$G$1042,0)),"")))</f>
        <v/>
      </c>
      <c r="X42">
        <f>IF(入力!$D$44="","",IF(反映項目!$B$11="×","",IFERROR(INDEX(資格集約!$E$1017:$E$1042,MATCH(5,資格集約!$G$1017:$G$1042,0)),"")))</f>
        <v/>
      </c>
      <c r="Y42">
        <f>IF(入力!$D$44="","",IF(反映項目!$B$11="×","",IFERROR(INDEX(資格集約!$H$1017:$H$1042,MATCH(6,資格集約!$G$1017:$G$1042,0)),"")))</f>
        <v/>
      </c>
      <c r="Z42">
        <f>IF(入力!$D$44="","",IF(反映項目!$B$11="×","",IFERROR(INDEX(資格集約!$E$1017:$E$1042,MATCH(6,資格集約!$G$1017:$G$1042,0)),"")))</f>
        <v/>
      </c>
      <c r="AA42">
        <f>IF(入力!$D$44="","",IF(反映項目!$B$11="×","",IFERROR(INDEX(資格集約!$H$1017:$H$1042,MATCH(7,資格集約!$G$1017:$G$1042,0)),"")))</f>
        <v/>
      </c>
      <c r="AB42">
        <f>IF(入力!$D$44="","",IF(反映項目!$B$11="×","",IFERROR(INDEX(資格集約!$E$1017:$E$1042,MATCH(7,資格集約!$G$1017:$G$1042,0)),"")))</f>
        <v/>
      </c>
      <c r="AC42">
        <f>IF(入力!$D$44="","",IF(反映項目!$B$11="×","",IFERROR(INDEX(資格集約!$H$1017:$H$1042,MATCH(8,資格集約!$G$1017:$G$1042,0)),"")))</f>
        <v/>
      </c>
      <c r="AD42">
        <f>IF(入力!$D$44="","",IF(反映項目!$B$11="×","",IFERROR(INDEX(資格集約!$E$1017:$E$1042,MATCH(8,資格集約!$G$1017:$G$1042,0)),"")))</f>
        <v/>
      </c>
      <c r="AE42">
        <f>IF(入力!$D$44="","",IF(反映項目!$B$11="×","",IFERROR(INDEX(資格集約!$H$1017:$H$1042,MATCH(9,資格集約!$G$1017:$G$1042,0)),"")))</f>
        <v/>
      </c>
      <c r="AF42">
        <f>IF(入力!$D$44="","",IF(反映項目!$B$11="×","",IFERROR(INDEX(資格集約!$E$1017:$E$1042,MATCH(9,資格集約!$G$1017:$G$1042,0)),"")))</f>
        <v/>
      </c>
      <c r="AG42">
        <f>IF(入力!$D$44="","",IF(反映項目!$B$11="×","",IFERROR(INDEX(資格集約!$H$1017:$H$1042,MATCH(10,資格集約!$G$1017:$G$1042,0)),"")))</f>
        <v/>
      </c>
      <c r="AH42">
        <f>IF(入力!$D$44="","",IF(反映項目!$B$11="×","",IFERROR(INDEX(資格集約!$E$1017:$E$1042,MATCH(10,資格集約!$G$1017:$G$1042,0)),"")))</f>
        <v/>
      </c>
      <c r="AI42">
        <f>IF(入力!$D$44="","",IF(反映項目!$B$11="×","",IFERROR(INDEX(資格集約!$H$1017:$H$1042,MATCH(11,資格集約!$G$1017:$G$1042,0)),"")))</f>
        <v/>
      </c>
      <c r="AJ42">
        <f>IF(入力!$D$44="","",IF(反映項目!$B$11="×","",IFERROR(INDEX(資格集約!$E$1017:$E$1042,MATCH(11,資格集約!$G$1017:$G$1042,0)),"")))</f>
        <v/>
      </c>
      <c r="AK42">
        <f>IF(入力!$D$44="","",IF(反映項目!$B$11="×","",IFERROR(INDEX(資格集約!$H$1017:$H$1042,MATCH(12,資格集約!$G$1017:$G$1042,0)),"")))</f>
        <v/>
      </c>
      <c r="AL42">
        <f>IF(入力!$D$44="","",IF(反映項目!$B$11="×","",IFERROR(INDEX(資格集約!$E$1017:$E$1042,MATCH(12,資格集約!$G$1017:$G$1042,0)),"")))</f>
        <v/>
      </c>
      <c r="AM42">
        <f>IF(入力!$D$44="","",IF(反映項目!$B$11="×","",IFERROR(INDEX(資格集約!$H$1017:$H$1042,MATCH(13,資格集約!$G$1017:$G$1042,0)),"")))</f>
        <v/>
      </c>
      <c r="AN42">
        <f>IF(入力!$D$44="","",IF(反映項目!$B$11="×","",IFERROR(INDEX(資格集約!$E$1017:$E$1042,MATCH(13,資格集約!$G$1017:$G$1042,0)),"")))</f>
        <v/>
      </c>
      <c r="AO42">
        <f>IF(入力!$D$44="","",IF(反映項目!$B$11="×","",IFERROR(INDEX(資格集約!$H$1017:$H$1042,MATCH(14,資格集約!$G$1017:$G$1042,0)),"")))</f>
        <v/>
      </c>
      <c r="AP42">
        <f>IF(入力!$D$44="","",IF(反映項目!$B$11="×","",IFERROR(INDEX(資格集約!$E$1017:$E$1042,MATCH(14,資格集約!$G$1017:$G$1042,0)),"")))</f>
        <v/>
      </c>
      <c r="AQ42">
        <f>IF(入力!$D$44="","",IF(反映項目!$B$11="×","",IFERROR(INDEX(資格集約!$H$1017:$H$1042,MATCH(15,資格集約!$G$1017:$G$1042,0)),"")))</f>
        <v/>
      </c>
      <c r="AR42">
        <f>IF(入力!$D$44="","",IF(反映項目!$B$11="×","",IFERROR(INDEX(資格集約!$E$1017:$E$1042,MATCH(15,資格集約!$G$1017:$G$1042,0)),"")))</f>
        <v/>
      </c>
      <c r="AS42">
        <f>IF(入力!$D$44="","",IF(反映項目!$B$11="×","",IFERROR(INDEX(資格集約!$H$1017:$H$1042,MATCH(16,資格集約!$G$1017:$G$1042,0)),"")))</f>
        <v/>
      </c>
      <c r="AT42">
        <f>IF(入力!$D$44="","",IF(反映項目!$B$11="×","",IFERROR(INDEX(資格集約!$E$1017:$E$1042,MATCH(16,資格集約!$G$1017:$G$1042,0)),"")))</f>
        <v/>
      </c>
      <c r="AU42">
        <f>IF(入力!$D$44="","",IF(反映項目!$B$11="×","",IFERROR(INDEX(資格集約!$H$1017:$H$1042,MATCH(17,資格集約!$G$1017:$G$1042,0)),"")))</f>
        <v/>
      </c>
      <c r="AV42">
        <f>IF(入力!$D$44="","",IF(反映項目!$B$11="×","",IFERROR(INDEX(資格集約!$E$1017:$E$1042,MATCH(17,資格集約!$G$1017:$G$1042,0)),"")))</f>
        <v/>
      </c>
      <c r="AW42">
        <f>IF(入力!$D$44="","",IF(反映項目!$B$11="×","",IFERROR(INDEX(資格集約!$H$1017:$H$1042,MATCH(18,資格集約!$G$1017:$G$1042,0)),"")))</f>
        <v/>
      </c>
      <c r="AX42">
        <f>IF(入力!$D$44="","",IF(反映項目!$B$11="×","",IFERROR(INDEX(資格集約!$E$1017:$E$1042,MATCH(18,資格集約!$G$1017:$G$1042,0)),"")))</f>
        <v/>
      </c>
      <c r="AY42">
        <f>IF(入力!$D$44="","",IF(反映項目!$B$11="×","",IFERROR(INDEX(資格集約!$H$1017:$H$1042,MATCH(19,資格集約!$G$1017:$G$1042,0)),"")))</f>
        <v/>
      </c>
      <c r="AZ42">
        <f>IF(入力!$D$44="","",IF(反映項目!$B$11="×","",IFERROR(INDEX(資格集約!$E$1017:$E$1042,MATCH(19,資格集約!$G$1017:$G$1042,0)),"")))</f>
        <v/>
      </c>
      <c r="BA42">
        <f>IF(入力!$D$44="","",IF(反映項目!$B$11="×","",IFERROR(INDEX(資格集約!$H$1017:$H$1042,MATCH(20,資格集約!$G$1017:$G$1042,0)),"")))</f>
        <v/>
      </c>
      <c r="BB42">
        <f>IF(入力!$D$44="","",IF(反映項目!$B$11="×","",IFERROR(INDEX(資格集約!$E$1017:$E$1042,MATCH(20,資格集約!$G$1017:$G$1042,0)),"")))</f>
        <v/>
      </c>
      <c r="BC42">
        <f>IF(入力!$D$44="","",IF(反映項目!$B$11="×","",IFERROR(INDEX(資格集約!$H$1017:$H$1042,MATCH(21,資格集約!$G$1017:$G$1042,0)),"")))</f>
        <v/>
      </c>
      <c r="BD42">
        <f>IF(入力!$D$44="","",IF(反映項目!$B$11="×","",IFERROR(INDEX(資格集約!$E$1017:$E$1042,MATCH(21,資格集約!$G$1017:$G$1042,0)),"")))</f>
        <v/>
      </c>
      <c r="BE42">
        <f>IF(入力!$D$44="","",IF(反映項目!$B$11="×","",IFERROR(INDEX(資格集約!$H$1017:$H$1042,MATCH(22,資格集約!$G$1017:$G$1042,0)),"")))</f>
        <v/>
      </c>
      <c r="BF42">
        <f>IF(入力!$D$44="","",IF(反映項目!$B$11="×","",IFERROR(INDEX(資格集約!$E$1017:$E$1042,MATCH(22,資格集約!$G$1017:$G$1042,0)),"")))</f>
        <v/>
      </c>
      <c r="BG42">
        <f>IF(入力!$D$44="","",IF(反映項目!$B$11="×","",IFERROR(INDEX(資格集約!$H$1017:$H$1042,MATCH(23,資格集約!$G$1017:$G$1042,0)),"")))</f>
        <v/>
      </c>
      <c r="BH42">
        <f>IF(入力!$D$44="","",IF(反映項目!$B$11="×","",IFERROR(INDEX(資格集約!$E$1017:$E$1042,MATCH(23,資格集約!$G$1017:$G$1042,0)),"")))</f>
        <v/>
      </c>
      <c r="BI42">
        <f>IF(入力!$D$44="","",IF(反映項目!$B$11="×","",IFERROR(INDEX(資格集約!$H$1017:$H$1042,MATCH(24,資格集約!$G$1017:$G$1042,0)),"")))</f>
        <v/>
      </c>
      <c r="BJ42">
        <f>IF(入力!$D$44="","",IF(反映項目!$B$11="×","",IFERROR(INDEX(資格集約!$E$1017:$E$1042,MATCH(24,資格集約!$G$1017:$G$1042,0)),"")))</f>
        <v/>
      </c>
      <c r="BK42">
        <f>IF(入力!$D$44="","",IF(反映項目!$B$11="×","",IFERROR(INDEX(資格集約!$H$1017:$H$1042,MATCH(25,資格集約!$G$1017:$G$1042,0)),"")))</f>
        <v/>
      </c>
      <c r="BL42">
        <f>IF(入力!$D$44="","",IF(反映項目!$B$11="×","",IFERROR(INDEX(資格集約!$E$1017:$E$1042,MATCH(25,資格集約!$G$1017:$G$1042,0)),"")))</f>
        <v/>
      </c>
      <c r="BM42">
        <f>IF(入力!$D$44="","",IF(反映項目!$B$11="×","",IFERROR(INDEX(資格集約!$H$1017:$H$1042,MATCH(26,資格集約!$G$1017:$G$1042,0)),"")))</f>
        <v/>
      </c>
      <c r="BN42">
        <f>IF(入力!$D$44="","",IF(反映項目!$B$11="×","",IFERROR(INDEX(資格集約!$E$1017:$E$1042,MATCH(26,資格集約!$G$1017:$G$1042,0)),"")))</f>
        <v/>
      </c>
      <c r="BO42">
        <f>IF(入力!$D$44="","",IF(OR(反映項目!$B$12="×",入力!$Z$44=""),"",入力!$Z$44))</f>
        <v/>
      </c>
      <c r="BP42">
        <f>IF(入力!$D$44="","",IF(OR(反映項目!$B$13="×",入力!$AA$44=""),"",入力!$AA$44))</f>
        <v/>
      </c>
      <c r="BQ42">
        <f>IF(入力!$D$44="","",IF(OR(反映項目!$B$15="×",入力!$AF$44=""),"",入力!$AF$44))</f>
        <v/>
      </c>
      <c r="BR42">
        <f>IF(入力!$D$44="","",IF(OR(反映項目!$B$14="×",N($BZ$42)=0),"",YEAR($BZ$42)-IF($BZ$42&gt;=DATE(2019,5,1),2018,1988)))&amp;""</f>
        <v/>
      </c>
      <c r="BS42">
        <f>IF(入力!$D$44="","",IF(OR(反映項目!$B$14="×",N($BZ$42)=0),"",MONTH($BZ$42)))&amp;""</f>
        <v/>
      </c>
      <c r="BT42">
        <f>IF(入力!$D$44="","",IF(OR(反映項目!$B$14="×",入力!$AC$44=""),"",入力!$AC$44))</f>
        <v/>
      </c>
      <c r="BU42">
        <f>IF(入力!$D$44="","",IF(OR(反映項目!$B$14="×",N($CA$42)=0),"",YEAR($CA$42)-IF($CA$42&gt;=DATE(2019,5,1),2018,1988)))&amp;""</f>
        <v/>
      </c>
      <c r="BV42">
        <f>IF(入力!$D$44="","",IF(OR(反映項目!$B$14="×",N($CA$42)=0),"",MONTH($CA$42)))&amp;""</f>
        <v/>
      </c>
      <c r="BW42">
        <f>IF(入力!$D$44="","",IF(OR(反映項目!$B$14="×",入力!$AE$44=""),"",入力!$AE$44))</f>
        <v/>
      </c>
      <c r="BY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Z42">
        <f>IF(入力!$D$44="","",IF(入力!$AB$44="","",IF(ISNUMBER(入力!$AB$44),入力!$AB$44,IFERROR(IF(OR(LEFT(入力!$AB$44,2)="令和",LEFT(入力!$AB$44,2)="平成",LEFT(入力!$AB$44,2)="昭和",LEFT(入力!$AB$44,2)="大正"),DATE(VALUE(MID(入力!$AB$44,3,FIND("年",入力!$AB$44)-3))+IF(LEFT(入力!$AB$44,2)="令和",2018,IF(LEFT(入力!$AB$44,2)="平成",1988,IF(LEFT(入力!$AB$44,2)="昭和",1925,IF(LEFT(入力!$AB$44,2)="大正",1911,0)))),VALUE(MID(入力!$AB$44,FIND("年",入力!$AB$44)+1,FIND("月",入力!$AB$44)-FIND("年",入力!$AB$44)-1)),IFERROR(VALUE(SUBSTITUTE(MID(入力!$AB$44,FIND("月",入力!$AB$44)+1,10),"日","")),1)),DATE(VALUE(TRIM(MID(SUBSTITUTE(SUBSTITUTE(SUBSTITUTE(SUBSTITUTE(SUBSTITUTE(SUBSTITUTE(入力!$AB$44,"年","/"),"月","/"),"日",""),"-","/"),".","/"),"/",REPT(" ",50)),1,50))),VALUE(TRIM(MID(SUBSTITUTE(SUBSTITUTE(SUBSTITUTE(SUBSTITUTE(SUBSTITUTE(SUBSTITUTE(入力!$AB$44,"年","/"),"月","/"),"日",""),"-","/"),".","/"),"/",REPT(" ",50)),51,50))),IFERROR(VALUE(TRIM(MID(SUBSTITUTE(SUBSTITUTE(SUBSTITUTE(SUBSTITUTE(SUBSTITUTE(SUBSTITUTE(入力!$AB$44,"年","/"),"月","/"),"日",""),"-","/"),".","/"),"/",REPT(" ",50)),101,50))),1))),IFERROR(DATEVALUE(入力!$AB$44),"")))))</f>
        <v/>
      </c>
      <c r="CA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CB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amp;IF($AR42="","",CHAR(10)&amp;$AQ42)&amp;IF($AT42="","",CHAR(10)&amp;$AS42)&amp;IF($AV42="","",CHAR(10)&amp;$AU42)&amp;IF($AX42="","",CHAR(10)&amp;$AW42)&amp;IF($AZ42="","",CHAR(10)&amp;$AY42)&amp;IF($BB42="","",CHAR(10)&amp;$BA42)&amp;IF($BD42="","",CHAR(10)&amp;$BC42)&amp;IF($BF42="","",CHAR(10)&amp;$BE42)&amp;IF($BH42="","",CHAR(10)&amp;$BG42)&amp;IF($BJ42="","",CHAR(10)&amp;$BI42)&amp;IF($BL42="","",CHAR(10)&amp;$BK42)&amp;IF($BN42="","",CHAR(10)&amp;$BM42))</f>
        <v/>
      </c>
      <c r="CC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amp;IF($AR42="","",CHAR(10)&amp;$AR42)&amp;IF($AT42="","",CHAR(10)&amp;$AT42)&amp;IF($AV42="","",CHAR(10)&amp;$AV42)&amp;IF($AX42="","",CHAR(10)&amp;$AX42)&amp;IF($AZ42="","",CHAR(10)&amp;$AZ42)&amp;IF($BB42="","",CHAR(10)&amp;$BB42)&amp;IF($BD42="","",CHAR(10)&amp;$BD42)&amp;IF($BF42="","",CHAR(10)&amp;$BF42)&amp;IF($BH42="","",CHAR(10)&amp;$BH42)&amp;IF($BJ42="","",CHAR(10)&amp;$BJ42)&amp;IF($BL42="","",CHAR(10)&amp;$BL42)&amp;IF($BN42="","",CHAR(10)&amp;$BN42))</f>
        <v/>
      </c>
      <c r="CD42">
        <f>IF(入力!$D$44="","",IF($P42="",0,1)+IF($R42="",0,1)+IF($T42="",0,1)+IF($V42="",0,1)+IF($X42="",0,1)+IF($Z42="",0,1)+IF($AB42="",0,1)+IF($AD42="",0,1)+IF($AF42="",0,1)+IF($AH42="",0,1)+IF($AJ42="",0,1)+IF($AL42="",0,1)+IF($AN42="",0,1)+IF($AP42="",0,1)+IF($AR42="",0,1)+IF($AT42="",0,1)+IF($AV42="",0,1)+IF($AX42="",0,1)+IF($AZ42="",0,1)+IF($BB42="",0,1)+IF($BD42="",0,1)+IF($BF42="",0,1)+IF($BH42="",0,1)+IF($BJ42="",0,1)+IF($BL42="",0,1)+IF($BN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3" t="inlineStr">
        <is>
          <t>郵便番号</t>
        </is>
      </c>
      <c r="B3" s="193" t="inlineStr">
        <is>
          <t>住所</t>
        </is>
      </c>
      <c r="C3" s="193"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2026-08-20T06:50:11Z</dcterms:modifi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