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650" tabRatio="565"/>
  </bookViews>
  <sheets>
    <sheet name="First_Submission" sheetId="11" r:id="rId1"/>
    <sheet name="Cost-Supply" sheetId="3" r:id="rId2"/>
    <sheet name="Price-Demand" sheetId="7" r:id="rId3"/>
    <sheet name="Model" sheetId="8" r:id="rId4"/>
  </sheets>
  <definedNames>
    <definedName name="solver_adj" localSheetId="3">Model!#REF!</definedName>
    <definedName name="solver_cvg" localSheetId="3">0.0001</definedName>
    <definedName name="solver_drv" localSheetId="3">1</definedName>
    <definedName name="solver_est" localSheetId="3">1</definedName>
    <definedName name="solver_itr" localSheetId="3">100</definedName>
    <definedName name="solver_lhs1" localSheetId="3">Model!#REF!</definedName>
    <definedName name="solver_lin" localSheetId="3">2</definedName>
    <definedName name="solver_neg" localSheetId="3">2</definedName>
    <definedName name="solver_num" localSheetId="3">1</definedName>
    <definedName name="solver_nwt" localSheetId="3">1</definedName>
    <definedName name="solver_opt" localSheetId="3">Model!$I$9</definedName>
    <definedName name="solver_pre" localSheetId="3">0.000001</definedName>
    <definedName name="solver_rel1" localSheetId="3">1</definedName>
    <definedName name="solver_rhs1" localSheetId="3">Model!$D$6</definedName>
    <definedName name="solver_scl" localSheetId="3">2</definedName>
    <definedName name="solver_sho" localSheetId="3">2</definedName>
    <definedName name="solver_tim" localSheetId="3">100</definedName>
    <definedName name="solver_tol" localSheetId="3">0.05</definedName>
    <definedName name="solver_typ" localSheetId="3">1</definedName>
    <definedName name="solver_val" localSheetId="3">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8" l="1"/>
  <c r="K13" i="8"/>
  <c r="H13" i="8"/>
  <c r="C21" i="8"/>
  <c r="C22" i="8"/>
  <c r="C23" i="8"/>
  <c r="C24" i="8"/>
  <c r="C25" i="8"/>
  <c r="C26" i="8"/>
  <c r="C27" i="8"/>
  <c r="C20" i="8"/>
  <c r="E13" i="8"/>
  <c r="D13" i="8"/>
  <c r="C14" i="8"/>
  <c r="C15" i="8"/>
  <c r="C16" i="8"/>
  <c r="C17" i="8"/>
  <c r="C18" i="8"/>
  <c r="C19" i="8"/>
  <c r="C13" i="8"/>
  <c r="C10" i="11"/>
  <c r="C18" i="11"/>
  <c r="D20" i="11" s="1"/>
  <c r="C15" i="11"/>
  <c r="C11" i="11"/>
  <c r="H18" i="8" l="1"/>
  <c r="I18" i="8" s="1"/>
  <c r="H19" i="8"/>
  <c r="I19" i="8" s="1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13" i="8"/>
  <c r="C12" i="7"/>
  <c r="G5" i="3"/>
  <c r="C10" i="7"/>
  <c r="C9" i="7"/>
  <c r="D20" i="8"/>
  <c r="F20" i="8" s="1"/>
  <c r="H20" i="8" s="1"/>
  <c r="I20" i="8" s="1"/>
  <c r="D14" i="8"/>
  <c r="F14" i="8" s="1"/>
  <c r="H14" i="8" s="1"/>
  <c r="I14" i="8" s="1"/>
  <c r="D18" i="8"/>
  <c r="F18" i="8" s="1"/>
  <c r="F19" i="8"/>
  <c r="E19" i="8"/>
  <c r="E20" i="8"/>
  <c r="E21" i="8"/>
  <c r="E22" i="8"/>
  <c r="E23" i="8"/>
  <c r="E24" i="8"/>
  <c r="E25" i="8"/>
  <c r="E26" i="8"/>
  <c r="E27" i="8"/>
  <c r="E14" i="8"/>
  <c r="E15" i="8"/>
  <c r="E16" i="8"/>
  <c r="E17" i="8"/>
  <c r="E18" i="8"/>
  <c r="D26" i="8"/>
  <c r="F26" i="8" s="1"/>
  <c r="H26" i="8" s="1"/>
  <c r="I26" i="8" s="1"/>
  <c r="D25" i="8"/>
  <c r="F25" i="8" s="1"/>
  <c r="H25" i="8" s="1"/>
  <c r="I25" i="8" s="1"/>
  <c r="D24" i="8"/>
  <c r="F24" i="8" s="1"/>
  <c r="H24" i="8" s="1"/>
  <c r="I24" i="8" s="1"/>
  <c r="D23" i="8"/>
  <c r="F23" i="8" s="1"/>
  <c r="H23" i="8" s="1"/>
  <c r="I23" i="8" s="1"/>
  <c r="D22" i="8"/>
  <c r="F22" i="8" s="1"/>
  <c r="H22" i="8" s="1"/>
  <c r="I22" i="8" s="1"/>
  <c r="D21" i="8"/>
  <c r="F21" i="8" s="1"/>
  <c r="H21" i="8" s="1"/>
  <c r="I21" i="8" s="1"/>
  <c r="D19" i="8"/>
  <c r="K19" i="8" s="1"/>
  <c r="D27" i="8"/>
  <c r="F27" i="8" s="1"/>
  <c r="H27" i="8" s="1"/>
  <c r="I27" i="8" s="1"/>
  <c r="D15" i="8"/>
  <c r="K15" i="8" s="1"/>
  <c r="D17" i="8"/>
  <c r="F17" i="8" s="1"/>
  <c r="H17" i="8" s="1"/>
  <c r="I17" i="8" s="1"/>
  <c r="D16" i="8"/>
  <c r="F16" i="8" s="1"/>
  <c r="H16" i="8" s="1"/>
  <c r="I16" i="8" s="1"/>
  <c r="F13" i="8"/>
  <c r="I13" i="8" s="1"/>
  <c r="H24" i="3"/>
  <c r="G23" i="3"/>
  <c r="I6" i="3"/>
  <c r="H6" i="3"/>
  <c r="G6" i="3"/>
  <c r="I5" i="3"/>
  <c r="H5" i="3"/>
  <c r="E5" i="8"/>
  <c r="K27" i="8" l="1"/>
  <c r="K23" i="8"/>
  <c r="F15" i="8"/>
  <c r="H15" i="8" s="1"/>
  <c r="I15" i="8" s="1"/>
  <c r="K25" i="8"/>
  <c r="K21" i="8"/>
  <c r="K17" i="8"/>
  <c r="K24" i="8"/>
  <c r="K20" i="8"/>
  <c r="K16" i="8"/>
  <c r="K26" i="8"/>
  <c r="K22" i="8"/>
  <c r="K18" i="8"/>
  <c r="K14" i="8"/>
  <c r="I15" i="3"/>
  <c r="H12" i="3"/>
</calcChain>
</file>

<file path=xl/sharedStrings.xml><?xml version="1.0" encoding="utf-8"?>
<sst xmlns="http://schemas.openxmlformats.org/spreadsheetml/2006/main" count="53" uniqueCount="39">
  <si>
    <t xml:space="preserve">  </t>
  </si>
  <si>
    <t>Intercept</t>
  </si>
  <si>
    <t>Slope</t>
  </si>
  <si>
    <t>Order Quantity</t>
  </si>
  <si>
    <t>Warehouse</t>
  </si>
  <si>
    <t>Total Revenue</t>
  </si>
  <si>
    <t>Profit</t>
  </si>
  <si>
    <t>Total Cost</t>
  </si>
  <si>
    <t>Selling Price</t>
  </si>
  <si>
    <t>Demand</t>
  </si>
  <si>
    <t>Profit Margin</t>
  </si>
  <si>
    <t>Panel Cost/Unit</t>
  </si>
  <si>
    <t>Total Cost/Unit</t>
  </si>
  <si>
    <t>Order Quantity Modelling</t>
  </si>
  <si>
    <t>Price</t>
  </si>
  <si>
    <t>Relationship between Order Quantity and Cost of OLED Panel</t>
  </si>
  <si>
    <t>Quantity</t>
  </si>
  <si>
    <t>Per Unit Cost</t>
  </si>
  <si>
    <t>cost/unit</t>
  </si>
  <si>
    <t>Quote from Samsung</t>
  </si>
  <si>
    <t>Price/Unit</t>
  </si>
  <si>
    <t>Line 1</t>
  </si>
  <si>
    <t>Line 2</t>
  </si>
  <si>
    <t>Line 3</t>
  </si>
  <si>
    <t>Warehouse ₹/day</t>
  </si>
  <si>
    <t>Other Costs</t>
  </si>
  <si>
    <t>Capacity</t>
  </si>
  <si>
    <t>Internal</t>
  </si>
  <si>
    <t>Total</t>
  </si>
  <si>
    <t>Other Cost Components</t>
  </si>
  <si>
    <t>Warehouse Storage Days</t>
  </si>
  <si>
    <t>Selling Price &amp; Demand</t>
  </si>
  <si>
    <t>Price &amp; Demand Relationship</t>
  </si>
  <si>
    <t>At Least 2% Profit Margin</t>
  </si>
  <si>
    <t>Units</t>
  </si>
  <si>
    <t>Other Components priced fixed at</t>
  </si>
  <si>
    <t>Price for 1 Smartwatch</t>
  </si>
  <si>
    <t>Price if Sell at Profit of atleat 1%</t>
  </si>
  <si>
    <t>At this Price NuWave should Sell their Smartwatch fulfilling of the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</si>
</sst>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#,##0.0"/>
    <numFmt numFmtId="166" formatCode="&quot;₹&quot;\ #,##0.00"/>
  </numFmts>
  <fonts count="14">
    <font>
      <sz val="11"/>
      <color theme="1" tint="0.24994659260841701"/>
      <name val="Nunito"/>
    </font>
    <font>
      <sz val="10"/>
      <color rgb="FF000000"/>
      <name val="Arial"/>
      <family val="2"/>
      <scheme val="minor"/>
    </font>
    <font>
      <sz val="11"/>
      <color rgb="FF3F3F76"/>
      <name val="Nunito"/>
      <family val="2"/>
    </font>
    <font>
      <b/>
      <sz val="18"/>
      <color theme="1" tint="0.24994659260841701"/>
      <name val="Nunito"/>
    </font>
    <font>
      <b/>
      <sz val="11"/>
      <color theme="1" tint="0.24994659260841701"/>
      <name val="Nunito"/>
    </font>
    <font>
      <b/>
      <sz val="18"/>
      <color theme="1"/>
      <name val="Nunito"/>
    </font>
    <font>
      <sz val="11"/>
      <color theme="1"/>
      <name val="Nunito"/>
    </font>
    <font>
      <sz val="11"/>
      <color rgb="FF333333"/>
      <name val="Nunito"/>
    </font>
    <font>
      <sz val="11"/>
      <color rgb="FF000000"/>
      <name val="Nunito"/>
    </font>
    <font>
      <sz val="11"/>
      <color rgb="FFFFFFFF"/>
      <name val="Nunito"/>
    </font>
    <font>
      <b/>
      <sz val="11"/>
      <color rgb="FF000000"/>
      <name val="Nunito"/>
    </font>
    <font>
      <sz val="11"/>
      <color theme="1" tint="0.249977111117893"/>
      <name val="Nunito"/>
    </font>
    <font>
      <b/>
      <sz val="18"/>
      <color theme="1" tint="0.249977111117893"/>
      <name val="Nunito"/>
    </font>
    <font>
      <b/>
      <sz val="11"/>
      <color theme="1" tint="0.249977111117893"/>
      <name val="Nunito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4" fillId="0" borderId="0" xfId="0" applyFont="1"/>
    <xf numFmtId="6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left"/>
    </xf>
    <xf numFmtId="6" fontId="6" fillId="0" borderId="2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3" fillId="0" borderId="0" xfId="0" applyFont="1"/>
    <xf numFmtId="164" fontId="11" fillId="0" borderId="2" xfId="0" applyNumberFormat="1" applyFont="1" applyBorder="1" applyAlignment="1">
      <alignment horizontal="right"/>
    </xf>
    <xf numFmtId="6" fontId="11" fillId="0" borderId="2" xfId="0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0" fontId="11" fillId="0" borderId="2" xfId="0" applyFont="1" applyBorder="1"/>
    <xf numFmtId="3" fontId="11" fillId="0" borderId="2" xfId="0" applyNumberFormat="1" applyFont="1" applyBorder="1"/>
    <xf numFmtId="6" fontId="11" fillId="0" borderId="2" xfId="0" applyNumberFormat="1" applyFont="1" applyBorder="1"/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0" fontId="0" fillId="0" borderId="2" xfId="0" applyNumberFormat="1" applyBorder="1"/>
    <xf numFmtId="6" fontId="2" fillId="2" borderId="1" xfId="1" applyNumberForma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6" fontId="8" fillId="0" borderId="0" xfId="0" applyNumberFormat="1" applyFont="1"/>
    <xf numFmtId="8" fontId="8" fillId="0" borderId="0" xfId="0" applyNumberFormat="1" applyFont="1"/>
    <xf numFmtId="3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2" fontId="8" fillId="0" borderId="0" xfId="0" applyNumberFormat="1" applyFont="1"/>
    <xf numFmtId="2" fontId="0" fillId="0" borderId="0" xfId="0" applyNumberFormat="1"/>
    <xf numFmtId="8" fontId="11" fillId="0" borderId="2" xfId="0" applyNumberFormat="1" applyFont="1" applyBorder="1"/>
    <xf numFmtId="8" fontId="11" fillId="0" borderId="0" xfId="0" applyNumberFormat="1" applyFont="1" applyAlignment="1">
      <alignment horizontal="center"/>
    </xf>
    <xf numFmtId="0" fontId="11" fillId="0" borderId="0" xfId="0" applyNumberFormat="1" applyFont="1"/>
    <xf numFmtId="3" fontId="0" fillId="3" borderId="2" xfId="0" applyNumberFormat="1" applyFill="1" applyBorder="1" applyAlignment="1">
      <alignment horizontal="center"/>
    </xf>
    <xf numFmtId="6" fontId="0" fillId="3" borderId="2" xfId="0" applyNumberFormat="1" applyFill="1" applyBorder="1"/>
    <xf numFmtId="0" fontId="0" fillId="3" borderId="2" xfId="0" applyFill="1" applyBorder="1"/>
    <xf numFmtId="10" fontId="0" fillId="3" borderId="2" xfId="0" applyNumberFormat="1" applyFill="1" applyBorder="1"/>
    <xf numFmtId="0" fontId="4" fillId="0" borderId="2" xfId="0" applyFont="1" applyBorder="1" applyAlignment="1">
      <alignment horizontal="left" vertical="center" wrapText="1"/>
    </xf>
    <xf numFmtId="8" fontId="0" fillId="0" borderId="2" xfId="0" applyNumberFormat="1" applyBorder="1"/>
    <xf numFmtId="8" fontId="0" fillId="3" borderId="2" xfId="0" applyNumberFormat="1" applyFill="1" applyBorder="1"/>
    <xf numFmtId="166" fontId="0" fillId="0" borderId="2" xfId="0" applyNumberFormat="1" applyBorder="1"/>
    <xf numFmtId="166" fontId="0" fillId="3" borderId="2" xfId="0" applyNumberFormat="1" applyFill="1" applyBorder="1"/>
    <xf numFmtId="0" fontId="4" fillId="0" borderId="0" xfId="0" applyFont="1" applyAlignment="1">
      <alignment horizontal="center" wrapText="1"/>
    </xf>
    <xf numFmtId="166" fontId="1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166" fontId="6" fillId="0" borderId="2" xfId="0" applyNumberFormat="1" applyFont="1" applyBorder="1" applyAlignment="1">
      <alignment horizontal="center"/>
    </xf>
    <xf numFmtId="166" fontId="8" fillId="0" borderId="0" xfId="0" applyNumberFormat="1" applyFont="1"/>
  </cellXfs>
  <cellStyles count="2">
    <cellStyle name="Input" xfId="1" builtinId="20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tabSelected="1" zoomScale="85" zoomScaleNormal="85" workbookViewId="0">
      <selection activeCell="C18" sqref="C18"/>
    </sheetView>
  </sheetViews>
  <sheetFormatPr defaultColWidth="12.625" defaultRowHeight="14.25"/>
  <cols>
    <col min="1" max="1" width="0.875" customWidth="1"/>
    <col min="2" max="2" width="28.75" customWidth="1"/>
    <col min="3" max="3" width="19.875" customWidth="1"/>
    <col min="4" max="5" width="16.625" customWidth="1"/>
    <col min="6" max="6" width="3.5" customWidth="1"/>
    <col min="7" max="7" width="8.5" customWidth="1"/>
    <col min="8" max="11" width="12.625" customWidth="1"/>
    <col min="12" max="13" width="0.875" customWidth="1"/>
    <col min="14" max="17" width="8.875" customWidth="1"/>
    <col min="18" max="18" width="14.5" customWidth="1"/>
    <col min="19" max="26" width="8.875" customWidth="1"/>
  </cols>
  <sheetData>
    <row r="1" spans="1:26">
      <c r="A1" s="8"/>
      <c r="C1" s="8"/>
      <c r="D1" s="8"/>
      <c r="E1" s="8"/>
      <c r="F1" s="8"/>
      <c r="G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3.25">
      <c r="A2" s="15"/>
      <c r="B2" s="7" t="s">
        <v>15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0" customFormat="1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10" customFormat="1">
      <c r="A4" s="8"/>
      <c r="F4" s="9"/>
      <c r="G4" s="9"/>
      <c r="H4" s="9"/>
      <c r="I4" s="9"/>
      <c r="J4" s="9"/>
      <c r="K4" s="9"/>
      <c r="L4" s="8"/>
      <c r="M4" s="8"/>
      <c r="N4" s="11"/>
      <c r="O4" s="8"/>
    </row>
    <row r="5" spans="1:26" s="10" customFormat="1">
      <c r="A5" s="8"/>
      <c r="B5" s="36" t="s">
        <v>16</v>
      </c>
      <c r="C5" s="36" t="s">
        <v>17</v>
      </c>
      <c r="F5" s="9"/>
      <c r="G5" s="9"/>
      <c r="H5" s="45"/>
      <c r="I5" s="45"/>
      <c r="J5"/>
      <c r="K5"/>
      <c r="L5" s="8"/>
      <c r="M5" s="8"/>
      <c r="N5" s="11"/>
      <c r="O5" s="8"/>
    </row>
    <row r="6" spans="1:26" s="10" customFormat="1">
      <c r="A6" s="8"/>
      <c r="B6" s="42">
        <v>1</v>
      </c>
      <c r="C6" s="62">
        <v>1750</v>
      </c>
      <c r="F6" s="9"/>
      <c r="G6" s="9"/>
      <c r="H6" s="45"/>
      <c r="I6" s="45"/>
      <c r="J6"/>
      <c r="K6"/>
      <c r="L6" s="8"/>
      <c r="M6" s="8"/>
      <c r="N6" s="11"/>
      <c r="O6" s="8"/>
    </row>
    <row r="7" spans="1:26" s="10" customFormat="1">
      <c r="A7" s="8"/>
      <c r="B7" s="43">
        <v>1000</v>
      </c>
      <c r="C7" s="62">
        <v>1575</v>
      </c>
      <c r="F7" s="9"/>
      <c r="G7" s="9"/>
      <c r="H7" s="9"/>
      <c r="I7" s="9"/>
      <c r="J7"/>
      <c r="K7" s="9"/>
      <c r="L7" s="8"/>
      <c r="M7" s="8"/>
      <c r="N7" s="8"/>
      <c r="O7" s="8"/>
    </row>
    <row r="8" spans="1:26" s="10" customFormat="1">
      <c r="A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26" s="10" customFormat="1">
      <c r="A9" s="8"/>
      <c r="B9"/>
      <c r="C9"/>
      <c r="D9"/>
      <c r="E9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26" s="10" customFormat="1">
      <c r="A10" s="8"/>
      <c r="B10" s="44" t="s">
        <v>1</v>
      </c>
      <c r="C10" s="12">
        <f>INTERCEPT(C6:C7,B6:B7)</f>
        <v>1750.1751751751751</v>
      </c>
      <c r="D10"/>
      <c r="E10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26" s="10" customFormat="1">
      <c r="A11" s="8"/>
      <c r="B11" s="44" t="s">
        <v>2</v>
      </c>
      <c r="C11" s="10">
        <f>SLOPE(C6:C7,B6:B7)</f>
        <v>-0.17517517517517517</v>
      </c>
      <c r="D11"/>
      <c r="E11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26" s="10" customFormat="1">
      <c r="A12" s="8"/>
      <c r="B12"/>
      <c r="C12"/>
      <c r="D12"/>
      <c r="E12" s="46"/>
      <c r="F12" s="39"/>
      <c r="G12" s="8"/>
      <c r="H12" s="8"/>
      <c r="I12" s="8"/>
      <c r="J12" s="8"/>
      <c r="K12" s="8"/>
      <c r="L12" s="8"/>
      <c r="M12" s="8"/>
      <c r="N12" s="8"/>
      <c r="O12" s="8"/>
    </row>
    <row r="13" spans="1:26" s="10" customFormat="1" ht="15">
      <c r="A13" s="8"/>
      <c r="B13"/>
      <c r="C13"/>
      <c r="D13"/>
      <c r="E13"/>
      <c r="F13" s="39"/>
      <c r="G13" s="8"/>
      <c r="H13" s="8"/>
      <c r="I13" s="8"/>
      <c r="J13" s="8"/>
      <c r="K13" s="8"/>
      <c r="L13" s="8"/>
      <c r="M13" s="8"/>
      <c r="N13" s="8"/>
      <c r="O13" s="8"/>
      <c r="V13" s="16"/>
    </row>
    <row r="14" spans="1:26" s="10" customFormat="1">
      <c r="A14" s="8"/>
      <c r="B14" s="44" t="s">
        <v>34</v>
      </c>
      <c r="C14" s="12" t="s">
        <v>14</v>
      </c>
      <c r="D14"/>
      <c r="E14"/>
      <c r="F14" s="39"/>
      <c r="G14" s="8"/>
      <c r="H14" s="8"/>
      <c r="I14" s="8"/>
      <c r="J14" s="8"/>
      <c r="K14" s="8"/>
      <c r="L14" s="8"/>
      <c r="M14" s="8"/>
      <c r="N14" s="8"/>
      <c r="O14" s="8"/>
    </row>
    <row r="15" spans="1:26" s="10" customFormat="1">
      <c r="A15" s="8"/>
      <c r="B15" s="62">
        <v>500</v>
      </c>
      <c r="C15" s="63">
        <f>B15*C11+C10</f>
        <v>1662.5875875875874</v>
      </c>
      <c r="D15"/>
      <c r="E15"/>
      <c r="F15" s="39"/>
      <c r="G15" s="8"/>
      <c r="H15" s="8"/>
      <c r="I15" s="8"/>
      <c r="J15" s="8"/>
      <c r="K15" s="8"/>
      <c r="L15" s="8"/>
      <c r="M15" s="8"/>
      <c r="N15" s="8"/>
      <c r="O15" s="8" t="s">
        <v>0</v>
      </c>
    </row>
    <row r="16" spans="1:26" s="10" customFormat="1">
      <c r="A16" s="8"/>
      <c r="D16"/>
      <c r="E16"/>
      <c r="F16" s="39"/>
      <c r="G16" s="8"/>
      <c r="H16" s="8"/>
      <c r="I16" s="8"/>
      <c r="J16" s="8"/>
      <c r="K16" s="8"/>
      <c r="L16" s="8"/>
      <c r="M16" s="8"/>
      <c r="N16" s="8"/>
      <c r="O16" s="8"/>
    </row>
    <row r="17" spans="1:26" s="10" customFormat="1">
      <c r="A17" s="8"/>
      <c r="B17" s="44" t="s">
        <v>35</v>
      </c>
      <c r="C17" s="12" t="s">
        <v>36</v>
      </c>
      <c r="D17"/>
      <c r="E17"/>
      <c r="F17" s="39"/>
      <c r="G17" s="8"/>
      <c r="H17" s="8"/>
      <c r="I17" s="8"/>
      <c r="J17" s="8"/>
      <c r="K17" s="8"/>
      <c r="L17" s="8"/>
      <c r="M17" s="8"/>
      <c r="N17" s="8"/>
      <c r="O17" s="8"/>
    </row>
    <row r="18" spans="1:26" s="10" customFormat="1">
      <c r="A18" s="8"/>
      <c r="B18" s="62">
        <v>6000</v>
      </c>
      <c r="C18" s="62">
        <f>B18+C15</f>
        <v>7662.5875875875872</v>
      </c>
      <c r="D18"/>
      <c r="E18"/>
      <c r="F18" s="39"/>
      <c r="G18" s="8"/>
      <c r="H18" s="8"/>
      <c r="I18" s="8"/>
      <c r="J18" s="8"/>
      <c r="K18" s="8"/>
      <c r="L18" s="8"/>
      <c r="M18" s="8"/>
      <c r="N18" s="8"/>
      <c r="O18" s="8"/>
    </row>
    <row r="19" spans="1:26" s="10" customFormat="1">
      <c r="A19" s="8"/>
      <c r="B19"/>
      <c r="C19"/>
      <c r="D19"/>
      <c r="E19"/>
      <c r="F19" s="39"/>
      <c r="G19" s="8"/>
      <c r="H19" s="8"/>
      <c r="I19" s="8"/>
      <c r="J19" s="8"/>
      <c r="K19" s="8"/>
      <c r="L19" s="8"/>
      <c r="M19" s="8"/>
      <c r="N19" s="8"/>
      <c r="O19" s="8"/>
      <c r="R19" s="40"/>
    </row>
    <row r="20" spans="1:26" s="10" customFormat="1">
      <c r="A20" s="8"/>
      <c r="B20" s="44" t="s">
        <v>37</v>
      </c>
      <c r="C20" s="44"/>
      <c r="D20" s="62">
        <f>ROUNDUP((C18*1/100)+C18,0)</f>
        <v>7740</v>
      </c>
      <c r="E20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26" s="10" customFormat="1">
      <c r="A21" s="8"/>
      <c r="B21"/>
      <c r="C21"/>
      <c r="D21"/>
      <c r="E21"/>
      <c r="F21" s="8"/>
      <c r="G21" s="8"/>
      <c r="H21" s="8"/>
      <c r="I21" s="8"/>
      <c r="J21" s="8"/>
      <c r="K21" s="8"/>
      <c r="L21" s="8"/>
      <c r="M21" s="8"/>
      <c r="N21" s="8"/>
      <c r="O21" s="8"/>
      <c r="R21" s="41"/>
      <c r="S21" s="40"/>
    </row>
    <row r="22" spans="1:26" s="10" customFormat="1">
      <c r="A22" s="8"/>
      <c r="B22"/>
      <c r="C22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26" s="10" customFormat="1">
      <c r="A23" s="8"/>
      <c r="B23"/>
      <c r="C23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26" s="10" customFormat="1">
      <c r="A24" s="8"/>
      <c r="B24"/>
      <c r="C24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26" s="10" customFormat="1">
      <c r="A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26" s="10" customFormat="1">
      <c r="A26" s="8"/>
      <c r="B26" s="13"/>
      <c r="C26" s="14"/>
      <c r="D26" s="14"/>
      <c r="E26" s="14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26" s="10" customFormat="1">
      <c r="A27" s="8"/>
      <c r="B27" s="13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1:26" s="10" customForma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8"/>
      <c r="B35" s="11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</sheetData>
  <pageMargins left="0.74803149606299213" right="0.74803149606299213" top="0.74803149606299213" bottom="0.74803149606299213" header="0" footer="0"/>
  <pageSetup paperSize="9" orientation="portrait"/>
  <headerFooter>
    <oddFooter>&amp;LLeongTY&amp;R&amp;F/&amp;A</oddFooter>
  </headerFooter>
  <colBreaks count="3" manualBreakCount="3">
    <brk id="22" man="1"/>
    <brk id="12" man="1"/>
    <brk id="3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zoomScaleNormal="100" workbookViewId="0">
      <selection activeCell="I13" sqref="I13"/>
    </sheetView>
  </sheetViews>
  <sheetFormatPr defaultColWidth="12.625" defaultRowHeight="14.25"/>
  <cols>
    <col min="1" max="1" width="0.875" style="18" customWidth="1"/>
    <col min="2" max="2" width="17.375" style="18" customWidth="1"/>
    <col min="3" max="5" width="16.625" style="18" customWidth="1"/>
    <col min="6" max="9" width="15.625" style="18" customWidth="1"/>
    <col min="10" max="11" width="12.625" style="18" customWidth="1"/>
    <col min="12" max="13" width="0.875" style="18" customWidth="1"/>
    <col min="14" max="20" width="8.875" style="18" customWidth="1"/>
    <col min="21" max="21" width="15.5" style="18" customWidth="1"/>
    <col min="22" max="22" width="13.5" style="18" customWidth="1"/>
    <col min="23" max="26" width="8.875" style="18" customWidth="1"/>
    <col min="27" max="16384" width="12.625" style="18"/>
  </cols>
  <sheetData>
    <row r="1" spans="1:26">
      <c r="A1" s="17"/>
      <c r="C1" s="17"/>
      <c r="D1" s="17"/>
      <c r="E1" s="17"/>
      <c r="F1" s="17"/>
      <c r="G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23.25">
      <c r="A2" s="17"/>
      <c r="B2" s="19" t="s">
        <v>15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>
      <c r="A4" s="17"/>
      <c r="F4" s="17"/>
      <c r="G4" s="17" t="s">
        <v>21</v>
      </c>
      <c r="H4" s="17" t="s">
        <v>22</v>
      </c>
      <c r="I4" s="17" t="s">
        <v>23</v>
      </c>
      <c r="J4" s="17"/>
      <c r="K4" s="17"/>
      <c r="L4" s="17"/>
      <c r="M4" s="17"/>
      <c r="N4" s="20"/>
      <c r="O4" s="17"/>
    </row>
    <row r="5" spans="1:26" ht="15">
      <c r="A5" s="17"/>
      <c r="B5" s="21" t="s">
        <v>19</v>
      </c>
      <c r="F5" s="22" t="s">
        <v>1</v>
      </c>
      <c r="G5" s="23">
        <f>INTERCEPT(C8:C9,B8:B9)</f>
        <v>1450.0050010002001</v>
      </c>
      <c r="H5" s="23">
        <f>INTERCEPT(C9:C10,B9:B10)</f>
        <v>1483.3333333333333</v>
      </c>
      <c r="I5" s="23">
        <f>INTERCEPT(C10:C11,B10:B11)</f>
        <v>1783.3333333333335</v>
      </c>
      <c r="L5" s="17"/>
      <c r="M5" s="17"/>
      <c r="N5" s="20"/>
      <c r="O5" s="17"/>
    </row>
    <row r="6" spans="1:26">
      <c r="A6" s="17"/>
      <c r="F6" s="22" t="s">
        <v>2</v>
      </c>
      <c r="G6" s="49">
        <f>SLOPE($C$8:$C$9,$B$8:$B$9)</f>
        <v>-5.0010002000400082E-3</v>
      </c>
      <c r="H6" s="18">
        <f>SLOPE($C$9:$C$10,$B$9:$B$10)</f>
        <v>-1.1666666666666667E-2</v>
      </c>
      <c r="I6" s="18">
        <f>SLOPE($C$10:$C$11,$B$10:$B$11)</f>
        <v>-2.6666666666666668E-2</v>
      </c>
      <c r="L6" s="17"/>
      <c r="M6" s="17"/>
      <c r="N6" s="20"/>
      <c r="O6" s="17"/>
    </row>
    <row r="7" spans="1:26">
      <c r="A7" s="17"/>
      <c r="B7" s="24" t="s">
        <v>3</v>
      </c>
      <c r="C7" s="24" t="s">
        <v>18</v>
      </c>
      <c r="J7" s="17"/>
      <c r="K7" s="17"/>
      <c r="L7" s="17"/>
      <c r="M7" s="17"/>
      <c r="N7" s="17"/>
      <c r="O7" s="17"/>
    </row>
    <row r="8" spans="1:26">
      <c r="A8" s="17"/>
      <c r="B8" s="25">
        <v>1</v>
      </c>
      <c r="C8" s="23">
        <v>1450</v>
      </c>
      <c r="J8" s="17"/>
      <c r="K8" s="17"/>
      <c r="L8" s="17"/>
      <c r="M8" s="17"/>
      <c r="N8" s="17"/>
      <c r="O8" s="17"/>
    </row>
    <row r="9" spans="1:26">
      <c r="A9" s="17"/>
      <c r="B9" s="25">
        <v>5000</v>
      </c>
      <c r="C9" s="23">
        <v>1425</v>
      </c>
      <c r="F9" s="26" t="s">
        <v>3</v>
      </c>
      <c r="G9" s="26" t="s">
        <v>20</v>
      </c>
      <c r="H9" s="26" t="s">
        <v>20</v>
      </c>
      <c r="I9" s="26" t="s">
        <v>20</v>
      </c>
      <c r="J9" s="17"/>
      <c r="K9" s="17"/>
      <c r="L9" s="17"/>
      <c r="M9" s="17"/>
      <c r="N9" s="17"/>
      <c r="O9" s="17"/>
    </row>
    <row r="10" spans="1:26">
      <c r="A10" s="17"/>
      <c r="B10" s="25">
        <v>20000</v>
      </c>
      <c r="C10" s="23">
        <v>1250</v>
      </c>
      <c r="F10" s="27">
        <v>1</v>
      </c>
      <c r="G10" s="28">
        <v>1450</v>
      </c>
      <c r="H10" s="28"/>
      <c r="I10" s="28"/>
      <c r="J10" s="17"/>
      <c r="K10" s="17"/>
      <c r="L10" s="17"/>
      <c r="M10" s="17"/>
      <c r="N10" s="17"/>
      <c r="O10" s="17"/>
    </row>
    <row r="11" spans="1:26">
      <c r="A11" s="17"/>
      <c r="B11" s="25">
        <v>50000</v>
      </c>
      <c r="C11" s="23">
        <v>450</v>
      </c>
      <c r="F11" s="27">
        <v>1000</v>
      </c>
      <c r="G11" s="28"/>
      <c r="H11" s="28"/>
      <c r="I11" s="28"/>
      <c r="J11" s="17"/>
      <c r="K11" s="17"/>
      <c r="L11" s="17"/>
      <c r="M11" s="17"/>
      <c r="N11" s="17"/>
      <c r="O11" s="17"/>
    </row>
    <row r="12" spans="1:26">
      <c r="A12" s="17"/>
      <c r="F12" s="27">
        <v>5000</v>
      </c>
      <c r="G12" s="28">
        <v>1425</v>
      </c>
      <c r="H12" s="28">
        <f>G12</f>
        <v>1425</v>
      </c>
      <c r="I12" s="28"/>
      <c r="J12" s="17"/>
      <c r="K12" s="17"/>
      <c r="L12" s="17"/>
      <c r="M12" s="17"/>
      <c r="N12" s="17"/>
      <c r="O12" s="17"/>
    </row>
    <row r="13" spans="1:26">
      <c r="A13" s="17"/>
      <c r="F13" s="27">
        <v>10000</v>
      </c>
      <c r="G13" s="28"/>
      <c r="H13" s="47"/>
      <c r="I13" s="28"/>
      <c r="J13" s="17"/>
      <c r="K13" s="17"/>
      <c r="L13" s="17"/>
      <c r="M13" s="17"/>
      <c r="N13" s="17"/>
      <c r="O13" s="17"/>
    </row>
    <row r="14" spans="1:26">
      <c r="A14" s="17"/>
      <c r="F14" s="27">
        <v>15000</v>
      </c>
      <c r="G14" s="28"/>
      <c r="H14" s="28"/>
      <c r="I14" s="28"/>
      <c r="J14" s="17"/>
      <c r="K14" s="17"/>
      <c r="L14" s="17"/>
      <c r="M14" s="17"/>
      <c r="N14" s="17"/>
      <c r="O14" s="17"/>
    </row>
    <row r="15" spans="1:26">
      <c r="A15" s="17"/>
      <c r="F15" s="27">
        <v>20000</v>
      </c>
      <c r="G15" s="28"/>
      <c r="H15" s="28">
        <v>1250</v>
      </c>
      <c r="I15" s="28">
        <f>H15</f>
        <v>1250</v>
      </c>
      <c r="J15" s="17"/>
      <c r="K15" s="17"/>
      <c r="L15" s="17"/>
      <c r="M15" s="17"/>
      <c r="N15" s="17"/>
      <c r="O15" s="17" t="s">
        <v>0</v>
      </c>
    </row>
    <row r="16" spans="1:26">
      <c r="A16" s="17"/>
      <c r="F16" s="27">
        <v>25000</v>
      </c>
      <c r="G16" s="28"/>
      <c r="H16" s="28"/>
      <c r="I16" s="28"/>
      <c r="J16" s="17"/>
      <c r="K16" s="17"/>
      <c r="L16" s="17"/>
      <c r="M16" s="17"/>
      <c r="N16" s="17"/>
      <c r="O16" s="17"/>
    </row>
    <row r="17" spans="1:26">
      <c r="A17" s="17"/>
      <c r="F17" s="27">
        <v>30000</v>
      </c>
      <c r="G17" s="28"/>
      <c r="H17" s="28"/>
      <c r="I17" s="28"/>
      <c r="J17" s="17"/>
      <c r="K17" s="17"/>
      <c r="L17" s="17"/>
      <c r="M17" s="17"/>
      <c r="N17" s="17"/>
      <c r="O17" s="17"/>
    </row>
    <row r="18" spans="1:26">
      <c r="A18" s="17"/>
      <c r="F18" s="27">
        <v>35000</v>
      </c>
      <c r="G18" s="28"/>
      <c r="H18" s="28"/>
      <c r="I18" s="28"/>
      <c r="J18" s="17"/>
      <c r="K18" s="17"/>
      <c r="L18" s="17"/>
      <c r="M18" s="17"/>
      <c r="N18" s="17"/>
      <c r="O18" s="17"/>
    </row>
    <row r="19" spans="1:26">
      <c r="A19" s="17"/>
      <c r="F19" s="27">
        <v>40000</v>
      </c>
      <c r="G19" s="28"/>
      <c r="H19" s="28"/>
      <c r="I19" s="28"/>
      <c r="J19" s="17"/>
      <c r="K19" s="17"/>
      <c r="L19" s="17"/>
      <c r="M19" s="17"/>
      <c r="N19" s="17"/>
      <c r="O19" s="17"/>
      <c r="U19" s="17"/>
      <c r="V19" s="17"/>
    </row>
    <row r="20" spans="1:26">
      <c r="A20" s="17"/>
      <c r="F20" s="27">
        <v>45000</v>
      </c>
      <c r="G20" s="28"/>
      <c r="H20" s="28"/>
      <c r="I20" s="28"/>
      <c r="J20" s="17"/>
      <c r="K20" s="17"/>
      <c r="L20" s="17"/>
      <c r="M20" s="17"/>
      <c r="N20" s="17"/>
      <c r="O20" s="17"/>
      <c r="U20" s="17"/>
      <c r="V20" s="17"/>
    </row>
    <row r="21" spans="1:26">
      <c r="A21" s="17"/>
      <c r="F21" s="27">
        <v>50000</v>
      </c>
      <c r="G21" s="28"/>
      <c r="H21" s="28"/>
      <c r="I21" s="28">
        <v>450</v>
      </c>
      <c r="J21" s="17"/>
      <c r="K21" s="17"/>
      <c r="L21" s="17"/>
      <c r="M21" s="17"/>
      <c r="N21" s="17"/>
      <c r="O21" s="17"/>
      <c r="U21" s="17"/>
      <c r="V21" s="17"/>
    </row>
    <row r="22" spans="1:26">
      <c r="A22" s="17"/>
      <c r="F22" s="27">
        <v>55000</v>
      </c>
      <c r="G22" s="28"/>
      <c r="H22" s="28"/>
      <c r="I22" s="28"/>
      <c r="J22" s="17"/>
      <c r="K22" s="17"/>
      <c r="L22" s="17"/>
      <c r="M22" s="17"/>
      <c r="N22" s="17"/>
      <c r="O22" s="17"/>
      <c r="U22" s="17"/>
      <c r="V22" s="17"/>
    </row>
    <row r="23" spans="1:26">
      <c r="A23" s="17"/>
      <c r="B23" s="29"/>
      <c r="C23" s="30"/>
      <c r="D23" s="30"/>
      <c r="E23" s="30"/>
      <c r="F23" s="27">
        <v>500</v>
      </c>
      <c r="G23" s="27">
        <f>ROUND((G6*F23)+G5,0)</f>
        <v>1448</v>
      </c>
      <c r="H23" s="27"/>
      <c r="I23" s="27"/>
      <c r="J23" s="17"/>
      <c r="K23" s="17"/>
      <c r="L23" s="17"/>
      <c r="M23" s="17"/>
      <c r="N23" s="17"/>
      <c r="O23" s="17"/>
      <c r="U23" s="17"/>
      <c r="V23" s="17"/>
    </row>
    <row r="24" spans="1:26">
      <c r="A24" s="17"/>
      <c r="B24" s="17"/>
      <c r="C24" s="17"/>
      <c r="D24" s="17"/>
      <c r="E24" s="17"/>
      <c r="F24" s="27">
        <v>12000</v>
      </c>
      <c r="G24" s="27"/>
      <c r="H24" s="27">
        <f>ROUND((H6*F24)+H5,0)</f>
        <v>1343</v>
      </c>
      <c r="I24" s="27"/>
      <c r="J24" s="17"/>
      <c r="K24" s="17"/>
      <c r="L24" s="17"/>
      <c r="M24" s="17"/>
      <c r="N24" s="17"/>
      <c r="O24" s="17"/>
      <c r="U24" s="17"/>
      <c r="V24" s="17"/>
    </row>
    <row r="25" spans="1:26">
      <c r="A25" s="17"/>
      <c r="B25" s="17"/>
      <c r="C25" s="17"/>
      <c r="D25" s="17"/>
      <c r="E25" s="17"/>
      <c r="F25" s="17"/>
      <c r="G25" s="48"/>
      <c r="H25" s="17"/>
      <c r="I25" s="17"/>
      <c r="J25" s="17"/>
      <c r="K25" s="17"/>
      <c r="L25" s="17"/>
      <c r="M25" s="17"/>
      <c r="N25" s="17"/>
      <c r="O25" s="17"/>
      <c r="U25" s="17"/>
      <c r="V25" s="17"/>
    </row>
    <row r="26" spans="1:26">
      <c r="A26" s="17"/>
      <c r="B26" s="29"/>
      <c r="C26" s="30"/>
      <c r="D26" s="30"/>
      <c r="E26" s="30"/>
      <c r="F26" s="17"/>
      <c r="G26" s="17"/>
      <c r="H26" s="17"/>
      <c r="I26" s="17"/>
      <c r="J26" s="17"/>
      <c r="K26" s="17"/>
      <c r="L26" s="17"/>
      <c r="M26" s="17"/>
      <c r="N26" s="17"/>
      <c r="O26" s="17"/>
      <c r="U26" s="17"/>
      <c r="V26" s="17"/>
    </row>
    <row r="27" spans="1:26">
      <c r="A27" s="17"/>
      <c r="B27" s="29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U27" s="17"/>
      <c r="V27" s="17"/>
    </row>
    <row r="28" spans="1:26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>
      <c r="A35" s="17"/>
      <c r="B35" s="20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W988" s="17"/>
      <c r="X988" s="17"/>
      <c r="Y988" s="17"/>
      <c r="Z988" s="17"/>
    </row>
    <row r="989" spans="1:26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W989" s="17"/>
      <c r="X989" s="17"/>
      <c r="Y989" s="17"/>
      <c r="Z989" s="17"/>
    </row>
    <row r="990" spans="1:26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W990" s="17"/>
      <c r="X990" s="17"/>
      <c r="Y990" s="17"/>
      <c r="Z990" s="17"/>
    </row>
    <row r="991" spans="1:26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W991" s="17"/>
      <c r="X991" s="17"/>
      <c r="Y991" s="17"/>
      <c r="Z991" s="17"/>
    </row>
    <row r="992" spans="1:26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W992" s="17"/>
      <c r="X992" s="17"/>
      <c r="Y992" s="17"/>
      <c r="Z992" s="17"/>
    </row>
    <row r="993" spans="1:26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W993" s="17"/>
      <c r="X993" s="17"/>
      <c r="Y993" s="17"/>
      <c r="Z993" s="17"/>
    </row>
    <row r="994" spans="1:26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W994" s="17"/>
      <c r="X994" s="17"/>
      <c r="Y994" s="17"/>
      <c r="Z994" s="17"/>
    </row>
    <row r="995" spans="1:26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W995" s="17"/>
      <c r="X995" s="17"/>
      <c r="Y995" s="17"/>
      <c r="Z995" s="17"/>
    </row>
    <row r="996" spans="1:2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W996" s="17"/>
      <c r="X996" s="17"/>
      <c r="Y996" s="17"/>
      <c r="Z996" s="17"/>
    </row>
  </sheetData>
  <pageMargins left="0.74803149606299213" right="0.74803149606299213" top="0.74803149606299213" bottom="0.74803149606299213" header="0" footer="0"/>
  <pageSetup paperSize="9" orientation="portrait" r:id="rId1"/>
  <headerFooter>
    <oddFooter>&amp;LLeongTY&amp;R&amp;F/&amp;A</oddFooter>
  </headerFooter>
  <colBreaks count="3" manualBreakCount="3">
    <brk id="22" man="1"/>
    <brk id="12" man="1"/>
    <brk id="30" man="1"/>
  </colBreaks>
  <ignoredErrors>
    <ignoredError sqref="G5:I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showGridLines="0" workbookViewId="0">
      <selection activeCell="C18" sqref="C18"/>
    </sheetView>
  </sheetViews>
  <sheetFormatPr defaultRowHeight="14.25"/>
  <cols>
    <col min="1" max="1" width="9.25" customWidth="1"/>
    <col min="2" max="2" width="13.5" customWidth="1"/>
    <col min="3" max="3" width="11.25" customWidth="1"/>
  </cols>
  <sheetData>
    <row r="2" spans="2:12" ht="23.25">
      <c r="B2" s="3" t="s">
        <v>32</v>
      </c>
    </row>
    <row r="4" spans="2:12">
      <c r="B4" s="26" t="s">
        <v>8</v>
      </c>
      <c r="C4" s="26" t="s">
        <v>9</v>
      </c>
    </row>
    <row r="5" spans="2:12">
      <c r="B5" s="28">
        <v>8000</v>
      </c>
      <c r="C5" s="27">
        <v>175</v>
      </c>
    </row>
    <row r="6" spans="2:12">
      <c r="B6" s="28">
        <v>5000</v>
      </c>
      <c r="C6" s="27">
        <v>10500</v>
      </c>
    </row>
    <row r="9" spans="2:12">
      <c r="B9" s="26" t="s">
        <v>1</v>
      </c>
      <c r="C9" s="28">
        <f>INTERCEPT(C5:C6,B5:B6)</f>
        <v>27708.333333333336</v>
      </c>
      <c r="L9" s="1"/>
    </row>
    <row r="10" spans="2:12">
      <c r="B10" s="26" t="s">
        <v>2</v>
      </c>
      <c r="C10" s="26">
        <f>SLOPE(C5:C6,B5:B6)</f>
        <v>-3.4416666666666669</v>
      </c>
      <c r="L10" s="1"/>
    </row>
    <row r="11" spans="2:12">
      <c r="B11" s="26" t="s">
        <v>8</v>
      </c>
      <c r="C11" s="26" t="s">
        <v>9</v>
      </c>
    </row>
    <row r="12" spans="2:12">
      <c r="B12" s="26">
        <v>7799</v>
      </c>
      <c r="C12" s="26">
        <f>(B12*C10)+C9</f>
        <v>866.77500000000146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B2:M27"/>
  <sheetViews>
    <sheetView showGridLines="0" zoomScaleNormal="100" workbookViewId="0">
      <selection activeCell="J9" sqref="J9"/>
    </sheetView>
  </sheetViews>
  <sheetFormatPr defaultColWidth="12.625" defaultRowHeight="14.25"/>
  <cols>
    <col min="1" max="1" width="3" customWidth="1"/>
    <col min="2" max="2" width="16.125" customWidth="1"/>
    <col min="3" max="3" width="15.125" customWidth="1"/>
    <col min="4" max="5" width="14.5" customWidth="1"/>
    <col min="6" max="6" width="16.125" customWidth="1"/>
    <col min="7" max="7" width="13.25" customWidth="1"/>
    <col min="8" max="8" width="12.375" customWidth="1"/>
    <col min="9" max="9" width="14.75" customWidth="1"/>
    <col min="10" max="10" width="17.5" customWidth="1"/>
    <col min="11" max="11" width="13.5" customWidth="1"/>
    <col min="12" max="12" width="10.75" customWidth="1"/>
    <col min="13" max="21" width="8.875" customWidth="1"/>
    <col min="22" max="22" width="11.5" customWidth="1"/>
    <col min="23" max="27" width="8.875" customWidth="1"/>
  </cols>
  <sheetData>
    <row r="2" spans="2:13" ht="23.25">
      <c r="B2" s="3" t="s">
        <v>13</v>
      </c>
    </row>
    <row r="4" spans="2:13" s="31" customFormat="1">
      <c r="B4" s="34"/>
      <c r="C4" s="34" t="s">
        <v>27</v>
      </c>
      <c r="D4" s="34" t="s">
        <v>4</v>
      </c>
      <c r="E4" s="34" t="s">
        <v>28</v>
      </c>
      <c r="L4"/>
      <c r="M4"/>
    </row>
    <row r="5" spans="2:13" ht="21" customHeight="1">
      <c r="B5" s="34" t="s">
        <v>26</v>
      </c>
      <c r="C5" s="2">
        <v>2000</v>
      </c>
      <c r="D5" s="2">
        <v>10000</v>
      </c>
      <c r="E5" s="2">
        <f>SUM(C5:D5)</f>
        <v>12000</v>
      </c>
      <c r="H5" s="46"/>
      <c r="I5" s="46"/>
      <c r="J5" s="46"/>
    </row>
    <row r="7" spans="2:13" ht="15">
      <c r="B7" s="4" t="s">
        <v>25</v>
      </c>
      <c r="E7" s="4" t="s">
        <v>31</v>
      </c>
    </row>
    <row r="8" spans="2:13" s="31" customFormat="1" ht="12" customHeight="1">
      <c r="B8" s="34" t="s">
        <v>24</v>
      </c>
      <c r="C8" s="34">
        <v>12000</v>
      </c>
      <c r="E8" s="34" t="s">
        <v>14</v>
      </c>
      <c r="F8" s="38">
        <v>8000</v>
      </c>
      <c r="L8"/>
      <c r="M8"/>
    </row>
    <row r="9" spans="2:13" s="31" customFormat="1" ht="95.25" customHeight="1">
      <c r="B9" s="35" t="s">
        <v>29</v>
      </c>
      <c r="C9" s="34">
        <v>6000</v>
      </c>
      <c r="E9" s="34" t="s">
        <v>9</v>
      </c>
      <c r="F9" s="34">
        <v>1800</v>
      </c>
      <c r="H9"/>
      <c r="I9" s="60">
        <f>K26</f>
        <v>7525</v>
      </c>
      <c r="J9" s="59" t="s">
        <v>38</v>
      </c>
      <c r="K9" s="61"/>
      <c r="L9"/>
      <c r="M9"/>
    </row>
    <row r="10" spans="2:13" ht="16.5" customHeight="1"/>
    <row r="11" spans="2:13" ht="21.75" customHeight="1"/>
    <row r="12" spans="2:13" s="31" customFormat="1" ht="30">
      <c r="B12" s="32" t="s">
        <v>3</v>
      </c>
      <c r="C12" s="32" t="s">
        <v>11</v>
      </c>
      <c r="D12" s="32" t="s">
        <v>12</v>
      </c>
      <c r="E12" s="33" t="s">
        <v>30</v>
      </c>
      <c r="F12" s="32" t="s">
        <v>7</v>
      </c>
      <c r="G12" s="32" t="s">
        <v>5</v>
      </c>
      <c r="H12" s="32" t="s">
        <v>6</v>
      </c>
      <c r="I12" s="32" t="s">
        <v>10</v>
      </c>
      <c r="J12" s="32"/>
      <c r="K12" s="54" t="s">
        <v>33</v>
      </c>
    </row>
    <row r="13" spans="2:13" ht="20.25" customHeight="1">
      <c r="B13" s="6">
        <v>500</v>
      </c>
      <c r="C13" s="55">
        <f>ROUNDUP(('Cost-Supply'!$G$6*B13)+'Cost-Supply'!$G$5,0)</f>
        <v>1448</v>
      </c>
      <c r="D13" s="5">
        <f>$C$9+C13</f>
        <v>7448</v>
      </c>
      <c r="E13" s="2">
        <f>CEILING((B13-$C$5)/$F$9,1)</f>
        <v>0</v>
      </c>
      <c r="F13" s="5">
        <f>(B13*D13)+(E13*$C$8)</f>
        <v>3724000</v>
      </c>
      <c r="G13" s="5">
        <f>$F$8*B13</f>
        <v>4000000</v>
      </c>
      <c r="H13" s="5">
        <f>G13-F13</f>
        <v>276000</v>
      </c>
      <c r="I13" s="37">
        <f>H13/G13</f>
        <v>6.9000000000000006E-2</v>
      </c>
      <c r="J13" s="37"/>
      <c r="K13" s="57">
        <f>ROUNDUP(($D13*102/100)/25,0)*25</f>
        <v>7600</v>
      </c>
    </row>
    <row r="14" spans="2:13" ht="20.25" customHeight="1">
      <c r="B14" s="6">
        <v>1000</v>
      </c>
      <c r="C14" s="55">
        <f>ROUNDUP(('Cost-Supply'!$G$6*B14)+'Cost-Supply'!$G$5,0)</f>
        <v>1446</v>
      </c>
      <c r="D14" s="5">
        <f t="shared" ref="D14:D26" si="0">$C$9+C14</f>
        <v>7446</v>
      </c>
      <c r="E14" s="2">
        <f t="shared" ref="E14:E27" si="1">CEILING((B14-$C$5)/$F$9,1)</f>
        <v>0</v>
      </c>
      <c r="F14" s="5">
        <f t="shared" ref="F14:F27" si="2">(B14*D14)+(E14*$C$8)</f>
        <v>7446000</v>
      </c>
      <c r="G14" s="5">
        <f t="shared" ref="G14:G27" si="3">$F$8*B14</f>
        <v>8000000</v>
      </c>
      <c r="H14" s="5">
        <f t="shared" ref="H14:H27" si="4">G14-F14</f>
        <v>554000</v>
      </c>
      <c r="I14" s="37">
        <f t="shared" ref="I14:I27" si="5">H14/G14</f>
        <v>6.9250000000000006E-2</v>
      </c>
      <c r="J14" s="37"/>
      <c r="K14" s="57">
        <f t="shared" ref="K14:K27" si="6">ROUNDUP(($D14*102/100)/25,0)*25</f>
        <v>7600</v>
      </c>
    </row>
    <row r="15" spans="2:13" ht="20.25" customHeight="1">
      <c r="B15" s="6">
        <v>1500</v>
      </c>
      <c r="C15" s="55">
        <f>ROUNDUP(('Cost-Supply'!$G$6*B15)+'Cost-Supply'!$G$5,0)</f>
        <v>1443</v>
      </c>
      <c r="D15" s="5">
        <f t="shared" si="0"/>
        <v>7443</v>
      </c>
      <c r="E15" s="2">
        <f t="shared" si="1"/>
        <v>0</v>
      </c>
      <c r="F15" s="5">
        <f t="shared" si="2"/>
        <v>11164500</v>
      </c>
      <c r="G15" s="5">
        <f t="shared" si="3"/>
        <v>12000000</v>
      </c>
      <c r="H15" s="5">
        <f t="shared" si="4"/>
        <v>835500</v>
      </c>
      <c r="I15" s="37">
        <f t="shared" si="5"/>
        <v>6.9625000000000006E-2</v>
      </c>
      <c r="J15" s="37"/>
      <c r="K15" s="57">
        <f t="shared" si="6"/>
        <v>7600</v>
      </c>
    </row>
    <row r="16" spans="2:13" ht="20.25" customHeight="1">
      <c r="B16" s="6">
        <v>2000</v>
      </c>
      <c r="C16" s="55">
        <f>ROUNDUP(('Cost-Supply'!$G$6*B16)+'Cost-Supply'!$G$5,0)</f>
        <v>1441</v>
      </c>
      <c r="D16" s="5">
        <f t="shared" si="0"/>
        <v>7441</v>
      </c>
      <c r="E16" s="2">
        <f t="shared" si="1"/>
        <v>0</v>
      </c>
      <c r="F16" s="5">
        <f t="shared" si="2"/>
        <v>14882000</v>
      </c>
      <c r="G16" s="5">
        <f t="shared" si="3"/>
        <v>16000000</v>
      </c>
      <c r="H16" s="5">
        <f t="shared" si="4"/>
        <v>1118000</v>
      </c>
      <c r="I16" s="37">
        <f t="shared" si="5"/>
        <v>6.9875000000000007E-2</v>
      </c>
      <c r="J16" s="37"/>
      <c r="K16" s="57">
        <f t="shared" si="6"/>
        <v>7600</v>
      </c>
    </row>
    <row r="17" spans="2:11" ht="20.25" customHeight="1">
      <c r="B17" s="6">
        <v>2500</v>
      </c>
      <c r="C17" s="55">
        <f>ROUNDUP(('Cost-Supply'!$G$6*B17)+'Cost-Supply'!$G$5,0)</f>
        <v>1438</v>
      </c>
      <c r="D17" s="5">
        <f t="shared" si="0"/>
        <v>7438</v>
      </c>
      <c r="E17" s="2">
        <f t="shared" si="1"/>
        <v>1</v>
      </c>
      <c r="F17" s="5">
        <f t="shared" si="2"/>
        <v>18607000</v>
      </c>
      <c r="G17" s="5">
        <f t="shared" si="3"/>
        <v>20000000</v>
      </c>
      <c r="H17" s="5">
        <f t="shared" si="4"/>
        <v>1393000</v>
      </c>
      <c r="I17" s="37">
        <f t="shared" si="5"/>
        <v>6.9650000000000004E-2</v>
      </c>
      <c r="J17" s="37"/>
      <c r="K17" s="57">
        <f t="shared" si="6"/>
        <v>7600</v>
      </c>
    </row>
    <row r="18" spans="2:11" ht="20.25" customHeight="1">
      <c r="B18" s="6">
        <v>3000</v>
      </c>
      <c r="C18" s="55">
        <f>ROUNDUP(('Cost-Supply'!$G$6*B18)+'Cost-Supply'!$G$5,0)</f>
        <v>1436</v>
      </c>
      <c r="D18" s="5">
        <f t="shared" si="0"/>
        <v>7436</v>
      </c>
      <c r="E18" s="2">
        <f t="shared" si="1"/>
        <v>1</v>
      </c>
      <c r="F18" s="5">
        <f t="shared" si="2"/>
        <v>22320000</v>
      </c>
      <c r="G18" s="5">
        <f t="shared" si="3"/>
        <v>24000000</v>
      </c>
      <c r="H18" s="5">
        <f t="shared" si="4"/>
        <v>1680000</v>
      </c>
      <c r="I18" s="37">
        <f t="shared" si="5"/>
        <v>7.0000000000000007E-2</v>
      </c>
      <c r="J18" s="37"/>
      <c r="K18" s="57">
        <f t="shared" si="6"/>
        <v>7600</v>
      </c>
    </row>
    <row r="19" spans="2:11" ht="20.25" customHeight="1">
      <c r="B19" s="6">
        <v>4000</v>
      </c>
      <c r="C19" s="55">
        <f>ROUNDUP(('Cost-Supply'!$G$6*B19)+'Cost-Supply'!$G$5,0)</f>
        <v>1431</v>
      </c>
      <c r="D19" s="5">
        <f t="shared" si="0"/>
        <v>7431</v>
      </c>
      <c r="E19" s="2">
        <f t="shared" si="1"/>
        <v>2</v>
      </c>
      <c r="F19" s="5">
        <f t="shared" si="2"/>
        <v>29748000</v>
      </c>
      <c r="G19" s="5">
        <f t="shared" si="3"/>
        <v>32000000</v>
      </c>
      <c r="H19" s="5">
        <f t="shared" si="4"/>
        <v>2252000</v>
      </c>
      <c r="I19" s="37">
        <f t="shared" si="5"/>
        <v>7.0374999999999993E-2</v>
      </c>
      <c r="J19" s="2"/>
      <c r="K19" s="57">
        <f t="shared" si="6"/>
        <v>7600</v>
      </c>
    </row>
    <row r="20" spans="2:11" ht="20.25" customHeight="1">
      <c r="B20" s="6">
        <v>5000</v>
      </c>
      <c r="C20" s="55">
        <f>ROUNDUP(('Cost-Supply'!$H$6*B20)+'Cost-Supply'!$H$5,0)</f>
        <v>1425</v>
      </c>
      <c r="D20" s="5">
        <f t="shared" si="0"/>
        <v>7425</v>
      </c>
      <c r="E20" s="2">
        <f t="shared" si="1"/>
        <v>2</v>
      </c>
      <c r="F20" s="5">
        <f t="shared" si="2"/>
        <v>37149000</v>
      </c>
      <c r="G20" s="5">
        <f t="shared" si="3"/>
        <v>40000000</v>
      </c>
      <c r="H20" s="5">
        <f t="shared" si="4"/>
        <v>2851000</v>
      </c>
      <c r="I20" s="37">
        <f t="shared" si="5"/>
        <v>7.1275000000000005E-2</v>
      </c>
      <c r="J20" s="2"/>
      <c r="K20" s="57">
        <f t="shared" si="6"/>
        <v>7575</v>
      </c>
    </row>
    <row r="21" spans="2:11">
      <c r="B21" s="6">
        <v>6000</v>
      </c>
      <c r="C21" s="55">
        <f>ROUNDUP(('Cost-Supply'!$H$6*B21)+'Cost-Supply'!$H$5,0)</f>
        <v>1414</v>
      </c>
      <c r="D21" s="5">
        <f t="shared" si="0"/>
        <v>7414</v>
      </c>
      <c r="E21" s="2">
        <f t="shared" si="1"/>
        <v>3</v>
      </c>
      <c r="F21" s="5">
        <f t="shared" si="2"/>
        <v>44520000</v>
      </c>
      <c r="G21" s="5">
        <f t="shared" si="3"/>
        <v>48000000</v>
      </c>
      <c r="H21" s="5">
        <f t="shared" si="4"/>
        <v>3480000</v>
      </c>
      <c r="I21" s="37">
        <f t="shared" si="5"/>
        <v>7.2499999999999995E-2</v>
      </c>
      <c r="J21" s="2"/>
      <c r="K21" s="57">
        <f t="shared" si="6"/>
        <v>7575</v>
      </c>
    </row>
    <row r="22" spans="2:11">
      <c r="B22" s="6">
        <v>7000</v>
      </c>
      <c r="C22" s="55">
        <f>ROUNDUP(('Cost-Supply'!$H$6*B22)+'Cost-Supply'!$H$5,0)</f>
        <v>1402</v>
      </c>
      <c r="D22" s="5">
        <f t="shared" si="0"/>
        <v>7402</v>
      </c>
      <c r="E22" s="2">
        <f t="shared" si="1"/>
        <v>3</v>
      </c>
      <c r="F22" s="5">
        <f t="shared" si="2"/>
        <v>51850000</v>
      </c>
      <c r="G22" s="5">
        <f t="shared" si="3"/>
        <v>56000000</v>
      </c>
      <c r="H22" s="5">
        <f t="shared" si="4"/>
        <v>4150000</v>
      </c>
      <c r="I22" s="37">
        <f t="shared" si="5"/>
        <v>7.4107142857142858E-2</v>
      </c>
      <c r="J22" s="2"/>
      <c r="K22" s="57">
        <f t="shared" si="6"/>
        <v>7575</v>
      </c>
    </row>
    <row r="23" spans="2:11">
      <c r="B23" s="6">
        <v>8000</v>
      </c>
      <c r="C23" s="55">
        <f>ROUNDUP(('Cost-Supply'!$H$6*B23)+'Cost-Supply'!$H$5,0)</f>
        <v>1390</v>
      </c>
      <c r="D23" s="5">
        <f t="shared" si="0"/>
        <v>7390</v>
      </c>
      <c r="E23" s="2">
        <f t="shared" si="1"/>
        <v>4</v>
      </c>
      <c r="F23" s="5">
        <f t="shared" si="2"/>
        <v>59168000</v>
      </c>
      <c r="G23" s="5">
        <f t="shared" si="3"/>
        <v>64000000</v>
      </c>
      <c r="H23" s="5">
        <f t="shared" si="4"/>
        <v>4832000</v>
      </c>
      <c r="I23" s="37">
        <f t="shared" si="5"/>
        <v>7.5499999999999998E-2</v>
      </c>
      <c r="J23" s="2"/>
      <c r="K23" s="57">
        <f t="shared" si="6"/>
        <v>7550</v>
      </c>
    </row>
    <row r="24" spans="2:11">
      <c r="B24" s="6">
        <v>9000</v>
      </c>
      <c r="C24" s="55">
        <f>ROUNDUP(('Cost-Supply'!$H$6*B24)+'Cost-Supply'!$H$5,0)</f>
        <v>1379</v>
      </c>
      <c r="D24" s="5">
        <f t="shared" si="0"/>
        <v>7379</v>
      </c>
      <c r="E24" s="2">
        <f t="shared" si="1"/>
        <v>4</v>
      </c>
      <c r="F24" s="5">
        <f t="shared" si="2"/>
        <v>66459000</v>
      </c>
      <c r="G24" s="5">
        <f t="shared" si="3"/>
        <v>72000000</v>
      </c>
      <c r="H24" s="5">
        <f t="shared" si="4"/>
        <v>5541000</v>
      </c>
      <c r="I24" s="37">
        <f t="shared" si="5"/>
        <v>7.6958333333333337E-2</v>
      </c>
      <c r="J24" s="2"/>
      <c r="K24" s="57">
        <f t="shared" si="6"/>
        <v>7550</v>
      </c>
    </row>
    <row r="25" spans="2:11">
      <c r="B25" s="6">
        <v>10000</v>
      </c>
      <c r="C25" s="55">
        <f>ROUNDUP(('Cost-Supply'!$H$6*B25)+'Cost-Supply'!$H$5,0)</f>
        <v>1367</v>
      </c>
      <c r="D25" s="5">
        <f t="shared" si="0"/>
        <v>7367</v>
      </c>
      <c r="E25" s="2">
        <f t="shared" si="1"/>
        <v>5</v>
      </c>
      <c r="F25" s="5">
        <f t="shared" si="2"/>
        <v>73730000</v>
      </c>
      <c r="G25" s="5">
        <f t="shared" si="3"/>
        <v>80000000</v>
      </c>
      <c r="H25" s="5">
        <f t="shared" si="4"/>
        <v>6270000</v>
      </c>
      <c r="I25" s="37">
        <f t="shared" si="5"/>
        <v>7.8375E-2</v>
      </c>
      <c r="J25" s="2"/>
      <c r="K25" s="57">
        <f t="shared" si="6"/>
        <v>7525</v>
      </c>
    </row>
    <row r="26" spans="2:11">
      <c r="B26" s="50">
        <v>11000</v>
      </c>
      <c r="C26" s="56">
        <f>ROUNDUP(('Cost-Supply'!$H$6*B26)+'Cost-Supply'!$H$5,0)</f>
        <v>1355</v>
      </c>
      <c r="D26" s="51">
        <f t="shared" si="0"/>
        <v>7355</v>
      </c>
      <c r="E26" s="52">
        <f t="shared" si="1"/>
        <v>5</v>
      </c>
      <c r="F26" s="51">
        <f t="shared" si="2"/>
        <v>80965000</v>
      </c>
      <c r="G26" s="51">
        <f t="shared" si="3"/>
        <v>88000000</v>
      </c>
      <c r="H26" s="51">
        <f t="shared" si="4"/>
        <v>7035000</v>
      </c>
      <c r="I26" s="53">
        <f t="shared" si="5"/>
        <v>7.9943181818181816E-2</v>
      </c>
      <c r="J26" s="52"/>
      <c r="K26" s="58">
        <f t="shared" si="6"/>
        <v>7525</v>
      </c>
    </row>
    <row r="27" spans="2:11">
      <c r="B27" s="6">
        <v>12000</v>
      </c>
      <c r="C27" s="55">
        <f>ROUNDUP(('Cost-Supply'!$H$6*B27)+'Cost-Supply'!$H$5,0)</f>
        <v>1344</v>
      </c>
      <c r="D27" s="5">
        <f>$C$9+C27</f>
        <v>7344</v>
      </c>
      <c r="E27" s="2">
        <f t="shared" si="1"/>
        <v>6</v>
      </c>
      <c r="F27" s="5">
        <f t="shared" si="2"/>
        <v>88200000</v>
      </c>
      <c r="G27" s="5">
        <f t="shared" si="3"/>
        <v>96000000</v>
      </c>
      <c r="H27" s="5">
        <f t="shared" si="4"/>
        <v>7800000</v>
      </c>
      <c r="I27" s="37">
        <f t="shared" si="5"/>
        <v>8.1250000000000003E-2</v>
      </c>
      <c r="J27" s="2"/>
      <c r="K27" s="57">
        <f t="shared" si="6"/>
        <v>7500</v>
      </c>
    </row>
  </sheetData>
  <pageMargins left="0.74803149606299213" right="0.74803149606299213" top="0.74803149606299213" bottom="0.74803149606299213" header="0" footer="0"/>
  <pageSetup paperSize="9" orientation="portrait" r:id="rId1"/>
  <headerFooter>
    <oddFooter>&amp;LLeongTY&amp;R&amp;F/&amp;A</oddFooter>
  </headerFooter>
  <colBreaks count="1" manualBreakCount="1">
    <brk id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First_Submission</vt:lpstr>
      <vt:lpstr>Cost-Supply</vt:lpstr>
      <vt:lpstr>Price-Demand</vt:lpstr>
      <vt:lpstr>Model</vt:lpstr>
      <vt:lpstr>Model!solver_opt</vt:lpstr>
      <vt:lpstr>Model!solver_rhs1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Kaushal</dc:creator>
  <cp:lastModifiedBy>Aditya Singh</cp:lastModifiedBy>
  <dcterms:created xsi:type="dcterms:W3CDTF">2003-11-13T08:17:49Z</dcterms:created>
  <dcterms:modified xsi:type="dcterms:W3CDTF">2023-08-09T05:59:33Z</dcterms:modified>
</cp:coreProperties>
</file>