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saksh\Downloads\"/>
    </mc:Choice>
  </mc:AlternateContent>
  <xr:revisionPtr revIDLastSave="0" documentId="13_ncr:1_{7C7851BD-7525-408A-93BC-A840A4673C5C}" xr6:coauthVersionLast="47" xr6:coauthVersionMax="47" xr10:uidLastSave="{00000000-0000-0000-0000-000000000000}"/>
  <bookViews>
    <workbookView xWindow="-108" yWindow="-108" windowWidth="23256" windowHeight="12456" tabRatio="734" activeTab="1" xr2:uid="{00000000-000D-0000-FFFF-FFFF00000000}"/>
  </bookViews>
  <sheets>
    <sheet name="Income Statement" sheetId="1" r:id="rId1"/>
    <sheet name="Balance sheet " sheetId="2" r:id="rId2"/>
    <sheet name="CFS" sheetId="3" r:id="rId3"/>
    <sheet name="Cost Sheet" sheetId="4" r:id="rId4"/>
    <sheet name="Working Capital" sheetId="8" r:id="rId5"/>
    <sheet name="Revenue Schedule" sheetId="5" r:id="rId6"/>
    <sheet name="DCF" sheetId="6" r:id="rId7"/>
    <sheet name="Margin" sheetId="7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2" i="7" l="1"/>
  <c r="I12" i="7"/>
  <c r="H12" i="7"/>
  <c r="G12" i="7"/>
  <c r="F12" i="7"/>
  <c r="E12" i="7"/>
  <c r="D12" i="7"/>
  <c r="C12" i="7"/>
  <c r="J11" i="7"/>
  <c r="I11" i="7"/>
  <c r="H11" i="7"/>
  <c r="G11" i="7"/>
  <c r="F11" i="7"/>
  <c r="E11" i="7"/>
  <c r="D11" i="7"/>
  <c r="C11" i="7"/>
  <c r="J10" i="7"/>
  <c r="I10" i="7"/>
  <c r="H10" i="7"/>
  <c r="G10" i="7"/>
  <c r="F10" i="7"/>
  <c r="E10" i="7"/>
  <c r="D10" i="7"/>
  <c r="C10" i="7"/>
  <c r="J9" i="7"/>
  <c r="I9" i="7"/>
  <c r="H9" i="7"/>
  <c r="G9" i="7"/>
  <c r="F9" i="7"/>
  <c r="E9" i="7"/>
  <c r="D9" i="7"/>
  <c r="C9" i="7"/>
  <c r="C8" i="7"/>
  <c r="J8" i="7"/>
  <c r="I8" i="7"/>
  <c r="H8" i="7"/>
  <c r="G8" i="7"/>
  <c r="F8" i="7"/>
  <c r="E8" i="7"/>
  <c r="D8" i="7"/>
  <c r="J24" i="8"/>
  <c r="I24" i="8"/>
  <c r="H24" i="8"/>
  <c r="G24" i="8"/>
  <c r="J23" i="8"/>
  <c r="I23" i="8"/>
  <c r="H23" i="8"/>
  <c r="G23" i="8"/>
  <c r="I28" i="8"/>
  <c r="H28" i="8"/>
  <c r="J28" i="8" s="1"/>
  <c r="G28" i="8"/>
  <c r="J25" i="8"/>
  <c r="I25" i="8"/>
  <c r="H25" i="8"/>
  <c r="G25" i="8"/>
  <c r="H32" i="8"/>
  <c r="I32" i="8" s="1"/>
  <c r="J32" i="8" s="1"/>
  <c r="G32" i="8"/>
  <c r="J33" i="8"/>
  <c r="I33" i="8"/>
  <c r="H33" i="8"/>
  <c r="G33" i="8"/>
  <c r="I34" i="8"/>
  <c r="J34" i="8" s="1"/>
  <c r="H34" i="8"/>
  <c r="G34" i="8"/>
  <c r="G14" i="8"/>
  <c r="G19" i="8"/>
  <c r="G18" i="8" s="1"/>
  <c r="H18" i="8" s="1"/>
  <c r="I18" i="8" s="1"/>
  <c r="J18" i="8" s="1"/>
  <c r="H7" i="8"/>
  <c r="I7" i="8" s="1"/>
  <c r="J7" i="8" s="1"/>
  <c r="G7" i="8"/>
  <c r="J8" i="8"/>
  <c r="I8" i="8"/>
  <c r="H8" i="8"/>
  <c r="G8" i="8"/>
  <c r="H9" i="8"/>
  <c r="G9" i="8"/>
  <c r="G13" i="8"/>
  <c r="H13" i="8" s="1"/>
  <c r="I13" i="8" s="1"/>
  <c r="J13" i="8" s="1"/>
  <c r="J14" i="8"/>
  <c r="I14" i="8"/>
  <c r="H14" i="8"/>
  <c r="J15" i="8"/>
  <c r="I15" i="8"/>
  <c r="H15" i="8"/>
  <c r="G15" i="8"/>
  <c r="I16" i="8"/>
  <c r="H16" i="8"/>
  <c r="J16" i="8" s="1"/>
  <c r="G16" i="8"/>
  <c r="J19" i="8"/>
  <c r="I19" i="8"/>
  <c r="H19" i="8"/>
  <c r="H20" i="8"/>
  <c r="I20" i="8"/>
  <c r="J20" i="8"/>
  <c r="G20" i="8"/>
  <c r="G26" i="6"/>
  <c r="G54" i="6"/>
  <c r="J29" i="1"/>
  <c r="I29" i="1"/>
  <c r="H29" i="1"/>
  <c r="G29" i="1"/>
  <c r="F29" i="1"/>
  <c r="E29" i="1"/>
  <c r="D29" i="1"/>
  <c r="C29" i="1"/>
  <c r="B29" i="1"/>
  <c r="H33" i="1"/>
  <c r="I33" i="1" s="1"/>
  <c r="J33" i="1" s="1"/>
  <c r="G33" i="1"/>
  <c r="G32" i="1"/>
  <c r="H32" i="1" s="1"/>
  <c r="I32" i="1" s="1"/>
  <c r="J32" i="1" s="1"/>
  <c r="H18" i="1"/>
  <c r="I18" i="1" s="1"/>
  <c r="J18" i="1" s="1"/>
  <c r="G18" i="1"/>
  <c r="G21" i="1"/>
  <c r="H21" i="1" s="1"/>
  <c r="I21" i="1" s="1"/>
  <c r="J21" i="1" s="1"/>
  <c r="G35" i="1"/>
  <c r="G25" i="1"/>
  <c r="H25" i="1" s="1"/>
  <c r="H24" i="5"/>
  <c r="G24" i="5"/>
  <c r="G58" i="5" s="1"/>
  <c r="F13" i="7"/>
  <c r="E13" i="7"/>
  <c r="D13" i="7"/>
  <c r="C13" i="7"/>
  <c r="G50" i="6"/>
  <c r="G49" i="6"/>
  <c r="F34" i="2"/>
  <c r="J26" i="6"/>
  <c r="I26" i="6"/>
  <c r="H26" i="6"/>
  <c r="H48" i="2"/>
  <c r="G48" i="2"/>
  <c r="J45" i="2"/>
  <c r="I45" i="2"/>
  <c r="H45" i="2"/>
  <c r="G45" i="2"/>
  <c r="H40" i="2"/>
  <c r="G40" i="2"/>
  <c r="I9" i="8" l="1"/>
  <c r="J9" i="8" s="1"/>
  <c r="H35" i="1"/>
  <c r="I25" i="1"/>
  <c r="J25" i="1" s="1"/>
  <c r="I48" i="2"/>
  <c r="J48" i="2" s="1"/>
  <c r="I40" i="2"/>
  <c r="J40" i="2" s="1"/>
  <c r="J35" i="1" l="1"/>
  <c r="I35" i="1"/>
  <c r="J18" i="6" l="1"/>
  <c r="J20" i="6" s="1"/>
  <c r="I18" i="6"/>
  <c r="I20" i="6" s="1"/>
  <c r="H18" i="6"/>
  <c r="H20" i="6" s="1"/>
  <c r="G18" i="6"/>
  <c r="G20" i="6" s="1"/>
  <c r="J12" i="6"/>
  <c r="I12" i="6"/>
  <c r="H12" i="6"/>
  <c r="G12" i="6"/>
  <c r="F37" i="4"/>
  <c r="F38" i="4" s="1"/>
  <c r="E37" i="4"/>
  <c r="E38" i="4" s="1"/>
  <c r="D37" i="4"/>
  <c r="D38" i="4" s="1"/>
  <c r="C37" i="4"/>
  <c r="C38" i="4" s="1"/>
  <c r="B37" i="4"/>
  <c r="B38" i="4" s="1"/>
  <c r="F33" i="4"/>
  <c r="E33" i="4"/>
  <c r="D33" i="4"/>
  <c r="C33" i="4"/>
  <c r="B33" i="4"/>
  <c r="F30" i="4"/>
  <c r="F31" i="4" s="1"/>
  <c r="E30" i="4"/>
  <c r="E31" i="4" s="1"/>
  <c r="D30" i="4"/>
  <c r="D31" i="4" s="1"/>
  <c r="C30" i="4"/>
  <c r="C31" i="4" s="1"/>
  <c r="B30" i="4"/>
  <c r="B31" i="4" s="1"/>
  <c r="G44" i="5"/>
  <c r="D58" i="5"/>
  <c r="C58" i="5"/>
  <c r="B41" i="5"/>
  <c r="G29" i="5"/>
  <c r="G27" i="5"/>
  <c r="G10" i="5" s="1"/>
  <c r="B27" i="5"/>
  <c r="J38" i="5"/>
  <c r="J37" i="5"/>
  <c r="J34" i="5"/>
  <c r="J33" i="5"/>
  <c r="J32" i="5"/>
  <c r="G38" i="4" l="1"/>
  <c r="F34" i="4"/>
  <c r="F35" i="4"/>
  <c r="E34" i="4"/>
  <c r="E35" i="4"/>
  <c r="D34" i="4"/>
  <c r="D35" i="4"/>
  <c r="G35" i="4" s="1"/>
  <c r="C34" i="4"/>
  <c r="G34" i="4" s="1"/>
  <c r="C35" i="4"/>
  <c r="B34" i="4"/>
  <c r="B35" i="4"/>
  <c r="H38" i="4"/>
  <c r="I38" i="4"/>
  <c r="G31" i="4"/>
  <c r="H35" i="4" l="1"/>
  <c r="H22" i="6" s="1"/>
  <c r="G22" i="6"/>
  <c r="J38" i="4"/>
  <c r="H31" i="4"/>
  <c r="H34" i="4"/>
  <c r="I31" i="4"/>
  <c r="I34" i="4"/>
  <c r="F56" i="5"/>
  <c r="E56" i="5"/>
  <c r="D56" i="5"/>
  <c r="F55" i="5"/>
  <c r="E55" i="5"/>
  <c r="D55" i="5"/>
  <c r="C56" i="5"/>
  <c r="C55" i="5"/>
  <c r="F54" i="5"/>
  <c r="E54" i="5"/>
  <c r="D54" i="5"/>
  <c r="C54" i="5"/>
  <c r="F51" i="5"/>
  <c r="E51" i="5"/>
  <c r="D51" i="5"/>
  <c r="C51" i="5"/>
  <c r="F50" i="5"/>
  <c r="E50" i="5"/>
  <c r="D50" i="5"/>
  <c r="C50" i="5"/>
  <c r="F49" i="5"/>
  <c r="E49" i="5"/>
  <c r="D49" i="5"/>
  <c r="C49" i="5"/>
  <c r="F46" i="5"/>
  <c r="E46" i="5"/>
  <c r="D46" i="5"/>
  <c r="C46" i="5"/>
  <c r="C45" i="5"/>
  <c r="F44" i="5"/>
  <c r="E44" i="5"/>
  <c r="D44" i="5"/>
  <c r="C44" i="5"/>
  <c r="E18" i="5"/>
  <c r="D18" i="5"/>
  <c r="F23" i="5"/>
  <c r="E23" i="5"/>
  <c r="E24" i="5" s="1"/>
  <c r="E34" i="5" s="1"/>
  <c r="D23" i="5"/>
  <c r="C23" i="5"/>
  <c r="F18" i="5"/>
  <c r="C18" i="5"/>
  <c r="F13" i="5"/>
  <c r="E13" i="5"/>
  <c r="D13" i="5"/>
  <c r="C13" i="5"/>
  <c r="B23" i="5"/>
  <c r="B18" i="5"/>
  <c r="B13" i="5"/>
  <c r="F23" i="4"/>
  <c r="E23" i="4"/>
  <c r="D23" i="4"/>
  <c r="C23" i="4"/>
  <c r="B23" i="4"/>
  <c r="F20" i="4"/>
  <c r="F21" i="4" s="1"/>
  <c r="E20" i="4"/>
  <c r="E21" i="4" s="1"/>
  <c r="D20" i="4"/>
  <c r="D21" i="4" s="1"/>
  <c r="C20" i="4"/>
  <c r="C21" i="4" s="1"/>
  <c r="B20" i="4"/>
  <c r="F9" i="4"/>
  <c r="E9" i="4"/>
  <c r="D9" i="4"/>
  <c r="C9" i="4"/>
  <c r="B9" i="4"/>
  <c r="F8" i="4"/>
  <c r="E8" i="4"/>
  <c r="D8" i="4"/>
  <c r="F7" i="4"/>
  <c r="E7" i="4"/>
  <c r="D7" i="4"/>
  <c r="C7" i="4"/>
  <c r="B7" i="4"/>
  <c r="B10" i="4" s="1"/>
  <c r="C63" i="3"/>
  <c r="B63" i="3"/>
  <c r="F62" i="3"/>
  <c r="E62" i="3"/>
  <c r="D62" i="3"/>
  <c r="C62" i="3"/>
  <c r="B62" i="3"/>
  <c r="F52" i="3"/>
  <c r="F63" i="3" s="1"/>
  <c r="E52" i="3"/>
  <c r="D52" i="3"/>
  <c r="D63" i="3" s="1"/>
  <c r="C52" i="3"/>
  <c r="B52" i="3"/>
  <c r="F41" i="3"/>
  <c r="E41" i="3"/>
  <c r="E63" i="3" s="1"/>
  <c r="D41" i="3"/>
  <c r="C41" i="3"/>
  <c r="B41" i="3"/>
  <c r="F38" i="3"/>
  <c r="E38" i="3"/>
  <c r="D38" i="3"/>
  <c r="C38" i="3"/>
  <c r="B38" i="3"/>
  <c r="F31" i="3"/>
  <c r="E31" i="3"/>
  <c r="D31" i="3"/>
  <c r="C31" i="3"/>
  <c r="B31" i="3"/>
  <c r="F20" i="3"/>
  <c r="E20" i="3"/>
  <c r="D20" i="3"/>
  <c r="C20" i="3"/>
  <c r="B20" i="3"/>
  <c r="F12" i="3"/>
  <c r="F21" i="3" s="1"/>
  <c r="E12" i="3"/>
  <c r="E21" i="3" s="1"/>
  <c r="D12" i="3"/>
  <c r="D21" i="3" s="1"/>
  <c r="C12" i="3"/>
  <c r="C21" i="3" s="1"/>
  <c r="B12" i="3"/>
  <c r="B21" i="3" s="1"/>
  <c r="F63" i="1"/>
  <c r="E63" i="1"/>
  <c r="D63" i="1"/>
  <c r="C63" i="1"/>
  <c r="B63" i="1"/>
  <c r="F62" i="1"/>
  <c r="E62" i="1"/>
  <c r="D62" i="1"/>
  <c r="C62" i="1"/>
  <c r="B62" i="1"/>
  <c r="F59" i="1"/>
  <c r="E59" i="1"/>
  <c r="D59" i="1"/>
  <c r="C59" i="1"/>
  <c r="B59" i="1"/>
  <c r="F54" i="1"/>
  <c r="E54" i="1"/>
  <c r="D54" i="1"/>
  <c r="C54" i="1"/>
  <c r="B54" i="1"/>
  <c r="F46" i="1"/>
  <c r="E46" i="1"/>
  <c r="D46" i="1"/>
  <c r="C46" i="1"/>
  <c r="B46" i="1"/>
  <c r="F42" i="1"/>
  <c r="E42" i="1"/>
  <c r="D42" i="1"/>
  <c r="C42" i="1"/>
  <c r="B42" i="1"/>
  <c r="F35" i="1"/>
  <c r="F26" i="4" s="1"/>
  <c r="E35" i="1"/>
  <c r="E26" i="4" s="1"/>
  <c r="E27" i="4" s="1"/>
  <c r="D35" i="1"/>
  <c r="D26" i="4" s="1"/>
  <c r="D27" i="4" s="1"/>
  <c r="C35" i="1"/>
  <c r="C26" i="4" s="1"/>
  <c r="C27" i="4" s="1"/>
  <c r="B35" i="1"/>
  <c r="B26" i="4" s="1"/>
  <c r="B27" i="4" s="1"/>
  <c r="E30" i="1"/>
  <c r="D30" i="1"/>
  <c r="C30" i="1"/>
  <c r="B30" i="1"/>
  <c r="F16" i="1"/>
  <c r="E16" i="1"/>
  <c r="D16" i="1"/>
  <c r="C16" i="1"/>
  <c r="B16" i="1"/>
  <c r="B22" i="1" s="1"/>
  <c r="F10" i="1"/>
  <c r="E10" i="1"/>
  <c r="D10" i="1"/>
  <c r="C10" i="1"/>
  <c r="B10" i="1"/>
  <c r="F22" i="1" l="1"/>
  <c r="B64" i="1"/>
  <c r="G62" i="1"/>
  <c r="G33" i="2" s="1"/>
  <c r="B36" i="1"/>
  <c r="B49" i="1" s="1"/>
  <c r="F64" i="1"/>
  <c r="G51" i="6"/>
  <c r="B24" i="4"/>
  <c r="C24" i="4"/>
  <c r="D36" i="1"/>
  <c r="D49" i="1" s="1"/>
  <c r="D24" i="4"/>
  <c r="E22" i="1"/>
  <c r="D22" i="1"/>
  <c r="C64" i="1"/>
  <c r="H62" i="1"/>
  <c r="I62" i="1" s="1"/>
  <c r="J62" i="1" s="1"/>
  <c r="F23" i="1"/>
  <c r="F30" i="1" s="1"/>
  <c r="F27" i="4" s="1"/>
  <c r="G27" i="4" s="1"/>
  <c r="C36" i="1"/>
  <c r="C49" i="1" s="1"/>
  <c r="D64" i="1"/>
  <c r="E36" i="1"/>
  <c r="E64" i="1"/>
  <c r="C22" i="1"/>
  <c r="B21" i="4"/>
  <c r="E24" i="4"/>
  <c r="E49" i="1"/>
  <c r="I35" i="4"/>
  <c r="J35" i="4" s="1"/>
  <c r="J22" i="6" s="1"/>
  <c r="I22" i="6"/>
  <c r="J31" i="4"/>
  <c r="B16" i="4"/>
  <c r="B12" i="4"/>
  <c r="F24" i="4"/>
  <c r="F10" i="4"/>
  <c r="F12" i="4" s="1"/>
  <c r="D16" i="4"/>
  <c r="J34" i="4"/>
  <c r="B17" i="4"/>
  <c r="E16" i="4"/>
  <c r="F16" i="4"/>
  <c r="G21" i="4"/>
  <c r="B24" i="5"/>
  <c r="E29" i="5"/>
  <c r="E33" i="5"/>
  <c r="E37" i="5"/>
  <c r="E38" i="5"/>
  <c r="C24" i="5"/>
  <c r="C39" i="5" s="1"/>
  <c r="B38" i="5"/>
  <c r="B28" i="5"/>
  <c r="B29" i="5"/>
  <c r="B39" i="5"/>
  <c r="B34" i="5"/>
  <c r="B33" i="5"/>
  <c r="B37" i="5"/>
  <c r="B32" i="5"/>
  <c r="E27" i="5"/>
  <c r="E39" i="5"/>
  <c r="E32" i="5"/>
  <c r="F24" i="5"/>
  <c r="D24" i="5"/>
  <c r="C10" i="4"/>
  <c r="C12" i="4" s="1"/>
  <c r="D10" i="4"/>
  <c r="D12" i="4" s="1"/>
  <c r="B15" i="4"/>
  <c r="E10" i="4"/>
  <c r="E12" i="4" s="1"/>
  <c r="G34" i="2" l="1"/>
  <c r="G36" i="2" s="1"/>
  <c r="G27" i="6" s="1"/>
  <c r="H33" i="2"/>
  <c r="F36" i="1"/>
  <c r="F49" i="1" s="1"/>
  <c r="E17" i="4"/>
  <c r="G8" i="6"/>
  <c r="G24" i="4"/>
  <c r="C15" i="4"/>
  <c r="F15" i="4"/>
  <c r="H21" i="4"/>
  <c r="B18" i="4"/>
  <c r="D15" i="4"/>
  <c r="D17" i="4"/>
  <c r="G12" i="4"/>
  <c r="H12" i="4" s="1"/>
  <c r="I12" i="4" s="1"/>
  <c r="J12" i="4" s="1"/>
  <c r="F17" i="4"/>
  <c r="E15" i="4"/>
  <c r="G16" i="4"/>
  <c r="H16" i="4" s="1"/>
  <c r="I16" i="4" s="1"/>
  <c r="H27" i="4"/>
  <c r="H8" i="6" s="1"/>
  <c r="C27" i="5"/>
  <c r="C32" i="5"/>
  <c r="E41" i="5"/>
  <c r="C29" i="5"/>
  <c r="C28" i="5"/>
  <c r="C33" i="5"/>
  <c r="C38" i="5"/>
  <c r="C37" i="5"/>
  <c r="C34" i="5"/>
  <c r="D29" i="5"/>
  <c r="D38" i="5"/>
  <c r="D34" i="5"/>
  <c r="D32" i="5"/>
  <c r="D33" i="5"/>
  <c r="E58" i="5"/>
  <c r="D39" i="5"/>
  <c r="D27" i="5"/>
  <c r="D37" i="5"/>
  <c r="F39" i="5"/>
  <c r="F27" i="5"/>
  <c r="F58" i="5"/>
  <c r="F32" i="5"/>
  <c r="F37" i="5"/>
  <c r="F34" i="5"/>
  <c r="F38" i="5"/>
  <c r="F33" i="5"/>
  <c r="F29" i="5"/>
  <c r="C17" i="4"/>
  <c r="I33" i="2" l="1"/>
  <c r="H34" i="2"/>
  <c r="H36" i="2" s="1"/>
  <c r="H27" i="6" s="1"/>
  <c r="G28" i="6"/>
  <c r="G31" i="6"/>
  <c r="G23" i="6"/>
  <c r="G24" i="6" s="1"/>
  <c r="H23" i="6"/>
  <c r="H24" i="6" s="1"/>
  <c r="C18" i="4"/>
  <c r="D18" i="4"/>
  <c r="G15" i="4"/>
  <c r="H15" i="4" s="1"/>
  <c r="E18" i="4"/>
  <c r="I24" i="4"/>
  <c r="J16" i="4"/>
  <c r="I21" i="4"/>
  <c r="F18" i="4"/>
  <c r="H24" i="4"/>
  <c r="I27" i="4"/>
  <c r="I8" i="6" s="1"/>
  <c r="C41" i="5"/>
  <c r="G33" i="5"/>
  <c r="G16" i="5" s="1"/>
  <c r="G50" i="5" s="1"/>
  <c r="G34" i="5"/>
  <c r="G32" i="5"/>
  <c r="G15" i="5" s="1"/>
  <c r="G49" i="5" s="1"/>
  <c r="G17" i="5"/>
  <c r="G51" i="5" s="1"/>
  <c r="H34" i="5"/>
  <c r="G37" i="5"/>
  <c r="G20" i="5" s="1"/>
  <c r="D41" i="5"/>
  <c r="H27" i="5"/>
  <c r="G22" i="5"/>
  <c r="G56" i="5" s="1"/>
  <c r="G8" i="1"/>
  <c r="H33" i="5"/>
  <c r="G38" i="5"/>
  <c r="G21" i="5" s="1"/>
  <c r="G55" i="5" s="1"/>
  <c r="F41" i="5"/>
  <c r="G12" i="5"/>
  <c r="G46" i="5" s="1"/>
  <c r="G32" i="6" l="1"/>
  <c r="G30" i="6"/>
  <c r="G34" i="6"/>
  <c r="H28" i="6"/>
  <c r="H31" i="6"/>
  <c r="J33" i="2"/>
  <c r="J34" i="2" s="1"/>
  <c r="J36" i="2" s="1"/>
  <c r="J27" i="6" s="1"/>
  <c r="I34" i="2"/>
  <c r="I36" i="2" s="1"/>
  <c r="I27" i="6" s="1"/>
  <c r="G10" i="1"/>
  <c r="G13" i="7"/>
  <c r="G37" i="4"/>
  <c r="G20" i="1" s="1"/>
  <c r="G30" i="4"/>
  <c r="G11" i="6" s="1"/>
  <c r="G33" i="4"/>
  <c r="G19" i="1" s="1"/>
  <c r="I23" i="6"/>
  <c r="I24" i="6" s="1"/>
  <c r="H18" i="4"/>
  <c r="G18" i="4"/>
  <c r="J21" i="4"/>
  <c r="J24" i="4"/>
  <c r="I15" i="4"/>
  <c r="J27" i="4"/>
  <c r="H32" i="5"/>
  <c r="H37" i="5"/>
  <c r="H38" i="5"/>
  <c r="G23" i="5"/>
  <c r="G54" i="5"/>
  <c r="H58" i="5"/>
  <c r="H22" i="5"/>
  <c r="H56" i="5" s="1"/>
  <c r="I24" i="5"/>
  <c r="J24" i="5" s="1"/>
  <c r="H8" i="1"/>
  <c r="I34" i="5"/>
  <c r="H17" i="5"/>
  <c r="H51" i="5" s="1"/>
  <c r="H29" i="5"/>
  <c r="I33" i="5"/>
  <c r="H16" i="5"/>
  <c r="H50" i="5" s="1"/>
  <c r="I37" i="5"/>
  <c r="H20" i="5"/>
  <c r="I27" i="5"/>
  <c r="J27" i="5" s="1"/>
  <c r="H10" i="5"/>
  <c r="G18" i="5"/>
  <c r="I32" i="5"/>
  <c r="H15" i="5"/>
  <c r="G41" i="5"/>
  <c r="I28" i="6" l="1"/>
  <c r="I31" i="6"/>
  <c r="J28" i="6"/>
  <c r="J31" i="6" s="1"/>
  <c r="H32" i="6"/>
  <c r="H30" i="6"/>
  <c r="H34" i="6" s="1"/>
  <c r="H10" i="1"/>
  <c r="H13" i="7"/>
  <c r="H37" i="4"/>
  <c r="H20" i="1" s="1"/>
  <c r="H30" i="4"/>
  <c r="H11" i="6" s="1"/>
  <c r="H33" i="4"/>
  <c r="J8" i="1"/>
  <c r="J58" i="5"/>
  <c r="G10" i="6"/>
  <c r="G10" i="4"/>
  <c r="G20" i="4"/>
  <c r="G23" i="4"/>
  <c r="J8" i="6"/>
  <c r="J15" i="4"/>
  <c r="I18" i="4"/>
  <c r="J22" i="5"/>
  <c r="J56" i="5" s="1"/>
  <c r="J21" i="5"/>
  <c r="H41" i="5"/>
  <c r="J20" i="5"/>
  <c r="J10" i="5"/>
  <c r="J17" i="5"/>
  <c r="J16" i="5"/>
  <c r="J50" i="5" s="1"/>
  <c r="J15" i="5"/>
  <c r="J49" i="5" s="1"/>
  <c r="I58" i="5"/>
  <c r="I22" i="5"/>
  <c r="I56" i="5" s="1"/>
  <c r="I8" i="1"/>
  <c r="I38" i="5"/>
  <c r="I21" i="5" s="1"/>
  <c r="H21" i="5"/>
  <c r="H55" i="5" s="1"/>
  <c r="H44" i="5"/>
  <c r="I17" i="5"/>
  <c r="I51" i="5" s="1"/>
  <c r="I10" i="5"/>
  <c r="H54" i="5"/>
  <c r="G13" i="5"/>
  <c r="H18" i="5"/>
  <c r="H49" i="5"/>
  <c r="I15" i="5"/>
  <c r="I49" i="5" s="1"/>
  <c r="I16" i="5"/>
  <c r="I20" i="5"/>
  <c r="I29" i="5"/>
  <c r="I12" i="5" s="1"/>
  <c r="H12" i="5"/>
  <c r="H46" i="5" s="1"/>
  <c r="J32" i="6" l="1"/>
  <c r="J30" i="6"/>
  <c r="I32" i="6"/>
  <c r="I30" i="6"/>
  <c r="I34" i="6" s="1"/>
  <c r="J13" i="7"/>
  <c r="J10" i="1"/>
  <c r="J37" i="4"/>
  <c r="J20" i="1" s="1"/>
  <c r="J30" i="4"/>
  <c r="J11" i="6" s="1"/>
  <c r="J33" i="4"/>
  <c r="H19" i="1"/>
  <c r="J51" i="5"/>
  <c r="G9" i="4"/>
  <c r="G14" i="1" s="1"/>
  <c r="G7" i="4"/>
  <c r="G13" i="1" s="1"/>
  <c r="G8" i="4"/>
  <c r="G15" i="1" s="1"/>
  <c r="J44" i="5"/>
  <c r="J54" i="5"/>
  <c r="H10" i="6"/>
  <c r="I10" i="1"/>
  <c r="I13" i="7"/>
  <c r="I37" i="4"/>
  <c r="I20" i="1" s="1"/>
  <c r="I30" i="4"/>
  <c r="I11" i="6" s="1"/>
  <c r="I33" i="4"/>
  <c r="J55" i="5"/>
  <c r="H10" i="4"/>
  <c r="H20" i="4"/>
  <c r="H23" i="4"/>
  <c r="J23" i="6"/>
  <c r="J24" i="6" s="1"/>
  <c r="J34" i="6" s="1"/>
  <c r="G36" i="6" s="1"/>
  <c r="J18" i="4"/>
  <c r="J29" i="5"/>
  <c r="J23" i="5"/>
  <c r="J18" i="5"/>
  <c r="H13" i="5"/>
  <c r="I13" i="5"/>
  <c r="I44" i="5"/>
  <c r="I55" i="5"/>
  <c r="I46" i="5"/>
  <c r="I54" i="5"/>
  <c r="I23" i="5"/>
  <c r="H23" i="5"/>
  <c r="I18" i="5"/>
  <c r="I50" i="5"/>
  <c r="I41" i="5"/>
  <c r="H8" i="4" l="1"/>
  <c r="H15" i="1" s="1"/>
  <c r="H9" i="4"/>
  <c r="H14" i="1" s="1"/>
  <c r="H7" i="4"/>
  <c r="H13" i="1" s="1"/>
  <c r="I19" i="1"/>
  <c r="J19" i="1"/>
  <c r="I10" i="6"/>
  <c r="G16" i="1"/>
  <c r="J10" i="4"/>
  <c r="J20" i="4"/>
  <c r="J23" i="4"/>
  <c r="J10" i="6"/>
  <c r="I10" i="4"/>
  <c r="I23" i="4"/>
  <c r="I20" i="4"/>
  <c r="J41" i="5"/>
  <c r="J12" i="5"/>
  <c r="H16" i="1" l="1"/>
  <c r="H22" i="1" s="1"/>
  <c r="H23" i="1" s="1"/>
  <c r="H30" i="1" s="1"/>
  <c r="I7" i="4"/>
  <c r="I13" i="1" s="1"/>
  <c r="I9" i="4"/>
  <c r="I14" i="1" s="1"/>
  <c r="I8" i="4"/>
  <c r="I15" i="1" s="1"/>
  <c r="J9" i="4"/>
  <c r="J14" i="1" s="1"/>
  <c r="J8" i="4"/>
  <c r="J15" i="1" s="1"/>
  <c r="J7" i="4"/>
  <c r="J13" i="1" s="1"/>
  <c r="G22" i="1"/>
  <c r="G23" i="1" s="1"/>
  <c r="G30" i="1" s="1"/>
  <c r="J46" i="5"/>
  <c r="J13" i="5"/>
  <c r="G36" i="1" l="1"/>
  <c r="H36" i="1"/>
  <c r="J16" i="1"/>
  <c r="H26" i="4"/>
  <c r="H7" i="6"/>
  <c r="H9" i="6" s="1"/>
  <c r="H13" i="6" s="1"/>
  <c r="J22" i="1"/>
  <c r="J23" i="1" s="1"/>
  <c r="J30" i="1" s="1"/>
  <c r="G7" i="6"/>
  <c r="G9" i="6" s="1"/>
  <c r="G13" i="6" s="1"/>
  <c r="G26" i="4"/>
  <c r="I16" i="1"/>
  <c r="J36" i="1" l="1"/>
  <c r="J26" i="4"/>
  <c r="J7" i="6"/>
  <c r="J9" i="6" s="1"/>
  <c r="J13" i="6" s="1"/>
  <c r="G42" i="6" s="1"/>
  <c r="G45" i="6" s="1"/>
  <c r="I22" i="1"/>
  <c r="I23" i="1" s="1"/>
  <c r="I30" i="1" s="1"/>
  <c r="G48" i="6" l="1"/>
  <c r="G53" i="6" s="1"/>
  <c r="G55" i="6" s="1"/>
  <c r="H55" i="6" s="1"/>
  <c r="I36" i="1"/>
  <c r="I26" i="4"/>
  <c r="I7" i="6"/>
  <c r="I9" i="6" s="1"/>
  <c r="I13" i="6" s="1"/>
  <c r="G39" i="6" s="1"/>
</calcChain>
</file>

<file path=xl/sharedStrings.xml><?xml version="1.0" encoding="utf-8"?>
<sst xmlns="http://schemas.openxmlformats.org/spreadsheetml/2006/main" count="493" uniqueCount="279">
  <si>
    <t>HERO MOTO CORP</t>
  </si>
  <si>
    <t>All figures are in crore</t>
  </si>
  <si>
    <t>Income statement as at 31st March, 2019</t>
  </si>
  <si>
    <t xml:space="preserve">Consolidated Income Statement </t>
  </si>
  <si>
    <t>Particulars</t>
  </si>
  <si>
    <t>FY19</t>
  </si>
  <si>
    <t>FY20</t>
  </si>
  <si>
    <t>FY21</t>
  </si>
  <si>
    <t>FY22</t>
  </si>
  <si>
    <t>FY23</t>
  </si>
  <si>
    <t>Actual</t>
  </si>
  <si>
    <t>Revenue from operations</t>
  </si>
  <si>
    <t>Other income</t>
  </si>
  <si>
    <t>III) Total Income (I + II)</t>
  </si>
  <si>
    <t>IV) EXPENSES</t>
  </si>
  <si>
    <t>Cost of materials consumed</t>
  </si>
  <si>
    <t>Change in inventories of finished goods and work-in-progress</t>
  </si>
  <si>
    <t>Purchase of stock in trade</t>
  </si>
  <si>
    <t>-</t>
  </si>
  <si>
    <t>COGS</t>
  </si>
  <si>
    <t>Excise duty on sale of goods</t>
  </si>
  <si>
    <t>Employee benefits expenses</t>
  </si>
  <si>
    <t>Finance costs</t>
  </si>
  <si>
    <t>Depreciation and amortisation expenses</t>
  </si>
  <si>
    <t>Other expenses</t>
  </si>
  <si>
    <t>Total expenses (IV)</t>
  </si>
  <si>
    <t>Profit before share of profit/(loss)of associates, exceptional items and tax</t>
  </si>
  <si>
    <t>Profit/(loss) from associates</t>
  </si>
  <si>
    <t>Share in profit/(loss) of associates, net of tax</t>
  </si>
  <si>
    <t>Profit before tax and exceptional items</t>
  </si>
  <si>
    <t>Exception item–NCCD income</t>
  </si>
  <si>
    <t>Exception item–VRS expenses</t>
  </si>
  <si>
    <t>Profit before tax</t>
  </si>
  <si>
    <t>Tax expense</t>
  </si>
  <si>
    <t>Current tax</t>
  </si>
  <si>
    <t>Deferred tax</t>
  </si>
  <si>
    <t>Net profit after taxes and share of profit/(loss) of associates</t>
  </si>
  <si>
    <t>Total tax expense</t>
  </si>
  <si>
    <t>OTHER COMPREHENSIVE INCOME</t>
  </si>
  <si>
    <t>Items that will not be reclassified subsequently to profit or loss:-</t>
  </si>
  <si>
    <t>Re-measurement gains/(losses) on defined benefit plans</t>
  </si>
  <si>
    <t>Income tax effect</t>
  </si>
  <si>
    <t>Share of Other comprehensive income/(loss) of associates, to the extent not be reclassified to profit or loss</t>
  </si>
  <si>
    <t>TOTAL</t>
  </si>
  <si>
    <t>Items that will be reclassified to profit or loss:-</t>
  </si>
  <si>
    <t>Exchange differences in translating the financial statements of foreign operations</t>
  </si>
  <si>
    <t>Total other comprehensive income, net of tax</t>
  </si>
  <si>
    <t>Total comprehensive income for the year, net of tax</t>
  </si>
  <si>
    <t>Net Profit/(loss) for the year attributable to:</t>
  </si>
  <si>
    <t>Owners of the Company</t>
  </si>
  <si>
    <t>Non-controlling interests</t>
  </si>
  <si>
    <t>Other Comprehensive income for the year attributable to:</t>
  </si>
  <si>
    <t>TOTAL Comprehensive income for the year attributable to:</t>
  </si>
  <si>
    <t>Earnings per share (Nominal Value of ` 2 each) in `</t>
  </si>
  <si>
    <t>(a) Basic</t>
  </si>
  <si>
    <t>(b) Diluted</t>
  </si>
  <si>
    <t xml:space="preserve">As at March 31, 2019 </t>
  </si>
  <si>
    <t xml:space="preserve">As at March 31, 2020 </t>
  </si>
  <si>
    <t xml:space="preserve">As at March 31, 2021 </t>
  </si>
  <si>
    <t xml:space="preserve">As at March 31, 2022 </t>
  </si>
  <si>
    <t xml:space="preserve">As at March 31, 2023 </t>
  </si>
  <si>
    <t>As at March 31, 2024</t>
  </si>
  <si>
    <t>As at March 31, 2025</t>
  </si>
  <si>
    <t>As at March 31, 2026</t>
  </si>
  <si>
    <t>As at March 31, 2027</t>
  </si>
  <si>
    <t>Assets</t>
  </si>
  <si>
    <t>Non-current assets</t>
  </si>
  <si>
    <t>(a) Property, plant and equipments</t>
  </si>
  <si>
    <t>(b) Capital work-in-progress</t>
  </si>
  <si>
    <t>(c) Right-of-use assets</t>
  </si>
  <si>
    <t>(d) Other Intangible assets</t>
  </si>
  <si>
    <t>(e) Intangible assets under development</t>
  </si>
  <si>
    <t>(f) Equity accounted investments in associates</t>
  </si>
  <si>
    <t>(g) Financial assets</t>
  </si>
  <si>
    <t>(i) Investments</t>
  </si>
  <si>
    <t>(ii) Loans</t>
  </si>
  <si>
    <t>(iii) Other financial assets</t>
  </si>
  <si>
    <t>(h) Income tax assets (net)</t>
  </si>
  <si>
    <t>(i) Other non-current assets</t>
  </si>
  <si>
    <t>Total non-current assets</t>
  </si>
  <si>
    <t xml:space="preserve">Current assets </t>
  </si>
  <si>
    <t>(a) Inventories</t>
  </si>
  <si>
    <t>(b) Financial assets</t>
  </si>
  <si>
    <t>(ii) Trade receivables</t>
  </si>
  <si>
    <t>(iii) Cash and cash equivalents</t>
  </si>
  <si>
    <t>(iv) Bank balances other than cash and cash equivalents</t>
  </si>
  <si>
    <t>(v) Loans</t>
  </si>
  <si>
    <t>(vi) Other financial assets</t>
  </si>
  <si>
    <t>(c) Other current assets</t>
  </si>
  <si>
    <t>Total current assets</t>
  </si>
  <si>
    <t>Total Assets</t>
  </si>
  <si>
    <t>Equity and liabilities</t>
  </si>
  <si>
    <t xml:space="preserve">Equity </t>
  </si>
  <si>
    <t>(a) Equity share capital</t>
  </si>
  <si>
    <t>(b) Other equity</t>
  </si>
  <si>
    <t xml:space="preserve">Equity attributable to owner </t>
  </si>
  <si>
    <t xml:space="preserve">(c) Non-controlling interest </t>
  </si>
  <si>
    <t>Total equity</t>
  </si>
  <si>
    <t>Liabilities</t>
  </si>
  <si>
    <t>Non-current liabilities</t>
  </si>
  <si>
    <t>(a) Financial liabilities</t>
  </si>
  <si>
    <t>(i) Borrowings</t>
  </si>
  <si>
    <t>(ii) lease liabilities</t>
  </si>
  <si>
    <t>(iii) Other financial liabilities</t>
  </si>
  <si>
    <t>(b) Provisions</t>
  </si>
  <si>
    <t>(c) Deffered tax liabilities (net)</t>
  </si>
  <si>
    <t>Total non-current liabilities</t>
  </si>
  <si>
    <t xml:space="preserve">Current Liabilities </t>
  </si>
  <si>
    <t>(ii) Lease liabilities</t>
  </si>
  <si>
    <t>(iii) Trade payables</t>
  </si>
  <si>
    <t>*Total outstanding dues of micro enterprises and small enterprises</t>
  </si>
  <si>
    <t xml:space="preserve">*Total outstanding dues of creditors other than micro enterprises and small enterprises </t>
  </si>
  <si>
    <t>(iv) Other financial liabilities</t>
  </si>
  <si>
    <t>(b) Other current liabilities</t>
  </si>
  <si>
    <t xml:space="preserve">(c) Provisions </t>
  </si>
  <si>
    <t>Total current liabilities</t>
  </si>
  <si>
    <t>Total equity and liabilities</t>
  </si>
  <si>
    <t>A. CASH FLOW FROM OPERATING ACTIVITIES</t>
  </si>
  <si>
    <t>March 31, 2019</t>
  </si>
  <si>
    <t>March 31, 2020</t>
  </si>
  <si>
    <t>March 31, 2021</t>
  </si>
  <si>
    <t>March 31, 2022</t>
  </si>
  <si>
    <t>March 31, 2023</t>
  </si>
  <si>
    <t>Profit after tax and share in profit/(loss) of associates</t>
  </si>
  <si>
    <t>Adjustments for:</t>
  </si>
  <si>
    <t>Add: Depreciation and amortisation expense</t>
  </si>
  <si>
    <t>Loss on property, plant and equipments sold/discarded</t>
  </si>
  <si>
    <t>Finance cost</t>
  </si>
  <si>
    <t>Employee Stock Compensation Cost</t>
  </si>
  <si>
    <t>Loss allowance on advances</t>
  </si>
  <si>
    <t>Loss allowance on trade receivables</t>
  </si>
  <si>
    <t>Less : Interest income on financial assets carried at amortised cost</t>
  </si>
  <si>
    <t>Dividend income</t>
  </si>
  <si>
    <t>Profit on sale of investments</t>
  </si>
  <si>
    <t xml:space="preserve">Gain on investments carried at fair value through profit or loss </t>
  </si>
  <si>
    <t>Share of profit in associates</t>
  </si>
  <si>
    <t>Profit on sale of property, plant and equipments</t>
  </si>
  <si>
    <t>Foreign currency translation (net)</t>
  </si>
  <si>
    <t>Operating profit before working capital changes</t>
  </si>
  <si>
    <t>Changes in working capital:</t>
  </si>
  <si>
    <t>Adjustment for (increase)/decrease in operating assets:</t>
  </si>
  <si>
    <t>Inventories</t>
  </si>
  <si>
    <t>Trade Receivables</t>
  </si>
  <si>
    <t>Loans-Current</t>
  </si>
  <si>
    <t>Loans-non-current</t>
  </si>
  <si>
    <t>Other Financial assets</t>
  </si>
  <si>
    <t>Other current assets</t>
  </si>
  <si>
    <t>Other non-current assets</t>
  </si>
  <si>
    <t>Adjustment for increase/(decrease) in operating liabilities:</t>
  </si>
  <si>
    <t>Trade payables</t>
  </si>
  <si>
    <t>Other financial liabilities-Current</t>
  </si>
  <si>
    <t>Other current liabilities</t>
  </si>
  <si>
    <t>Current provisions</t>
  </si>
  <si>
    <t>Non-current provisions</t>
  </si>
  <si>
    <t>Cash generated from operating activities</t>
  </si>
  <si>
    <t>Less: Direct taxes paid (net of refund)</t>
  </si>
  <si>
    <t>Net cash generated from operating activities</t>
  </si>
  <si>
    <t>B. CASH FLOW FROM INVESTING ACTIVITIES</t>
  </si>
  <si>
    <t xml:space="preserve">Capital expenditure </t>
  </si>
  <si>
    <t>Proceeds from sale of property, plant and equipment</t>
  </si>
  <si>
    <t>Deposits made</t>
  </si>
  <si>
    <t>Sale of investments</t>
  </si>
  <si>
    <t>Purchase of investments</t>
  </si>
  <si>
    <t>Dividend income received from associates</t>
  </si>
  <si>
    <t>Investment in associates</t>
  </si>
  <si>
    <t>Interest income on financial assets carried at amortised cost</t>
  </si>
  <si>
    <t xml:space="preserve">Net cash generated/(used) in investing activities </t>
  </si>
  <si>
    <t>C. CASH FLOW FROM FINANCING ACTIVITIES</t>
  </si>
  <si>
    <t>Interest paid</t>
  </si>
  <si>
    <t>Payment of lease liabilities</t>
  </si>
  <si>
    <t>Dividend paid</t>
  </si>
  <si>
    <t>Tax on dividend</t>
  </si>
  <si>
    <t>Additions to minority interest</t>
  </si>
  <si>
    <t>Proceeds from issue of equity share capital</t>
  </si>
  <si>
    <t>Repayment of non-current borrowings</t>
  </si>
  <si>
    <t>Proceeds/Repayment from current borrowings</t>
  </si>
  <si>
    <t>Net cash (used) in financing activities</t>
  </si>
  <si>
    <t>D. INCREASE / (DECREASE) IN CASH AND CASH EQUIVALENTS (A+B+C)</t>
  </si>
  <si>
    <t>Cash and cash equivalents at the beginning of the year</t>
  </si>
  <si>
    <t>Cash and cash equivalents at the end of the year</t>
  </si>
  <si>
    <t>(a) Cost of materials consumed</t>
  </si>
  <si>
    <t>(b) Purchases of stock-in-trade</t>
  </si>
  <si>
    <t>(c) Changes in inventories of finished goods, work-in-progress and stock-in-trade</t>
  </si>
  <si>
    <t>Total</t>
  </si>
  <si>
    <t>Total as a % of Revenue from operations</t>
  </si>
  <si>
    <t>COGS / Adjusted Purchase(s) (in %)</t>
  </si>
  <si>
    <t>Employee Benefit Expenses</t>
  </si>
  <si>
    <t>Employee Benefit Expenses as a % of Revenue</t>
  </si>
  <si>
    <t>Other Expenses</t>
  </si>
  <si>
    <t>Other Expenses as a % of revenue</t>
  </si>
  <si>
    <t>Tax Expense</t>
  </si>
  <si>
    <t>Effective Tax Rate (Tax Expense/PBT)</t>
  </si>
  <si>
    <t>FY24</t>
  </si>
  <si>
    <t>FY25</t>
  </si>
  <si>
    <t>FY26</t>
  </si>
  <si>
    <t>Forecast</t>
  </si>
  <si>
    <t>Revenue Schedule</t>
  </si>
  <si>
    <t xml:space="preserve"> Revenue Break up (in%)</t>
  </si>
  <si>
    <t>Revenue from operations:</t>
  </si>
  <si>
    <t>a) Sale of products</t>
  </si>
  <si>
    <t>Two-wheelers</t>
  </si>
  <si>
    <t>Components</t>
  </si>
  <si>
    <t>Spare parts</t>
  </si>
  <si>
    <t>(b) Income from services</t>
  </si>
  <si>
    <t>Dealers support services</t>
  </si>
  <si>
    <t>Goodlife programme for customers</t>
  </si>
  <si>
    <t>Services – others</t>
  </si>
  <si>
    <t>(c) Other operating revenue</t>
  </si>
  <si>
    <t>Duty drawback and other incentives</t>
  </si>
  <si>
    <t>Incentive from State Governments</t>
  </si>
  <si>
    <t>Miscellaneous income</t>
  </si>
  <si>
    <t>Revenue Breakup:</t>
  </si>
  <si>
    <t xml:space="preserve"> Revenue % Change(Y-Y Change)</t>
  </si>
  <si>
    <t>Hero Moto Corp.</t>
  </si>
  <si>
    <t>FY27</t>
  </si>
  <si>
    <t xml:space="preserve"> </t>
  </si>
  <si>
    <t>EBIT</t>
  </si>
  <si>
    <t>Tax rate</t>
  </si>
  <si>
    <t>EBIT(1-t)</t>
  </si>
  <si>
    <t>Add non-cash charges</t>
  </si>
  <si>
    <t>Less capital expenditure</t>
  </si>
  <si>
    <t>Add changes in working capital</t>
  </si>
  <si>
    <t>Free Cash Flow to Firm (FCFF)</t>
  </si>
  <si>
    <t>Cost of Equity</t>
  </si>
  <si>
    <t>Risk-free rate of return</t>
  </si>
  <si>
    <t>Expected return from the market</t>
  </si>
  <si>
    <t>Risk premium</t>
  </si>
  <si>
    <t>Beta</t>
  </si>
  <si>
    <t>NPV of Business</t>
  </si>
  <si>
    <t>Long-term Free Cash Flow growth assumption</t>
  </si>
  <si>
    <t>Terminal Value</t>
  </si>
  <si>
    <t>NPV of Terminal Value</t>
  </si>
  <si>
    <t>Enterprise Value (or Firm Value)</t>
  </si>
  <si>
    <t>Add Cash and Cash Equivalents and Other bank balances</t>
  </si>
  <si>
    <t>Equity Value</t>
  </si>
  <si>
    <t>Number of Outstanding shares</t>
  </si>
  <si>
    <t>Price Per Share</t>
  </si>
  <si>
    <t>Capex</t>
  </si>
  <si>
    <t>% of revenue from operations</t>
  </si>
  <si>
    <t>Finance Cost</t>
  </si>
  <si>
    <t>% of Revenue from Operations</t>
  </si>
  <si>
    <t>Depreciation and Amortization Expense</t>
  </si>
  <si>
    <t>Interest rate</t>
  </si>
  <si>
    <t xml:space="preserve">Interest Rate on debt </t>
  </si>
  <si>
    <t xml:space="preserve">Tax Rate </t>
  </si>
  <si>
    <t>Cost of Debt(after tax)</t>
  </si>
  <si>
    <t xml:space="preserve">Total Debt </t>
  </si>
  <si>
    <t xml:space="preserve">Total Equity </t>
  </si>
  <si>
    <t xml:space="preserve">% of Debt </t>
  </si>
  <si>
    <t>% of Equity</t>
  </si>
  <si>
    <t xml:space="preserve">WACC </t>
  </si>
  <si>
    <t>Theoretical Debt</t>
  </si>
  <si>
    <t>Less Debt (Beginning Balance)</t>
  </si>
  <si>
    <t>Less Minority Interest (Beginning Balance)</t>
  </si>
  <si>
    <t>EBITDA</t>
  </si>
  <si>
    <t>Margins</t>
  </si>
  <si>
    <t>Gross Profit</t>
  </si>
  <si>
    <t>Net Profit</t>
  </si>
  <si>
    <t>YOY% in Revenue</t>
  </si>
  <si>
    <t>Operating Profit</t>
  </si>
  <si>
    <t>Cost Schedule</t>
  </si>
  <si>
    <t>DCF Sheet</t>
  </si>
  <si>
    <t>Inventory</t>
  </si>
  <si>
    <t>Average Inventory</t>
  </si>
  <si>
    <t>2nd alternative</t>
  </si>
  <si>
    <t>Inventory turnover ratio(cost/avg inventory)</t>
  </si>
  <si>
    <t>Average inventory holding period(in days)(365/inv turnover ratio)</t>
  </si>
  <si>
    <t>Trade Payables</t>
  </si>
  <si>
    <t>Average trade payables</t>
  </si>
  <si>
    <t>Average trade payables period(in days) ((avg trade payable/cost)*365)</t>
  </si>
  <si>
    <t>Compositon of Trade payables</t>
  </si>
  <si>
    <t>Trade payables: Total outstanding dues of micro enterprises and small enterprises</t>
  </si>
  <si>
    <t>Trade payablea:Total outstanding dues of creditors other than micro enterprises and small enterprises</t>
  </si>
  <si>
    <t>Composition of trade payables(in %)</t>
  </si>
  <si>
    <t>Trade receivable</t>
  </si>
  <si>
    <t>Average trade receivable</t>
  </si>
  <si>
    <t>Average trade receivable period( in days)(( avg trade rec/sales)*365)</t>
  </si>
  <si>
    <t>Working Capital Schedule</t>
  </si>
  <si>
    <t>Average inventory Holding Period( in Days) ((Avg inventory/cost)×365)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</si>
</sst>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3" formatCode="_ * #,##0.00_ ;_ * \-#,##0.00_ ;_ * &quot;-&quot;??_ ;_ @_ "/>
    <numFmt numFmtId="164" formatCode="#,##0_);\(#,##0\);&quot;-  &quot;;&quot; &quot;@"/>
    <numFmt numFmtId="165" formatCode="0.0%"/>
    <numFmt numFmtId="166" formatCode="0.00%\ ;\-0.00%\ _);&quot;-  &quot;;&quot; &quot;@&quot; &quot;"/>
    <numFmt numFmtId="167" formatCode="#,##0.0000_);\(#,##0.0000\);&quot;-  &quot;;&quot; &quot;@&quot; &quot;"/>
    <numFmt numFmtId="168" formatCode="dd\ mmm\ yyyy_);\(###0\);&quot;-  &quot;;&quot; &quot;@&quot; &quot;"/>
    <numFmt numFmtId="169" formatCode="dd\ mmm\ yy_);\(###0\);&quot;-  &quot;;&quot; &quot;@&quot; &quot;"/>
    <numFmt numFmtId="170" formatCode="###0_);\(###0\);&quot;-  &quot;;&quot; &quot;@&quot; &quot;"/>
    <numFmt numFmtId="171" formatCode="0.0000%"/>
    <numFmt numFmtId="172" formatCode="0.0"/>
    <numFmt numFmtId="175" formatCode="0.000%"/>
  </numFmts>
  <fonts count="19">
    <font>
      <sz val="11"/>
      <color theme="1"/>
      <name val="Calibri"/>
      <charset val="134"/>
      <scheme val="minor"/>
    </font>
    <font>
      <b/>
      <sz val="11"/>
      <color theme="1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8.5"/>
      <color rgb="FF231F20"/>
      <name val="Arial"/>
      <family val="2"/>
    </font>
    <font>
      <b/>
      <sz val="8.5"/>
      <color rgb="FF231F20"/>
      <name val="Microsoft Sans Serif"/>
      <family val="2"/>
    </font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20"/>
      <color indexed="8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rgb="FF00206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rgb="FF00B0F0"/>
      <name val="Calibri"/>
      <charset val="134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51170384838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5117038483843"/>
        <bgColor indexed="64"/>
      </patternFill>
    </fill>
  </fills>
  <borders count="11">
    <border>
      <left/>
      <right/>
      <top/>
      <bottom/>
      <diagonal/>
    </border>
    <border>
      <left style="medium">
        <color auto="1"/>
      </left>
      <right style="thick">
        <color auto="1"/>
      </right>
      <top style="medium">
        <color auto="1"/>
      </top>
      <bottom/>
      <diagonal/>
    </border>
    <border>
      <left style="medium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/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43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164" fontId="10" fillId="0" borderId="0" applyFont="0" applyFill="0" applyBorder="0" applyProtection="0">
      <alignment vertical="top"/>
    </xf>
    <xf numFmtId="166" fontId="10" fillId="0" borderId="0" applyFont="0" applyFill="0" applyBorder="0" applyProtection="0">
      <alignment vertical="top"/>
    </xf>
    <xf numFmtId="167" fontId="10" fillId="0" borderId="0" applyFont="0" applyFill="0" applyBorder="0" applyProtection="0">
      <alignment vertical="top"/>
    </xf>
    <xf numFmtId="168" fontId="10" fillId="0" borderId="0" applyFont="0" applyFill="0" applyBorder="0" applyProtection="0">
      <alignment vertical="top"/>
    </xf>
    <xf numFmtId="169" fontId="10" fillId="0" borderId="0" applyFont="0" applyFill="0" applyBorder="0" applyProtection="0">
      <alignment vertical="top"/>
    </xf>
    <xf numFmtId="170" fontId="10" fillId="0" borderId="0" applyFont="0" applyFill="0" applyBorder="0" applyProtection="0">
      <alignment vertical="top"/>
    </xf>
    <xf numFmtId="0" fontId="14" fillId="0" borderId="0">
      <protection locked="0"/>
    </xf>
  </cellStyleXfs>
  <cellXfs count="141">
    <xf numFmtId="0" fontId="0" fillId="0" borderId="0" xfId="0"/>
    <xf numFmtId="0" fontId="1" fillId="0" borderId="0" xfId="0" applyFont="1" applyAlignment="1">
      <alignment horizontal="right" vertical="top" wrapText="1"/>
    </xf>
    <xf numFmtId="0" fontId="1" fillId="2" borderId="0" xfId="0" applyFont="1" applyFill="1" applyAlignment="1">
      <alignment horizontal="left" vertical="top" wrapText="1" indent="1"/>
    </xf>
    <xf numFmtId="0" fontId="0" fillId="3" borderId="0" xfId="0" applyFill="1" applyAlignment="1">
      <alignment horizontal="left" vertical="top" wrapText="1" indent="1"/>
    </xf>
    <xf numFmtId="4" fontId="0" fillId="0" borderId="0" xfId="0" applyNumberFormat="1"/>
    <xf numFmtId="4" fontId="1" fillId="0" borderId="0" xfId="0" applyNumberFormat="1" applyFont="1"/>
    <xf numFmtId="9" fontId="0" fillId="0" borderId="0" xfId="2" applyFont="1" applyAlignment="1"/>
    <xf numFmtId="9" fontId="0" fillId="0" borderId="0" xfId="2" applyFont="1" applyFill="1" applyAlignment="1"/>
    <xf numFmtId="9" fontId="1" fillId="0" borderId="0" xfId="0" applyNumberFormat="1" applyFont="1"/>
    <xf numFmtId="0" fontId="1" fillId="0" borderId="0" xfId="0" applyFont="1"/>
    <xf numFmtId="0" fontId="1" fillId="3" borderId="0" xfId="0" applyFont="1" applyFill="1"/>
    <xf numFmtId="0" fontId="0" fillId="3" borderId="0" xfId="0" applyFill="1"/>
    <xf numFmtId="0" fontId="1" fillId="4" borderId="0" xfId="0" applyFont="1" applyFill="1" applyAlignment="1">
      <alignment horizontal="left" vertical="center"/>
    </xf>
    <xf numFmtId="0" fontId="1" fillId="4" borderId="0" xfId="0" applyFont="1" applyFill="1" applyAlignment="1">
      <alignment horizontal="center" vertical="center"/>
    </xf>
    <xf numFmtId="0" fontId="1" fillId="4" borderId="0" xfId="0" applyFont="1" applyFill="1" applyAlignment="1">
      <alignment vertical="center"/>
    </xf>
    <xf numFmtId="43" fontId="1" fillId="0" borderId="0" xfId="1" applyFont="1" applyAlignment="1"/>
    <xf numFmtId="43" fontId="0" fillId="0" borderId="0" xfId="1" applyFont="1" applyAlignment="1"/>
    <xf numFmtId="0" fontId="1" fillId="4" borderId="0" xfId="0" applyFont="1" applyFill="1"/>
    <xf numFmtId="0" fontId="0" fillId="0" borderId="0" xfId="0" applyAlignment="1">
      <alignment horizontal="right"/>
    </xf>
    <xf numFmtId="0" fontId="1" fillId="0" borderId="1" xfId="0" applyFont="1" applyBorder="1" applyAlignment="1">
      <alignment horizontal="left" indent="2"/>
    </xf>
    <xf numFmtId="0" fontId="1" fillId="5" borderId="2" xfId="0" applyFont="1" applyFill="1" applyBorder="1" applyAlignment="1">
      <alignment horizontal="right"/>
    </xf>
    <xf numFmtId="0" fontId="2" fillId="4" borderId="2" xfId="0" applyFont="1" applyFill="1" applyBorder="1"/>
    <xf numFmtId="0" fontId="1" fillId="0" borderId="3" xfId="0" applyFont="1" applyBorder="1" applyAlignment="1">
      <alignment horizontal="left" indent="3"/>
    </xf>
    <xf numFmtId="0" fontId="0" fillId="0" borderId="3" xfId="0" applyBorder="1"/>
    <xf numFmtId="0" fontId="0" fillId="0" borderId="3" xfId="0" applyBorder="1" applyAlignment="1">
      <alignment horizontal="left" indent="1"/>
    </xf>
    <xf numFmtId="0" fontId="0" fillId="0" borderId="4" xfId="0" applyBorder="1"/>
    <xf numFmtId="0" fontId="0" fillId="0" borderId="5" xfId="0" applyBorder="1"/>
    <xf numFmtId="0" fontId="1" fillId="6" borderId="2" xfId="0" applyFont="1" applyFill="1" applyBorder="1"/>
    <xf numFmtId="0" fontId="1" fillId="0" borderId="0" xfId="0" applyFont="1" applyAlignment="1">
      <alignment horizontal="right"/>
    </xf>
    <xf numFmtId="4" fontId="1" fillId="0" borderId="0" xfId="0" applyNumberFormat="1" applyFont="1" applyAlignment="1">
      <alignment horizontal="right"/>
    </xf>
    <xf numFmtId="0" fontId="0" fillId="0" borderId="3" xfId="0" applyBorder="1" applyAlignment="1">
      <alignment horizontal="left" indent="2"/>
    </xf>
    <xf numFmtId="0" fontId="1" fillId="6" borderId="1" xfId="0" applyFont="1" applyFill="1" applyBorder="1" applyAlignment="1">
      <alignment horizontal="left"/>
    </xf>
    <xf numFmtId="0" fontId="1" fillId="7" borderId="0" xfId="0" applyFont="1" applyFill="1" applyAlignment="1">
      <alignment horizontal="right"/>
    </xf>
    <xf numFmtId="4" fontId="1" fillId="7" borderId="0" xfId="0" applyNumberFormat="1" applyFont="1" applyFill="1" applyAlignment="1">
      <alignment horizontal="right"/>
    </xf>
    <xf numFmtId="4" fontId="1" fillId="7" borderId="0" xfId="0" applyNumberFormat="1" applyFont="1" applyFill="1"/>
    <xf numFmtId="0" fontId="1" fillId="0" borderId="3" xfId="0" applyFont="1" applyBorder="1"/>
    <xf numFmtId="0" fontId="0" fillId="0" borderId="3" xfId="0" applyBorder="1" applyAlignment="1">
      <alignment horizontal="left" indent="4"/>
    </xf>
    <xf numFmtId="0" fontId="1" fillId="7" borderId="2" xfId="0" applyFont="1" applyFill="1" applyBorder="1" applyAlignment="1">
      <alignment horizontal="left"/>
    </xf>
    <xf numFmtId="0" fontId="0" fillId="0" borderId="4" xfId="0" applyBorder="1" applyAlignment="1">
      <alignment horizontal="left" indent="4"/>
    </xf>
    <xf numFmtId="0" fontId="1" fillId="7" borderId="5" xfId="0" applyFont="1" applyFill="1" applyBorder="1"/>
    <xf numFmtId="0" fontId="0" fillId="0" borderId="6" xfId="0" applyBorder="1" applyAlignment="1">
      <alignment horizontal="left" indent="2"/>
    </xf>
    <xf numFmtId="0" fontId="4" fillId="0" borderId="0" xfId="0" applyFont="1" applyAlignment="1">
      <alignment vertical="center" wrapText="1"/>
    </xf>
    <xf numFmtId="0" fontId="0" fillId="0" borderId="0" xfId="0" applyAlignment="1">
      <alignment horizontal="center" vertical="center"/>
    </xf>
    <xf numFmtId="0" fontId="5" fillId="9" borderId="0" xfId="0" applyFont="1" applyFill="1" applyAlignment="1">
      <alignment horizontal="right" vertical="center" wrapText="1" indent="5"/>
    </xf>
    <xf numFmtId="4" fontId="1" fillId="10" borderId="0" xfId="0" applyNumberFormat="1" applyFont="1" applyFill="1"/>
    <xf numFmtId="0" fontId="4" fillId="2" borderId="0" xfId="0" applyFont="1" applyFill="1" applyAlignment="1">
      <alignment vertical="center" wrapText="1"/>
    </xf>
    <xf numFmtId="0" fontId="0" fillId="0" borderId="0" xfId="0" applyAlignment="1">
      <alignment horizontal="center"/>
    </xf>
    <xf numFmtId="4" fontId="4" fillId="2" borderId="0" xfId="0" applyNumberFormat="1" applyFont="1" applyFill="1" applyAlignment="1">
      <alignment vertical="center" wrapText="1"/>
    </xf>
    <xf numFmtId="0" fontId="1" fillId="10" borderId="0" xfId="0" applyFont="1" applyFill="1"/>
    <xf numFmtId="0" fontId="0" fillId="0" borderId="0" xfId="0" applyAlignment="1">
      <alignment wrapText="1"/>
    </xf>
    <xf numFmtId="0" fontId="1" fillId="2" borderId="0" xfId="0" applyFont="1" applyFill="1"/>
    <xf numFmtId="164" fontId="0" fillId="0" borderId="0" xfId="0" applyNumberFormat="1" applyAlignment="1">
      <alignment vertical="top"/>
    </xf>
    <xf numFmtId="164" fontId="7" fillId="0" borderId="0" xfId="0" applyNumberFormat="1" applyFont="1" applyAlignment="1">
      <alignment vertical="top"/>
    </xf>
    <xf numFmtId="0" fontId="9" fillId="0" borderId="0" xfId="0" applyFont="1"/>
    <xf numFmtId="0" fontId="10" fillId="0" borderId="0" xfId="0" applyFont="1"/>
    <xf numFmtId="0" fontId="10" fillId="0" borderId="0" xfId="0" applyFont="1" applyAlignment="1">
      <alignment horizontal="left" indent="2"/>
    </xf>
    <xf numFmtId="4" fontId="10" fillId="0" borderId="0" xfId="0" applyNumberFormat="1" applyFont="1"/>
    <xf numFmtId="4" fontId="9" fillId="0" borderId="0" xfId="0" applyNumberFormat="1" applyFont="1"/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9" fillId="11" borderId="0" xfId="0" applyFont="1" applyFill="1"/>
    <xf numFmtId="0" fontId="0" fillId="11" borderId="0" xfId="0" applyFill="1"/>
    <xf numFmtId="10" fontId="0" fillId="0" borderId="0" xfId="2" applyNumberFormat="1" applyFont="1" applyAlignment="1"/>
    <xf numFmtId="10" fontId="0" fillId="0" borderId="0" xfId="0" applyNumberFormat="1"/>
    <xf numFmtId="10" fontId="9" fillId="0" borderId="0" xfId="2" applyNumberFormat="1" applyFont="1" applyAlignment="1"/>
    <xf numFmtId="0" fontId="10" fillId="14" borderId="0" xfId="0" applyFont="1" applyFill="1" applyAlignment="1">
      <alignment horizontal="left" indent="2"/>
    </xf>
    <xf numFmtId="4" fontId="9" fillId="14" borderId="0" xfId="0" applyNumberFormat="1" applyFont="1" applyFill="1"/>
    <xf numFmtId="0" fontId="0" fillId="14" borderId="0" xfId="0" applyFill="1"/>
    <xf numFmtId="0" fontId="9" fillId="14" borderId="0" xfId="0" applyFont="1" applyFill="1"/>
    <xf numFmtId="9" fontId="0" fillId="0" borderId="0" xfId="0" applyNumberFormat="1"/>
    <xf numFmtId="165" fontId="0" fillId="0" borderId="0" xfId="0" applyNumberFormat="1"/>
    <xf numFmtId="10" fontId="9" fillId="0" borderId="0" xfId="0" applyNumberFormat="1" applyFont="1"/>
    <xf numFmtId="164" fontId="7" fillId="13" borderId="0" xfId="0" applyNumberFormat="1" applyFont="1" applyFill="1" applyAlignment="1">
      <alignment vertical="top"/>
    </xf>
    <xf numFmtId="10" fontId="0" fillId="14" borderId="0" xfId="2" applyNumberFormat="1" applyFont="1" applyFill="1" applyAlignment="1"/>
    <xf numFmtId="10" fontId="0" fillId="14" borderId="0" xfId="0" applyNumberFormat="1" applyFill="1"/>
    <xf numFmtId="164" fontId="12" fillId="0" borderId="0" xfId="0" applyNumberFormat="1" applyFont="1" applyAlignment="1">
      <alignment vertical="top"/>
    </xf>
    <xf numFmtId="0" fontId="12" fillId="11" borderId="0" xfId="0" applyFont="1" applyFill="1"/>
    <xf numFmtId="0" fontId="12" fillId="0" borderId="0" xfId="0" applyFont="1"/>
    <xf numFmtId="2" fontId="12" fillId="0" borderId="0" xfId="0" applyNumberFormat="1" applyFont="1"/>
    <xf numFmtId="2" fontId="12" fillId="0" borderId="0" xfId="0" applyNumberFormat="1" applyFont="1" applyAlignment="1">
      <alignment horizontal="center"/>
    </xf>
    <xf numFmtId="2" fontId="13" fillId="14" borderId="0" xfId="0" applyNumberFormat="1" applyFont="1" applyFill="1"/>
    <xf numFmtId="4" fontId="13" fillId="0" borderId="0" xfId="0" applyNumberFormat="1" applyFont="1"/>
    <xf numFmtId="165" fontId="12" fillId="0" borderId="0" xfId="2" applyNumberFormat="1" applyFont="1" applyAlignment="1"/>
    <xf numFmtId="10" fontId="12" fillId="0" borderId="0" xfId="0" applyNumberFormat="1" applyFont="1"/>
    <xf numFmtId="0" fontId="12" fillId="14" borderId="0" xfId="0" applyFont="1" applyFill="1"/>
    <xf numFmtId="9" fontId="12" fillId="14" borderId="0" xfId="2" applyFont="1" applyFill="1" applyAlignment="1"/>
    <xf numFmtId="171" fontId="13" fillId="0" borderId="0" xfId="0" applyNumberFormat="1" applyFont="1"/>
    <xf numFmtId="0" fontId="12" fillId="0" borderId="0" xfId="0" applyFont="1" applyAlignment="1">
      <alignment horizontal="center"/>
    </xf>
    <xf numFmtId="10" fontId="13" fillId="0" borderId="0" xfId="0" applyNumberFormat="1" applyFont="1"/>
    <xf numFmtId="164" fontId="11" fillId="13" borderId="0" xfId="0" applyNumberFormat="1" applyFont="1" applyFill="1" applyAlignment="1">
      <alignment vertical="top"/>
    </xf>
    <xf numFmtId="9" fontId="0" fillId="14" borderId="0" xfId="0" applyNumberFormat="1" applyFill="1"/>
    <xf numFmtId="10" fontId="0" fillId="0" borderId="0" xfId="0" applyNumberFormat="1" applyAlignment="1">
      <alignment horizontal="left" indent="4"/>
    </xf>
    <xf numFmtId="171" fontId="0" fillId="0" borderId="0" xfId="2" applyNumberFormat="1" applyFont="1" applyFill="1" applyAlignment="1"/>
    <xf numFmtId="171" fontId="0" fillId="0" borderId="0" xfId="0" applyNumberFormat="1"/>
    <xf numFmtId="0" fontId="14" fillId="0" borderId="0" xfId="9" applyProtection="1"/>
    <xf numFmtId="0" fontId="15" fillId="0" borderId="0" xfId="9" applyFont="1" applyProtection="1"/>
    <xf numFmtId="43" fontId="0" fillId="0" borderId="0" xfId="0" applyNumberFormat="1"/>
    <xf numFmtId="165" fontId="0" fillId="0" borderId="0" xfId="2" applyNumberFormat="1" applyFont="1" applyAlignment="1"/>
    <xf numFmtId="2" fontId="0" fillId="0" borderId="0" xfId="0" applyNumberFormat="1"/>
    <xf numFmtId="1" fontId="0" fillId="0" borderId="0" xfId="0" applyNumberFormat="1"/>
    <xf numFmtId="0" fontId="6" fillId="0" borderId="0" xfId="0" applyFont="1"/>
    <xf numFmtId="165" fontId="6" fillId="0" borderId="0" xfId="0" applyNumberFormat="1" applyFont="1"/>
    <xf numFmtId="0" fontId="6" fillId="0" borderId="8" xfId="0" applyFont="1" applyBorder="1"/>
    <xf numFmtId="0" fontId="1" fillId="0" borderId="8" xfId="0" applyFont="1" applyBorder="1"/>
    <xf numFmtId="172" fontId="1" fillId="0" borderId="0" xfId="0" applyNumberFormat="1" applyFont="1"/>
    <xf numFmtId="10" fontId="1" fillId="0" borderId="0" xfId="0" applyNumberFormat="1" applyFont="1"/>
    <xf numFmtId="171" fontId="1" fillId="0" borderId="0" xfId="0" applyNumberFormat="1" applyFont="1"/>
    <xf numFmtId="165" fontId="1" fillId="0" borderId="0" xfId="0" applyNumberFormat="1" applyFont="1"/>
    <xf numFmtId="172" fontId="1" fillId="4" borderId="9" xfId="0" applyNumberFormat="1" applyFont="1" applyFill="1" applyBorder="1"/>
    <xf numFmtId="0" fontId="1" fillId="15" borderId="0" xfId="0" applyFont="1" applyFill="1"/>
    <xf numFmtId="10" fontId="0" fillId="0" borderId="0" xfId="0" applyNumberFormat="1" applyAlignment="1">
      <alignment vertical="top"/>
    </xf>
    <xf numFmtId="10" fontId="12" fillId="0" borderId="0" xfId="0" applyNumberFormat="1" applyFont="1" applyAlignment="1">
      <alignment vertical="top"/>
    </xf>
    <xf numFmtId="10" fontId="7" fillId="13" borderId="0" xfId="0" applyNumberFormat="1" applyFont="1" applyFill="1" applyAlignment="1">
      <alignment vertical="top"/>
    </xf>
    <xf numFmtId="10" fontId="11" fillId="13" borderId="0" xfId="0" applyNumberFormat="1" applyFont="1" applyFill="1" applyAlignment="1">
      <alignment vertical="top"/>
    </xf>
    <xf numFmtId="9" fontId="0" fillId="0" borderId="10" xfId="2" applyFont="1" applyBorder="1" applyAlignment="1"/>
    <xf numFmtId="9" fontId="0" fillId="0" borderId="10" xfId="0" applyNumberFormat="1" applyBorder="1"/>
    <xf numFmtId="10" fontId="0" fillId="0" borderId="10" xfId="0" applyNumberFormat="1" applyBorder="1"/>
    <xf numFmtId="164" fontId="8" fillId="12" borderId="0" xfId="0" applyNumberFormat="1" applyFont="1" applyFill="1" applyAlignment="1">
      <alignment horizontal="center"/>
    </xf>
    <xf numFmtId="164" fontId="8" fillId="12" borderId="10" xfId="0" applyNumberFormat="1" applyFont="1" applyFill="1" applyBorder="1" applyAlignment="1">
      <alignment horizontal="center"/>
    </xf>
    <xf numFmtId="0" fontId="3" fillId="8" borderId="0" xfId="0" applyFont="1" applyFill="1" applyAlignment="1">
      <alignment horizontal="center"/>
    </xf>
    <xf numFmtId="0" fontId="0" fillId="8" borderId="0" xfId="0" applyFill="1" applyAlignment="1">
      <alignment horizontal="center"/>
    </xf>
    <xf numFmtId="0" fontId="0" fillId="8" borderId="7" xfId="0" applyFill="1" applyBorder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wrapText="1"/>
    </xf>
    <xf numFmtId="0" fontId="18" fillId="16" borderId="0" xfId="0" applyFont="1" applyFill="1"/>
    <xf numFmtId="43" fontId="6" fillId="0" borderId="0" xfId="1" applyAlignment="1"/>
    <xf numFmtId="0" fontId="17" fillId="2" borderId="0" xfId="0" applyFont="1" applyFill="1"/>
    <xf numFmtId="0" fontId="16" fillId="3" borderId="0" xfId="0" applyFont="1" applyFill="1" applyAlignment="1">
      <alignment vertical="top" wrapText="1"/>
    </xf>
    <xf numFmtId="9" fontId="6" fillId="0" borderId="0" xfId="2" applyAlignment="1"/>
    <xf numFmtId="0" fontId="0" fillId="0" borderId="0" xfId="0" applyFill="1" applyBorder="1"/>
    <xf numFmtId="4" fontId="0" fillId="0" borderId="0" xfId="0" applyNumberFormat="1" applyFill="1" applyBorder="1"/>
    <xf numFmtId="9" fontId="0" fillId="0" borderId="0" xfId="0" applyNumberFormat="1" applyFill="1" applyBorder="1"/>
    <xf numFmtId="43" fontId="0" fillId="0" borderId="0" xfId="0" applyNumberFormat="1" applyFill="1" applyBorder="1"/>
    <xf numFmtId="2" fontId="0" fillId="0" borderId="0" xfId="0" applyNumberFormat="1" applyFill="1" applyBorder="1"/>
    <xf numFmtId="10" fontId="6" fillId="0" borderId="0" xfId="2" applyNumberFormat="1" applyAlignment="1"/>
    <xf numFmtId="175" fontId="6" fillId="0" borderId="0" xfId="2" applyNumberFormat="1" applyAlignment="1"/>
    <xf numFmtId="175" fontId="0" fillId="0" borderId="0" xfId="0" applyNumberFormat="1" applyFill="1" applyBorder="1"/>
    <xf numFmtId="10" fontId="0" fillId="0" borderId="0" xfId="2" applyNumberFormat="1" applyFont="1" applyFill="1" applyBorder="1" applyAlignment="1"/>
    <xf numFmtId="0" fontId="0" fillId="0" borderId="10" xfId="2" applyNumberFormat="1" applyFont="1" applyBorder="1" applyAlignment="1"/>
    <xf numFmtId="2" fontId="0" fillId="0" borderId="10" xfId="2" applyNumberFormat="1" applyFont="1" applyBorder="1" applyAlignment="1"/>
  </cellXfs>
  <cellStyles count="10">
    <cellStyle name="Comma" xfId="1" builtinId="3"/>
    <cellStyle name="DateLong" xfId="6" xr:uid="{5E29675A-DFB0-4165-95F0-E3BFDF732C37}"/>
    <cellStyle name="DateShort" xfId="7" xr:uid="{BFA30745-0574-4379-B28E-99028EF8B0FE}"/>
    <cellStyle name="Factor" xfId="5" xr:uid="{E7F8C853-8098-48AF-BB7E-F2D53CC088BF}"/>
    <cellStyle name="Normal" xfId="0" builtinId="0"/>
    <cellStyle name="Normal 2" xfId="3" xr:uid="{690171D1-F190-4110-8260-09D8BBCD84EB}"/>
    <cellStyle name="Normal 4" xfId="9" xr:uid="{9B6E712B-DD35-4CC6-A7B8-2D9778F20B3F}"/>
    <cellStyle name="Percent" xfId="2" builtinId="5"/>
    <cellStyle name="Percent 2" xfId="4" xr:uid="{C2002EA8-EFE4-4793-844E-5E5EC59A5536}"/>
    <cellStyle name="Year" xfId="8" xr:uid="{F12F77D0-40EB-46D7-BBDD-C129F682AE2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68"/>
  <sheetViews>
    <sheetView showGridLines="0" zoomScaleNormal="100" workbookViewId="0">
      <selection activeCell="B20" sqref="B20"/>
    </sheetView>
  </sheetViews>
  <sheetFormatPr defaultColWidth="9" defaultRowHeight="14.4"/>
  <cols>
    <col min="1" max="1" width="61.33203125" customWidth="1"/>
    <col min="2" max="2" width="16.5546875" customWidth="1"/>
    <col min="3" max="3" width="12.33203125" customWidth="1"/>
    <col min="4" max="4" width="14.33203125" customWidth="1"/>
    <col min="5" max="5" width="11.33203125" customWidth="1"/>
    <col min="6" max="6" width="12.109375" customWidth="1"/>
  </cols>
  <sheetData>
    <row r="2" spans="1:10">
      <c r="A2" s="9" t="s">
        <v>0</v>
      </c>
    </row>
    <row r="3" spans="1:10">
      <c r="A3" s="9" t="s">
        <v>1</v>
      </c>
    </row>
    <row r="4" spans="1:10" ht="14.4" customHeight="1">
      <c r="A4" s="9" t="s">
        <v>2</v>
      </c>
      <c r="B4" s="119" t="s">
        <v>3</v>
      </c>
      <c r="C4" s="120"/>
      <c r="D4" s="120"/>
      <c r="E4" s="120"/>
    </row>
    <row r="5" spans="1:10" ht="14.4" customHeight="1">
      <c r="B5" s="121"/>
      <c r="C5" s="121"/>
      <c r="D5" s="121"/>
      <c r="E5" s="121"/>
    </row>
    <row r="6" spans="1:10" s="72" customFormat="1">
      <c r="A6" s="72" t="s">
        <v>4</v>
      </c>
      <c r="B6" s="72" t="s">
        <v>5</v>
      </c>
      <c r="C6" s="72" t="s">
        <v>6</v>
      </c>
      <c r="D6" s="72" t="s">
        <v>7</v>
      </c>
      <c r="E6" s="72" t="s">
        <v>8</v>
      </c>
      <c r="F6" s="72" t="s">
        <v>9</v>
      </c>
      <c r="G6" s="72" t="s">
        <v>192</v>
      </c>
      <c r="H6" s="72" t="s">
        <v>193</v>
      </c>
      <c r="I6" s="72" t="s">
        <v>194</v>
      </c>
      <c r="J6" s="72" t="s">
        <v>214</v>
      </c>
    </row>
    <row r="7" spans="1:10" s="72" customFormat="1">
      <c r="B7" s="72" t="s">
        <v>10</v>
      </c>
      <c r="C7" s="72" t="s">
        <v>10</v>
      </c>
      <c r="D7" s="72" t="s">
        <v>10</v>
      </c>
      <c r="E7" s="72" t="s">
        <v>10</v>
      </c>
      <c r="F7" s="72" t="s">
        <v>10</v>
      </c>
      <c r="G7" s="72" t="s">
        <v>195</v>
      </c>
      <c r="H7" s="72" t="s">
        <v>195</v>
      </c>
      <c r="I7" s="72" t="s">
        <v>195</v>
      </c>
      <c r="J7" s="72" t="s">
        <v>195</v>
      </c>
    </row>
    <row r="8" spans="1:10">
      <c r="A8" t="s">
        <v>11</v>
      </c>
      <c r="B8" s="4">
        <v>33972.230000000003</v>
      </c>
      <c r="C8" s="4">
        <v>29255.32</v>
      </c>
      <c r="D8" s="4">
        <v>30959.19</v>
      </c>
      <c r="E8" s="4">
        <v>29551.279999999999</v>
      </c>
      <c r="F8" s="4">
        <v>34158.379999999997</v>
      </c>
      <c r="G8" s="4">
        <f>'Revenue Schedule'!G24</f>
        <v>39214.553999999996</v>
      </c>
      <c r="H8" s="4">
        <f>'Revenue Schedule'!H24</f>
        <v>45488.882639999996</v>
      </c>
      <c r="I8" s="4">
        <f>'Revenue Schedule'!I24</f>
        <v>52767.103862399992</v>
      </c>
      <c r="J8" s="4">
        <f>'Revenue Schedule'!J24</f>
        <v>61209.840480383988</v>
      </c>
    </row>
    <row r="9" spans="1:10">
      <c r="A9" t="s">
        <v>12</v>
      </c>
      <c r="B9">
        <v>686.73</v>
      </c>
      <c r="C9">
        <v>730.56</v>
      </c>
      <c r="D9">
        <v>557.9</v>
      </c>
      <c r="E9">
        <v>555.01</v>
      </c>
      <c r="F9">
        <v>569.01</v>
      </c>
    </row>
    <row r="10" spans="1:10">
      <c r="A10" s="41" t="s">
        <v>13</v>
      </c>
      <c r="B10" s="5">
        <f>SUM(B8:B9)</f>
        <v>34658.960000000006</v>
      </c>
      <c r="C10" s="5">
        <f t="shared" ref="C10:J10" si="0">SUM(C8:C9)</f>
        <v>29985.88</v>
      </c>
      <c r="D10" s="5">
        <f t="shared" si="0"/>
        <v>31517.09</v>
      </c>
      <c r="E10" s="5">
        <f t="shared" si="0"/>
        <v>30106.289999999997</v>
      </c>
      <c r="F10" s="5">
        <f t="shared" si="0"/>
        <v>34727.39</v>
      </c>
      <c r="G10" s="5">
        <f t="shared" si="0"/>
        <v>39214.553999999996</v>
      </c>
      <c r="H10" s="5">
        <f t="shared" si="0"/>
        <v>45488.882639999996</v>
      </c>
      <c r="I10" s="5">
        <f t="shared" si="0"/>
        <v>52767.103862399992</v>
      </c>
      <c r="J10" s="5">
        <f t="shared" si="0"/>
        <v>61209.840480383988</v>
      </c>
    </row>
    <row r="12" spans="1:10">
      <c r="A12" s="41" t="s">
        <v>14</v>
      </c>
    </row>
    <row r="13" spans="1:10">
      <c r="A13" t="s">
        <v>15</v>
      </c>
      <c r="B13" s="4">
        <v>23503.46</v>
      </c>
      <c r="C13" s="4">
        <v>20004.29</v>
      </c>
      <c r="D13" s="4">
        <v>21968.04</v>
      </c>
      <c r="E13" s="4">
        <v>20845.740000000002</v>
      </c>
      <c r="F13" s="4">
        <v>24060.29</v>
      </c>
      <c r="G13">
        <f>'Cost Sheet'!G7</f>
        <v>26882.74394734214</v>
      </c>
      <c r="H13">
        <f>'Cost Sheet'!H7</f>
        <v>31251.391400428653</v>
      </c>
      <c r="I13">
        <f>'Cost Sheet'!I7</f>
        <v>36460.44130822688</v>
      </c>
      <c r="J13">
        <f>'Cost Sheet'!J7</f>
        <v>42220.203326624716</v>
      </c>
    </row>
    <row r="14" spans="1:10">
      <c r="A14" t="s">
        <v>16</v>
      </c>
      <c r="B14">
        <v>-59.04</v>
      </c>
      <c r="C14">
        <v>-173.34</v>
      </c>
      <c r="D14">
        <v>-255.57</v>
      </c>
      <c r="E14">
        <v>28.67</v>
      </c>
      <c r="F14">
        <v>-163.69</v>
      </c>
      <c r="G14">
        <f>'Cost Sheet'!G9</f>
        <v>-150.82530193255175</v>
      </c>
      <c r="H14">
        <f>'Cost Sheet'!H9</f>
        <v>-194.65460317691014</v>
      </c>
      <c r="I14">
        <f>'Cost Sheet'!I9</f>
        <v>-209.25335283799768</v>
      </c>
      <c r="J14">
        <f>'Cost Sheet'!J9</f>
        <v>-193.04821291543962</v>
      </c>
    </row>
    <row r="15" spans="1:10">
      <c r="A15" t="s">
        <v>17</v>
      </c>
      <c r="B15" s="42" t="s">
        <v>18</v>
      </c>
      <c r="C15" s="42" t="s">
        <v>18</v>
      </c>
      <c r="D15">
        <v>31.14</v>
      </c>
      <c r="E15">
        <v>45.95</v>
      </c>
      <c r="F15">
        <v>47.43</v>
      </c>
      <c r="G15">
        <f>'Cost Sheet'!G8</f>
        <v>28.426364658658205</v>
      </c>
      <c r="H15">
        <f>'Cost Sheet'!H8</f>
        <v>39.638812383450983</v>
      </c>
      <c r="I15">
        <f>'Cost Sheet'!I8</f>
        <v>55.536585758177274</v>
      </c>
      <c r="J15">
        <f>'Cost Sheet'!J8</f>
        <v>66.083462652703702</v>
      </c>
    </row>
    <row r="16" spans="1:10">
      <c r="A16" s="43" t="s">
        <v>19</v>
      </c>
      <c r="B16" s="44">
        <f>SUM(B13:B15)</f>
        <v>23444.42</v>
      </c>
      <c r="C16" s="44">
        <f t="shared" ref="C16:J16" si="1">SUM(C13:C15)</f>
        <v>19830.95</v>
      </c>
      <c r="D16" s="44">
        <f t="shared" si="1"/>
        <v>21743.61</v>
      </c>
      <c r="E16" s="44">
        <f t="shared" si="1"/>
        <v>20920.36</v>
      </c>
      <c r="F16" s="44">
        <f t="shared" si="1"/>
        <v>23944.030000000002</v>
      </c>
      <c r="G16" s="44">
        <f t="shared" si="1"/>
        <v>26760.345010068246</v>
      </c>
      <c r="H16" s="44">
        <f t="shared" si="1"/>
        <v>31096.375609635194</v>
      </c>
      <c r="I16" s="44">
        <f t="shared" si="1"/>
        <v>36306.724541147058</v>
      </c>
      <c r="J16" s="44">
        <f t="shared" si="1"/>
        <v>42093.238576361982</v>
      </c>
    </row>
    <row r="17" spans="1:10">
      <c r="A17" t="s">
        <v>20</v>
      </c>
      <c r="B17">
        <v>1.41</v>
      </c>
      <c r="C17">
        <v>1.35</v>
      </c>
      <c r="D17" s="42" t="s">
        <v>18</v>
      </c>
      <c r="E17" s="42" t="s">
        <v>18</v>
      </c>
      <c r="F17" s="42" t="s">
        <v>18</v>
      </c>
    </row>
    <row r="18" spans="1:10">
      <c r="A18" t="s">
        <v>21</v>
      </c>
      <c r="B18" s="4">
        <v>1778.03</v>
      </c>
      <c r="C18" s="4">
        <v>1889.32</v>
      </c>
      <c r="D18" s="4">
        <v>1951.02</v>
      </c>
      <c r="E18" s="4">
        <v>1995.78</v>
      </c>
      <c r="F18" s="4">
        <v>2250.0500000000002</v>
      </c>
      <c r="G18" s="4">
        <f>F18*1.06</f>
        <v>2385.0530000000003</v>
      </c>
      <c r="H18" s="4">
        <f t="shared" ref="H18:J18" si="2">G18*1.06</f>
        <v>2528.1561800000004</v>
      </c>
      <c r="I18" s="4">
        <f t="shared" si="2"/>
        <v>2679.8455508000006</v>
      </c>
      <c r="J18" s="4">
        <f t="shared" si="2"/>
        <v>2840.6362838480009</v>
      </c>
    </row>
    <row r="19" spans="1:10">
      <c r="A19" t="s">
        <v>22</v>
      </c>
      <c r="B19">
        <v>17.18</v>
      </c>
      <c r="C19">
        <v>26.64</v>
      </c>
      <c r="D19">
        <v>26.41</v>
      </c>
      <c r="E19">
        <v>33.1</v>
      </c>
      <c r="F19">
        <v>50.88</v>
      </c>
      <c r="G19" s="99">
        <f>'Cost Sheet'!G33</f>
        <v>42.874065466585911</v>
      </c>
      <c r="H19" s="99">
        <f>'Cost Sheet'!H33</f>
        <v>51.81180974127728</v>
      </c>
      <c r="I19" s="99">
        <f>'Cost Sheet'!I33</f>
        <v>63.873767585113903</v>
      </c>
      <c r="J19" s="99">
        <f>'Cost Sheet'!J33</f>
        <v>75.476878711874022</v>
      </c>
    </row>
    <row r="20" spans="1:10">
      <c r="A20" t="s">
        <v>23</v>
      </c>
      <c r="B20">
        <v>624.44000000000005</v>
      </c>
      <c r="C20">
        <v>845.76</v>
      </c>
      <c r="D20">
        <v>715.12</v>
      </c>
      <c r="E20">
        <v>689.52</v>
      </c>
      <c r="F20">
        <v>697.39</v>
      </c>
      <c r="G20" s="99">
        <f>'Cost Sheet'!G37</f>
        <v>895.17940973989471</v>
      </c>
      <c r="H20" s="99">
        <f>'Cost Sheet'!H37</f>
        <v>1009.5059605886286</v>
      </c>
      <c r="I20" s="99">
        <f>'Cost Sheet'!I37</f>
        <v>1150.9642839027292</v>
      </c>
      <c r="J20" s="99">
        <f>'Cost Sheet'!J37</f>
        <v>1363.5972499468623</v>
      </c>
    </row>
    <row r="21" spans="1:10">
      <c r="A21" t="s">
        <v>24</v>
      </c>
      <c r="B21" s="4">
        <v>3729.94</v>
      </c>
      <c r="C21" s="4">
        <v>3472.78</v>
      </c>
      <c r="D21" s="4">
        <v>3165.05</v>
      </c>
      <c r="E21" s="4">
        <v>3190.37</v>
      </c>
      <c r="F21" s="4">
        <v>3870.53</v>
      </c>
      <c r="G21" s="4">
        <f>F21*1.06</f>
        <v>4102.7618000000002</v>
      </c>
      <c r="H21" s="4">
        <f t="shared" ref="H21:J21" si="3">G21*1.06</f>
        <v>4348.9275080000007</v>
      </c>
      <c r="I21" s="4">
        <f t="shared" si="3"/>
        <v>4609.8631584800005</v>
      </c>
      <c r="J21" s="4">
        <f t="shared" si="3"/>
        <v>4886.454947988801</v>
      </c>
    </row>
    <row r="22" spans="1:10">
      <c r="A22" s="45" t="s">
        <v>25</v>
      </c>
      <c r="B22" s="45">
        <f>SUM(B16:B21)</f>
        <v>29595.419999999995</v>
      </c>
      <c r="C22" s="45">
        <f t="shared" ref="C22:J22" si="4">SUM(C16:C21)</f>
        <v>26066.799999999996</v>
      </c>
      <c r="D22" s="45">
        <f t="shared" si="4"/>
        <v>27601.21</v>
      </c>
      <c r="E22" s="45">
        <f t="shared" si="4"/>
        <v>26829.129999999997</v>
      </c>
      <c r="F22" s="47">
        <f>SUM(F16:F21)</f>
        <v>30812.880000000001</v>
      </c>
      <c r="G22" s="45">
        <f t="shared" si="4"/>
        <v>34186.213285274731</v>
      </c>
      <c r="H22" s="45">
        <f t="shared" si="4"/>
        <v>39034.7770679651</v>
      </c>
      <c r="I22" s="45">
        <f t="shared" si="4"/>
        <v>44811.271301914901</v>
      </c>
      <c r="J22" s="45">
        <f t="shared" si="4"/>
        <v>51259.403936857518</v>
      </c>
    </row>
    <row r="23" spans="1:10">
      <c r="A23" s="46" t="s">
        <v>26</v>
      </c>
      <c r="B23" s="4">
        <v>5043.54</v>
      </c>
      <c r="C23" s="4">
        <v>3899.08</v>
      </c>
      <c r="D23" s="4">
        <v>3895.88</v>
      </c>
      <c r="E23" s="4">
        <v>3257.16</v>
      </c>
      <c r="F23" s="4">
        <f>F10-F22</f>
        <v>3914.5099999999984</v>
      </c>
      <c r="G23" s="4">
        <f t="shared" ref="G23:J23" si="5">G10-G22</f>
        <v>5028.3407147252656</v>
      </c>
      <c r="H23" s="4">
        <f t="shared" si="5"/>
        <v>6454.1055720348959</v>
      </c>
      <c r="I23" s="4">
        <f t="shared" si="5"/>
        <v>7955.8325604850907</v>
      </c>
      <c r="J23" s="4">
        <f t="shared" si="5"/>
        <v>9950.4365435264699</v>
      </c>
    </row>
    <row r="24" spans="1:10">
      <c r="A24" s="9" t="s">
        <v>27</v>
      </c>
      <c r="F24" s="4"/>
    </row>
    <row r="25" spans="1:10">
      <c r="A25" t="s">
        <v>28</v>
      </c>
      <c r="B25">
        <v>60.76</v>
      </c>
      <c r="C25">
        <v>34.630000000000003</v>
      </c>
      <c r="D25">
        <v>-46.56</v>
      </c>
      <c r="E25">
        <v>-199.05</v>
      </c>
      <c r="F25">
        <v>3.11</v>
      </c>
      <c r="G25">
        <f>AVERAGE(C25:F25)</f>
        <v>-51.967500000000001</v>
      </c>
      <c r="H25">
        <f t="shared" ref="H25:J25" si="6">AVERAGE(D25:G25)</f>
        <v>-73.616874999999993</v>
      </c>
      <c r="I25">
        <f t="shared" si="6"/>
        <v>-80.381093749999991</v>
      </c>
      <c r="J25">
        <f t="shared" si="6"/>
        <v>-50.7138671875</v>
      </c>
    </row>
    <row r="26" spans="1:10">
      <c r="A26" s="9" t="s">
        <v>29</v>
      </c>
    </row>
    <row r="27" spans="1:10">
      <c r="A27" t="s">
        <v>30</v>
      </c>
      <c r="B27" s="42" t="s">
        <v>18</v>
      </c>
      <c r="C27">
        <v>737.48</v>
      </c>
      <c r="D27" s="42" t="s">
        <v>18</v>
      </c>
      <c r="E27" s="42" t="s">
        <v>18</v>
      </c>
      <c r="F27" s="42" t="s">
        <v>18</v>
      </c>
    </row>
    <row r="28" spans="1:10">
      <c r="A28" t="s">
        <v>31</v>
      </c>
      <c r="B28" s="42" t="s">
        <v>18</v>
      </c>
      <c r="C28">
        <v>-60.11</v>
      </c>
      <c r="D28" s="42" t="s">
        <v>18</v>
      </c>
      <c r="E28" s="42" t="s">
        <v>18</v>
      </c>
      <c r="F28" s="42" t="s">
        <v>18</v>
      </c>
    </row>
    <row r="29" spans="1:10">
      <c r="A29" s="9" t="s">
        <v>216</v>
      </c>
      <c r="B29" s="42">
        <f>B30+B19</f>
        <v>5121.4800000000005</v>
      </c>
      <c r="C29" s="42">
        <f t="shared" ref="C29:J29" si="7">C30+C19</f>
        <v>4637.7200000000012</v>
      </c>
      <c r="D29" s="42">
        <f t="shared" si="7"/>
        <v>3875.73</v>
      </c>
      <c r="E29" s="42">
        <f t="shared" si="7"/>
        <v>3091.2099999999996</v>
      </c>
      <c r="F29" s="42">
        <f t="shared" si="7"/>
        <v>3968.4999999999986</v>
      </c>
      <c r="G29" s="42">
        <f t="shared" si="7"/>
        <v>5019.247280191852</v>
      </c>
      <c r="H29" s="42">
        <f t="shared" si="7"/>
        <v>6432.3005067761733</v>
      </c>
      <c r="I29" s="42">
        <f t="shared" si="7"/>
        <v>7939.3252343202039</v>
      </c>
      <c r="J29" s="42">
        <f t="shared" si="7"/>
        <v>9975.1995550508436</v>
      </c>
    </row>
    <row r="30" spans="1:10">
      <c r="A30" s="45" t="s">
        <v>32</v>
      </c>
      <c r="B30" s="45">
        <f>SUM(B23:B28)</f>
        <v>5104.3</v>
      </c>
      <c r="C30" s="45">
        <f t="shared" ref="C30:J30" si="8">SUM(C23:C28)</f>
        <v>4611.0800000000008</v>
      </c>
      <c r="D30" s="45">
        <f t="shared" si="8"/>
        <v>3849.32</v>
      </c>
      <c r="E30" s="45">
        <f t="shared" si="8"/>
        <v>3058.1099999999997</v>
      </c>
      <c r="F30" s="45">
        <f t="shared" si="8"/>
        <v>3917.6199999999985</v>
      </c>
      <c r="G30" s="45">
        <f t="shared" si="8"/>
        <v>4976.3732147252658</v>
      </c>
      <c r="H30" s="45">
        <f t="shared" si="8"/>
        <v>6380.4886970348962</v>
      </c>
      <c r="I30" s="45">
        <f t="shared" si="8"/>
        <v>7875.4514667350904</v>
      </c>
      <c r="J30" s="45">
        <f t="shared" si="8"/>
        <v>9899.7226763389699</v>
      </c>
    </row>
    <row r="31" spans="1:10">
      <c r="A31" t="s">
        <v>33</v>
      </c>
    </row>
    <row r="32" spans="1:10">
      <c r="A32" t="s">
        <v>34</v>
      </c>
      <c r="B32" s="4">
        <v>1608.81</v>
      </c>
      <c r="C32" s="4">
        <v>1096.79</v>
      </c>
      <c r="D32">
        <v>931.38</v>
      </c>
      <c r="E32">
        <v>805.44</v>
      </c>
      <c r="F32">
        <v>947.69</v>
      </c>
      <c r="G32" s="4">
        <f>F32*1.06</f>
        <v>1004.5514000000001</v>
      </c>
      <c r="H32" s="4">
        <f t="shared" ref="H32:J32" si="9">G32*1.06</f>
        <v>1064.8244840000002</v>
      </c>
      <c r="I32" s="4">
        <f t="shared" si="9"/>
        <v>1128.7139530400002</v>
      </c>
      <c r="J32" s="4">
        <f t="shared" si="9"/>
        <v>1196.4367902224003</v>
      </c>
    </row>
    <row r="33" spans="1:10">
      <c r="A33" t="s">
        <v>35</v>
      </c>
      <c r="B33">
        <v>29.14</v>
      </c>
      <c r="C33">
        <v>-145.12</v>
      </c>
      <c r="D33">
        <v>-18.11</v>
      </c>
      <c r="E33">
        <v>-76.38</v>
      </c>
      <c r="F33">
        <v>116.03</v>
      </c>
      <c r="G33">
        <f>F33*1.06</f>
        <v>122.99180000000001</v>
      </c>
      <c r="H33">
        <f t="shared" ref="H33:J33" si="10">G33*1.06</f>
        <v>130.37130800000003</v>
      </c>
      <c r="I33">
        <f t="shared" si="10"/>
        <v>138.19358648000005</v>
      </c>
      <c r="J33">
        <f t="shared" si="10"/>
        <v>146.48520166880007</v>
      </c>
    </row>
    <row r="34" spans="1:10">
      <c r="A34" t="s">
        <v>36</v>
      </c>
    </row>
    <row r="35" spans="1:10" s="45" customFormat="1" ht="10.8">
      <c r="A35" s="45" t="s">
        <v>37</v>
      </c>
      <c r="B35" s="45">
        <f>SUM(B32:B34)</f>
        <v>1637.95</v>
      </c>
      <c r="C35" s="45">
        <f t="shared" ref="C35:J35" si="11">SUM(C32:C34)</f>
        <v>951.67</v>
      </c>
      <c r="D35" s="45">
        <f t="shared" si="11"/>
        <v>913.27</v>
      </c>
      <c r="E35" s="45">
        <f t="shared" si="11"/>
        <v>729.06000000000006</v>
      </c>
      <c r="F35" s="45">
        <f t="shared" si="11"/>
        <v>1063.72</v>
      </c>
      <c r="G35" s="45">
        <f t="shared" si="11"/>
        <v>1127.5432000000001</v>
      </c>
      <c r="H35" s="45">
        <f t="shared" si="11"/>
        <v>1195.1957920000002</v>
      </c>
      <c r="I35" s="45">
        <f t="shared" si="11"/>
        <v>1266.9075395200002</v>
      </c>
      <c r="J35" s="45">
        <f t="shared" si="11"/>
        <v>1342.9219918912004</v>
      </c>
    </row>
    <row r="36" spans="1:10" s="48" customFormat="1">
      <c r="A36" s="48" t="s">
        <v>36</v>
      </c>
      <c r="B36" s="48">
        <f>B30-B35</f>
        <v>3466.3500000000004</v>
      </c>
      <c r="C36" s="48">
        <f t="shared" ref="C36:J36" si="12">C30-C35</f>
        <v>3659.4100000000008</v>
      </c>
      <c r="D36" s="48">
        <f t="shared" si="12"/>
        <v>2936.05</v>
      </c>
      <c r="E36" s="48">
        <f t="shared" si="12"/>
        <v>2329.0499999999997</v>
      </c>
      <c r="F36" s="48">
        <f t="shared" si="12"/>
        <v>2853.8999999999987</v>
      </c>
      <c r="G36" s="48">
        <f t="shared" si="12"/>
        <v>3848.8300147252658</v>
      </c>
      <c r="H36" s="48">
        <f t="shared" si="12"/>
        <v>5185.2929050348957</v>
      </c>
      <c r="I36" s="48">
        <f t="shared" si="12"/>
        <v>6608.5439272150907</v>
      </c>
      <c r="J36" s="48">
        <f t="shared" si="12"/>
        <v>8556.8006844477695</v>
      </c>
    </row>
    <row r="37" spans="1:10">
      <c r="A37" s="9" t="s">
        <v>38</v>
      </c>
    </row>
    <row r="38" spans="1:10">
      <c r="A38" t="s">
        <v>39</v>
      </c>
    </row>
    <row r="39" spans="1:10">
      <c r="A39" t="s">
        <v>40</v>
      </c>
      <c r="B39">
        <v>-27.43</v>
      </c>
      <c r="C39">
        <v>-42.59</v>
      </c>
      <c r="D39">
        <v>-28.16</v>
      </c>
      <c r="E39">
        <v>-7.22</v>
      </c>
      <c r="F39">
        <v>-12.64</v>
      </c>
    </row>
    <row r="40" spans="1:10">
      <c r="A40" t="s">
        <v>41</v>
      </c>
      <c r="B40">
        <v>9.58</v>
      </c>
      <c r="C40">
        <v>10.68</v>
      </c>
      <c r="D40">
        <v>7.08</v>
      </c>
      <c r="E40">
        <v>1.83</v>
      </c>
      <c r="F40">
        <v>3.15</v>
      </c>
    </row>
    <row r="41" spans="1:10" ht="28.8">
      <c r="A41" s="49" t="s">
        <v>42</v>
      </c>
      <c r="B41">
        <v>-0.57999999999999996</v>
      </c>
      <c r="C41">
        <v>-0.55000000000000004</v>
      </c>
      <c r="D41">
        <v>0.27</v>
      </c>
      <c r="E41">
        <v>-0.89</v>
      </c>
      <c r="F41">
        <v>0.6</v>
      </c>
    </row>
    <row r="42" spans="1:10">
      <c r="A42" s="50" t="s">
        <v>43</v>
      </c>
      <c r="B42" s="50">
        <f>SUM(B39:B41)</f>
        <v>-18.43</v>
      </c>
      <c r="C42" s="50">
        <f t="shared" ref="C42:F42" si="13">SUM(C39:C41)</f>
        <v>-32.46</v>
      </c>
      <c r="D42" s="50">
        <f t="shared" si="13"/>
        <v>-20.81</v>
      </c>
      <c r="E42" s="50">
        <f t="shared" si="13"/>
        <v>-6.2799999999999994</v>
      </c>
      <c r="F42" s="50">
        <f t="shared" si="13"/>
        <v>-8.89</v>
      </c>
    </row>
    <row r="43" spans="1:10">
      <c r="A43" t="s">
        <v>44</v>
      </c>
    </row>
    <row r="44" spans="1:10" ht="28.8">
      <c r="A44" s="49" t="s">
        <v>45</v>
      </c>
      <c r="B44">
        <v>5.3</v>
      </c>
      <c r="C44">
        <v>19.010000000000002</v>
      </c>
      <c r="D44">
        <v>-6.79</v>
      </c>
      <c r="E44">
        <v>7.53</v>
      </c>
      <c r="F44">
        <v>-34.43</v>
      </c>
    </row>
    <row r="45" spans="1:10">
      <c r="A45" t="s">
        <v>41</v>
      </c>
      <c r="B45">
        <v>-1.85</v>
      </c>
      <c r="C45">
        <v>-4.84</v>
      </c>
      <c r="D45">
        <v>1.73</v>
      </c>
      <c r="E45">
        <v>-1.85</v>
      </c>
      <c r="F45">
        <v>8.4499999999999993</v>
      </c>
    </row>
    <row r="46" spans="1:10">
      <c r="B46" s="50">
        <f>SUM(B44:B45)</f>
        <v>3.4499999999999997</v>
      </c>
      <c r="C46" s="50">
        <f t="shared" ref="C46:F46" si="14">SUM(C44:C45)</f>
        <v>14.170000000000002</v>
      </c>
      <c r="D46" s="50">
        <f t="shared" si="14"/>
        <v>-5.0600000000000005</v>
      </c>
      <c r="E46" s="50">
        <f t="shared" si="14"/>
        <v>5.68</v>
      </c>
      <c r="F46" s="50">
        <f t="shared" si="14"/>
        <v>-25.98</v>
      </c>
    </row>
    <row r="48" spans="1:10">
      <c r="A48" t="s">
        <v>46</v>
      </c>
      <c r="B48">
        <v>-14.98</v>
      </c>
      <c r="C48">
        <v>-18.29</v>
      </c>
      <c r="D48">
        <v>-25.87</v>
      </c>
      <c r="E48">
        <v>-0.6</v>
      </c>
      <c r="F48">
        <v>-34.869999999999997</v>
      </c>
    </row>
    <row r="49" spans="1:10">
      <c r="A49" s="48" t="s">
        <v>47</v>
      </c>
      <c r="B49" s="44">
        <f>B36+B48</f>
        <v>3451.3700000000003</v>
      </c>
      <c r="C49" s="44">
        <f t="shared" ref="C49:F49" si="15">C36+C48</f>
        <v>3641.1200000000008</v>
      </c>
      <c r="D49" s="44">
        <f t="shared" si="15"/>
        <v>2910.1800000000003</v>
      </c>
      <c r="E49" s="44">
        <f t="shared" si="15"/>
        <v>2328.4499999999998</v>
      </c>
      <c r="F49" s="44">
        <f t="shared" si="15"/>
        <v>2819.0299999999988</v>
      </c>
    </row>
    <row r="51" spans="1:10">
      <c r="A51" t="s">
        <v>48</v>
      </c>
    </row>
    <row r="52" spans="1:10">
      <c r="A52" t="s">
        <v>49</v>
      </c>
      <c r="B52" s="4">
        <v>3444.09</v>
      </c>
      <c r="C52" s="4">
        <v>3638.11</v>
      </c>
      <c r="D52" s="4">
        <v>2917.75</v>
      </c>
      <c r="E52" s="4">
        <v>2316.88</v>
      </c>
      <c r="F52" s="4">
        <v>2809.96</v>
      </c>
    </row>
    <row r="53" spans="1:10">
      <c r="A53" t="s">
        <v>50</v>
      </c>
      <c r="B53">
        <v>22.26</v>
      </c>
      <c r="C53">
        <v>21.3</v>
      </c>
      <c r="D53">
        <v>18.3</v>
      </c>
      <c r="E53">
        <v>12.17</v>
      </c>
      <c r="F53">
        <v>-10.06</v>
      </c>
    </row>
    <row r="54" spans="1:10">
      <c r="B54" s="34">
        <f>SUM(B52:B53)</f>
        <v>3466.3500000000004</v>
      </c>
      <c r="C54" s="34">
        <f t="shared" ref="C54:F54" si="16">SUM(C52:C53)</f>
        <v>3659.4100000000003</v>
      </c>
      <c r="D54" s="34">
        <f t="shared" si="16"/>
        <v>2936.05</v>
      </c>
      <c r="E54" s="34">
        <f t="shared" si="16"/>
        <v>2329.0500000000002</v>
      </c>
      <c r="F54" s="34">
        <f t="shared" si="16"/>
        <v>2799.9</v>
      </c>
    </row>
    <row r="56" spans="1:10">
      <c r="A56" t="s">
        <v>51</v>
      </c>
    </row>
    <row r="57" spans="1:10">
      <c r="A57" t="s">
        <v>49</v>
      </c>
      <c r="B57">
        <v>-16.32</v>
      </c>
      <c r="C57">
        <v>-23.61</v>
      </c>
      <c r="D57">
        <v>-24.01</v>
      </c>
      <c r="E57">
        <v>-2.44</v>
      </c>
      <c r="F57">
        <v>-21.95</v>
      </c>
    </row>
    <row r="58" spans="1:10">
      <c r="A58" t="s">
        <v>50</v>
      </c>
      <c r="B58">
        <v>1.34</v>
      </c>
      <c r="C58">
        <v>5.32</v>
      </c>
      <c r="D58">
        <v>-1.86</v>
      </c>
      <c r="E58">
        <v>1.84</v>
      </c>
      <c r="F58">
        <v>-12.92</v>
      </c>
    </row>
    <row r="59" spans="1:10">
      <c r="B59" s="34">
        <f t="shared" ref="B59:F59" si="17">SUM(B57:B58)</f>
        <v>-14.98</v>
      </c>
      <c r="C59" s="34">
        <f t="shared" si="17"/>
        <v>-18.29</v>
      </c>
      <c r="D59" s="34">
        <f t="shared" si="17"/>
        <v>-25.87</v>
      </c>
      <c r="E59" s="34">
        <f t="shared" si="17"/>
        <v>-0.59999999999999987</v>
      </c>
      <c r="F59" s="34">
        <f t="shared" si="17"/>
        <v>-34.869999999999997</v>
      </c>
    </row>
    <row r="61" spans="1:10">
      <c r="A61" s="9" t="s">
        <v>52</v>
      </c>
    </row>
    <row r="62" spans="1:10">
      <c r="A62" t="s">
        <v>49</v>
      </c>
      <c r="B62" s="4">
        <f>B52+B57</f>
        <v>3427.77</v>
      </c>
      <c r="C62" s="4">
        <f t="shared" ref="C62:F62" si="18">C52+C57</f>
        <v>3614.5</v>
      </c>
      <c r="D62" s="4">
        <f t="shared" si="18"/>
        <v>2893.74</v>
      </c>
      <c r="E62" s="4">
        <f t="shared" si="18"/>
        <v>2314.44</v>
      </c>
      <c r="F62" s="4">
        <f t="shared" si="18"/>
        <v>2788.01</v>
      </c>
      <c r="G62" s="4">
        <f>AVERAGE(B62:F62)</f>
        <v>3007.692</v>
      </c>
      <c r="H62" s="4">
        <f t="shared" ref="H62:J62" si="19">AVERAGE(C62:G62)</f>
        <v>2923.6764000000003</v>
      </c>
      <c r="I62" s="4">
        <f t="shared" si="19"/>
        <v>2785.5116800000005</v>
      </c>
      <c r="J62" s="4">
        <f t="shared" si="19"/>
        <v>2763.8660159999999</v>
      </c>
    </row>
    <row r="63" spans="1:10">
      <c r="A63" t="s">
        <v>50</v>
      </c>
      <c r="B63">
        <f>B53+B58</f>
        <v>23.6</v>
      </c>
      <c r="C63">
        <f t="shared" ref="C63:F63" si="20">C53+C58</f>
        <v>26.62</v>
      </c>
      <c r="D63">
        <f t="shared" si="20"/>
        <v>16.440000000000001</v>
      </c>
      <c r="E63">
        <f t="shared" si="20"/>
        <v>14.01</v>
      </c>
      <c r="F63">
        <f t="shared" si="20"/>
        <v>-22.98</v>
      </c>
    </row>
    <row r="64" spans="1:10">
      <c r="B64" s="34">
        <f>SUM(B62:B63)</f>
        <v>3451.37</v>
      </c>
      <c r="C64" s="34">
        <f t="shared" ref="C64:F64" si="21">SUM(C62:C63)</f>
        <v>3641.12</v>
      </c>
      <c r="D64" s="34">
        <f t="shared" si="21"/>
        <v>2910.18</v>
      </c>
      <c r="E64" s="34">
        <f t="shared" si="21"/>
        <v>2328.4500000000003</v>
      </c>
      <c r="F64" s="34">
        <f t="shared" si="21"/>
        <v>2765.03</v>
      </c>
    </row>
    <row r="66" spans="1:6">
      <c r="A66" t="s">
        <v>53</v>
      </c>
    </row>
    <row r="67" spans="1:6">
      <c r="A67" t="s">
        <v>54</v>
      </c>
      <c r="B67">
        <v>172.45</v>
      </c>
      <c r="C67">
        <v>182.15</v>
      </c>
      <c r="D67">
        <v>146.07</v>
      </c>
      <c r="E67">
        <v>115.96</v>
      </c>
      <c r="F67">
        <v>140.62</v>
      </c>
    </row>
    <row r="68" spans="1:6">
      <c r="A68" t="s">
        <v>55</v>
      </c>
      <c r="B68">
        <v>172.44</v>
      </c>
      <c r="C68">
        <v>182.15</v>
      </c>
      <c r="D68">
        <v>146.04</v>
      </c>
      <c r="E68">
        <v>115.93</v>
      </c>
      <c r="F68">
        <v>140.49</v>
      </c>
    </row>
  </sheetData>
  <mergeCells count="1">
    <mergeCell ref="B4:E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62"/>
  <sheetViews>
    <sheetView tabSelected="1" workbookViewId="0">
      <pane xSplit="10272" ySplit="1152" topLeftCell="B46" activePane="bottomRight"/>
      <selection pane="topRight" activeCell="B1" sqref="B1"/>
      <selection pane="bottomLeft" activeCell="A3" sqref="A3"/>
      <selection pane="bottomRight" activeCell="F40" sqref="F40"/>
    </sheetView>
  </sheetViews>
  <sheetFormatPr defaultColWidth="9" defaultRowHeight="14.4"/>
  <cols>
    <col min="1" max="1" width="91.33203125" customWidth="1"/>
    <col min="2" max="6" width="16" style="18" customWidth="1"/>
    <col min="7" max="7" width="14.6640625" customWidth="1"/>
    <col min="8" max="8" width="15.109375" customWidth="1"/>
    <col min="9" max="9" width="15.44140625" customWidth="1"/>
    <col min="10" max="10" width="14.33203125" customWidth="1"/>
  </cols>
  <sheetData>
    <row r="1" spans="1:10">
      <c r="A1" s="19" t="s">
        <v>4</v>
      </c>
    </row>
    <row r="2" spans="1:10" ht="28.8">
      <c r="A2" s="20"/>
      <c r="B2" s="1" t="s">
        <v>56</v>
      </c>
      <c r="C2" s="1" t="s">
        <v>57</v>
      </c>
      <c r="D2" s="1" t="s">
        <v>58</v>
      </c>
      <c r="E2" s="1" t="s">
        <v>59</v>
      </c>
      <c r="F2" s="1" t="s">
        <v>60</v>
      </c>
      <c r="G2" s="1" t="s">
        <v>61</v>
      </c>
      <c r="H2" s="1" t="s">
        <v>62</v>
      </c>
      <c r="I2" s="1" t="s">
        <v>63</v>
      </c>
      <c r="J2" s="1" t="s">
        <v>64</v>
      </c>
    </row>
    <row r="3" spans="1:10">
      <c r="A3" s="21" t="s">
        <v>65</v>
      </c>
    </row>
    <row r="4" spans="1:10">
      <c r="A4" s="22" t="s">
        <v>66</v>
      </c>
    </row>
    <row r="5" spans="1:10">
      <c r="A5" s="23" t="s">
        <v>67</v>
      </c>
      <c r="B5" s="18">
        <v>4792.5</v>
      </c>
      <c r="C5" s="18">
        <v>5786.24</v>
      </c>
      <c r="D5" s="18">
        <v>5550.67</v>
      </c>
      <c r="E5" s="4">
        <v>5354.34</v>
      </c>
      <c r="F5" s="4">
        <v>5159.42</v>
      </c>
    </row>
    <row r="6" spans="1:10">
      <c r="A6" s="23" t="s">
        <v>68</v>
      </c>
      <c r="B6" s="18">
        <v>384.85</v>
      </c>
      <c r="C6" s="18">
        <v>204.64</v>
      </c>
      <c r="D6" s="18">
        <v>236.4</v>
      </c>
      <c r="E6">
        <v>149.13</v>
      </c>
      <c r="F6">
        <v>122.09</v>
      </c>
    </row>
    <row r="7" spans="1:10">
      <c r="A7" s="23" t="s">
        <v>69</v>
      </c>
      <c r="B7" s="18" t="s">
        <v>18</v>
      </c>
      <c r="C7" s="18">
        <v>518.79</v>
      </c>
      <c r="D7" s="18">
        <v>511.24</v>
      </c>
      <c r="E7">
        <v>517.9</v>
      </c>
      <c r="F7">
        <v>481.28</v>
      </c>
    </row>
    <row r="8" spans="1:10">
      <c r="A8" s="23" t="s">
        <v>70</v>
      </c>
      <c r="B8" s="18">
        <v>159.86000000000001</v>
      </c>
      <c r="C8" s="18">
        <v>167.9</v>
      </c>
      <c r="D8" s="18">
        <v>318.48</v>
      </c>
      <c r="E8">
        <v>321.3</v>
      </c>
      <c r="F8">
        <v>518.5</v>
      </c>
    </row>
    <row r="9" spans="1:10">
      <c r="A9" s="23" t="s">
        <v>71</v>
      </c>
      <c r="B9" s="18">
        <v>187.97</v>
      </c>
      <c r="C9" s="18">
        <v>186.69</v>
      </c>
      <c r="D9" s="18">
        <v>258.73</v>
      </c>
      <c r="E9">
        <v>368.09</v>
      </c>
      <c r="F9">
        <v>331.62</v>
      </c>
    </row>
    <row r="10" spans="1:10">
      <c r="A10" s="23" t="s">
        <v>72</v>
      </c>
      <c r="B10" s="18">
        <v>1705.89</v>
      </c>
      <c r="C10" s="18">
        <v>2098.3000000000002</v>
      </c>
      <c r="D10" s="18">
        <v>2407.69</v>
      </c>
      <c r="E10" s="4">
        <v>2202.5100000000002</v>
      </c>
      <c r="F10" s="4">
        <v>2618.6999999999998</v>
      </c>
    </row>
    <row r="11" spans="1:10">
      <c r="A11" s="23" t="s">
        <v>73</v>
      </c>
    </row>
    <row r="12" spans="1:10">
      <c r="A12" s="24" t="s">
        <v>74</v>
      </c>
      <c r="B12" s="18">
        <v>1234.06</v>
      </c>
      <c r="C12" s="18">
        <v>1551.18</v>
      </c>
      <c r="D12" s="18">
        <v>1948.59</v>
      </c>
      <c r="E12" s="4">
        <v>2455.0500000000002</v>
      </c>
      <c r="F12" s="4">
        <v>4600.38</v>
      </c>
    </row>
    <row r="13" spans="1:10">
      <c r="A13" s="24" t="s">
        <v>75</v>
      </c>
      <c r="B13" s="18">
        <v>60.12</v>
      </c>
      <c r="C13" s="18">
        <v>67.680000000000007</v>
      </c>
      <c r="D13" s="18">
        <v>52.64</v>
      </c>
      <c r="E13">
        <v>17.43</v>
      </c>
      <c r="F13">
        <v>19.87</v>
      </c>
    </row>
    <row r="14" spans="1:10">
      <c r="A14" s="24" t="s">
        <v>76</v>
      </c>
      <c r="B14" s="18">
        <v>33.82</v>
      </c>
      <c r="E14">
        <v>42.01</v>
      </c>
      <c r="F14">
        <v>206.09</v>
      </c>
    </row>
    <row r="15" spans="1:10">
      <c r="A15" s="25" t="s">
        <v>77</v>
      </c>
      <c r="B15" s="18">
        <v>855.62</v>
      </c>
      <c r="C15" s="18">
        <v>321.74</v>
      </c>
      <c r="D15" s="18">
        <v>378.49</v>
      </c>
      <c r="E15">
        <v>358.07</v>
      </c>
      <c r="F15">
        <v>270.69</v>
      </c>
    </row>
    <row r="16" spans="1:10">
      <c r="A16" s="26" t="s">
        <v>78</v>
      </c>
      <c r="B16" s="18">
        <v>676.46</v>
      </c>
      <c r="C16" s="18">
        <v>121.67</v>
      </c>
      <c r="D16" s="18">
        <v>62.68</v>
      </c>
      <c r="E16">
        <v>120.34</v>
      </c>
      <c r="F16">
        <v>153.06</v>
      </c>
    </row>
    <row r="17" spans="1:10">
      <c r="A17" s="27" t="s">
        <v>79</v>
      </c>
      <c r="B17" s="28">
        <v>10091.15</v>
      </c>
      <c r="C17" s="28">
        <v>11024.87</v>
      </c>
      <c r="D17" s="28">
        <v>11725.61</v>
      </c>
      <c r="E17" s="29">
        <v>11906.17</v>
      </c>
      <c r="F17" s="29">
        <v>14481.7</v>
      </c>
    </row>
    <row r="18" spans="1:10">
      <c r="A18" s="22" t="s">
        <v>80</v>
      </c>
    </row>
    <row r="19" spans="1:10">
      <c r="A19" s="23" t="s">
        <v>81</v>
      </c>
      <c r="B19" s="18">
        <v>1249.53</v>
      </c>
      <c r="C19" s="18">
        <v>1282.32</v>
      </c>
      <c r="D19" s="18">
        <v>1789.27</v>
      </c>
      <c r="E19" s="4">
        <v>1472.41</v>
      </c>
      <c r="F19" s="4">
        <v>1756.39</v>
      </c>
    </row>
    <row r="20" spans="1:10">
      <c r="A20" s="23" t="s">
        <v>82</v>
      </c>
    </row>
    <row r="21" spans="1:10">
      <c r="A21" s="30" t="s">
        <v>74</v>
      </c>
      <c r="B21" s="18">
        <v>3173.88</v>
      </c>
      <c r="C21" s="18">
        <v>4709.12</v>
      </c>
      <c r="D21" s="18">
        <v>6225.34</v>
      </c>
      <c r="E21" s="4">
        <v>5870.31</v>
      </c>
      <c r="F21" s="4">
        <v>3671.85</v>
      </c>
    </row>
    <row r="22" spans="1:10">
      <c r="A22" s="30" t="s">
        <v>83</v>
      </c>
      <c r="B22" s="18">
        <v>2745.11</v>
      </c>
      <c r="C22" s="18">
        <v>1511.91</v>
      </c>
      <c r="D22" s="18">
        <v>2274.6799999999998</v>
      </c>
      <c r="E22" s="4">
        <v>2158.4899999999998</v>
      </c>
      <c r="F22" s="4">
        <v>2719.47</v>
      </c>
    </row>
    <row r="23" spans="1:10">
      <c r="A23" s="30" t="s">
        <v>84</v>
      </c>
      <c r="B23" s="18">
        <v>208.12</v>
      </c>
      <c r="C23" s="18">
        <v>305.31</v>
      </c>
      <c r="D23" s="18">
        <v>274.62</v>
      </c>
      <c r="E23">
        <v>181.02</v>
      </c>
      <c r="F23">
        <v>226.3</v>
      </c>
    </row>
    <row r="24" spans="1:10">
      <c r="A24" s="30" t="s">
        <v>85</v>
      </c>
      <c r="B24" s="18">
        <v>95.78</v>
      </c>
      <c r="C24" s="18">
        <v>130.1</v>
      </c>
      <c r="D24" s="18">
        <v>121.62</v>
      </c>
      <c r="E24">
        <v>118.72</v>
      </c>
      <c r="F24">
        <v>196.5</v>
      </c>
    </row>
    <row r="25" spans="1:10">
      <c r="A25" s="30" t="s">
        <v>86</v>
      </c>
      <c r="B25" s="18">
        <v>25.08</v>
      </c>
      <c r="C25" s="18">
        <v>23.75</v>
      </c>
      <c r="D25" s="18">
        <v>39.770000000000003</v>
      </c>
      <c r="E25">
        <v>22.81</v>
      </c>
      <c r="F25">
        <v>23.71</v>
      </c>
    </row>
    <row r="26" spans="1:10">
      <c r="A26" s="30" t="s">
        <v>87</v>
      </c>
      <c r="B26" s="18">
        <v>654.19000000000005</v>
      </c>
      <c r="C26" s="18">
        <v>364.05</v>
      </c>
      <c r="D26" s="18">
        <v>365.73</v>
      </c>
      <c r="E26">
        <v>475</v>
      </c>
      <c r="F26">
        <v>571.65</v>
      </c>
    </row>
    <row r="27" spans="1:10">
      <c r="A27" s="23" t="s">
        <v>88</v>
      </c>
      <c r="B27" s="18">
        <v>261.52</v>
      </c>
      <c r="C27" s="18">
        <v>322.64</v>
      </c>
      <c r="D27" s="18">
        <v>279.45</v>
      </c>
      <c r="E27">
        <v>273.45999999999998</v>
      </c>
      <c r="F27">
        <v>269.45999999999998</v>
      </c>
    </row>
    <row r="28" spans="1:10">
      <c r="A28" s="31" t="s">
        <v>89</v>
      </c>
      <c r="B28" s="28">
        <v>8413.2099999999991</v>
      </c>
      <c r="C28" s="28">
        <v>8649.2000000000007</v>
      </c>
      <c r="D28" s="28">
        <v>11370.48</v>
      </c>
      <c r="E28" s="29">
        <v>10572.22</v>
      </c>
      <c r="F28" s="29">
        <v>9435.33</v>
      </c>
    </row>
    <row r="29" spans="1:10">
      <c r="A29" s="27" t="s">
        <v>90</v>
      </c>
      <c r="B29" s="32">
        <v>18504.36</v>
      </c>
      <c r="C29" s="32">
        <v>19674.07</v>
      </c>
      <c r="D29" s="32">
        <v>23096.09</v>
      </c>
      <c r="E29" s="33">
        <v>22478.39</v>
      </c>
      <c r="F29" s="34">
        <v>23917.03</v>
      </c>
    </row>
    <row r="30" spans="1:10">
      <c r="A30" s="21" t="s">
        <v>91</v>
      </c>
    </row>
    <row r="31" spans="1:10">
      <c r="A31" s="35" t="s">
        <v>92</v>
      </c>
    </row>
    <row r="32" spans="1:10">
      <c r="A32" s="23" t="s">
        <v>93</v>
      </c>
      <c r="B32" s="18">
        <v>39.950000000000003</v>
      </c>
      <c r="C32" s="18">
        <v>39.950000000000003</v>
      </c>
      <c r="D32" s="18">
        <v>39.96</v>
      </c>
      <c r="E32">
        <v>39.96</v>
      </c>
      <c r="F32" s="18">
        <v>39.97</v>
      </c>
      <c r="G32" s="18">
        <v>39.97</v>
      </c>
      <c r="H32" s="18">
        <v>39.97</v>
      </c>
      <c r="I32" s="18">
        <v>39.97</v>
      </c>
      <c r="J32" s="18">
        <v>39.97</v>
      </c>
    </row>
    <row r="33" spans="1:10">
      <c r="A33" s="26" t="s">
        <v>94</v>
      </c>
      <c r="B33" s="18">
        <v>13080.46</v>
      </c>
      <c r="C33" s="18">
        <v>14366.33</v>
      </c>
      <c r="D33" s="18">
        <v>15376.46</v>
      </c>
      <c r="E33" s="4">
        <v>15806.69</v>
      </c>
      <c r="F33" s="4">
        <v>16615.599999999999</v>
      </c>
      <c r="G33" s="4">
        <f>F33+'Income Statement'!G62</f>
        <v>19623.291999999998</v>
      </c>
      <c r="H33" s="4">
        <f>G33+'Income Statement'!H62</f>
        <v>22546.968399999998</v>
      </c>
      <c r="I33" s="4">
        <f>H33+'Income Statement'!I62</f>
        <v>25332.480079999998</v>
      </c>
      <c r="J33" s="4">
        <f>I33+'Income Statement'!J62</f>
        <v>28096.346095999997</v>
      </c>
    </row>
    <row r="34" spans="1:10">
      <c r="A34" s="27" t="s">
        <v>95</v>
      </c>
      <c r="B34" s="18">
        <v>13120.41</v>
      </c>
      <c r="C34" s="18">
        <v>14406.28</v>
      </c>
      <c r="D34" s="18">
        <v>15416.42</v>
      </c>
      <c r="E34" s="4">
        <v>15846.65</v>
      </c>
      <c r="F34" s="4">
        <f>SUM(F32:F33)</f>
        <v>16655.57</v>
      </c>
      <c r="G34" s="4">
        <f t="shared" ref="G34:I34" si="0">SUM(G32:G33)</f>
        <v>19663.261999999999</v>
      </c>
      <c r="H34" s="4">
        <f t="shared" si="0"/>
        <v>22586.938399999999</v>
      </c>
      <c r="I34" s="4">
        <f t="shared" si="0"/>
        <v>25372.450079999999</v>
      </c>
      <c r="J34" s="4">
        <f>SUM(J32:J33)</f>
        <v>28136.316095999999</v>
      </c>
    </row>
    <row r="35" spans="1:10">
      <c r="A35" s="23" t="s">
        <v>96</v>
      </c>
      <c r="B35" s="18">
        <v>116.11</v>
      </c>
      <c r="C35" s="18">
        <v>140.6</v>
      </c>
      <c r="D35" s="18">
        <v>143.19</v>
      </c>
      <c r="E35">
        <v>148.05000000000001</v>
      </c>
      <c r="F35">
        <v>125.06</v>
      </c>
      <c r="G35">
        <v>125.06</v>
      </c>
      <c r="H35">
        <v>125.06</v>
      </c>
      <c r="I35">
        <v>125.06</v>
      </c>
      <c r="J35">
        <v>125.06</v>
      </c>
    </row>
    <row r="36" spans="1:10">
      <c r="A36" s="27" t="s">
        <v>97</v>
      </c>
      <c r="B36" s="28">
        <v>13236.52</v>
      </c>
      <c r="C36" s="28">
        <v>14546.88</v>
      </c>
      <c r="D36" s="29">
        <v>15559.61</v>
      </c>
      <c r="E36" s="29">
        <v>15994.7</v>
      </c>
      <c r="F36" s="5">
        <v>16780.63</v>
      </c>
      <c r="G36" s="4">
        <f>SUM(G34,G35)</f>
        <v>19788.322</v>
      </c>
      <c r="H36" s="4">
        <f t="shared" ref="H36:J36" si="1">SUM(H34,H35)</f>
        <v>22711.9984</v>
      </c>
      <c r="I36" s="4">
        <f t="shared" si="1"/>
        <v>25497.51008</v>
      </c>
      <c r="J36" s="4">
        <f t="shared" si="1"/>
        <v>28261.376096</v>
      </c>
    </row>
    <row r="37" spans="1:10">
      <c r="A37" s="35" t="s">
        <v>98</v>
      </c>
      <c r="B37" s="18" t="s">
        <v>18</v>
      </c>
      <c r="C37" s="18" t="s">
        <v>18</v>
      </c>
      <c r="D37" s="18" t="s">
        <v>18</v>
      </c>
      <c r="E37" s="18" t="s">
        <v>18</v>
      </c>
      <c r="F37" s="18" t="s">
        <v>18</v>
      </c>
    </row>
    <row r="38" spans="1:10">
      <c r="A38" s="35" t="s">
        <v>99</v>
      </c>
    </row>
    <row r="39" spans="1:10">
      <c r="A39" s="23" t="s">
        <v>100</v>
      </c>
    </row>
    <row r="40" spans="1:10">
      <c r="A40" s="36" t="s">
        <v>101</v>
      </c>
      <c r="B40" s="18">
        <v>124.84</v>
      </c>
      <c r="C40" s="18">
        <v>44.02</v>
      </c>
      <c r="D40">
        <v>45.18</v>
      </c>
      <c r="E40">
        <v>36.17</v>
      </c>
      <c r="F40">
        <v>20.09</v>
      </c>
      <c r="G40">
        <f>AVERAGE(B40:F40)</f>
        <v>54.06</v>
      </c>
      <c r="H40">
        <f t="shared" ref="H40:J40" si="2">AVERAGE(C40:G40)</f>
        <v>39.904000000000003</v>
      </c>
      <c r="I40">
        <f t="shared" si="2"/>
        <v>39.080799999999996</v>
      </c>
      <c r="J40">
        <f t="shared" si="2"/>
        <v>37.860959999999999</v>
      </c>
    </row>
    <row r="41" spans="1:10">
      <c r="A41" s="36" t="s">
        <v>102</v>
      </c>
      <c r="C41" s="18">
        <v>207.62</v>
      </c>
      <c r="D41" s="18">
        <v>212.42</v>
      </c>
      <c r="E41">
        <v>215.51</v>
      </c>
      <c r="F41">
        <v>219.67</v>
      </c>
    </row>
    <row r="42" spans="1:10">
      <c r="A42" s="36" t="s">
        <v>103</v>
      </c>
      <c r="D42">
        <v>146.04</v>
      </c>
      <c r="E42">
        <v>155.04</v>
      </c>
      <c r="F42">
        <v>196.29</v>
      </c>
    </row>
    <row r="43" spans="1:10">
      <c r="A43" s="23" t="s">
        <v>104</v>
      </c>
      <c r="B43" s="18">
        <v>120.94</v>
      </c>
      <c r="C43" s="18">
        <v>123.9</v>
      </c>
      <c r="D43">
        <v>175.57</v>
      </c>
      <c r="E43">
        <v>181.13</v>
      </c>
      <c r="F43">
        <v>201.94</v>
      </c>
    </row>
    <row r="44" spans="1:10">
      <c r="A44" s="23" t="s">
        <v>105</v>
      </c>
      <c r="B44" s="18">
        <v>612.88</v>
      </c>
      <c r="C44" s="18">
        <v>472.58</v>
      </c>
      <c r="D44">
        <v>452.74</v>
      </c>
      <c r="E44">
        <v>378.21</v>
      </c>
      <c r="F44">
        <v>485.79</v>
      </c>
    </row>
    <row r="45" spans="1:10">
      <c r="A45" s="37" t="s">
        <v>106</v>
      </c>
      <c r="B45" s="28">
        <v>858.66</v>
      </c>
      <c r="C45" s="28">
        <v>848.12</v>
      </c>
      <c r="D45" s="29">
        <v>1031.95</v>
      </c>
      <c r="E45" s="9">
        <v>966.06</v>
      </c>
      <c r="F45" s="5">
        <v>1123.78</v>
      </c>
      <c r="G45">
        <f>SUM(G40:G44)</f>
        <v>54.06</v>
      </c>
      <c r="H45">
        <f t="shared" ref="H45:J45" si="3">SUM(H40:H44)</f>
        <v>39.904000000000003</v>
      </c>
      <c r="I45">
        <f t="shared" si="3"/>
        <v>39.080799999999996</v>
      </c>
      <c r="J45">
        <f t="shared" si="3"/>
        <v>37.860959999999999</v>
      </c>
    </row>
    <row r="46" spans="1:10">
      <c r="A46" s="35" t="s">
        <v>107</v>
      </c>
      <c r="E46" s="29"/>
      <c r="F46" s="29"/>
    </row>
    <row r="47" spans="1:10">
      <c r="A47" s="23" t="s">
        <v>100</v>
      </c>
    </row>
    <row r="48" spans="1:10">
      <c r="A48" s="36" t="s">
        <v>101</v>
      </c>
      <c r="B48" s="18">
        <v>183.68</v>
      </c>
      <c r="C48" s="18">
        <v>165.88</v>
      </c>
      <c r="D48">
        <v>285.16000000000003</v>
      </c>
      <c r="E48">
        <v>317.31</v>
      </c>
      <c r="F48">
        <v>293.14999999999998</v>
      </c>
      <c r="G48">
        <f>AVERAGE(C48:F48)</f>
        <v>265.375</v>
      </c>
      <c r="H48">
        <f t="shared" ref="H48:J48" si="4">AVERAGE(D48:G48)</f>
        <v>290.24874999999997</v>
      </c>
      <c r="I48">
        <f t="shared" si="4"/>
        <v>291.5209375</v>
      </c>
      <c r="J48">
        <f t="shared" si="4"/>
        <v>285.073671875</v>
      </c>
    </row>
    <row r="49" spans="1:6">
      <c r="A49" s="38" t="s">
        <v>108</v>
      </c>
      <c r="B49" s="18" t="s">
        <v>18</v>
      </c>
      <c r="C49" s="18">
        <v>33.46</v>
      </c>
      <c r="D49">
        <v>29.57</v>
      </c>
      <c r="E49">
        <v>36.18</v>
      </c>
      <c r="F49">
        <v>34.630000000000003</v>
      </c>
    </row>
    <row r="50" spans="1:6">
      <c r="A50" s="36" t="s">
        <v>109</v>
      </c>
    </row>
    <row r="51" spans="1:6">
      <c r="A51" s="36" t="s">
        <v>110</v>
      </c>
      <c r="B51" s="18" t="s">
        <v>18</v>
      </c>
      <c r="C51" s="18">
        <v>8.6</v>
      </c>
      <c r="D51">
        <v>16.68</v>
      </c>
      <c r="E51">
        <v>26.19</v>
      </c>
      <c r="F51">
        <v>2.44</v>
      </c>
    </row>
    <row r="52" spans="1:6">
      <c r="A52" s="36" t="s">
        <v>111</v>
      </c>
      <c r="B52" s="18">
        <v>3438.24</v>
      </c>
      <c r="C52" s="18">
        <v>3119.02</v>
      </c>
      <c r="D52" s="4">
        <v>5247.5</v>
      </c>
      <c r="E52" s="4">
        <v>4316.8999999999996</v>
      </c>
      <c r="F52" s="4">
        <v>4757.7</v>
      </c>
    </row>
    <row r="53" spans="1:6">
      <c r="A53" s="36" t="s">
        <v>112</v>
      </c>
      <c r="B53" s="18">
        <v>226.73</v>
      </c>
      <c r="C53" s="18">
        <v>260.95999999999998</v>
      </c>
      <c r="D53">
        <v>179.21</v>
      </c>
      <c r="E53">
        <v>145.58000000000001</v>
      </c>
      <c r="F53">
        <v>169.93</v>
      </c>
    </row>
    <row r="54" spans="1:6">
      <c r="A54" s="23" t="s">
        <v>113</v>
      </c>
      <c r="B54" s="18">
        <v>500.82</v>
      </c>
      <c r="C54" s="18">
        <v>531.46</v>
      </c>
      <c r="D54">
        <v>570.59</v>
      </c>
      <c r="E54">
        <v>496.32</v>
      </c>
      <c r="F54">
        <v>562.09</v>
      </c>
    </row>
    <row r="55" spans="1:6">
      <c r="A55" s="23" t="s">
        <v>114</v>
      </c>
      <c r="B55" s="18">
        <v>59.71</v>
      </c>
      <c r="C55" s="18">
        <v>159.69</v>
      </c>
      <c r="D55">
        <v>175.82</v>
      </c>
      <c r="E55">
        <v>179.15</v>
      </c>
      <c r="F55">
        <v>192.68</v>
      </c>
    </row>
    <row r="56" spans="1:6">
      <c r="A56" s="37" t="s">
        <v>115</v>
      </c>
      <c r="B56" s="28">
        <v>4409.18</v>
      </c>
      <c r="C56" s="28">
        <v>4279.07</v>
      </c>
      <c r="D56" s="29">
        <v>6504.53</v>
      </c>
      <c r="E56" s="5">
        <v>5517.63</v>
      </c>
      <c r="F56" s="5">
        <v>6012.62</v>
      </c>
    </row>
    <row r="57" spans="1:6">
      <c r="A57" s="39" t="s">
        <v>116</v>
      </c>
      <c r="B57" s="32">
        <v>18504.36</v>
      </c>
      <c r="C57" s="32">
        <v>19674.07</v>
      </c>
      <c r="D57" s="33">
        <v>23096.09</v>
      </c>
      <c r="E57" s="34">
        <v>22478.39</v>
      </c>
      <c r="F57" s="34">
        <v>23917.03</v>
      </c>
    </row>
    <row r="62" spans="1:6">
      <c r="A62" s="40"/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65"/>
  <sheetViews>
    <sheetView workbookViewId="0">
      <selection activeCell="G24" sqref="G24"/>
    </sheetView>
  </sheetViews>
  <sheetFormatPr defaultColWidth="9" defaultRowHeight="14.4"/>
  <cols>
    <col min="1" max="1" width="58.109375" customWidth="1"/>
    <col min="2" max="2" width="16.5546875" customWidth="1"/>
    <col min="3" max="3" width="14.6640625" customWidth="1"/>
    <col min="4" max="4" width="15.21875" customWidth="1"/>
    <col min="5" max="5" width="15.44140625" customWidth="1"/>
    <col min="6" max="6" width="13.33203125" customWidth="1"/>
  </cols>
  <sheetData>
    <row r="1" spans="1:7">
      <c r="A1" s="9" t="s">
        <v>4</v>
      </c>
    </row>
    <row r="2" spans="1:7" ht="25.8" customHeight="1">
      <c r="A2" s="12" t="s">
        <v>117</v>
      </c>
      <c r="B2" s="13" t="s">
        <v>118</v>
      </c>
      <c r="C2" s="14" t="s">
        <v>119</v>
      </c>
      <c r="D2" s="14" t="s">
        <v>120</v>
      </c>
      <c r="E2" s="14" t="s">
        <v>121</v>
      </c>
      <c r="F2" s="14" t="s">
        <v>122</v>
      </c>
    </row>
    <row r="3" spans="1:7">
      <c r="A3" s="9" t="s">
        <v>123</v>
      </c>
      <c r="B3" s="15">
        <v>3466.35</v>
      </c>
      <c r="C3" s="15">
        <v>3659.41</v>
      </c>
      <c r="D3" s="15">
        <v>2936.05</v>
      </c>
      <c r="E3" s="15">
        <v>2329.0500000000002</v>
      </c>
      <c r="F3" s="15">
        <v>2799.9</v>
      </c>
    </row>
    <row r="4" spans="1:7">
      <c r="A4" t="s">
        <v>124</v>
      </c>
      <c r="B4" s="16"/>
      <c r="C4" s="16"/>
      <c r="D4" s="16"/>
      <c r="E4" s="16"/>
      <c r="F4" s="16"/>
    </row>
    <row r="5" spans="1:7">
      <c r="A5" t="s">
        <v>125</v>
      </c>
      <c r="B5" s="16">
        <v>624.44000000000005</v>
      </c>
      <c r="C5" s="16">
        <v>845.76</v>
      </c>
      <c r="D5" s="16">
        <v>715.12</v>
      </c>
      <c r="E5" s="16">
        <v>689.52</v>
      </c>
      <c r="F5" s="16">
        <v>697.39</v>
      </c>
    </row>
    <row r="6" spans="1:7">
      <c r="A6" t="s">
        <v>33</v>
      </c>
      <c r="B6" s="16">
        <v>1637.95</v>
      </c>
      <c r="C6" s="16">
        <v>951.67</v>
      </c>
      <c r="D6" s="16">
        <v>913.27</v>
      </c>
      <c r="E6" s="16">
        <v>729.06</v>
      </c>
      <c r="F6" s="16">
        <v>1063.72</v>
      </c>
    </row>
    <row r="7" spans="1:7">
      <c r="A7" t="s">
        <v>126</v>
      </c>
      <c r="B7" s="16">
        <v>6.47</v>
      </c>
      <c r="C7" s="16">
        <v>8.66</v>
      </c>
      <c r="D7" s="16">
        <v>4.67</v>
      </c>
      <c r="E7" s="16">
        <v>10.23</v>
      </c>
      <c r="F7" s="16">
        <v>4.83</v>
      </c>
    </row>
    <row r="8" spans="1:7">
      <c r="A8" t="s">
        <v>127</v>
      </c>
      <c r="B8" s="16">
        <v>37.18</v>
      </c>
      <c r="C8" s="16">
        <v>46.64</v>
      </c>
      <c r="D8" s="16">
        <v>46.41</v>
      </c>
      <c r="E8" s="16">
        <v>53.1</v>
      </c>
      <c r="F8" s="16">
        <v>104.88</v>
      </c>
    </row>
    <row r="9" spans="1:7">
      <c r="A9" t="s">
        <v>128</v>
      </c>
      <c r="B9" s="16">
        <v>6.55</v>
      </c>
      <c r="C9" s="16">
        <v>10.15</v>
      </c>
      <c r="D9" s="16">
        <v>8.86</v>
      </c>
      <c r="E9" s="16">
        <v>10</v>
      </c>
      <c r="F9" s="16">
        <v>16.04</v>
      </c>
    </row>
    <row r="10" spans="1:7">
      <c r="A10" t="s">
        <v>129</v>
      </c>
      <c r="B10" s="16">
        <v>0</v>
      </c>
      <c r="C10" s="16">
        <v>0</v>
      </c>
      <c r="D10" s="16">
        <v>0</v>
      </c>
      <c r="E10" s="16">
        <v>52.24</v>
      </c>
      <c r="F10" s="16">
        <v>0</v>
      </c>
    </row>
    <row r="11" spans="1:7">
      <c r="A11" t="s">
        <v>130</v>
      </c>
      <c r="B11" s="16">
        <v>0</v>
      </c>
      <c r="C11" s="16">
        <v>53.04</v>
      </c>
      <c r="D11" s="16">
        <v>46.9</v>
      </c>
      <c r="E11" s="16">
        <v>0.74</v>
      </c>
      <c r="F11" s="16">
        <v>10.33</v>
      </c>
    </row>
    <row r="12" spans="1:7">
      <c r="B12" s="15">
        <f t="shared" ref="B12:F12" si="0">SUM(B5:B11)</f>
        <v>2312.59</v>
      </c>
      <c r="C12" s="15">
        <f t="shared" si="0"/>
        <v>1915.92</v>
      </c>
      <c r="D12" s="15">
        <f t="shared" si="0"/>
        <v>1735.23</v>
      </c>
      <c r="E12" s="15">
        <f t="shared" si="0"/>
        <v>1544.8899999999999</v>
      </c>
      <c r="F12" s="15">
        <f t="shared" si="0"/>
        <v>1897.19</v>
      </c>
      <c r="G12" s="9"/>
    </row>
    <row r="13" spans="1:7">
      <c r="A13" t="s">
        <v>131</v>
      </c>
      <c r="B13" s="16">
        <v>288.02999999999997</v>
      </c>
      <c r="C13" s="16">
        <v>277.77</v>
      </c>
      <c r="D13" s="16">
        <v>100.42</v>
      </c>
      <c r="E13" s="16">
        <v>189.05</v>
      </c>
      <c r="F13" s="16">
        <v>260.81</v>
      </c>
    </row>
    <row r="14" spans="1:7">
      <c r="A14" t="s">
        <v>132</v>
      </c>
      <c r="B14" s="16">
        <v>71.760000000000005</v>
      </c>
      <c r="C14" s="16">
        <v>48.27</v>
      </c>
      <c r="D14" s="16">
        <v>1.39</v>
      </c>
      <c r="E14" s="16">
        <v>1.67</v>
      </c>
      <c r="F14" s="16">
        <v>2.2799999999999998</v>
      </c>
    </row>
    <row r="15" spans="1:7">
      <c r="A15" t="s">
        <v>133</v>
      </c>
      <c r="B15" s="16">
        <v>144.61000000000001</v>
      </c>
      <c r="C15" s="16">
        <v>136.07</v>
      </c>
      <c r="D15" s="16">
        <v>169.07</v>
      </c>
      <c r="E15" s="16">
        <v>109.11</v>
      </c>
      <c r="F15" s="16">
        <v>111.8</v>
      </c>
    </row>
    <row r="16" spans="1:7">
      <c r="A16" t="s">
        <v>134</v>
      </c>
      <c r="B16" s="16">
        <v>175.11</v>
      </c>
      <c r="C16" s="16">
        <v>221.78</v>
      </c>
      <c r="D16" s="16">
        <v>285.77</v>
      </c>
      <c r="E16" s="16">
        <v>223.82</v>
      </c>
      <c r="F16" s="16">
        <v>188.51</v>
      </c>
    </row>
    <row r="17" spans="1:7">
      <c r="A17" t="s">
        <v>135</v>
      </c>
      <c r="B17" s="16">
        <v>60.19</v>
      </c>
      <c r="C17" s="16">
        <v>34.630000000000003</v>
      </c>
      <c r="D17" s="16">
        <v>-46.56</v>
      </c>
      <c r="E17" s="16">
        <v>-199.05</v>
      </c>
      <c r="F17" s="16">
        <v>3.11</v>
      </c>
    </row>
    <row r="18" spans="1:7">
      <c r="A18" t="s">
        <v>136</v>
      </c>
      <c r="B18" s="16">
        <v>0.66</v>
      </c>
      <c r="C18" s="16">
        <v>0.37</v>
      </c>
      <c r="D18" s="16">
        <v>0.89</v>
      </c>
      <c r="E18" s="16">
        <v>0.62</v>
      </c>
      <c r="F18" s="16">
        <v>5.56</v>
      </c>
    </row>
    <row r="19" spans="1:7">
      <c r="A19" t="s">
        <v>137</v>
      </c>
      <c r="B19" s="16">
        <v>-9.91</v>
      </c>
      <c r="C19" s="16">
        <v>-19.010000000000002</v>
      </c>
      <c r="D19" s="16">
        <v>6.79</v>
      </c>
      <c r="E19" s="16">
        <v>-7.53</v>
      </c>
      <c r="F19" s="16">
        <v>34.43</v>
      </c>
    </row>
    <row r="20" spans="1:7">
      <c r="B20" s="15">
        <f t="shared" ref="B20:F20" si="1">SUM(B13:B19)</f>
        <v>730.45</v>
      </c>
      <c r="C20" s="15">
        <f t="shared" si="1"/>
        <v>699.88</v>
      </c>
      <c r="D20" s="15">
        <f t="shared" si="1"/>
        <v>517.77</v>
      </c>
      <c r="E20" s="15">
        <f t="shared" si="1"/>
        <v>317.69</v>
      </c>
      <c r="F20" s="15">
        <f t="shared" si="1"/>
        <v>606.49999999999989</v>
      </c>
    </row>
    <row r="21" spans="1:7">
      <c r="A21" s="9" t="s">
        <v>138</v>
      </c>
      <c r="B21" s="15">
        <f t="shared" ref="B21:F21" si="2">B3+B12-B20</f>
        <v>5048.4900000000007</v>
      </c>
      <c r="C21" s="15">
        <f t="shared" si="2"/>
        <v>4875.45</v>
      </c>
      <c r="D21" s="15">
        <f t="shared" si="2"/>
        <v>4153.51</v>
      </c>
      <c r="E21" s="15">
        <f t="shared" si="2"/>
        <v>3556.25</v>
      </c>
      <c r="F21" s="15">
        <f t="shared" si="2"/>
        <v>4090.59</v>
      </c>
      <c r="G21" s="9"/>
    </row>
    <row r="22" spans="1:7">
      <c r="A22" t="s">
        <v>139</v>
      </c>
      <c r="B22" s="16"/>
      <c r="C22" s="16"/>
      <c r="D22" s="16"/>
      <c r="E22" s="16"/>
      <c r="F22" s="16"/>
    </row>
    <row r="23" spans="1:7">
      <c r="A23" s="9" t="s">
        <v>140</v>
      </c>
      <c r="B23" s="16"/>
      <c r="C23" s="16"/>
      <c r="D23" s="16"/>
      <c r="E23" s="16"/>
      <c r="F23" s="16"/>
    </row>
    <row r="24" spans="1:7">
      <c r="A24" t="s">
        <v>141</v>
      </c>
      <c r="B24" s="16">
        <v>-286.86</v>
      </c>
      <c r="C24" s="16">
        <v>-32.79</v>
      </c>
      <c r="D24" s="16">
        <v>-506.95</v>
      </c>
      <c r="E24" s="16">
        <v>316.86</v>
      </c>
      <c r="F24" s="16">
        <v>-283.98</v>
      </c>
    </row>
    <row r="25" spans="1:7">
      <c r="A25" t="s">
        <v>142</v>
      </c>
      <c r="B25" s="16">
        <v>-1318.14</v>
      </c>
      <c r="C25" s="16">
        <v>1180.1600000000001</v>
      </c>
      <c r="D25" s="16">
        <v>-809.67</v>
      </c>
      <c r="E25" s="16">
        <v>115.45</v>
      </c>
      <c r="F25" s="16">
        <v>-571.30999999999995</v>
      </c>
    </row>
    <row r="26" spans="1:7">
      <c r="A26" t="s">
        <v>143</v>
      </c>
      <c r="B26" s="16">
        <v>3.42</v>
      </c>
      <c r="C26" s="16">
        <v>1.33</v>
      </c>
      <c r="D26" s="16">
        <v>-16.02</v>
      </c>
      <c r="E26" s="16">
        <v>0.14000000000000001</v>
      </c>
      <c r="F26" s="16">
        <v>-0.9</v>
      </c>
    </row>
    <row r="27" spans="1:7">
      <c r="A27" t="s">
        <v>144</v>
      </c>
      <c r="B27" s="16">
        <v>-14.28</v>
      </c>
      <c r="C27" s="16">
        <v>-7.56</v>
      </c>
      <c r="D27" s="16">
        <v>5.42</v>
      </c>
      <c r="E27" s="16">
        <v>-0.7</v>
      </c>
      <c r="F27" s="16">
        <v>-2.44</v>
      </c>
    </row>
    <row r="28" spans="1:7">
      <c r="A28" t="s">
        <v>145</v>
      </c>
      <c r="B28" s="16">
        <v>-111.04</v>
      </c>
      <c r="C28" s="16">
        <v>290.70999999999998</v>
      </c>
      <c r="D28" s="16">
        <v>11.22</v>
      </c>
      <c r="E28" s="16">
        <v>-66.89</v>
      </c>
      <c r="F28" s="16">
        <v>-277.24</v>
      </c>
    </row>
    <row r="29" spans="1:7">
      <c r="A29" t="s">
        <v>146</v>
      </c>
      <c r="B29" s="16">
        <v>-49.41</v>
      </c>
      <c r="C29" s="16">
        <v>-64.36</v>
      </c>
      <c r="D29" s="16">
        <v>43.19</v>
      </c>
      <c r="E29" s="16">
        <v>-46.25</v>
      </c>
      <c r="F29" s="16">
        <v>4</v>
      </c>
    </row>
    <row r="30" spans="1:7">
      <c r="A30" t="s">
        <v>147</v>
      </c>
      <c r="B30" s="16">
        <v>46.88</v>
      </c>
      <c r="C30" s="16">
        <v>42.84</v>
      </c>
      <c r="D30" s="16">
        <v>-3.57</v>
      </c>
      <c r="E30" s="16">
        <v>3.08</v>
      </c>
      <c r="F30" s="16">
        <v>2.97</v>
      </c>
    </row>
    <row r="31" spans="1:7">
      <c r="B31" s="15">
        <f t="shared" ref="B31:F31" si="3">SUM(B24:B30)</f>
        <v>-1729.4299999999998</v>
      </c>
      <c r="C31" s="15">
        <f t="shared" si="3"/>
        <v>1410.3300000000002</v>
      </c>
      <c r="D31" s="15">
        <f t="shared" si="3"/>
        <v>-1276.3799999999997</v>
      </c>
      <c r="E31" s="15">
        <f t="shared" si="3"/>
        <v>321.69</v>
      </c>
      <c r="F31" s="15">
        <f t="shared" si="3"/>
        <v>-1128.8999999999999</v>
      </c>
    </row>
    <row r="32" spans="1:7">
      <c r="A32" s="9" t="s">
        <v>148</v>
      </c>
      <c r="B32" s="16"/>
      <c r="C32" s="16"/>
      <c r="D32" s="16"/>
      <c r="E32" s="16"/>
      <c r="F32" s="16"/>
    </row>
    <row r="33" spans="1:6">
      <c r="A33" t="s">
        <v>149</v>
      </c>
      <c r="B33" s="16">
        <v>62.98</v>
      </c>
      <c r="C33" s="16">
        <v>-310.63</v>
      </c>
      <c r="D33" s="16">
        <v>2136.56</v>
      </c>
      <c r="E33" s="16">
        <v>-921.09</v>
      </c>
      <c r="F33" s="16">
        <v>417.05</v>
      </c>
    </row>
    <row r="34" spans="1:6">
      <c r="A34" t="s">
        <v>150</v>
      </c>
      <c r="B34" s="16">
        <v>2.0699999999999998</v>
      </c>
      <c r="C34" s="16">
        <v>5.32</v>
      </c>
      <c r="D34" s="16">
        <v>-1.23</v>
      </c>
      <c r="E34" s="16">
        <v>3.53</v>
      </c>
      <c r="F34" s="16">
        <v>4.1900000000000004</v>
      </c>
    </row>
    <row r="35" spans="1:6">
      <c r="A35" t="s">
        <v>151</v>
      </c>
      <c r="B35" s="16">
        <v>-264.13</v>
      </c>
      <c r="C35" s="16">
        <v>30.64</v>
      </c>
      <c r="D35" s="16">
        <v>39.130000000000003</v>
      </c>
      <c r="E35" s="16">
        <v>-74.27</v>
      </c>
      <c r="F35" s="16">
        <v>65.77</v>
      </c>
    </row>
    <row r="36" spans="1:6">
      <c r="A36" t="s">
        <v>152</v>
      </c>
      <c r="B36" s="16">
        <v>-19.010000000000002</v>
      </c>
      <c r="C36" s="16">
        <v>56.84</v>
      </c>
      <c r="D36" s="16">
        <v>-12.03</v>
      </c>
      <c r="E36" s="16">
        <v>-3.89</v>
      </c>
      <c r="F36" s="16">
        <v>0.89</v>
      </c>
    </row>
    <row r="37" spans="1:6">
      <c r="A37" t="s">
        <v>153</v>
      </c>
      <c r="B37" s="16">
        <v>1.76</v>
      </c>
      <c r="C37" s="16">
        <v>2.96</v>
      </c>
      <c r="D37" s="16">
        <v>51.67</v>
      </c>
      <c r="E37" s="16">
        <v>5.56</v>
      </c>
      <c r="F37" s="16">
        <v>20.81</v>
      </c>
    </row>
    <row r="38" spans="1:6">
      <c r="B38" s="15">
        <f t="shared" ref="B38:F38" si="4">SUM(B33:B37)</f>
        <v>-216.32999999999998</v>
      </c>
      <c r="C38" s="15">
        <f t="shared" si="4"/>
        <v>-214.87</v>
      </c>
      <c r="D38" s="15">
        <f t="shared" si="4"/>
        <v>2214.1</v>
      </c>
      <c r="E38" s="15">
        <f t="shared" si="4"/>
        <v>-990.16000000000008</v>
      </c>
      <c r="F38" s="15">
        <f t="shared" si="4"/>
        <v>508.71</v>
      </c>
    </row>
    <row r="39" spans="1:6">
      <c r="A39" t="s">
        <v>154</v>
      </c>
      <c r="B39" s="16">
        <v>3102.74</v>
      </c>
      <c r="C39" s="16">
        <v>6070.91</v>
      </c>
      <c r="D39" s="16">
        <v>5091.2299999999996</v>
      </c>
      <c r="E39" s="16">
        <v>2887.78</v>
      </c>
      <c r="F39" s="16">
        <v>3470.4</v>
      </c>
    </row>
    <row r="40" spans="1:6">
      <c r="A40" t="s">
        <v>155</v>
      </c>
      <c r="B40" s="16">
        <v>2070.46</v>
      </c>
      <c r="C40" s="16">
        <v>552.78</v>
      </c>
      <c r="D40" s="16">
        <v>980.78</v>
      </c>
      <c r="E40" s="16">
        <v>784.08</v>
      </c>
      <c r="F40" s="16">
        <v>856.56</v>
      </c>
    </row>
    <row r="41" spans="1:6">
      <c r="A41" s="9" t="s">
        <v>156</v>
      </c>
      <c r="B41" s="15">
        <f t="shared" ref="B41:F41" si="5">B39-B40</f>
        <v>1032.2799999999997</v>
      </c>
      <c r="C41" s="15">
        <f t="shared" si="5"/>
        <v>5518.13</v>
      </c>
      <c r="D41" s="15">
        <f t="shared" si="5"/>
        <v>4110.45</v>
      </c>
      <c r="E41" s="15">
        <f t="shared" si="5"/>
        <v>2103.7000000000003</v>
      </c>
      <c r="F41" s="15">
        <f t="shared" si="5"/>
        <v>2613.84</v>
      </c>
    </row>
    <row r="42" spans="1:6">
      <c r="A42" s="17" t="s">
        <v>157</v>
      </c>
      <c r="B42" s="16"/>
      <c r="C42" s="16"/>
      <c r="D42" s="16"/>
      <c r="E42" s="16"/>
      <c r="F42" s="16"/>
    </row>
    <row r="43" spans="1:6">
      <c r="A43" t="s">
        <v>158</v>
      </c>
      <c r="B43" s="16">
        <v>-979.56</v>
      </c>
      <c r="C43" s="16">
        <v>-1274.5</v>
      </c>
      <c r="D43" s="16">
        <v>-581.02</v>
      </c>
      <c r="E43" s="16">
        <v>-569.66</v>
      </c>
      <c r="F43" s="16">
        <v>-604.25</v>
      </c>
    </row>
    <row r="44" spans="1:6">
      <c r="A44" t="s">
        <v>159</v>
      </c>
      <c r="B44" s="16">
        <v>4.17</v>
      </c>
      <c r="C44" s="16">
        <v>-13.3</v>
      </c>
      <c r="D44" s="16">
        <v>7.18</v>
      </c>
      <c r="E44" s="16">
        <v>10.82</v>
      </c>
      <c r="F44" s="16">
        <v>42.88</v>
      </c>
    </row>
    <row r="45" spans="1:6">
      <c r="A45" t="s">
        <v>160</v>
      </c>
      <c r="B45" s="16">
        <v>-22.65</v>
      </c>
      <c r="C45" s="16">
        <v>-4.4800000000000004</v>
      </c>
      <c r="D45" s="16">
        <v>0.69</v>
      </c>
      <c r="E45" s="16">
        <v>-9.82</v>
      </c>
      <c r="F45" s="16">
        <v>-79.92</v>
      </c>
    </row>
    <row r="46" spans="1:6">
      <c r="A46" t="s">
        <v>161</v>
      </c>
      <c r="B46" s="16">
        <v>42020.45</v>
      </c>
      <c r="C46" s="16">
        <v>47232.41</v>
      </c>
      <c r="D46" s="16">
        <v>47929.45</v>
      </c>
      <c r="E46" s="16">
        <v>42437.49</v>
      </c>
      <c r="F46" s="16">
        <v>45336.01</v>
      </c>
    </row>
    <row r="47" spans="1:6">
      <c r="A47" t="s">
        <v>162</v>
      </c>
      <c r="B47" s="16">
        <v>-39456.26</v>
      </c>
      <c r="C47" s="16">
        <v>-49353.1</v>
      </c>
      <c r="D47" s="16">
        <v>-49388.54</v>
      </c>
      <c r="E47" s="16">
        <v>-42105.1</v>
      </c>
      <c r="F47" s="16">
        <v>-44433.15</v>
      </c>
    </row>
    <row r="48" spans="1:6">
      <c r="A48" t="s">
        <v>163</v>
      </c>
      <c r="B48" s="16">
        <v>0</v>
      </c>
      <c r="C48" s="16">
        <v>19.989999999999998</v>
      </c>
      <c r="D48" s="16">
        <v>12.76</v>
      </c>
      <c r="E48" s="16">
        <v>5.24</v>
      </c>
      <c r="F48" s="16">
        <v>0</v>
      </c>
    </row>
    <row r="49" spans="1:6">
      <c r="A49" t="s">
        <v>164</v>
      </c>
      <c r="B49" s="16">
        <v>-628.29999999999995</v>
      </c>
      <c r="C49" s="16">
        <v>248.37</v>
      </c>
      <c r="D49" s="16">
        <v>-368.37</v>
      </c>
      <c r="E49" s="16">
        <v>-150</v>
      </c>
      <c r="F49" s="16">
        <v>-962.5</v>
      </c>
    </row>
    <row r="50" spans="1:6">
      <c r="A50" t="s">
        <v>165</v>
      </c>
      <c r="B50" s="16">
        <v>288.02999999999997</v>
      </c>
      <c r="C50" s="16">
        <v>277.2</v>
      </c>
      <c r="D50" s="16">
        <v>97.14</v>
      </c>
      <c r="E50" s="16">
        <v>157.38999999999999</v>
      </c>
      <c r="F50" s="16">
        <v>277.32</v>
      </c>
    </row>
    <row r="51" spans="1:6">
      <c r="A51" t="s">
        <v>132</v>
      </c>
      <c r="B51" s="16">
        <v>71.760000000000005</v>
      </c>
      <c r="C51" s="16">
        <v>48.27</v>
      </c>
      <c r="D51" s="16">
        <v>1.39</v>
      </c>
      <c r="E51" s="16">
        <v>1.67</v>
      </c>
      <c r="F51" s="16">
        <v>2.2799999999999998</v>
      </c>
    </row>
    <row r="52" spans="1:6">
      <c r="A52" s="9" t="s">
        <v>166</v>
      </c>
      <c r="B52" s="15">
        <f t="shared" ref="B52:F52" si="6">SUM(B43:B51)</f>
        <v>1297.6399999999942</v>
      </c>
      <c r="C52" s="15">
        <f t="shared" si="6"/>
        <v>-2819.1399999999944</v>
      </c>
      <c r="D52" s="15">
        <f t="shared" si="6"/>
        <v>-2289.3200000000056</v>
      </c>
      <c r="E52" s="15">
        <f t="shared" si="6"/>
        <v>-221.97000000000409</v>
      </c>
      <c r="F52" s="15">
        <f t="shared" si="6"/>
        <v>-421.33000000000033</v>
      </c>
    </row>
    <row r="53" spans="1:6">
      <c r="A53" s="17" t="s">
        <v>167</v>
      </c>
      <c r="B53" s="16"/>
      <c r="C53" s="16"/>
      <c r="D53" s="16"/>
      <c r="E53" s="16"/>
      <c r="F53" s="16"/>
    </row>
    <row r="54" spans="1:6">
      <c r="A54" t="s">
        <v>168</v>
      </c>
      <c r="B54" s="16">
        <v>-36.93</v>
      </c>
      <c r="C54" s="16">
        <v>-46.67</v>
      </c>
      <c r="D54" s="16">
        <v>-46.19</v>
      </c>
      <c r="E54" s="16">
        <v>-52.85</v>
      </c>
      <c r="F54" s="16">
        <v>-104.88</v>
      </c>
    </row>
    <row r="55" spans="1:6">
      <c r="A55" t="s">
        <v>169</v>
      </c>
      <c r="B55" s="16">
        <v>0</v>
      </c>
      <c r="C55" s="16">
        <v>-114.95</v>
      </c>
      <c r="D55" s="16">
        <v>-29.17</v>
      </c>
      <c r="E55" s="16">
        <v>-30.58</v>
      </c>
      <c r="F55" s="16">
        <v>-7.02</v>
      </c>
    </row>
    <row r="56" spans="1:6">
      <c r="A56" t="s">
        <v>170</v>
      </c>
      <c r="B56" s="16">
        <v>-1928.6</v>
      </c>
      <c r="C56" s="16">
        <v>-1957.04</v>
      </c>
      <c r="D56" s="16">
        <v>-1918.3</v>
      </c>
      <c r="E56" s="16">
        <v>-1907.27</v>
      </c>
      <c r="F56" s="16">
        <v>-1998.33</v>
      </c>
    </row>
    <row r="57" spans="1:6">
      <c r="A57" t="s">
        <v>171</v>
      </c>
      <c r="B57" s="16">
        <v>-390.01</v>
      </c>
      <c r="C57" s="16">
        <v>-401.4</v>
      </c>
      <c r="D57" s="16">
        <v>-2.5</v>
      </c>
      <c r="E57" s="16">
        <v>-1.1200000000000001</v>
      </c>
      <c r="F57" s="16">
        <v>0</v>
      </c>
    </row>
    <row r="58" spans="1:6">
      <c r="A58" t="s">
        <v>172</v>
      </c>
      <c r="B58" s="16">
        <v>17.55</v>
      </c>
      <c r="C58" s="16">
        <v>17.47</v>
      </c>
      <c r="D58" s="16">
        <v>6.65</v>
      </c>
      <c r="E58" s="16">
        <v>0</v>
      </c>
      <c r="F58" s="16">
        <v>0</v>
      </c>
    </row>
    <row r="59" spans="1:6">
      <c r="A59" t="s">
        <v>173</v>
      </c>
      <c r="B59" s="16">
        <v>1.98</v>
      </c>
      <c r="C59" s="16">
        <v>0.12</v>
      </c>
      <c r="D59" s="16">
        <v>7.83</v>
      </c>
      <c r="E59" s="16">
        <v>5.04</v>
      </c>
      <c r="F59" s="16">
        <v>3.24</v>
      </c>
    </row>
    <row r="60" spans="1:6">
      <c r="A60" t="s">
        <v>174</v>
      </c>
      <c r="B60" s="16">
        <v>-24.76</v>
      </c>
      <c r="C60" s="16">
        <v>-80.819999999999993</v>
      </c>
      <c r="D60" s="16">
        <v>1.1599999999999999</v>
      </c>
      <c r="E60" s="16">
        <v>-9.01</v>
      </c>
      <c r="F60" s="16">
        <v>-16.079999999999998</v>
      </c>
    </row>
    <row r="61" spans="1:6">
      <c r="A61" t="s">
        <v>175</v>
      </c>
      <c r="B61" s="16">
        <v>108.4</v>
      </c>
      <c r="C61" s="16">
        <v>-18.510000000000002</v>
      </c>
      <c r="D61" s="16">
        <v>128.69999999999999</v>
      </c>
      <c r="E61" s="16">
        <v>20.46</v>
      </c>
      <c r="F61" s="16">
        <v>-24.16</v>
      </c>
    </row>
    <row r="62" spans="1:6">
      <c r="A62" s="9" t="s">
        <v>176</v>
      </c>
      <c r="B62" s="15">
        <f t="shared" ref="B62:F62" si="7">SUM(B54:B61)</f>
        <v>-2252.37</v>
      </c>
      <c r="C62" s="15">
        <f t="shared" si="7"/>
        <v>-2601.8000000000006</v>
      </c>
      <c r="D62" s="15">
        <f t="shared" si="7"/>
        <v>-1851.8199999999997</v>
      </c>
      <c r="E62" s="15">
        <f t="shared" si="7"/>
        <v>-1975.33</v>
      </c>
      <c r="F62" s="15">
        <f t="shared" si="7"/>
        <v>-2147.23</v>
      </c>
    </row>
    <row r="63" spans="1:6">
      <c r="A63" s="17" t="s">
        <v>177</v>
      </c>
      <c r="B63" s="15">
        <f t="shared" ref="B63:F63" si="8">B41+B52+B62</f>
        <v>77.549999999993815</v>
      </c>
      <c r="C63" s="15">
        <f t="shared" si="8"/>
        <v>97.190000000005057</v>
      </c>
      <c r="D63" s="15">
        <f t="shared" si="8"/>
        <v>-30.690000000005512</v>
      </c>
      <c r="E63" s="15">
        <f t="shared" si="8"/>
        <v>-93.600000000003774</v>
      </c>
      <c r="F63" s="15">
        <f t="shared" si="8"/>
        <v>45.279999999999745</v>
      </c>
    </row>
    <row r="64" spans="1:6">
      <c r="A64" s="9" t="s">
        <v>178</v>
      </c>
      <c r="B64" s="16">
        <v>130.61000000000001</v>
      </c>
      <c r="C64" s="16">
        <v>208.12</v>
      </c>
      <c r="D64" s="16">
        <v>305.31</v>
      </c>
      <c r="E64" s="16">
        <v>274.62</v>
      </c>
      <c r="F64" s="16">
        <v>181.02</v>
      </c>
    </row>
    <row r="65" spans="1:6">
      <c r="A65" s="9" t="s">
        <v>179</v>
      </c>
      <c r="B65" s="16">
        <v>208.12</v>
      </c>
      <c r="C65" s="16">
        <v>305.31</v>
      </c>
      <c r="D65" s="16">
        <v>274.62</v>
      </c>
      <c r="E65" s="16">
        <v>181.02</v>
      </c>
      <c r="F65" s="16">
        <v>226.3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38"/>
  <sheetViews>
    <sheetView workbookViewId="0">
      <selection activeCell="E12" sqref="E12"/>
    </sheetView>
  </sheetViews>
  <sheetFormatPr defaultColWidth="9.109375" defaultRowHeight="14.4"/>
  <cols>
    <col min="1" max="1" width="50.109375" customWidth="1"/>
    <col min="2" max="2" width="14.6640625" customWidth="1"/>
    <col min="3" max="3" width="19.21875" customWidth="1"/>
    <col min="4" max="4" width="14.109375" customWidth="1"/>
    <col min="5" max="5" width="14.5546875" customWidth="1"/>
    <col min="6" max="6" width="14" customWidth="1"/>
    <col min="7" max="7" width="14.88671875" customWidth="1"/>
    <col min="8" max="8" width="15" customWidth="1"/>
    <col min="9" max="9" width="16.33203125" customWidth="1"/>
    <col min="10" max="10" width="14.44140625" customWidth="1"/>
  </cols>
  <sheetData>
    <row r="1" spans="1:10">
      <c r="A1" s="52" t="s">
        <v>213</v>
      </c>
    </row>
    <row r="2" spans="1:10">
      <c r="A2" s="52" t="s">
        <v>1</v>
      </c>
    </row>
    <row r="3" spans="1:10">
      <c r="D3" s="117" t="s">
        <v>260</v>
      </c>
      <c r="E3" s="117"/>
      <c r="F3" s="117"/>
    </row>
    <row r="4" spans="1:10">
      <c r="D4" s="117"/>
      <c r="E4" s="117"/>
      <c r="F4" s="117"/>
    </row>
    <row r="5" spans="1:10" s="72" customFormat="1">
      <c r="A5" s="72" t="s">
        <v>4</v>
      </c>
      <c r="B5" s="72" t="s">
        <v>5</v>
      </c>
      <c r="C5" s="72" t="s">
        <v>6</v>
      </c>
      <c r="D5" s="72" t="s">
        <v>7</v>
      </c>
      <c r="E5" s="72" t="s">
        <v>8</v>
      </c>
      <c r="F5" s="72" t="s">
        <v>9</v>
      </c>
      <c r="G5" s="72" t="s">
        <v>192</v>
      </c>
      <c r="H5" s="72" t="s">
        <v>193</v>
      </c>
      <c r="I5" s="72" t="s">
        <v>194</v>
      </c>
      <c r="J5" s="72" t="s">
        <v>214</v>
      </c>
    </row>
    <row r="6" spans="1:10" s="72" customFormat="1">
      <c r="B6" s="72" t="s">
        <v>10</v>
      </c>
      <c r="C6" s="72" t="s">
        <v>10</v>
      </c>
      <c r="D6" s="72" t="s">
        <v>10</v>
      </c>
      <c r="E6" s="72" t="s">
        <v>10</v>
      </c>
      <c r="F6" s="72" t="s">
        <v>10</v>
      </c>
      <c r="G6" s="72" t="s">
        <v>195</v>
      </c>
      <c r="H6" s="72" t="s">
        <v>195</v>
      </c>
      <c r="I6" s="72" t="s">
        <v>195</v>
      </c>
      <c r="J6" s="72" t="s">
        <v>195</v>
      </c>
    </row>
    <row r="7" spans="1:10" ht="18" customHeight="1">
      <c r="A7" s="3" t="s">
        <v>180</v>
      </c>
      <c r="B7" s="4">
        <f>'Income Statement'!B13</f>
        <v>23503.46</v>
      </c>
      <c r="C7" s="4">
        <f>'Income Statement'!C13</f>
        <v>20004.29</v>
      </c>
      <c r="D7" s="4">
        <f>'Income Statement'!D13</f>
        <v>21968.04</v>
      </c>
      <c r="E7" s="4">
        <f>'Income Statement'!E13</f>
        <v>20845.740000000002</v>
      </c>
      <c r="F7" s="4">
        <f>'Income Statement'!F13</f>
        <v>24060.29</v>
      </c>
      <c r="G7">
        <f>G15*G10</f>
        <v>26882.74394734214</v>
      </c>
      <c r="H7">
        <f t="shared" ref="H7:J7" si="0">H15*H10</f>
        <v>31251.391400428653</v>
      </c>
      <c r="I7">
        <f t="shared" si="0"/>
        <v>36460.44130822688</v>
      </c>
      <c r="J7">
        <f t="shared" si="0"/>
        <v>42220.203326624716</v>
      </c>
    </row>
    <row r="8" spans="1:10">
      <c r="A8" s="3" t="s">
        <v>181</v>
      </c>
      <c r="D8">
        <f>'Income Statement'!D15</f>
        <v>31.14</v>
      </c>
      <c r="E8">
        <f>'Income Statement'!E15</f>
        <v>45.95</v>
      </c>
      <c r="F8">
        <f>'Income Statement'!F15</f>
        <v>47.43</v>
      </c>
      <c r="G8">
        <f>G16*G10</f>
        <v>28.426364658658205</v>
      </c>
      <c r="H8">
        <f t="shared" ref="H8:J8" si="1">H16*H10</f>
        <v>39.638812383450983</v>
      </c>
      <c r="I8">
        <f t="shared" si="1"/>
        <v>55.536585758177274</v>
      </c>
      <c r="J8">
        <f t="shared" si="1"/>
        <v>66.083462652703702</v>
      </c>
    </row>
    <row r="9" spans="1:10" ht="33" customHeight="1">
      <c r="A9" s="3" t="s">
        <v>182</v>
      </c>
      <c r="B9">
        <f>'Income Statement'!B14</f>
        <v>-59.04</v>
      </c>
      <c r="C9">
        <f>'Income Statement'!C14</f>
        <v>-173.34</v>
      </c>
      <c r="D9">
        <f>'Income Statement'!D14</f>
        <v>-255.57</v>
      </c>
      <c r="E9">
        <f>'Income Statement'!E14</f>
        <v>28.67</v>
      </c>
      <c r="F9">
        <f>'Income Statement'!F14</f>
        <v>-163.69</v>
      </c>
      <c r="G9">
        <f>G17*G10</f>
        <v>-150.82530193255175</v>
      </c>
      <c r="H9">
        <f t="shared" ref="H9:J9" si="2">H17*H10</f>
        <v>-194.65460317691014</v>
      </c>
      <c r="I9">
        <f t="shared" si="2"/>
        <v>-209.25335283799768</v>
      </c>
      <c r="J9">
        <f t="shared" si="2"/>
        <v>-193.04821291543962</v>
      </c>
    </row>
    <row r="10" spans="1:10">
      <c r="A10" s="2" t="s">
        <v>183</v>
      </c>
      <c r="B10" s="5">
        <f t="shared" ref="B10:F10" si="3">SUM(B7:B9)</f>
        <v>23444.42</v>
      </c>
      <c r="C10" s="5">
        <f t="shared" si="3"/>
        <v>19830.95</v>
      </c>
      <c r="D10" s="5">
        <f t="shared" si="3"/>
        <v>21743.61</v>
      </c>
      <c r="E10" s="5">
        <f t="shared" si="3"/>
        <v>20920.36</v>
      </c>
      <c r="F10" s="5">
        <f t="shared" si="3"/>
        <v>23944.030000000002</v>
      </c>
      <c r="G10" s="57">
        <f>G12*'Income Statement'!G10</f>
        <v>26760.345010068246</v>
      </c>
      <c r="H10" s="57">
        <f>H12*'Income Statement'!H10</f>
        <v>31096.375609635194</v>
      </c>
      <c r="I10" s="57">
        <f>I12*'Income Statement'!I10</f>
        <v>36306.724541147065</v>
      </c>
      <c r="J10" s="57">
        <f>J12*'Income Statement'!J10</f>
        <v>42093.238576361982</v>
      </c>
    </row>
    <row r="11" spans="1:10" ht="12" customHeight="1"/>
    <row r="12" spans="1:10">
      <c r="A12" s="3" t="s">
        <v>184</v>
      </c>
      <c r="B12" s="6">
        <f>B10/'Income Statement'!B10</f>
        <v>0.67643172212899616</v>
      </c>
      <c r="C12" s="6">
        <f>C10/'Income Statement'!C10</f>
        <v>0.66134293874316841</v>
      </c>
      <c r="D12" s="6">
        <f>D10/'Income Statement'!D10</f>
        <v>0.68989903572950428</v>
      </c>
      <c r="E12" s="6">
        <f>E10/'Income Statement'!E10</f>
        <v>0.69488336158324393</v>
      </c>
      <c r="F12" s="6">
        <f>F10/'Income Statement'!F10</f>
        <v>0.68948544650202626</v>
      </c>
      <c r="G12" s="69">
        <f>AVERAGE(B12:F12)</f>
        <v>0.68240850093738792</v>
      </c>
      <c r="H12" s="69">
        <f t="shared" ref="H12:J12" si="4">AVERAGE(C12:G12)</f>
        <v>0.68360385669906609</v>
      </c>
      <c r="I12" s="69">
        <f t="shared" si="4"/>
        <v>0.6880560402902457</v>
      </c>
      <c r="J12" s="69">
        <f t="shared" si="4"/>
        <v>0.687687441202394</v>
      </c>
    </row>
    <row r="13" spans="1:10">
      <c r="A13" s="3"/>
    </row>
    <row r="14" spans="1:10">
      <c r="A14" s="2" t="s">
        <v>185</v>
      </c>
    </row>
    <row r="15" spans="1:10" ht="18" customHeight="1">
      <c r="A15" s="3" t="s">
        <v>180</v>
      </c>
      <c r="B15" s="92">
        <f t="shared" ref="B15:B17" si="5">B7/B$10</f>
        <v>1.0025182964645745</v>
      </c>
      <c r="C15" s="92">
        <f>C7/$C10</f>
        <v>1.008740882307706</v>
      </c>
      <c r="D15" s="92">
        <f>D7/$D$10</f>
        <v>1.010321653120158</v>
      </c>
      <c r="E15" s="92">
        <f>E7/$E$10</f>
        <v>0.99643313977388537</v>
      </c>
      <c r="F15" s="92">
        <f>F7/F10</f>
        <v>1.0048554900741438</v>
      </c>
      <c r="G15" s="93">
        <f>AVERAGE(B15:F15)</f>
        <v>1.0045738923480936</v>
      </c>
      <c r="H15" s="93">
        <f t="shared" ref="H15:J15" si="6">AVERAGE(C15:G15)</f>
        <v>1.0049850115247974</v>
      </c>
      <c r="I15" s="93">
        <f t="shared" si="6"/>
        <v>1.0042338373682156</v>
      </c>
      <c r="J15" s="93">
        <f t="shared" si="6"/>
        <v>1.0030162742178272</v>
      </c>
    </row>
    <row r="16" spans="1:10">
      <c r="A16" s="3" t="s">
        <v>181</v>
      </c>
      <c r="B16" s="92">
        <f t="shared" si="5"/>
        <v>0</v>
      </c>
      <c r="C16" s="92">
        <v>0</v>
      </c>
      <c r="D16" s="92">
        <f>D8/$B$10</f>
        <v>1.3282478304005815E-3</v>
      </c>
      <c r="E16" s="92">
        <f>E8/$B$10</f>
        <v>1.9599546501896828E-3</v>
      </c>
      <c r="F16" s="92">
        <f>F8/$B$10</f>
        <v>2.0230826780956836E-3</v>
      </c>
      <c r="G16" s="93">
        <f>AVERAGE(B16:F16)</f>
        <v>1.0622570317371895E-3</v>
      </c>
      <c r="H16" s="93">
        <f t="shared" ref="H16:J16" si="7">AVERAGE(C16:G16)</f>
        <v>1.2747084380846274E-3</v>
      </c>
      <c r="I16" s="93">
        <f t="shared" si="7"/>
        <v>1.5296501257015531E-3</v>
      </c>
      <c r="J16" s="93">
        <f t="shared" si="7"/>
        <v>1.5699305847617473E-3</v>
      </c>
    </row>
    <row r="17" spans="1:14" ht="33" customHeight="1">
      <c r="A17" s="3" t="s">
        <v>182</v>
      </c>
      <c r="B17" s="92">
        <f t="shared" si="5"/>
        <v>-2.5182964645745131E-3</v>
      </c>
      <c r="C17" s="92">
        <f t="shared" ref="C17:F17" si="8">C9/C$10</f>
        <v>-8.7408823077058835E-3</v>
      </c>
      <c r="D17" s="92">
        <f t="shared" si="8"/>
        <v>-1.1753798012381567E-2</v>
      </c>
      <c r="E17" s="92">
        <f t="shared" si="8"/>
        <v>1.3704353079966119E-3</v>
      </c>
      <c r="F17" s="92">
        <f t="shared" si="8"/>
        <v>-6.8363596270134969E-3</v>
      </c>
      <c r="G17" s="69">
        <v>-5.6361493798307016E-3</v>
      </c>
      <c r="H17" s="69">
        <v>-6.2597199628819933E-3</v>
      </c>
      <c r="I17" s="69">
        <v>-5.7634874939171965E-3</v>
      </c>
      <c r="J17" s="69">
        <v>-4.5862048025890889E-3</v>
      </c>
      <c r="K17" s="69"/>
      <c r="L17" s="69"/>
      <c r="M17" s="69"/>
      <c r="N17" s="69"/>
    </row>
    <row r="18" spans="1:14">
      <c r="A18" s="2" t="s">
        <v>183</v>
      </c>
      <c r="B18" s="8">
        <f t="shared" ref="B18:J18" si="9">SUM(B15:B17)</f>
        <v>1</v>
      </c>
      <c r="C18" s="8">
        <f t="shared" si="9"/>
        <v>1</v>
      </c>
      <c r="D18" s="8">
        <f t="shared" si="9"/>
        <v>0.9998961029381771</v>
      </c>
      <c r="E18" s="8">
        <f t="shared" si="9"/>
        <v>0.99976352973207172</v>
      </c>
      <c r="F18" s="8">
        <f t="shared" si="9"/>
        <v>1.0000422131252258</v>
      </c>
      <c r="G18" s="8">
        <f t="shared" si="9"/>
        <v>1</v>
      </c>
      <c r="H18" s="8">
        <f t="shared" si="9"/>
        <v>1</v>
      </c>
      <c r="I18" s="8">
        <f t="shared" si="9"/>
        <v>1</v>
      </c>
      <c r="J18" s="8">
        <f t="shared" si="9"/>
        <v>1</v>
      </c>
    </row>
    <row r="19" spans="1:14">
      <c r="G19" s="69"/>
      <c r="H19" s="69"/>
      <c r="I19" s="69"/>
      <c r="J19" s="69"/>
    </row>
    <row r="20" spans="1:14">
      <c r="A20" s="9" t="s">
        <v>186</v>
      </c>
      <c r="B20" s="4">
        <f>'Income Statement'!B18</f>
        <v>1778.03</v>
      </c>
      <c r="C20" s="4">
        <f>'Income Statement'!C18</f>
        <v>1889.32</v>
      </c>
      <c r="D20" s="4">
        <f>'Income Statement'!D18</f>
        <v>1951.02</v>
      </c>
      <c r="E20" s="4">
        <f>'Income Statement'!E18</f>
        <v>1995.78</v>
      </c>
      <c r="F20" s="4">
        <f>'Income Statement'!F18</f>
        <v>2250.0500000000002</v>
      </c>
      <c r="G20">
        <f>'Income Statement'!G10*'Cost Sheet'!G21</f>
        <v>2410.0810410963454</v>
      </c>
      <c r="H20">
        <f>'Income Statement'!H10*'Cost Sheet'!H21</f>
        <v>2888.1102185663522</v>
      </c>
      <c r="I20">
        <f>'Income Statement'!I10*'Cost Sheet'!I21</f>
        <v>3355.3101617027287</v>
      </c>
      <c r="J20">
        <f>'Income Statement'!J10*'Cost Sheet'!J21</f>
        <v>3912.7703664410974</v>
      </c>
    </row>
    <row r="21" spans="1:14">
      <c r="A21" s="9" t="s">
        <v>187</v>
      </c>
      <c r="B21" s="7">
        <f>B20/'Income Statement'!B10</f>
        <v>5.130073147030377E-2</v>
      </c>
      <c r="C21" s="7">
        <f>C20/'Income Statement'!C10</f>
        <v>6.300698862264506E-2</v>
      </c>
      <c r="D21" s="7">
        <f>D20/'Income Statement'!D10</f>
        <v>6.1903557720589052E-2</v>
      </c>
      <c r="E21" s="7">
        <f>E20/'Income Statement'!E10</f>
        <v>6.6291130524551517E-2</v>
      </c>
      <c r="F21" s="7">
        <f>F20/'Income Statement'!F10</f>
        <v>6.4791796907282706E-2</v>
      </c>
      <c r="G21" s="69">
        <f>AVERAGE(B21:F21)</f>
        <v>6.1458841049074418E-2</v>
      </c>
      <c r="H21" s="69">
        <f t="shared" ref="H21:J21" si="10">AVERAGE(C21:G21)</f>
        <v>6.3490462964828548E-2</v>
      </c>
      <c r="I21" s="69">
        <f t="shared" si="10"/>
        <v>6.3587157833265254E-2</v>
      </c>
      <c r="J21" s="69">
        <f t="shared" si="10"/>
        <v>6.3923877855800476E-2</v>
      </c>
    </row>
    <row r="23" spans="1:14">
      <c r="A23" s="9" t="s">
        <v>188</v>
      </c>
      <c r="B23" s="4">
        <f>'Income Statement'!B21</f>
        <v>3729.94</v>
      </c>
      <c r="C23" s="4">
        <f>'Income Statement'!C21</f>
        <v>3472.78</v>
      </c>
      <c r="D23" s="4">
        <f>'Income Statement'!D21</f>
        <v>3165.05</v>
      </c>
      <c r="E23" s="4">
        <f>'Income Statement'!E21</f>
        <v>3190.37</v>
      </c>
      <c r="F23" s="4">
        <f>'Income Statement'!F21</f>
        <v>3870.53</v>
      </c>
      <c r="G23">
        <f>'Income Statement'!G10*'Cost Sheet'!G24</f>
        <v>4245.2136976863176</v>
      </c>
      <c r="H23">
        <f>'Income Statement'!H10*'Cost Sheet'!H24</f>
        <v>4930.2497916447082</v>
      </c>
      <c r="I23">
        <f>'Income Statement'!I10*'Cost Sheet'!I24</f>
        <v>5640.6754929975414</v>
      </c>
      <c r="J23">
        <f>'Income Statement'!J10*'Cost Sheet'!J24</f>
        <v>6622.4415230962122</v>
      </c>
    </row>
    <row r="24" spans="1:14">
      <c r="A24" s="9" t="s">
        <v>189</v>
      </c>
      <c r="B24" s="7">
        <f>B23/'Income Statement'!B10</f>
        <v>0.10761834746339762</v>
      </c>
      <c r="C24" s="7">
        <f>C23/'Income Statement'!C10</f>
        <v>0.11581384304879497</v>
      </c>
      <c r="D24" s="7">
        <f>D23/'Income Statement'!D10</f>
        <v>0.10042329415564699</v>
      </c>
      <c r="E24" s="7">
        <f>E23/'Income Statement'!E10</f>
        <v>0.10597021419776399</v>
      </c>
      <c r="F24" s="7">
        <f>F23/'Income Statement'!F10</f>
        <v>0.1114546759776649</v>
      </c>
      <c r="G24" s="69">
        <f>AVERAGE(B24:F24)</f>
        <v>0.10825607496865368</v>
      </c>
      <c r="H24" s="69">
        <f t="shared" ref="H24:J24" si="11">AVERAGE(C24:G24)</f>
        <v>0.10838362046970491</v>
      </c>
      <c r="I24" s="69">
        <f t="shared" si="11"/>
        <v>0.10689757595388689</v>
      </c>
      <c r="J24" s="69">
        <f t="shared" si="11"/>
        <v>0.10819243231353488</v>
      </c>
    </row>
    <row r="26" spans="1:14">
      <c r="A26" s="10" t="s">
        <v>190</v>
      </c>
      <c r="B26" s="4">
        <f>'Income Statement'!B35</f>
        <v>1637.95</v>
      </c>
      <c r="C26" s="4">
        <f>'Income Statement'!C35</f>
        <v>951.67</v>
      </c>
      <c r="D26" s="4">
        <f>'Income Statement'!D35</f>
        <v>913.27</v>
      </c>
      <c r="E26" s="4">
        <f>'Income Statement'!E35</f>
        <v>729.06000000000006</v>
      </c>
      <c r="F26" s="4">
        <f>'Income Statement'!F35</f>
        <v>1063.72</v>
      </c>
      <c r="G26">
        <f>G27*'Income Statement'!G30</f>
        <v>1268.4405105826525</v>
      </c>
      <c r="H26">
        <f>H27*'Income Statement'!H30</f>
        <v>1542.1121242989111</v>
      </c>
      <c r="I26">
        <f>I27*'Income Statement'!I30</f>
        <v>1959.0397360914499</v>
      </c>
      <c r="J26">
        <f>J27*'Income Statement'!J30</f>
        <v>2485.3476469149432</v>
      </c>
    </row>
    <row r="27" spans="1:14">
      <c r="A27" s="10" t="s">
        <v>191</v>
      </c>
      <c r="B27" s="7">
        <f>B26/'Income Statement'!B30</f>
        <v>0.32089610720373019</v>
      </c>
      <c r="C27" s="7">
        <f>C26/'Income Statement'!C30</f>
        <v>0.20638765755527985</v>
      </c>
      <c r="D27" s="7">
        <f>D26/'Income Statement'!D30</f>
        <v>0.23725489177309236</v>
      </c>
      <c r="E27" s="7">
        <f>E26/'Income Statement'!E30</f>
        <v>0.23840215034776385</v>
      </c>
      <c r="F27" s="7">
        <f>F26/'Income Statement'!F30</f>
        <v>0.2715219954972663</v>
      </c>
      <c r="G27" s="69">
        <f>AVERAGE(B27:F27)</f>
        <v>0.25489256047542652</v>
      </c>
      <c r="H27" s="69">
        <f t="shared" ref="H27:J27" si="12">AVERAGE(C27:G27)</f>
        <v>0.24169185112976574</v>
      </c>
      <c r="I27" s="69">
        <f t="shared" si="12"/>
        <v>0.24875268984466295</v>
      </c>
      <c r="J27" s="69">
        <f t="shared" si="12"/>
        <v>0.25105224945897708</v>
      </c>
    </row>
    <row r="28" spans="1:14">
      <c r="A28" s="11"/>
    </row>
    <row r="30" spans="1:14">
      <c r="A30" s="9" t="s">
        <v>237</v>
      </c>
      <c r="B30" s="96">
        <f>-CFS!B43</f>
        <v>979.56</v>
      </c>
      <c r="C30" s="96">
        <f>-CFS!C43</f>
        <v>1274.5</v>
      </c>
      <c r="D30" s="96">
        <f>-CFS!D43</f>
        <v>581.02</v>
      </c>
      <c r="E30" s="96">
        <f>-CFS!E43</f>
        <v>569.66</v>
      </c>
      <c r="F30" s="96">
        <f>-CFS!F43</f>
        <v>604.25</v>
      </c>
      <c r="G30" s="4">
        <f>'Income Statement'!G8*G31</f>
        <v>973.48824741719579</v>
      </c>
      <c r="H30" s="4">
        <f>'Income Statement'!H8*H31</f>
        <v>916.13028162920068</v>
      </c>
      <c r="I30" s="4">
        <f>'Income Statement'!I8*I31</f>
        <v>1080.8150644881018</v>
      </c>
      <c r="J30" s="4">
        <f>'Income Statement'!J8*J31</f>
        <v>1272.1963324904957</v>
      </c>
    </row>
    <row r="31" spans="1:14">
      <c r="A31" s="9" t="s">
        <v>238</v>
      </c>
      <c r="B31" s="62">
        <f>B30/'Income Statement'!B8</f>
        <v>2.8834138942306697E-2</v>
      </c>
      <c r="C31" s="62">
        <f>C30/'Income Statement'!C8</f>
        <v>4.3564726005389791E-2</v>
      </c>
      <c r="D31" s="62">
        <f>D30/'Income Statement'!D8</f>
        <v>1.8767286870231423E-2</v>
      </c>
      <c r="E31" s="62">
        <f>E30/'Income Statement'!E8</f>
        <v>1.9276999168902329E-2</v>
      </c>
      <c r="F31" s="62">
        <f>F30/'Income Statement'!F8</f>
        <v>1.7689656242479885E-2</v>
      </c>
      <c r="G31" s="70">
        <f>AVERAGE(C31:F31)</f>
        <v>2.4824667071750857E-2</v>
      </c>
      <c r="H31" s="63">
        <f t="shared" ref="H31:J31" si="13">AVERAGE(D31:G31)</f>
        <v>2.013965233834112E-2</v>
      </c>
      <c r="I31" s="63">
        <f t="shared" si="13"/>
        <v>2.0482743705368546E-2</v>
      </c>
      <c r="J31" s="63">
        <f t="shared" si="13"/>
        <v>2.0784179839485099E-2</v>
      </c>
    </row>
    <row r="33" spans="1:10">
      <c r="A33" s="9" t="s">
        <v>239</v>
      </c>
      <c r="B33">
        <f>'Income Statement'!B19</f>
        <v>17.18</v>
      </c>
      <c r="C33">
        <f>'Income Statement'!C19</f>
        <v>26.64</v>
      </c>
      <c r="D33">
        <f>'Income Statement'!D19</f>
        <v>26.41</v>
      </c>
      <c r="E33">
        <f>'Income Statement'!E19</f>
        <v>33.1</v>
      </c>
      <c r="F33">
        <f>'Income Statement'!F19</f>
        <v>50.88</v>
      </c>
      <c r="G33" s="99">
        <f>G34*'Income Statement'!G8</f>
        <v>42.874065466585911</v>
      </c>
      <c r="H33" s="99">
        <f>H34*'Income Statement'!H8</f>
        <v>51.81180974127728</v>
      </c>
      <c r="I33" s="99">
        <f>I34*'Income Statement'!I8</f>
        <v>63.873767585113903</v>
      </c>
      <c r="J33" s="99">
        <f>J34*'Income Statement'!J8</f>
        <v>75.476878711874022</v>
      </c>
    </row>
    <row r="34" spans="1:10">
      <c r="A34" s="9" t="s">
        <v>240</v>
      </c>
      <c r="B34" s="62">
        <f>B33/'Income Statement'!B8</f>
        <v>5.057071614080088E-4</v>
      </c>
      <c r="C34" s="62">
        <f>C33/'Income Statement'!C8</f>
        <v>9.1060360987334958E-4</v>
      </c>
      <c r="D34" s="62">
        <f>D33/'Income Statement'!D8</f>
        <v>8.5305849410142835E-4</v>
      </c>
      <c r="E34" s="62">
        <f>E33/'Income Statement'!E8</f>
        <v>1.1200868456459417E-3</v>
      </c>
      <c r="F34" s="62">
        <f>F33/'Income Statement'!F8</f>
        <v>1.4895319977118356E-3</v>
      </c>
      <c r="G34" s="63">
        <f>AVERAGE(C34:F34)</f>
        <v>1.0933202368331389E-3</v>
      </c>
      <c r="H34" s="63">
        <f t="shared" ref="H34:J34" si="14">AVERAGE(D34:G34)</f>
        <v>1.1389993935730861E-3</v>
      </c>
      <c r="I34" s="63">
        <f t="shared" si="14"/>
        <v>1.2104846184410006E-3</v>
      </c>
      <c r="J34" s="63">
        <f t="shared" si="14"/>
        <v>1.2330840616397655E-3</v>
      </c>
    </row>
    <row r="35" spans="1:10">
      <c r="A35" s="9" t="s">
        <v>242</v>
      </c>
      <c r="B35" s="6">
        <f>B33/'Balance sheet '!B40</f>
        <v>0.13761614867029798</v>
      </c>
      <c r="C35" s="6">
        <f>C33/SUM('Balance sheet '!C40:C41)</f>
        <v>0.10586552217453504</v>
      </c>
      <c r="D35" s="6">
        <f>D33/SUM('Balance sheet '!D40:D42)</f>
        <v>6.5429590724407891E-2</v>
      </c>
      <c r="E35" s="6">
        <f>E33/SUM('Balance sheet '!E40:E42)</f>
        <v>8.1382769472856012E-2</v>
      </c>
      <c r="F35" s="6">
        <f>F33/SUM('Balance sheet '!F40:F42)</f>
        <v>0.11668386652906779</v>
      </c>
      <c r="G35" s="69">
        <f>AVERAGE(D35:F35)</f>
        <v>8.7832075575443883E-2</v>
      </c>
      <c r="H35" s="69">
        <f t="shared" ref="H35:J35" si="15">AVERAGE(E35:G35)</f>
        <v>9.5299570525789232E-2</v>
      </c>
      <c r="I35" s="69">
        <f t="shared" si="15"/>
        <v>9.993850421010031E-2</v>
      </c>
      <c r="J35" s="69">
        <f t="shared" si="15"/>
        <v>9.4356716770444479E-2</v>
      </c>
    </row>
    <row r="37" spans="1:10">
      <c r="A37" s="9" t="s">
        <v>241</v>
      </c>
      <c r="B37">
        <f>'Income Statement'!B20</f>
        <v>624.44000000000005</v>
      </c>
      <c r="C37">
        <f>'Income Statement'!C20</f>
        <v>845.76</v>
      </c>
      <c r="D37">
        <f>'Income Statement'!D20</f>
        <v>715.12</v>
      </c>
      <c r="E37">
        <f>'Income Statement'!E20</f>
        <v>689.52</v>
      </c>
      <c r="F37">
        <f>'Income Statement'!F20</f>
        <v>697.39</v>
      </c>
      <c r="G37" s="99">
        <f>G38*'Income Statement'!G8</f>
        <v>895.17940973989471</v>
      </c>
      <c r="H37" s="99">
        <f>H38*'Income Statement'!H8</f>
        <v>1009.5059605886286</v>
      </c>
      <c r="I37" s="99">
        <f>I38*'Income Statement'!I8</f>
        <v>1150.9642839027292</v>
      </c>
      <c r="J37" s="99">
        <f>J38*'Income Statement'!J8</f>
        <v>1363.5972499468623</v>
      </c>
    </row>
    <row r="38" spans="1:10">
      <c r="A38" s="9" t="s">
        <v>240</v>
      </c>
      <c r="B38" s="97">
        <f>B37/'Income Statement'!B8</f>
        <v>1.8380895219418918E-2</v>
      </c>
      <c r="C38" s="97">
        <f>C37/'Income Statement'!C8</f>
        <v>2.8909613704447602E-2</v>
      </c>
      <c r="D38" s="97">
        <f>D37/'Income Statement'!D8</f>
        <v>2.3098795543423457E-2</v>
      </c>
      <c r="E38" s="97">
        <f>E37/'Income Statement'!E8</f>
        <v>2.3332999450446815E-2</v>
      </c>
      <c r="F38" s="97">
        <f>F37/'Income Statement'!F8</f>
        <v>2.0416366349926433E-2</v>
      </c>
      <c r="G38" s="70">
        <f>AVERAGE(B38:F38)</f>
        <v>2.2827734053532646E-2</v>
      </c>
      <c r="H38" s="70">
        <f t="shared" ref="H38:J38" si="16">AVERAGE(E38:G38)</f>
        <v>2.2192366617968629E-2</v>
      </c>
      <c r="I38" s="70">
        <f t="shared" si="16"/>
        <v>2.1812155673809234E-2</v>
      </c>
      <c r="J38" s="70">
        <f t="shared" si="16"/>
        <v>2.227741878177017E-2</v>
      </c>
    </row>
  </sheetData>
  <mergeCells count="1">
    <mergeCell ref="D3:F4"/>
  </mergeCells>
  <pageMargins left="0.75" right="0.75" top="1" bottom="1" header="0.5" footer="0.5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6C87D-FF2F-46CC-B482-FB40782EAD36}">
  <dimension ref="A1:P44"/>
  <sheetViews>
    <sheetView workbookViewId="0">
      <selection activeCell="H2" sqref="H2"/>
    </sheetView>
  </sheetViews>
  <sheetFormatPr defaultRowHeight="14.4"/>
  <cols>
    <col min="1" max="1" width="50.33203125" customWidth="1"/>
    <col min="4" max="4" width="13.77734375" customWidth="1"/>
    <col min="7" max="7" width="20.33203125" bestFit="1" customWidth="1"/>
    <col min="8" max="10" width="19.21875" bestFit="1" customWidth="1"/>
  </cols>
  <sheetData>
    <row r="1" spans="1:16">
      <c r="A1" s="52" t="s">
        <v>213</v>
      </c>
      <c r="B1" s="51"/>
      <c r="C1" s="51"/>
      <c r="D1" s="51"/>
      <c r="E1" s="51"/>
      <c r="F1" s="51"/>
      <c r="G1" s="75"/>
      <c r="H1" s="75"/>
      <c r="I1" s="75"/>
    </row>
    <row r="2" spans="1:16">
      <c r="A2" s="52" t="s">
        <v>1</v>
      </c>
      <c r="B2" s="117" t="s">
        <v>277</v>
      </c>
      <c r="C2" s="117"/>
      <c r="D2" s="117"/>
      <c r="E2" s="117"/>
      <c r="F2" s="117"/>
      <c r="G2" s="117"/>
      <c r="H2" s="75"/>
      <c r="I2" s="75"/>
    </row>
    <row r="3" spans="1:16" ht="14.4" customHeight="1">
      <c r="A3" s="51"/>
      <c r="B3" s="117"/>
      <c r="C3" s="117"/>
      <c r="D3" s="117"/>
      <c r="E3" s="117"/>
      <c r="F3" s="117"/>
      <c r="G3" s="117"/>
      <c r="H3" s="75"/>
      <c r="I3" s="75"/>
    </row>
    <row r="4" spans="1:16" ht="14.4" customHeight="1">
      <c r="A4" s="51"/>
      <c r="B4" s="117"/>
      <c r="C4" s="117"/>
      <c r="D4" s="117"/>
      <c r="E4" s="117"/>
      <c r="F4" s="117"/>
      <c r="G4" s="117"/>
      <c r="H4" s="75"/>
      <c r="I4" s="75"/>
    </row>
    <row r="5" spans="1:16">
      <c r="A5" s="72" t="s">
        <v>4</v>
      </c>
      <c r="B5" s="72" t="s">
        <v>5</v>
      </c>
      <c r="C5" s="72" t="s">
        <v>6</v>
      </c>
      <c r="D5" s="72" t="s">
        <v>7</v>
      </c>
      <c r="E5" s="72" t="s">
        <v>8</v>
      </c>
      <c r="F5" s="72" t="s">
        <v>9</v>
      </c>
      <c r="G5" s="89" t="s">
        <v>192</v>
      </c>
      <c r="H5" s="89" t="s">
        <v>193</v>
      </c>
      <c r="I5" s="89" t="s">
        <v>194</v>
      </c>
      <c r="J5" s="89" t="s">
        <v>214</v>
      </c>
      <c r="K5" s="72"/>
      <c r="L5" s="72"/>
      <c r="M5" s="72"/>
      <c r="N5" s="72"/>
      <c r="O5" s="72"/>
      <c r="P5" s="72"/>
    </row>
    <row r="6" spans="1:16">
      <c r="A6" s="72"/>
      <c r="B6" s="72" t="s">
        <v>10</v>
      </c>
      <c r="C6" s="72" t="s">
        <v>10</v>
      </c>
      <c r="D6" s="72" t="s">
        <v>10</v>
      </c>
      <c r="E6" s="72" t="s">
        <v>10</v>
      </c>
      <c r="F6" s="72" t="s">
        <v>10</v>
      </c>
      <c r="G6" s="89" t="s">
        <v>195</v>
      </c>
      <c r="H6" s="89" t="s">
        <v>195</v>
      </c>
      <c r="I6" s="89" t="s">
        <v>195</v>
      </c>
      <c r="J6" s="89" t="s">
        <v>195</v>
      </c>
      <c r="K6" s="72"/>
      <c r="L6" s="72"/>
      <c r="M6" s="72"/>
      <c r="N6" s="72"/>
      <c r="O6" s="72"/>
      <c r="P6" s="72"/>
    </row>
    <row r="7" spans="1:16" s="130" customFormat="1">
      <c r="A7" s="123" t="s">
        <v>262</v>
      </c>
      <c r="B7">
        <v>1249.53</v>
      </c>
      <c r="C7">
        <v>1282.32</v>
      </c>
      <c r="D7">
        <v>1789.27</v>
      </c>
      <c r="E7">
        <v>1472.41</v>
      </c>
      <c r="F7">
        <v>1756.39</v>
      </c>
      <c r="G7" s="134">
        <f>(G8*2)-F7</f>
        <v>1988.0034301021431</v>
      </c>
      <c r="H7" s="134">
        <f t="shared" ref="H7:J7" si="0">(H8*2)-G7</f>
        <v>2458.3461653638924</v>
      </c>
      <c r="I7" s="134">
        <f t="shared" si="0"/>
        <v>2748.6416299200291</v>
      </c>
      <c r="J7" s="134">
        <f t="shared" si="0"/>
        <v>3156.763482837152</v>
      </c>
    </row>
    <row r="8" spans="1:16" s="130" customFormat="1">
      <c r="A8" s="122" t="s">
        <v>263</v>
      </c>
      <c r="B8"/>
      <c r="C8">
        <v>1265.925</v>
      </c>
      <c r="D8">
        <v>1535.7950000000001</v>
      </c>
      <c r="E8">
        <v>1630.8400000000001</v>
      </c>
      <c r="F8">
        <v>1614.4</v>
      </c>
      <c r="G8" s="134">
        <f>(G9/365)*'Income Statement'!G16</f>
        <v>1872.1967150510716</v>
      </c>
      <c r="H8" s="134">
        <f>(H9/365)*'Income Statement'!H16</f>
        <v>2223.1747977330178</v>
      </c>
      <c r="I8" s="134">
        <f>(I9/365)*'Income Statement'!I16</f>
        <v>2603.4938976419608</v>
      </c>
      <c r="J8" s="134">
        <f>(J9/365)*'Income Statement'!J16</f>
        <v>2952.7025563785905</v>
      </c>
    </row>
    <row r="9" spans="1:16" s="130" customFormat="1" ht="28.8">
      <c r="A9" s="124" t="s">
        <v>278</v>
      </c>
      <c r="B9"/>
      <c r="C9" s="4">
        <v>23.300075135079254</v>
      </c>
      <c r="D9" s="4">
        <v>25.780685681908388</v>
      </c>
      <c r="E9" s="4">
        <v>28.453458735891736</v>
      </c>
      <c r="F9" s="4">
        <v>24.609725263458156</v>
      </c>
      <c r="G9" s="131">
        <f>AVERAGE(C9:F9)</f>
        <v>25.535986204084384</v>
      </c>
      <c r="H9" s="131">
        <f t="shared" ref="H9:J9" si="1">AVERAGE(D9:G9)</f>
        <v>26.094963971335666</v>
      </c>
      <c r="I9" s="131">
        <f t="shared" si="1"/>
        <v>26.173533543692486</v>
      </c>
      <c r="J9" s="131">
        <f t="shared" si="1"/>
        <v>25.603552245642675</v>
      </c>
    </row>
    <row r="10" spans="1:16" s="130" customFormat="1">
      <c r="A10" s="122"/>
      <c r="B10"/>
      <c r="C10"/>
      <c r="D10"/>
      <c r="E10"/>
      <c r="F10"/>
    </row>
    <row r="11" spans="1:16" s="130" customFormat="1">
      <c r="A11" s="122"/>
      <c r="B11"/>
      <c r="C11"/>
      <c r="D11"/>
      <c r="E11"/>
      <c r="F11"/>
    </row>
    <row r="12" spans="1:16" s="130" customFormat="1">
      <c r="A12" s="125" t="s">
        <v>264</v>
      </c>
      <c r="B12"/>
      <c r="C12"/>
      <c r="D12"/>
      <c r="E12"/>
      <c r="F12"/>
    </row>
    <row r="13" spans="1:16" s="130" customFormat="1">
      <c r="A13" s="123" t="s">
        <v>262</v>
      </c>
      <c r="B13">
        <v>1249.53</v>
      </c>
      <c r="C13">
        <v>1282.32</v>
      </c>
      <c r="D13">
        <v>1789.27</v>
      </c>
      <c r="E13">
        <v>1472.41</v>
      </c>
      <c r="F13">
        <v>1756.39</v>
      </c>
      <c r="G13" s="134">
        <f>(G14*2)-F13</f>
        <v>1988.0034301021431</v>
      </c>
      <c r="H13" s="134">
        <f t="shared" ref="H13:J13" si="2">(H14*2)-G13</f>
        <v>1838.3540433128871</v>
      </c>
      <c r="I13" s="134">
        <f t="shared" si="2"/>
        <v>2621.3831079531274</v>
      </c>
      <c r="J13" s="134">
        <f t="shared" si="2"/>
        <v>2472.2120627724389</v>
      </c>
    </row>
    <row r="14" spans="1:16" s="130" customFormat="1">
      <c r="A14" s="122" t="s">
        <v>263</v>
      </c>
      <c r="B14"/>
      <c r="C14">
        <v>1265.925</v>
      </c>
      <c r="D14">
        <v>1535.7950000000001</v>
      </c>
      <c r="E14">
        <v>1630.8400000000001</v>
      </c>
      <c r="F14">
        <v>1614.4</v>
      </c>
      <c r="G14" s="134">
        <f>'Income Statement'!G16/'Working Capital'!G15</f>
        <v>1872.1967150510716</v>
      </c>
      <c r="H14" s="134">
        <f>'Income Statement'!G16/'Working Capital'!H15</f>
        <v>1913.1787367075151</v>
      </c>
      <c r="I14" s="134">
        <f>'Income Statement'!H16/'Working Capital'!I15</f>
        <v>2229.8685756330074</v>
      </c>
      <c r="J14" s="134">
        <f>'Income Statement'!I16/'Working Capital'!J15</f>
        <v>2546.7975853627831</v>
      </c>
    </row>
    <row r="15" spans="1:16" s="130" customFormat="1">
      <c r="A15" s="122" t="s">
        <v>265</v>
      </c>
      <c r="B15"/>
      <c r="C15" s="4">
        <v>15.665185536267947</v>
      </c>
      <c r="D15" s="4">
        <v>14.15788565531207</v>
      </c>
      <c r="E15" s="4">
        <v>12.827965956194353</v>
      </c>
      <c r="F15" s="4">
        <v>14.831534935579782</v>
      </c>
      <c r="G15" s="134">
        <f>365/G16</f>
        <v>14.293554088058665</v>
      </c>
      <c r="H15" s="134">
        <f t="shared" ref="H15:J15" si="3">365/H16</f>
        <v>13.987373211204229</v>
      </c>
      <c r="I15" s="134">
        <f t="shared" si="3"/>
        <v>13.945384920637157</v>
      </c>
      <c r="J15" s="134">
        <f t="shared" si="3"/>
        <v>14.255834366191015</v>
      </c>
    </row>
    <row r="16" spans="1:16" s="130" customFormat="1" ht="28.8">
      <c r="A16" s="124" t="s">
        <v>266</v>
      </c>
      <c r="B16"/>
      <c r="C16" s="4">
        <v>23.300075135079258</v>
      </c>
      <c r="D16" s="4">
        <v>25.780685681908384</v>
      </c>
      <c r="E16" s="4">
        <v>28.453458735891736</v>
      </c>
      <c r="F16" s="4">
        <v>24.609725263458156</v>
      </c>
      <c r="G16" s="131">
        <f>AVERAGE(C16:F16)</f>
        <v>25.535986204084384</v>
      </c>
      <c r="H16" s="131">
        <f t="shared" ref="H16:J16" si="4">AVERAGE(D16:G16)</f>
        <v>26.094963971335666</v>
      </c>
      <c r="I16" s="131">
        <f t="shared" si="4"/>
        <v>26.173533543692486</v>
      </c>
      <c r="J16" s="131">
        <f t="shared" si="4"/>
        <v>25.603552245642675</v>
      </c>
    </row>
    <row r="17" spans="1:10" s="130" customFormat="1">
      <c r="A17" s="122"/>
      <c r="B17"/>
      <c r="C17"/>
      <c r="D17"/>
      <c r="E17"/>
      <c r="F17"/>
    </row>
    <row r="18" spans="1:10" s="130" customFormat="1">
      <c r="A18" s="123" t="s">
        <v>267</v>
      </c>
      <c r="B18">
        <v>3438.24</v>
      </c>
      <c r="C18">
        <v>3127.62</v>
      </c>
      <c r="D18">
        <v>5264.18</v>
      </c>
      <c r="E18">
        <v>4343.0899999999992</v>
      </c>
      <c r="F18">
        <v>4760.1399999999994</v>
      </c>
      <c r="G18" s="133">
        <f>(G19*2)-F18</f>
        <v>5652.6670175515428</v>
      </c>
      <c r="H18" s="133">
        <f t="shared" ref="H18:J18" si="5">(H19*2)-G18</f>
        <v>5148.3107184591154</v>
      </c>
      <c r="I18" s="133">
        <f t="shared" si="5"/>
        <v>7540.1814216660841</v>
      </c>
      <c r="J18" s="133">
        <f t="shared" si="5"/>
        <v>6809.6669927039111</v>
      </c>
    </row>
    <row r="19" spans="1:10" s="130" customFormat="1">
      <c r="A19" s="122" t="s">
        <v>268</v>
      </c>
      <c r="B19"/>
      <c r="C19">
        <v>3282.93</v>
      </c>
      <c r="D19">
        <v>4195.8999999999996</v>
      </c>
      <c r="E19">
        <v>4803.6350000000002</v>
      </c>
      <c r="F19">
        <v>4551.6149999999998</v>
      </c>
      <c r="G19" s="133">
        <f>(G20/365)*'Income Statement'!G16</f>
        <v>5206.4035087757711</v>
      </c>
      <c r="H19" s="133">
        <f>(H20/365)*'Income Statement'!G16</f>
        <v>5400.4888680053291</v>
      </c>
      <c r="I19" s="133">
        <f>(I20/365)*'Income Statement'!H16</f>
        <v>6344.2460700625998</v>
      </c>
      <c r="J19" s="133">
        <f>(J20/365)*'Income Statement'!I16</f>
        <v>7174.9242071849976</v>
      </c>
    </row>
    <row r="20" spans="1:10" s="130" customFormat="1" ht="28.8">
      <c r="A20" s="124" t="s">
        <v>269</v>
      </c>
      <c r="B20"/>
      <c r="C20" s="126">
        <v>60.424208119126909</v>
      </c>
      <c r="D20" s="126">
        <v>70.434647236590422</v>
      </c>
      <c r="E20" s="126">
        <v>83.809589079729037</v>
      </c>
      <c r="F20" s="126">
        <v>69.384288066795762</v>
      </c>
      <c r="G20" s="133">
        <f>AVERAGE(C20:F20)</f>
        <v>71.013183125560531</v>
      </c>
      <c r="H20" s="133">
        <f t="shared" ref="H20:J20" si="6">AVERAGE(D20:G20)</f>
        <v>73.660426877168945</v>
      </c>
      <c r="I20" s="133">
        <f t="shared" si="6"/>
        <v>74.466871787313579</v>
      </c>
      <c r="J20" s="133">
        <f t="shared" si="6"/>
        <v>72.131192464209704</v>
      </c>
    </row>
    <row r="21" spans="1:10" s="130" customFormat="1">
      <c r="A21" s="122"/>
      <c r="B21"/>
      <c r="C21"/>
      <c r="D21"/>
      <c r="E21"/>
      <c r="F21"/>
    </row>
    <row r="22" spans="1:10" s="130" customFormat="1">
      <c r="A22" s="127" t="s">
        <v>270</v>
      </c>
      <c r="B22"/>
      <c r="C22"/>
      <c r="D22"/>
      <c r="E22"/>
      <c r="F22"/>
    </row>
    <row r="23" spans="1:10" s="130" customFormat="1" ht="28.8">
      <c r="A23" s="128" t="s">
        <v>271</v>
      </c>
      <c r="B23"/>
      <c r="C23">
        <v>8.6</v>
      </c>
      <c r="D23">
        <v>16.68</v>
      </c>
      <c r="E23">
        <v>26.19</v>
      </c>
      <c r="F23">
        <v>2.44</v>
      </c>
      <c r="G23" s="133">
        <f>G25*G28</f>
        <v>16.219428222537793</v>
      </c>
      <c r="H23" s="133">
        <f t="shared" ref="H23:J23" si="7">H25*H28</f>
        <v>17.317650325546143</v>
      </c>
      <c r="I23" s="133">
        <f t="shared" si="7"/>
        <v>20.40440422568706</v>
      </c>
      <c r="J23" s="133">
        <f t="shared" si="7"/>
        <v>18.028365265453264</v>
      </c>
    </row>
    <row r="24" spans="1:10" s="130" customFormat="1" ht="28.8">
      <c r="A24" s="128" t="s">
        <v>272</v>
      </c>
      <c r="B24"/>
      <c r="C24">
        <v>3119.02</v>
      </c>
      <c r="D24">
        <v>5247.5</v>
      </c>
      <c r="E24">
        <v>4316.8999999999996</v>
      </c>
      <c r="F24">
        <v>4757.7</v>
      </c>
      <c r="G24" s="133">
        <f>G25*G29</f>
        <v>5190.1840805532338</v>
      </c>
      <c r="H24" s="133">
        <f t="shared" ref="H24:J24" si="8">H25*H29</f>
        <v>5383.1712176797828</v>
      </c>
      <c r="I24" s="133">
        <f t="shared" si="8"/>
        <v>6323.8416658369133</v>
      </c>
      <c r="J24" s="133">
        <f t="shared" si="8"/>
        <v>7156.8958419195442</v>
      </c>
    </row>
    <row r="25" spans="1:10" s="130" customFormat="1">
      <c r="A25" s="127" t="s">
        <v>183</v>
      </c>
      <c r="B25"/>
      <c r="C25">
        <v>3127.62</v>
      </c>
      <c r="D25">
        <v>5264.18</v>
      </c>
      <c r="E25">
        <v>4343.0899999999992</v>
      </c>
      <c r="F25">
        <v>4760.1399999999994</v>
      </c>
      <c r="G25" s="133">
        <f>G19</f>
        <v>5206.4035087757711</v>
      </c>
      <c r="H25" s="133">
        <f t="shared" ref="H25:J25" si="9">H19</f>
        <v>5400.4888680053291</v>
      </c>
      <c r="I25" s="133">
        <f t="shared" si="9"/>
        <v>6344.2460700625998</v>
      </c>
      <c r="J25" s="133">
        <f t="shared" si="9"/>
        <v>7174.9242071849976</v>
      </c>
    </row>
    <row r="26" spans="1:10" s="130" customFormat="1">
      <c r="A26" s="122"/>
      <c r="B26"/>
      <c r="C26"/>
      <c r="D26"/>
      <c r="E26"/>
      <c r="F26"/>
    </row>
    <row r="27" spans="1:10" s="130" customFormat="1">
      <c r="A27" s="127" t="s">
        <v>273</v>
      </c>
      <c r="B27"/>
      <c r="C27"/>
      <c r="D27"/>
      <c r="E27"/>
      <c r="F27"/>
    </row>
    <row r="28" spans="1:10" s="130" customFormat="1" ht="28.8">
      <c r="A28" s="128" t="s">
        <v>271</v>
      </c>
      <c r="B28"/>
      <c r="C28" s="136">
        <v>2.7496946560004094E-3</v>
      </c>
      <c r="D28" s="135">
        <v>3.168584660858861E-3</v>
      </c>
      <c r="E28" s="135">
        <v>6.0302687717730934E-3</v>
      </c>
      <c r="F28" s="135">
        <v>5.1258996584134086E-4</v>
      </c>
      <c r="G28" s="137">
        <f>AVERAGE(C28:F28)</f>
        <v>3.1152845136184259E-3</v>
      </c>
      <c r="H28" s="137">
        <f t="shared" ref="H28:J28" si="10">AVERAGE(D28:G28)</f>
        <v>3.2066819780229303E-3</v>
      </c>
      <c r="I28" s="137">
        <f t="shared" si="10"/>
        <v>3.2162063073139478E-3</v>
      </c>
      <c r="J28" s="137">
        <f t="shared" si="10"/>
        <v>2.512690691199161E-3</v>
      </c>
    </row>
    <row r="29" spans="1:10" s="130" customFormat="1" ht="28.8">
      <c r="A29" s="128" t="s">
        <v>272</v>
      </c>
      <c r="B29"/>
      <c r="C29" s="129">
        <v>0.99725030534399961</v>
      </c>
      <c r="D29" s="129">
        <v>0.9968314153391411</v>
      </c>
      <c r="E29" s="129">
        <v>0.99396973122822696</v>
      </c>
      <c r="F29" s="129">
        <v>0.99948741003415875</v>
      </c>
      <c r="G29" s="138">
        <v>0.99688471548638158</v>
      </c>
      <c r="H29" s="138">
        <v>0.99679331802197702</v>
      </c>
      <c r="I29" s="138">
        <v>0.9967837936926861</v>
      </c>
      <c r="J29" s="138">
        <v>0.99748730930880081</v>
      </c>
    </row>
    <row r="30" spans="1:10" s="130" customFormat="1" ht="28.8">
      <c r="A30" s="128" t="s">
        <v>272</v>
      </c>
      <c r="B30"/>
      <c r="C30" s="69">
        <v>1</v>
      </c>
      <c r="D30" s="69">
        <v>1</v>
      </c>
      <c r="E30" s="69">
        <v>1</v>
      </c>
      <c r="F30" s="69">
        <v>1</v>
      </c>
      <c r="G30" s="132">
        <v>1</v>
      </c>
      <c r="H30" s="132">
        <v>1</v>
      </c>
      <c r="I30" s="132">
        <v>1</v>
      </c>
      <c r="J30" s="132">
        <v>1</v>
      </c>
    </row>
    <row r="31" spans="1:10" s="130" customFormat="1">
      <c r="A31" s="122"/>
      <c r="B31"/>
      <c r="C31"/>
      <c r="D31"/>
      <c r="E31"/>
      <c r="F31"/>
    </row>
    <row r="32" spans="1:10" s="130" customFormat="1">
      <c r="A32" s="123" t="s">
        <v>274</v>
      </c>
      <c r="B32">
        <v>2745.11</v>
      </c>
      <c r="C32">
        <v>1511.91</v>
      </c>
      <c r="D32">
        <v>2274.6799999999998</v>
      </c>
      <c r="E32">
        <v>2158.4899999999998</v>
      </c>
      <c r="F32">
        <v>2719.47</v>
      </c>
      <c r="G32" s="134">
        <f>(G33*2)-F32</f>
        <v>2776.8627644398734</v>
      </c>
      <c r="H32" s="134">
        <f t="shared" ref="H32:J32" si="11">(H33*2)-G32</f>
        <v>3538.0174449961473</v>
      </c>
      <c r="I32" s="134">
        <f t="shared" si="11"/>
        <v>4005.0848965578321</v>
      </c>
      <c r="J32" s="134">
        <f t="shared" si="11"/>
        <v>4636.796959222158</v>
      </c>
    </row>
    <row r="33" spans="1:10" s="130" customFormat="1">
      <c r="A33" s="122" t="s">
        <v>275</v>
      </c>
      <c r="B33"/>
      <c r="C33">
        <v>2128.5100000000002</v>
      </c>
      <c r="D33">
        <v>1893.2950000000001</v>
      </c>
      <c r="E33">
        <v>2216.585</v>
      </c>
      <c r="F33">
        <v>2438.9799999999996</v>
      </c>
      <c r="G33" s="134">
        <f>(G34/365)*'Income Statement'!G8</f>
        <v>2748.1663822199366</v>
      </c>
      <c r="H33" s="134">
        <f>(H34/365)*'Income Statement'!H8</f>
        <v>3157.4401047180104</v>
      </c>
      <c r="I33" s="134">
        <f>(I34/365)*'Income Statement'!I8</f>
        <v>3771.5511707769897</v>
      </c>
      <c r="J33" s="134">
        <f>(J34/365)*'Income Statement'!J8</f>
        <v>4320.9409278899948</v>
      </c>
    </row>
    <row r="34" spans="1:10" s="130" customFormat="1" ht="28.8">
      <c r="A34" s="124" t="s">
        <v>276</v>
      </c>
      <c r="B34"/>
      <c r="C34" s="4">
        <v>26.556063991096327</v>
      </c>
      <c r="D34" s="4">
        <v>22.321406826212186</v>
      </c>
      <c r="E34" s="4">
        <v>27.377951987189729</v>
      </c>
      <c r="F34" s="4">
        <v>26.061765809736873</v>
      </c>
      <c r="G34" s="131">
        <f>AVERAGE(C34:F34)</f>
        <v>25.579297153558777</v>
      </c>
      <c r="H34" s="131">
        <f t="shared" ref="H34:J34" si="12">AVERAGE(D34:G34)</f>
        <v>25.335105444174388</v>
      </c>
      <c r="I34" s="131">
        <f t="shared" si="12"/>
        <v>26.08853009866494</v>
      </c>
      <c r="J34" s="131">
        <f t="shared" si="12"/>
        <v>25.766174626533747</v>
      </c>
    </row>
    <row r="35" spans="1:10" s="130" customFormat="1">
      <c r="A35"/>
      <c r="B35"/>
      <c r="C35"/>
      <c r="D35"/>
      <c r="E35"/>
      <c r="F35"/>
    </row>
    <row r="36" spans="1:10" s="130" customFormat="1"/>
    <row r="37" spans="1:10" s="130" customFormat="1"/>
    <row r="38" spans="1:10" s="130" customFormat="1"/>
    <row r="39" spans="1:10" s="130" customFormat="1"/>
    <row r="40" spans="1:10" s="130" customFormat="1"/>
    <row r="41" spans="1:10" s="130" customFormat="1"/>
    <row r="42" spans="1:10" s="130" customFormat="1"/>
    <row r="43" spans="1:10" s="130" customFormat="1"/>
    <row r="44" spans="1:10" s="130" customFormat="1"/>
  </sheetData>
  <mergeCells count="1">
    <mergeCell ref="B2:G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06544-E756-406A-B8D9-89D6A192706B}">
  <sheetPr>
    <tabColor theme="7" tint="0.39997558519241921"/>
  </sheetPr>
  <dimension ref="A1:XFD58"/>
  <sheetViews>
    <sheetView showGridLines="0" workbookViewId="0">
      <selection activeCell="G45" sqref="G45"/>
    </sheetView>
  </sheetViews>
  <sheetFormatPr defaultRowHeight="14.4"/>
  <cols>
    <col min="1" max="1" width="71.33203125" customWidth="1"/>
    <col min="2" max="2" width="12" customWidth="1"/>
    <col min="3" max="4" width="10.88671875" customWidth="1"/>
    <col min="5" max="6" width="10.6640625" customWidth="1"/>
    <col min="7" max="7" width="10.5546875" style="77" customWidth="1"/>
    <col min="8" max="8" width="10.6640625" style="77" customWidth="1"/>
    <col min="9" max="9" width="11" style="77" customWidth="1"/>
    <col min="10" max="10" width="11.33203125" bestFit="1" customWidth="1"/>
  </cols>
  <sheetData>
    <row r="1" spans="1:10">
      <c r="A1" s="52" t="s">
        <v>213</v>
      </c>
      <c r="B1" s="51"/>
      <c r="C1" s="51"/>
      <c r="D1" s="51"/>
      <c r="E1" s="51"/>
      <c r="F1" s="51"/>
      <c r="G1" s="75"/>
      <c r="H1" s="75"/>
      <c r="I1" s="75"/>
    </row>
    <row r="2" spans="1:10">
      <c r="A2" s="52" t="s">
        <v>1</v>
      </c>
      <c r="B2" s="51"/>
      <c r="C2" s="51"/>
      <c r="D2" s="51"/>
      <c r="E2" s="51"/>
      <c r="F2" s="51"/>
      <c r="G2" s="75"/>
      <c r="H2" s="75"/>
      <c r="I2" s="75"/>
    </row>
    <row r="3" spans="1:10">
      <c r="A3" s="51"/>
      <c r="B3" s="117" t="s">
        <v>196</v>
      </c>
      <c r="C3" s="117"/>
      <c r="D3" s="117"/>
      <c r="E3" s="51"/>
      <c r="F3" s="51"/>
      <c r="G3" s="75"/>
      <c r="H3" s="75"/>
      <c r="I3" s="75"/>
    </row>
    <row r="4" spans="1:10">
      <c r="A4" s="51"/>
      <c r="B4" s="117"/>
      <c r="C4" s="117"/>
      <c r="D4" s="117"/>
      <c r="E4" s="51"/>
      <c r="F4" s="51"/>
      <c r="G4" s="75"/>
      <c r="H4" s="75"/>
      <c r="I4" s="75"/>
    </row>
    <row r="5" spans="1:10" s="72" customFormat="1">
      <c r="A5" s="72" t="s">
        <v>4</v>
      </c>
      <c r="B5" s="72" t="s">
        <v>5</v>
      </c>
      <c r="C5" s="72" t="s">
        <v>6</v>
      </c>
      <c r="D5" s="72" t="s">
        <v>7</v>
      </c>
      <c r="E5" s="72" t="s">
        <v>8</v>
      </c>
      <c r="F5" s="72" t="s">
        <v>9</v>
      </c>
      <c r="G5" s="89" t="s">
        <v>192</v>
      </c>
      <c r="H5" s="89" t="s">
        <v>193</v>
      </c>
      <c r="I5" s="89" t="s">
        <v>194</v>
      </c>
      <c r="J5" s="89" t="s">
        <v>214</v>
      </c>
    </row>
    <row r="6" spans="1:10" s="72" customFormat="1">
      <c r="B6" s="72" t="s">
        <v>10</v>
      </c>
      <c r="C6" s="72" t="s">
        <v>10</v>
      </c>
      <c r="D6" s="72" t="s">
        <v>10</v>
      </c>
      <c r="E6" s="72" t="s">
        <v>10</v>
      </c>
      <c r="F6" s="72" t="s">
        <v>10</v>
      </c>
      <c r="G6" s="89" t="s">
        <v>195</v>
      </c>
      <c r="H6" s="89" t="s">
        <v>195</v>
      </c>
      <c r="I6" s="89" t="s">
        <v>195</v>
      </c>
      <c r="J6" s="89" t="s">
        <v>195</v>
      </c>
    </row>
    <row r="7" spans="1:10" s="61" customFormat="1">
      <c r="A7" s="60" t="s">
        <v>198</v>
      </c>
      <c r="G7" s="76"/>
      <c r="H7" s="76"/>
      <c r="I7" s="76"/>
    </row>
    <row r="8" spans="1:10">
      <c r="A8" s="54" t="s">
        <v>211</v>
      </c>
    </row>
    <row r="9" spans="1:10">
      <c r="A9" s="53" t="s">
        <v>199</v>
      </c>
    </row>
    <row r="10" spans="1:10">
      <c r="A10" s="55" t="s">
        <v>200</v>
      </c>
      <c r="B10" s="56">
        <v>30005.18</v>
      </c>
      <c r="C10" s="56">
        <v>25323.48</v>
      </c>
      <c r="D10" s="56">
        <v>26823.27</v>
      </c>
      <c r="E10" s="56">
        <v>24544.13</v>
      </c>
      <c r="F10" s="56">
        <v>28115.74</v>
      </c>
      <c r="G10" s="78">
        <f>G27*G24</f>
        <v>33547.932091448551</v>
      </c>
      <c r="H10" s="78">
        <f t="shared" ref="H10:J10" si="0">H27*H24</f>
        <v>38663.322490351798</v>
      </c>
      <c r="I10" s="78">
        <f t="shared" si="0"/>
        <v>44684.27682789266</v>
      </c>
      <c r="J10" s="78">
        <f t="shared" si="0"/>
        <v>51593.98211500961</v>
      </c>
    </row>
    <row r="11" spans="1:10">
      <c r="A11" s="55" t="s">
        <v>201</v>
      </c>
      <c r="B11" s="54">
        <v>3.12</v>
      </c>
      <c r="C11" s="54">
        <v>4.83</v>
      </c>
      <c r="D11" s="59" t="s">
        <v>18</v>
      </c>
      <c r="E11" s="59" t="s">
        <v>18</v>
      </c>
      <c r="F11" s="59" t="s">
        <v>18</v>
      </c>
      <c r="G11" s="79" t="s">
        <v>18</v>
      </c>
      <c r="H11" s="79" t="s">
        <v>18</v>
      </c>
      <c r="I11" s="79" t="s">
        <v>18</v>
      </c>
      <c r="J11" s="79" t="s">
        <v>18</v>
      </c>
    </row>
    <row r="12" spans="1:10">
      <c r="A12" s="55" t="s">
        <v>202</v>
      </c>
      <c r="B12" s="56">
        <v>2844.59</v>
      </c>
      <c r="C12" s="56">
        <v>2909.77</v>
      </c>
      <c r="D12" s="56">
        <v>3199.17</v>
      </c>
      <c r="E12" s="56">
        <v>3975.13</v>
      </c>
      <c r="F12">
        <v>4835.2299999999996</v>
      </c>
      <c r="G12" s="78">
        <f>G29*G24</f>
        <v>4423.9951485863648</v>
      </c>
      <c r="H12" s="78">
        <f t="shared" ref="H12:J12" si="1">H29*H24</f>
        <v>5396.4189283390406</v>
      </c>
      <c r="I12" s="78">
        <f t="shared" si="1"/>
        <v>6462.1589776390056</v>
      </c>
      <c r="J12" s="78">
        <f t="shared" si="1"/>
        <v>7730.3006927438009</v>
      </c>
    </row>
    <row r="13" spans="1:10" s="67" customFormat="1">
      <c r="A13" s="65"/>
      <c r="B13" s="66">
        <f>SUM(B10:B12)</f>
        <v>32852.89</v>
      </c>
      <c r="C13" s="66">
        <f t="shared" ref="C13:J13" si="2">SUM(C10:C12)</f>
        <v>28238.080000000002</v>
      </c>
      <c r="D13" s="66">
        <f>SUM(D10:D12)</f>
        <v>30022.440000000002</v>
      </c>
      <c r="E13" s="66">
        <f t="shared" si="2"/>
        <v>28519.260000000002</v>
      </c>
      <c r="F13" s="66">
        <f>SUM(F10:F12)</f>
        <v>32950.97</v>
      </c>
      <c r="G13" s="80">
        <f t="shared" si="2"/>
        <v>37971.927240034915</v>
      </c>
      <c r="H13" s="80">
        <f t="shared" si="2"/>
        <v>44059.741418690843</v>
      </c>
      <c r="I13" s="80">
        <f t="shared" si="2"/>
        <v>51146.435805531662</v>
      </c>
      <c r="J13" s="80">
        <f t="shared" si="2"/>
        <v>59324.282807753414</v>
      </c>
    </row>
    <row r="14" spans="1:10">
      <c r="A14" s="53" t="s">
        <v>203</v>
      </c>
      <c r="G14" s="78"/>
      <c r="H14" s="78"/>
      <c r="I14" s="78"/>
    </row>
    <row r="15" spans="1:10">
      <c r="A15" s="55" t="s">
        <v>204</v>
      </c>
      <c r="B15" s="54">
        <v>28.66</v>
      </c>
      <c r="C15" s="54">
        <v>46.2</v>
      </c>
      <c r="D15" s="54">
        <v>43.18</v>
      </c>
      <c r="E15" s="54">
        <v>86.92</v>
      </c>
      <c r="F15" s="54">
        <v>73.790000000000006</v>
      </c>
      <c r="G15" s="78">
        <f>G32*G24</f>
        <v>70.128708344383512</v>
      </c>
      <c r="H15" s="78">
        <f t="shared" ref="H15:J15" si="3">H32*H24</f>
        <v>89.944002766416432</v>
      </c>
      <c r="I15" s="78">
        <f t="shared" si="3"/>
        <v>108.53609025177926</v>
      </c>
      <c r="J15" s="78">
        <f t="shared" si="3"/>
        <v>134.00788321782582</v>
      </c>
    </row>
    <row r="16" spans="1:10">
      <c r="A16" s="55" t="s">
        <v>205</v>
      </c>
      <c r="B16" s="54">
        <v>43.69</v>
      </c>
      <c r="C16" s="54">
        <v>40.64</v>
      </c>
      <c r="D16" s="54">
        <v>37.369999999999997</v>
      </c>
      <c r="E16" s="54">
        <v>50.52</v>
      </c>
      <c r="F16" s="54">
        <v>58.79</v>
      </c>
      <c r="G16" s="78">
        <f>G33*G24</f>
        <v>57.49560579954138</v>
      </c>
      <c r="H16" s="78">
        <f t="shared" ref="H16:J16" si="4">H33*H24</f>
        <v>68.333684124765568</v>
      </c>
      <c r="I16" s="78">
        <f t="shared" si="4"/>
        <v>80.460213856082675</v>
      </c>
      <c r="J16" s="78">
        <f t="shared" si="4"/>
        <v>97.22366946161884</v>
      </c>
    </row>
    <row r="17" spans="1:10">
      <c r="A17" s="55" t="s">
        <v>206</v>
      </c>
      <c r="B17" s="54">
        <v>506.12</v>
      </c>
      <c r="C17" s="54">
        <v>489.01</v>
      </c>
      <c r="D17" s="54">
        <v>348.6</v>
      </c>
      <c r="E17" s="54">
        <v>320.94</v>
      </c>
      <c r="F17" s="54">
        <v>322.66000000000003</v>
      </c>
      <c r="G17" s="78">
        <f>G34*G24</f>
        <v>496.28596163872385</v>
      </c>
      <c r="H17" s="78">
        <f t="shared" ref="H17:J17" si="5">H34*H24</f>
        <v>555.29092395049736</v>
      </c>
      <c r="I17" s="78">
        <f t="shared" si="5"/>
        <v>596.56189510960291</v>
      </c>
      <c r="J17" s="78">
        <f t="shared" si="5"/>
        <v>692.56978679640963</v>
      </c>
    </row>
    <row r="18" spans="1:10" s="67" customFormat="1">
      <c r="A18" s="65"/>
      <c r="B18" s="68">
        <f>SUM(B15:B17)</f>
        <v>578.47</v>
      </c>
      <c r="C18" s="68">
        <f t="shared" ref="C18:J18" si="6">SUM(C15:C17)</f>
        <v>575.85</v>
      </c>
      <c r="D18" s="68">
        <f t="shared" ref="D18" si="7">SUM(D15:D17)</f>
        <v>429.15000000000003</v>
      </c>
      <c r="E18" s="68">
        <f t="shared" ref="E18" si="8">SUM(E15:E17)</f>
        <v>458.38</v>
      </c>
      <c r="F18" s="68">
        <f t="shared" si="6"/>
        <v>455.24</v>
      </c>
      <c r="G18" s="80">
        <f t="shared" si="6"/>
        <v>623.9102757826488</v>
      </c>
      <c r="H18" s="80">
        <f t="shared" si="6"/>
        <v>713.5686108416794</v>
      </c>
      <c r="I18" s="80">
        <f t="shared" si="6"/>
        <v>785.55819921746479</v>
      </c>
      <c r="J18" s="80">
        <f t="shared" si="6"/>
        <v>923.80133947585432</v>
      </c>
    </row>
    <row r="19" spans="1:10">
      <c r="A19" s="53" t="s">
        <v>207</v>
      </c>
      <c r="G19" s="78"/>
      <c r="H19" s="78"/>
      <c r="I19" s="78"/>
    </row>
    <row r="20" spans="1:10">
      <c r="A20" s="55" t="s">
        <v>208</v>
      </c>
      <c r="B20" s="54">
        <v>35.32</v>
      </c>
      <c r="C20" s="54">
        <v>30.57</v>
      </c>
      <c r="D20" s="54">
        <v>22.72</v>
      </c>
      <c r="E20" s="54">
        <v>43.7</v>
      </c>
      <c r="F20" s="54">
        <v>31.21</v>
      </c>
      <c r="G20" s="78">
        <f>G37*G24</f>
        <v>40.943790237052411</v>
      </c>
      <c r="H20" s="78">
        <f t="shared" ref="H20:J20" si="9">H37*H24</f>
        <v>47.535046146981209</v>
      </c>
      <c r="I20" s="78">
        <f t="shared" si="9"/>
        <v>55.141112243445363</v>
      </c>
      <c r="J20" s="78">
        <f t="shared" si="9"/>
        <v>67.772423327280137</v>
      </c>
    </row>
    <row r="21" spans="1:10">
      <c r="A21" s="55" t="s">
        <v>209</v>
      </c>
      <c r="B21" s="54">
        <v>419.3</v>
      </c>
      <c r="C21" s="54">
        <v>345.46</v>
      </c>
      <c r="D21" s="54">
        <v>427.46</v>
      </c>
      <c r="E21" s="54">
        <v>447.09</v>
      </c>
      <c r="F21" s="54">
        <v>297.41000000000003</v>
      </c>
      <c r="G21" s="78">
        <f>G38*G24</f>
        <v>485.35876118518428</v>
      </c>
      <c r="H21" s="78">
        <f t="shared" ref="H21" si="10">H38*H24</f>
        <v>563.33069099576403</v>
      </c>
      <c r="I21" s="78">
        <f>I38*I24</f>
        <v>659.53677437658916</v>
      </c>
      <c r="J21" s="78">
        <f>J38*J24</f>
        <v>749.04778054750318</v>
      </c>
    </row>
    <row r="22" spans="1:10">
      <c r="A22" s="55" t="s">
        <v>210</v>
      </c>
      <c r="B22" s="54">
        <v>86.25</v>
      </c>
      <c r="C22" s="54">
        <v>65.36</v>
      </c>
      <c r="D22" s="54">
        <v>57.42</v>
      </c>
      <c r="E22" s="54">
        <v>82.85</v>
      </c>
      <c r="F22" s="54">
        <v>70.819999999999993</v>
      </c>
      <c r="G22" s="78">
        <f>G39*G24</f>
        <v>92.413932760190619</v>
      </c>
      <c r="H22" s="78">
        <f t="shared" ref="H22:J22" si="11">H39*H24</f>
        <v>104.70687332473234</v>
      </c>
      <c r="I22" s="78">
        <f t="shared" si="11"/>
        <v>120.43197103082572</v>
      </c>
      <c r="J22" s="78">
        <f t="shared" si="11"/>
        <v>144.9361292799401</v>
      </c>
    </row>
    <row r="23" spans="1:10" s="67" customFormat="1">
      <c r="B23" s="68">
        <f>SUM(B20:B22)</f>
        <v>540.87</v>
      </c>
      <c r="C23" s="68">
        <f t="shared" ref="C23:H23" si="12">SUM(C20:C22)</f>
        <v>441.39</v>
      </c>
      <c r="D23" s="68">
        <f t="shared" si="12"/>
        <v>507.59999999999997</v>
      </c>
      <c r="E23" s="68">
        <f t="shared" si="12"/>
        <v>573.64</v>
      </c>
      <c r="F23" s="68">
        <f t="shared" si="12"/>
        <v>399.44</v>
      </c>
      <c r="G23" s="80">
        <f t="shared" si="12"/>
        <v>618.71648418242728</v>
      </c>
      <c r="H23" s="80">
        <f t="shared" si="12"/>
        <v>715.5726104674776</v>
      </c>
      <c r="I23" s="80">
        <f>SUM(I20:I22)</f>
        <v>835.10985765086025</v>
      </c>
      <c r="J23" s="80">
        <f>SUM(J20:J22)</f>
        <v>961.75633315472351</v>
      </c>
    </row>
    <row r="24" spans="1:10">
      <c r="A24" s="58" t="s">
        <v>183</v>
      </c>
      <c r="B24" s="57">
        <f>SUM(B23,B18,B13)</f>
        <v>33972.229999999996</v>
      </c>
      <c r="C24" s="57">
        <f t="shared" ref="C24:F24" si="13">SUM(C23,C18,C13)</f>
        <v>29255.320000000003</v>
      </c>
      <c r="D24" s="57">
        <f t="shared" si="13"/>
        <v>30959.190000000002</v>
      </c>
      <c r="E24" s="57">
        <f t="shared" si="13"/>
        <v>29551.280000000002</v>
      </c>
      <c r="F24" s="57">
        <f t="shared" si="13"/>
        <v>33805.65</v>
      </c>
      <c r="G24" s="81">
        <f>1.16*F24</f>
        <v>39214.553999999996</v>
      </c>
      <c r="H24" s="81">
        <f>1.16*G24</f>
        <v>45488.882639999996</v>
      </c>
      <c r="I24" s="81">
        <f>1.16*H24</f>
        <v>52767.103862399992</v>
      </c>
      <c r="J24" s="81">
        <f>1.16*I24</f>
        <v>61209.840480383988</v>
      </c>
    </row>
    <row r="25" spans="1:10" s="61" customFormat="1">
      <c r="A25" s="60" t="s">
        <v>197</v>
      </c>
      <c r="G25" s="76"/>
      <c r="H25" s="76"/>
      <c r="I25" s="76"/>
    </row>
    <row r="26" spans="1:10">
      <c r="A26" s="53" t="s">
        <v>199</v>
      </c>
    </row>
    <row r="27" spans="1:10">
      <c r="A27" s="55" t="s">
        <v>200</v>
      </c>
      <c r="B27" s="62">
        <f>B10/B24</f>
        <v>0.88322668249920611</v>
      </c>
      <c r="C27" s="62">
        <f t="shared" ref="C27:F27" si="14">C10/C24</f>
        <v>0.86560256390974344</v>
      </c>
      <c r="D27" s="62">
        <f t="shared" si="14"/>
        <v>0.86640735755683529</v>
      </c>
      <c r="E27" s="62">
        <f t="shared" si="14"/>
        <v>0.83056063899770161</v>
      </c>
      <c r="F27" s="62">
        <f t="shared" si="14"/>
        <v>0.83168760251614748</v>
      </c>
      <c r="G27" s="82">
        <f>AVERAGE(B27:F27)</f>
        <v>0.85549696909592687</v>
      </c>
      <c r="H27" s="82">
        <f t="shared" ref="H27:J27" si="15">AVERAGE(C27:G27)</f>
        <v>0.84995102641527098</v>
      </c>
      <c r="I27" s="82">
        <f t="shared" si="15"/>
        <v>0.84682071891637634</v>
      </c>
      <c r="J27" s="82">
        <f t="shared" si="15"/>
        <v>0.84290339118828472</v>
      </c>
    </row>
    <row r="28" spans="1:10">
      <c r="A28" s="55" t="s">
        <v>201</v>
      </c>
      <c r="B28" s="62">
        <f>B11/B24</f>
        <v>9.1839717322059823E-5</v>
      </c>
      <c r="C28" s="62">
        <f t="shared" ref="C28" si="16">C11/C24</f>
        <v>1.6509817701532573E-4</v>
      </c>
      <c r="D28" s="59" t="s">
        <v>18</v>
      </c>
      <c r="E28" s="59" t="s">
        <v>18</v>
      </c>
      <c r="F28" s="59" t="s">
        <v>18</v>
      </c>
      <c r="G28" s="77" t="s">
        <v>215</v>
      </c>
    </row>
    <row r="29" spans="1:10">
      <c r="A29" s="55" t="s">
        <v>202</v>
      </c>
      <c r="B29" s="62">
        <f>B12/B24</f>
        <v>8.373280176190967E-2</v>
      </c>
      <c r="C29" s="62">
        <f t="shared" ref="C29:F29" si="17">C12/C24</f>
        <v>9.9461226197491592E-2</v>
      </c>
      <c r="D29" s="62">
        <f t="shared" si="17"/>
        <v>0.1033350678748378</v>
      </c>
      <c r="E29" s="62">
        <f t="shared" si="17"/>
        <v>0.13451633905536409</v>
      </c>
      <c r="F29" s="62">
        <f t="shared" si="17"/>
        <v>0.14303023311192062</v>
      </c>
      <c r="G29" s="83">
        <f>AVERAGE(B29:F29)</f>
        <v>0.11281513360030475</v>
      </c>
      <c r="H29" s="83">
        <f t="shared" ref="H29:J29" si="18">AVERAGE(C29:G29)</f>
        <v>0.11863159996798375</v>
      </c>
      <c r="I29" s="83">
        <f t="shared" si="18"/>
        <v>0.12246567472208221</v>
      </c>
      <c r="J29" s="83">
        <f t="shared" si="18"/>
        <v>0.1262917960915311</v>
      </c>
    </row>
    <row r="30" spans="1:10" s="67" customFormat="1">
      <c r="A30" s="65"/>
      <c r="B30" s="73"/>
      <c r="C30" s="74"/>
      <c r="D30" s="74"/>
      <c r="E30" s="74"/>
      <c r="F30" s="74"/>
      <c r="G30" s="84"/>
      <c r="H30" s="84"/>
      <c r="I30" s="84"/>
    </row>
    <row r="31" spans="1:10">
      <c r="A31" s="53" t="s">
        <v>203</v>
      </c>
      <c r="B31" s="62"/>
      <c r="C31" s="63"/>
      <c r="D31" s="63"/>
      <c r="E31" s="63"/>
      <c r="F31" s="63"/>
    </row>
    <row r="32" spans="1:10">
      <c r="A32" s="55" t="s">
        <v>204</v>
      </c>
      <c r="B32" s="62">
        <f>B15/B24</f>
        <v>8.4363022386225463E-4</v>
      </c>
      <c r="C32" s="62">
        <f t="shared" ref="C32:F32" si="19">C15/C24</f>
        <v>1.5791999540596376E-3</v>
      </c>
      <c r="D32" s="62">
        <f t="shared" si="19"/>
        <v>1.3947393326504988E-3</v>
      </c>
      <c r="E32" s="62">
        <f t="shared" si="19"/>
        <v>2.9413277529771976E-3</v>
      </c>
      <c r="F32" s="62">
        <f t="shared" si="19"/>
        <v>2.1827712231535261E-3</v>
      </c>
      <c r="G32" s="83">
        <f>AVERAGE(B32:F32)</f>
        <v>1.788333697340623E-3</v>
      </c>
      <c r="H32" s="83">
        <f t="shared" ref="H32:J32" si="20">AVERAGE(C32:G32)</f>
        <v>1.9772743920362964E-3</v>
      </c>
      <c r="I32" s="83">
        <f t="shared" si="20"/>
        <v>2.0568892796316287E-3</v>
      </c>
      <c r="J32" s="83">
        <f t="shared" si="20"/>
        <v>2.1893192690278541E-3</v>
      </c>
    </row>
    <row r="33" spans="1:10">
      <c r="A33" s="55" t="s">
        <v>205</v>
      </c>
      <c r="B33" s="62">
        <f>B16/B24</f>
        <v>1.2860504005771773E-3</v>
      </c>
      <c r="C33" s="62">
        <f t="shared" ref="C33:F33" si="21">C16/C24</f>
        <v>1.389149050497482E-3</v>
      </c>
      <c r="D33" s="62">
        <f t="shared" si="21"/>
        <v>1.2070729240655196E-3</v>
      </c>
      <c r="E33" s="62">
        <f t="shared" si="21"/>
        <v>1.7095706175840775E-3</v>
      </c>
      <c r="F33" s="62">
        <f t="shared" si="21"/>
        <v>1.7390584118335247E-3</v>
      </c>
      <c r="G33" s="83">
        <f>AVERAGE(B33:F33)</f>
        <v>1.466180280911556E-3</v>
      </c>
      <c r="H33" s="83">
        <f t="shared" ref="H33:J33" si="22">AVERAGE(C33:G33)</f>
        <v>1.5022062569784319E-3</v>
      </c>
      <c r="I33" s="83">
        <f t="shared" si="22"/>
        <v>1.5248176982746221E-3</v>
      </c>
      <c r="J33" s="83">
        <f t="shared" si="22"/>
        <v>1.5883666531164423E-3</v>
      </c>
    </row>
    <row r="34" spans="1:10">
      <c r="A34" s="55" t="s">
        <v>206</v>
      </c>
      <c r="B34" s="62">
        <f>B17/B24</f>
        <v>1.4898050554820807E-2</v>
      </c>
      <c r="C34" s="62">
        <f t="shared" ref="C34:F34" si="23">C17/C24</f>
        <v>1.6715250422829075E-2</v>
      </c>
      <c r="D34" s="62">
        <f t="shared" si="23"/>
        <v>1.1259984515098747E-2</v>
      </c>
      <c r="E34" s="62">
        <f t="shared" si="23"/>
        <v>1.0860443270139228E-2</v>
      </c>
      <c r="F34" s="62">
        <f t="shared" si="23"/>
        <v>9.5445583800341065E-3</v>
      </c>
      <c r="G34" s="83">
        <f>AVERAGE(B34:F34)</f>
        <v>1.2655657428584394E-2</v>
      </c>
      <c r="H34" s="83">
        <f t="shared" ref="H34:J34" si="24">AVERAGE(C34:G34)</f>
        <v>1.2207178803337109E-2</v>
      </c>
      <c r="I34" s="83">
        <f t="shared" si="24"/>
        <v>1.1305564479438717E-2</v>
      </c>
      <c r="J34" s="83">
        <f t="shared" si="24"/>
        <v>1.1314680472306712E-2</v>
      </c>
    </row>
    <row r="35" spans="1:10" s="67" customFormat="1">
      <c r="A35" s="65"/>
      <c r="B35" s="73"/>
      <c r="C35" s="74"/>
      <c r="D35" s="74"/>
      <c r="E35" s="74"/>
      <c r="F35" s="74"/>
      <c r="G35" s="84"/>
      <c r="H35" s="84"/>
      <c r="I35" s="84"/>
    </row>
    <row r="36" spans="1:10">
      <c r="A36" s="53" t="s">
        <v>207</v>
      </c>
      <c r="B36" s="62"/>
      <c r="C36" s="63"/>
      <c r="D36" s="63"/>
      <c r="E36" s="63"/>
      <c r="F36" s="63"/>
    </row>
    <row r="37" spans="1:10">
      <c r="A37" s="55" t="s">
        <v>208</v>
      </c>
      <c r="B37" s="62">
        <f>B20/B24</f>
        <v>1.0396726973766516E-3</v>
      </c>
      <c r="C37" s="62">
        <f t="shared" ref="C37:F37" si="25">C20/C24</f>
        <v>1.044938151419981E-3</v>
      </c>
      <c r="D37" s="62">
        <f t="shared" si="25"/>
        <v>7.338693292686274E-4</v>
      </c>
      <c r="E37" s="62">
        <f t="shared" si="25"/>
        <v>1.4787853521065755E-3</v>
      </c>
      <c r="F37" s="62">
        <f t="shared" si="25"/>
        <v>9.2321845608648256E-4</v>
      </c>
      <c r="G37" s="83">
        <f>AVERAGE(B37:F37)</f>
        <v>1.0440967972516636E-3</v>
      </c>
      <c r="H37" s="83">
        <f t="shared" ref="H37:J37" si="26">AVERAGE(C37:G37)</f>
        <v>1.044981617226666E-3</v>
      </c>
      <c r="I37" s="83">
        <f t="shared" si="26"/>
        <v>1.044990310388003E-3</v>
      </c>
      <c r="J37" s="83">
        <f t="shared" si="26"/>
        <v>1.1072145066118783E-3</v>
      </c>
    </row>
    <row r="38" spans="1:10">
      <c r="A38" s="55" t="s">
        <v>209</v>
      </c>
      <c r="B38" s="62">
        <f>B21/B24</f>
        <v>1.2342433805493489E-2</v>
      </c>
      <c r="C38" s="62">
        <f t="shared" ref="C38:F38" si="27">C21/C24</f>
        <v>1.1808450565572346E-2</v>
      </c>
      <c r="D38" s="62">
        <f t="shared" si="27"/>
        <v>1.3807208780333076E-2</v>
      </c>
      <c r="E38" s="62">
        <f t="shared" si="27"/>
        <v>1.5129293891838185E-2</v>
      </c>
      <c r="F38" s="62">
        <f t="shared" si="27"/>
        <v>8.7976418143121057E-3</v>
      </c>
      <c r="G38" s="83">
        <f>AVERAGE(B38:F38)</f>
        <v>1.237700577150984E-2</v>
      </c>
      <c r="H38" s="83">
        <f t="shared" ref="H38:J38" si="28">AVERAGE(C38:G38)</f>
        <v>1.2383920164713109E-2</v>
      </c>
      <c r="I38" s="83">
        <f t="shared" si="28"/>
        <v>1.2499014084541262E-2</v>
      </c>
      <c r="J38" s="83">
        <f t="shared" si="28"/>
        <v>1.22373751453829E-2</v>
      </c>
    </row>
    <row r="39" spans="1:10">
      <c r="A39" s="55" t="s">
        <v>210</v>
      </c>
      <c r="B39" s="62">
        <f>B22/B24</f>
        <v>2.538838339431942E-3</v>
      </c>
      <c r="C39" s="62">
        <f t="shared" ref="C39:F39" si="29">C22/C24</f>
        <v>2.2341235713709503E-3</v>
      </c>
      <c r="D39" s="62">
        <f t="shared" si="29"/>
        <v>1.8546996869104133E-3</v>
      </c>
      <c r="E39" s="62">
        <f t="shared" si="29"/>
        <v>2.8036010622890105E-3</v>
      </c>
      <c r="F39" s="62">
        <f t="shared" si="29"/>
        <v>2.0949160865121655E-3</v>
      </c>
      <c r="G39" s="83">
        <v>2.3566233281702154E-3</v>
      </c>
      <c r="H39" s="83">
        <v>2.3018123824536385E-3</v>
      </c>
      <c r="I39" s="83">
        <v>2.2823305092671831E-3</v>
      </c>
      <c r="J39" s="91">
        <v>2.3678566737383999E-3</v>
      </c>
    </row>
    <row r="40" spans="1:10" s="67" customFormat="1">
      <c r="B40" s="73"/>
      <c r="C40" s="74"/>
      <c r="D40" s="74"/>
      <c r="E40" s="74"/>
      <c r="F40" s="74"/>
      <c r="G40" s="85"/>
      <c r="H40" s="85"/>
      <c r="I40" s="85"/>
      <c r="J40" s="90"/>
    </row>
    <row r="41" spans="1:10">
      <c r="A41" s="58" t="s">
        <v>183</v>
      </c>
      <c r="B41" s="64">
        <f>SUM(B27:B40)</f>
        <v>1.0000000000000002</v>
      </c>
      <c r="C41" s="64">
        <f t="shared" ref="C41:F41" si="30">SUM(C27:C40)</f>
        <v>0.99999999999999978</v>
      </c>
      <c r="D41" s="64">
        <f t="shared" si="30"/>
        <v>1</v>
      </c>
      <c r="E41" s="64">
        <f t="shared" si="30"/>
        <v>0.99999999999999989</v>
      </c>
      <c r="F41" s="64">
        <f t="shared" si="30"/>
        <v>1</v>
      </c>
      <c r="G41" s="86">
        <f>SUM(G27:G40)</f>
        <v>1</v>
      </c>
      <c r="H41" s="86">
        <f t="shared" ref="H41:J41" si="31">SUM(H27:H40)</f>
        <v>1</v>
      </c>
      <c r="I41" s="86">
        <f t="shared" si="31"/>
        <v>1</v>
      </c>
      <c r="J41" s="86">
        <f t="shared" si="31"/>
        <v>1</v>
      </c>
    </row>
    <row r="42" spans="1:10" s="61" customFormat="1">
      <c r="A42" s="60" t="s">
        <v>212</v>
      </c>
      <c r="G42" s="76"/>
      <c r="H42" s="76"/>
      <c r="I42" s="76"/>
    </row>
    <row r="43" spans="1:10">
      <c r="A43" s="53" t="s">
        <v>199</v>
      </c>
    </row>
    <row r="44" spans="1:10">
      <c r="A44" s="55" t="s">
        <v>200</v>
      </c>
      <c r="B44" s="59" t="s">
        <v>18</v>
      </c>
      <c r="C44" s="63">
        <f>C10/B10-1</f>
        <v>-0.15602972553405781</v>
      </c>
      <c r="D44" s="63">
        <f t="shared" ref="D44:J44" si="32">D10/C10-1</f>
        <v>5.9225272355932113E-2</v>
      </c>
      <c r="E44" s="63">
        <f t="shared" si="32"/>
        <v>-8.4968760333844484E-2</v>
      </c>
      <c r="F44" s="63">
        <f t="shared" si="32"/>
        <v>0.14551788961352474</v>
      </c>
      <c r="G44" s="83">
        <f>G10/F10-1</f>
        <v>0.19320822042914565</v>
      </c>
      <c r="H44" s="83">
        <f t="shared" si="32"/>
        <v>0.15248005107912954</v>
      </c>
      <c r="I44" s="83">
        <f t="shared" si="32"/>
        <v>0.15572780479596271</v>
      </c>
      <c r="J44" s="83">
        <f t="shared" si="32"/>
        <v>0.15463392892606453</v>
      </c>
    </row>
    <row r="45" spans="1:10">
      <c r="A45" s="55" t="s">
        <v>201</v>
      </c>
      <c r="B45" s="59" t="s">
        <v>18</v>
      </c>
      <c r="C45" s="63">
        <f>C11/B11-1</f>
        <v>0.54807692307692313</v>
      </c>
      <c r="D45" s="59" t="s">
        <v>18</v>
      </c>
      <c r="E45" s="59" t="s">
        <v>18</v>
      </c>
      <c r="F45" s="59" t="s">
        <v>18</v>
      </c>
      <c r="G45" s="87" t="s">
        <v>18</v>
      </c>
      <c r="H45" s="87" t="s">
        <v>18</v>
      </c>
      <c r="I45" s="87" t="s">
        <v>18</v>
      </c>
      <c r="J45" s="87" t="s">
        <v>18</v>
      </c>
    </row>
    <row r="46" spans="1:10">
      <c r="A46" s="55" t="s">
        <v>202</v>
      </c>
      <c r="B46" s="59" t="s">
        <v>18</v>
      </c>
      <c r="C46" s="63">
        <f>C12/B12-1</f>
        <v>2.2913671214480846E-2</v>
      </c>
      <c r="D46" s="63">
        <f t="shared" ref="D46:J46" si="33">D12/C12-1</f>
        <v>9.9458032765476379E-2</v>
      </c>
      <c r="E46" s="63">
        <f t="shared" si="33"/>
        <v>0.24255041151298617</v>
      </c>
      <c r="F46" s="63">
        <f t="shared" si="33"/>
        <v>0.21637028222976351</v>
      </c>
      <c r="G46" s="83">
        <f t="shared" si="33"/>
        <v>-8.5049698031662402E-2</v>
      </c>
      <c r="H46" s="83">
        <f t="shared" si="33"/>
        <v>0.21980670120386603</v>
      </c>
      <c r="I46" s="83">
        <f t="shared" si="33"/>
        <v>0.19749023629416196</v>
      </c>
      <c r="J46" s="83">
        <f t="shared" si="33"/>
        <v>0.19624118185469341</v>
      </c>
    </row>
    <row r="47" spans="1:10" s="67" customFormat="1">
      <c r="A47" s="65"/>
      <c r="B47" s="74"/>
      <c r="C47" s="74"/>
      <c r="D47" s="74"/>
      <c r="E47" s="74"/>
      <c r="F47" s="74"/>
      <c r="G47" s="84"/>
      <c r="H47" s="84"/>
      <c r="I47" s="84"/>
    </row>
    <row r="48" spans="1:10">
      <c r="A48" s="53" t="s">
        <v>203</v>
      </c>
      <c r="B48" s="63"/>
      <c r="C48" s="63"/>
      <c r="D48" s="63"/>
      <c r="E48" s="63"/>
      <c r="F48" s="63"/>
    </row>
    <row r="49" spans="1:10 16384:16384">
      <c r="A49" s="55" t="s">
        <v>204</v>
      </c>
      <c r="B49" s="59" t="s">
        <v>18</v>
      </c>
      <c r="C49" s="63">
        <f>C15/B15-1</f>
        <v>0.61200279134682489</v>
      </c>
      <c r="D49" s="63">
        <f t="shared" ref="D49:J49" si="34">D15/C15-1</f>
        <v>-6.5367965367965408E-2</v>
      </c>
      <c r="E49" s="63">
        <f t="shared" si="34"/>
        <v>1.0129689671144049</v>
      </c>
      <c r="F49" s="63">
        <f t="shared" si="34"/>
        <v>-0.15105844454670958</v>
      </c>
      <c r="G49" s="83">
        <f t="shared" si="34"/>
        <v>-4.9617721312054441E-2</v>
      </c>
      <c r="H49" s="83">
        <f t="shared" si="34"/>
        <v>0.28255610134333664</v>
      </c>
      <c r="I49" s="83">
        <f t="shared" si="34"/>
        <v>0.20670736139736046</v>
      </c>
      <c r="J49" s="83">
        <f t="shared" si="34"/>
        <v>0.23468500576128859</v>
      </c>
      <c r="XFD49" s="83"/>
    </row>
    <row r="50" spans="1:10 16384:16384">
      <c r="A50" s="55" t="s">
        <v>205</v>
      </c>
      <c r="B50" s="59" t="s">
        <v>18</v>
      </c>
      <c r="C50" s="63">
        <f>C16/B16-1</f>
        <v>-6.9810025177386104E-2</v>
      </c>
      <c r="D50" s="63">
        <f t="shared" ref="D50:J50" si="35">D16/C16-1</f>
        <v>-8.0462598425196874E-2</v>
      </c>
      <c r="E50" s="63">
        <f t="shared" si="35"/>
        <v>0.35188654000535213</v>
      </c>
      <c r="F50" s="63">
        <f t="shared" si="35"/>
        <v>0.16369754552652416</v>
      </c>
      <c r="G50" s="83">
        <f t="shared" si="35"/>
        <v>-2.2017251241003843E-2</v>
      </c>
      <c r="H50" s="83">
        <f t="shared" si="35"/>
        <v>0.18850272424315673</v>
      </c>
      <c r="I50" s="83">
        <f t="shared" si="35"/>
        <v>0.17746049970284261</v>
      </c>
      <c r="J50" s="83">
        <f t="shared" si="35"/>
        <v>0.20834465634805022</v>
      </c>
    </row>
    <row r="51" spans="1:10 16384:16384">
      <c r="A51" s="55" t="s">
        <v>206</v>
      </c>
      <c r="B51" s="59" t="s">
        <v>18</v>
      </c>
      <c r="C51" s="63">
        <f>C17/B17-1</f>
        <v>-3.3806211965541788E-2</v>
      </c>
      <c r="D51" s="63">
        <f t="shared" ref="D51:J51" si="36">D17/C17-1</f>
        <v>-0.287131142512423</v>
      </c>
      <c r="E51" s="63">
        <f t="shared" si="36"/>
        <v>-7.9345955249569777E-2</v>
      </c>
      <c r="F51" s="63">
        <f t="shared" si="36"/>
        <v>5.3592571820277879E-3</v>
      </c>
      <c r="G51" s="83">
        <f t="shared" si="36"/>
        <v>0.53810810648584839</v>
      </c>
      <c r="H51" s="83">
        <f t="shared" si="36"/>
        <v>0.1188930714802825</v>
      </c>
      <c r="I51" s="83">
        <f t="shared" si="36"/>
        <v>7.4323150944899607E-2</v>
      </c>
      <c r="J51" s="83">
        <f t="shared" si="36"/>
        <v>0.16093534044638869</v>
      </c>
    </row>
    <row r="52" spans="1:10 16384:16384" s="67" customFormat="1">
      <c r="A52" s="65"/>
      <c r="B52" s="74"/>
      <c r="C52" s="74"/>
      <c r="D52" s="74"/>
      <c r="E52" s="74"/>
      <c r="F52" s="74"/>
      <c r="G52" s="84"/>
      <c r="H52" s="84"/>
      <c r="I52" s="84"/>
    </row>
    <row r="53" spans="1:10 16384:16384">
      <c r="A53" s="53" t="s">
        <v>207</v>
      </c>
      <c r="B53" s="63"/>
      <c r="C53" s="63"/>
      <c r="D53" s="63"/>
      <c r="E53" s="63"/>
      <c r="F53" s="63"/>
    </row>
    <row r="54" spans="1:10 16384:16384">
      <c r="A54" s="55" t="s">
        <v>208</v>
      </c>
      <c r="B54" s="59" t="s">
        <v>18</v>
      </c>
      <c r="C54" s="63">
        <f>C20/B20-1</f>
        <v>-0.13448471121177807</v>
      </c>
      <c r="D54" s="63">
        <f t="shared" ref="D54:J54" si="37">D20/C20-1</f>
        <v>-0.2567877003598299</v>
      </c>
      <c r="E54" s="63">
        <f t="shared" si="37"/>
        <v>0.92341549295774672</v>
      </c>
      <c r="F54" s="63">
        <f t="shared" si="37"/>
        <v>-0.2858123569794051</v>
      </c>
      <c r="G54" s="83">
        <f t="shared" si="37"/>
        <v>0.31188049461878919</v>
      </c>
      <c r="H54" s="83">
        <f t="shared" si="37"/>
        <v>0.16098304216017567</v>
      </c>
      <c r="I54" s="83">
        <f t="shared" si="37"/>
        <v>0.1600096499947794</v>
      </c>
      <c r="J54" s="83">
        <f t="shared" si="37"/>
        <v>0.22907247550735188</v>
      </c>
    </row>
    <row r="55" spans="1:10 16384:16384">
      <c r="A55" s="55" t="s">
        <v>209</v>
      </c>
      <c r="B55" s="59" t="s">
        <v>18</v>
      </c>
      <c r="C55" s="63">
        <f>C21/B21-1</f>
        <v>-0.17610302885761986</v>
      </c>
      <c r="D55" s="63">
        <f t="shared" ref="D55:H55" si="38">D21/C21-1</f>
        <v>0.2373646731893706</v>
      </c>
      <c r="E55" s="63">
        <f t="shared" si="38"/>
        <v>4.5922425490104279E-2</v>
      </c>
      <c r="F55" s="63">
        <f t="shared" si="38"/>
        <v>-0.33478717931512658</v>
      </c>
      <c r="G55" s="83">
        <f t="shared" si="38"/>
        <v>0.63195172047067771</v>
      </c>
      <c r="H55" s="83">
        <f t="shared" si="38"/>
        <v>0.1606480320251813</v>
      </c>
      <c r="I55" s="83">
        <f>I21/H21-1</f>
        <v>0.17078083072443251</v>
      </c>
      <c r="J55" s="83">
        <f>J21/I21-1</f>
        <v>0.13571799124548001</v>
      </c>
    </row>
    <row r="56" spans="1:10 16384:16384">
      <c r="A56" s="55" t="s">
        <v>210</v>
      </c>
      <c r="B56" s="59" t="s">
        <v>18</v>
      </c>
      <c r="C56" s="63">
        <f>C22/B22-1</f>
        <v>-0.24220289855072463</v>
      </c>
      <c r="D56" s="63">
        <f t="shared" ref="D56:J56" si="39">D22/C22-1</f>
        <v>-0.12148102815177475</v>
      </c>
      <c r="E56" s="63">
        <f t="shared" si="39"/>
        <v>0.44287704632532199</v>
      </c>
      <c r="F56" s="63">
        <f t="shared" si="39"/>
        <v>-0.14520217260108637</v>
      </c>
      <c r="G56" s="83">
        <f t="shared" si="39"/>
        <v>0.30491291669289233</v>
      </c>
      <c r="H56" s="83">
        <f t="shared" si="39"/>
        <v>0.13302042448990092</v>
      </c>
      <c r="I56" s="83">
        <f t="shared" si="39"/>
        <v>0.15018209604372768</v>
      </c>
      <c r="J56" s="83">
        <f t="shared" si="39"/>
        <v>0.20346887989437867</v>
      </c>
    </row>
    <row r="57" spans="1:10 16384:16384" s="67" customFormat="1">
      <c r="G57" s="84"/>
      <c r="H57" s="84"/>
      <c r="I57" s="84"/>
    </row>
    <row r="58" spans="1:10 16384:16384">
      <c r="A58" s="58" t="s">
        <v>183</v>
      </c>
      <c r="C58" s="71">
        <f>C24/B24-1</f>
        <v>-0.13884605161333219</v>
      </c>
      <c r="D58" s="71">
        <f>D24/C24-1</f>
        <v>5.8241372851159934E-2</v>
      </c>
      <c r="E58" s="71">
        <f t="shared" ref="E58:J58" si="40">E24/D24-1</f>
        <v>-4.5476318986381714E-2</v>
      </c>
      <c r="F58" s="71">
        <f t="shared" si="40"/>
        <v>0.14396567593687992</v>
      </c>
      <c r="G58" s="88">
        <f>G24/F24-1</f>
        <v>0.15999999999999992</v>
      </c>
      <c r="H58" s="88">
        <f t="shared" si="40"/>
        <v>0.15999999999999992</v>
      </c>
      <c r="I58" s="88">
        <f t="shared" si="40"/>
        <v>0.15999999999999992</v>
      </c>
      <c r="J58" s="88">
        <f t="shared" si="40"/>
        <v>0.15999999999999992</v>
      </c>
    </row>
  </sheetData>
  <mergeCells count="1">
    <mergeCell ref="B3:D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608337-E027-46AB-844D-9355221F1629}">
  <sheetPr>
    <tabColor theme="9" tint="-0.249977111117893"/>
  </sheetPr>
  <dimension ref="A1:R55"/>
  <sheetViews>
    <sheetView showGridLines="0" topLeftCell="A33" workbookViewId="0">
      <selection activeCell="G21" sqref="G21"/>
    </sheetView>
  </sheetViews>
  <sheetFormatPr defaultRowHeight="14.4"/>
  <cols>
    <col min="1" max="1" width="59" customWidth="1"/>
    <col min="2" max="2" width="14" customWidth="1"/>
    <col min="3" max="3" width="13.6640625" customWidth="1"/>
    <col min="4" max="4" width="13.109375" customWidth="1"/>
    <col min="5" max="5" width="13.44140625" customWidth="1"/>
    <col min="6" max="6" width="13.5546875" customWidth="1"/>
    <col min="7" max="7" width="14.5546875" customWidth="1"/>
    <col min="8" max="9" width="13.5546875" customWidth="1"/>
    <col min="10" max="10" width="13.33203125" customWidth="1"/>
  </cols>
  <sheetData>
    <row r="1" spans="1:18">
      <c r="A1" s="52" t="s">
        <v>213</v>
      </c>
      <c r="B1" s="51"/>
      <c r="C1" s="51"/>
      <c r="D1" s="51"/>
      <c r="E1" s="51"/>
      <c r="F1" s="51"/>
      <c r="G1" s="75"/>
      <c r="H1" s="75"/>
      <c r="I1" s="75"/>
    </row>
    <row r="2" spans="1:18">
      <c r="A2" s="52" t="s">
        <v>1</v>
      </c>
      <c r="B2" s="51"/>
      <c r="C2" s="51"/>
      <c r="D2" s="51"/>
      <c r="E2" s="51"/>
      <c r="F2" s="51"/>
      <c r="G2" s="75"/>
      <c r="H2" s="75"/>
      <c r="I2" s="75"/>
    </row>
    <row r="3" spans="1:18">
      <c r="A3" s="51"/>
      <c r="B3" s="117" t="s">
        <v>261</v>
      </c>
      <c r="C3" s="117"/>
      <c r="D3" s="117"/>
      <c r="E3" s="51"/>
      <c r="F3" s="51"/>
      <c r="G3" s="75"/>
      <c r="H3" s="75"/>
      <c r="I3" s="75"/>
    </row>
    <row r="4" spans="1:18">
      <c r="A4" s="51"/>
      <c r="B4" s="117"/>
      <c r="C4" s="117"/>
      <c r="D4" s="117"/>
      <c r="E4" s="51"/>
      <c r="F4" s="51"/>
      <c r="G4" s="75"/>
      <c r="H4" s="75"/>
      <c r="I4" s="75"/>
    </row>
    <row r="5" spans="1:18">
      <c r="A5" s="72" t="s">
        <v>4</v>
      </c>
      <c r="B5" s="72" t="s">
        <v>5</v>
      </c>
      <c r="C5" s="72" t="s">
        <v>6</v>
      </c>
      <c r="D5" s="72" t="s">
        <v>7</v>
      </c>
      <c r="E5" s="72" t="s">
        <v>8</v>
      </c>
      <c r="F5" s="72" t="s">
        <v>9</v>
      </c>
      <c r="G5" s="89" t="s">
        <v>192</v>
      </c>
      <c r="H5" s="89" t="s">
        <v>193</v>
      </c>
      <c r="I5" s="89" t="s">
        <v>194</v>
      </c>
      <c r="J5" s="89" t="s">
        <v>214</v>
      </c>
      <c r="K5" s="72"/>
      <c r="L5" s="72"/>
      <c r="M5" s="72"/>
      <c r="N5" s="72"/>
      <c r="O5" s="72"/>
      <c r="P5" s="72"/>
      <c r="Q5" s="72"/>
      <c r="R5" s="72"/>
    </row>
    <row r="6" spans="1:18">
      <c r="A6" s="72"/>
      <c r="B6" s="72" t="s">
        <v>10</v>
      </c>
      <c r="C6" s="72" t="s">
        <v>10</v>
      </c>
      <c r="D6" s="72" t="s">
        <v>10</v>
      </c>
      <c r="E6" s="72" t="s">
        <v>10</v>
      </c>
      <c r="F6" s="72" t="s">
        <v>10</v>
      </c>
      <c r="G6" s="89" t="s">
        <v>195</v>
      </c>
      <c r="H6" s="89" t="s">
        <v>195</v>
      </c>
      <c r="I6" s="89" t="s">
        <v>195</v>
      </c>
      <c r="J6" s="89" t="s">
        <v>195</v>
      </c>
      <c r="K6" s="72"/>
      <c r="L6" s="72"/>
      <c r="M6" s="72"/>
      <c r="N6" s="72"/>
      <c r="O6" s="72"/>
      <c r="P6" s="72"/>
      <c r="Q6" s="72"/>
      <c r="R6" s="72"/>
    </row>
    <row r="7" spans="1:18">
      <c r="A7" s="94" t="s">
        <v>216</v>
      </c>
      <c r="G7" s="99">
        <f>'Income Statement'!G30 + 'Cost Sheet'!G33</f>
        <v>5019.247280191852</v>
      </c>
      <c r="H7" s="99">
        <f>'Income Statement'!H30 + 'Cost Sheet'!H33</f>
        <v>6432.3005067761733</v>
      </c>
      <c r="I7" s="99">
        <f>'Income Statement'!I30 + 'Cost Sheet'!I33</f>
        <v>7939.3252343202039</v>
      </c>
      <c r="J7" s="99">
        <f>'Income Statement'!J30 + 'Cost Sheet'!J33</f>
        <v>9975.1995550508436</v>
      </c>
    </row>
    <row r="8" spans="1:18">
      <c r="A8" s="94" t="s">
        <v>217</v>
      </c>
      <c r="G8" s="69">
        <f>'Cost Sheet'!G27</f>
        <v>0.25489256047542652</v>
      </c>
      <c r="H8" s="69">
        <f>'Cost Sheet'!H27</f>
        <v>0.24169185112976574</v>
      </c>
      <c r="I8" s="69">
        <f>'Cost Sheet'!I27</f>
        <v>0.24875268984466295</v>
      </c>
      <c r="J8" s="69">
        <f>'Cost Sheet'!J27</f>
        <v>0.25105224945897708</v>
      </c>
    </row>
    <row r="9" spans="1:18">
      <c r="A9" s="94" t="s">
        <v>218</v>
      </c>
      <c r="G9">
        <f>G7*(1-G8)</f>
        <v>3739.8784892844301</v>
      </c>
      <c r="H9">
        <f t="shared" ref="H9:J9" si="0">H7*(1-H8)</f>
        <v>4877.6658902705094</v>
      </c>
      <c r="I9">
        <f t="shared" si="0"/>
        <v>5964.3967267314447</v>
      </c>
      <c r="J9">
        <f t="shared" si="0"/>
        <v>7470.9032679531419</v>
      </c>
    </row>
    <row r="10" spans="1:18">
      <c r="A10" s="94" t="s">
        <v>219</v>
      </c>
      <c r="G10" s="99">
        <f>'Cost Sheet'!G37</f>
        <v>895.17940973989471</v>
      </c>
      <c r="H10" s="99">
        <f>'Cost Sheet'!H37</f>
        <v>1009.5059605886286</v>
      </c>
      <c r="I10" s="99">
        <f>'Cost Sheet'!I37</f>
        <v>1150.9642839027292</v>
      </c>
      <c r="J10" s="99">
        <f>'Cost Sheet'!J37</f>
        <v>1363.5972499468623</v>
      </c>
    </row>
    <row r="11" spans="1:18">
      <c r="A11" s="94" t="s">
        <v>220</v>
      </c>
      <c r="G11" s="4">
        <f>-'Cost Sheet'!G30</f>
        <v>-973.48824741719579</v>
      </c>
      <c r="H11" s="4">
        <f>-'Cost Sheet'!H30</f>
        <v>-916.13028162920068</v>
      </c>
      <c r="I11" s="4">
        <f>-'Cost Sheet'!I30</f>
        <v>-1080.8150644881018</v>
      </c>
      <c r="J11" s="4">
        <f>-'Cost Sheet'!J30</f>
        <v>-1272.1963324904957</v>
      </c>
    </row>
    <row r="12" spans="1:18">
      <c r="A12" s="94" t="s">
        <v>221</v>
      </c>
      <c r="G12">
        <f>SUM(CFS!G24:G30,CFS!G33:G37)</f>
        <v>0</v>
      </c>
      <c r="H12">
        <f>SUM(CFS!H24:H30,CFS!H33:H37)</f>
        <v>0</v>
      </c>
      <c r="I12">
        <f>SUM(CFS!I24:I30,CFS!I33:I37)</f>
        <v>0</v>
      </c>
      <c r="J12">
        <f>SUM(CFS!J24:J30,CFS!J33:J37)</f>
        <v>0</v>
      </c>
    </row>
    <row r="13" spans="1:18">
      <c r="A13" s="95" t="s">
        <v>222</v>
      </c>
      <c r="G13" s="104">
        <f>SUM(G9:G12)</f>
        <v>3661.5696516071289</v>
      </c>
      <c r="H13" s="104">
        <f t="shared" ref="H13:J13" si="1">SUM(H9:H12)</f>
        <v>4971.0415692299375</v>
      </c>
      <c r="I13" s="104">
        <f t="shared" si="1"/>
        <v>6034.5459461460723</v>
      </c>
      <c r="J13" s="104">
        <f t="shared" si="1"/>
        <v>7562.3041854095081</v>
      </c>
    </row>
    <row r="14" spans="1:18">
      <c r="A14" s="94"/>
    </row>
    <row r="15" spans="1:18">
      <c r="A15" s="95" t="s">
        <v>223</v>
      </c>
    </row>
    <row r="16" spans="1:18">
      <c r="A16" s="94" t="s">
        <v>224</v>
      </c>
      <c r="G16" s="63">
        <v>7.1999999999999995E-2</v>
      </c>
      <c r="H16" s="63">
        <v>7.22E-2</v>
      </c>
      <c r="I16" s="63">
        <v>7.2400000000000006E-2</v>
      </c>
      <c r="J16" s="63">
        <v>7.2400000000000006E-2</v>
      </c>
    </row>
    <row r="17" spans="1:10">
      <c r="A17" s="94" t="s">
        <v>225</v>
      </c>
      <c r="G17" s="69">
        <v>0.12</v>
      </c>
      <c r="H17" s="69">
        <v>0.12</v>
      </c>
      <c r="I17" s="69">
        <v>0.12</v>
      </c>
      <c r="J17" s="69">
        <v>0.12</v>
      </c>
    </row>
    <row r="18" spans="1:10">
      <c r="A18" s="94" t="s">
        <v>226</v>
      </c>
      <c r="G18" s="101">
        <f>G17-G16</f>
        <v>4.8000000000000001E-2</v>
      </c>
      <c r="H18" s="101">
        <f t="shared" ref="H18:J18" si="2">H17-H16</f>
        <v>4.7799999999999995E-2</v>
      </c>
      <c r="I18" s="101">
        <f t="shared" si="2"/>
        <v>4.759999999999999E-2</v>
      </c>
      <c r="J18" s="101">
        <f t="shared" si="2"/>
        <v>4.759999999999999E-2</v>
      </c>
    </row>
    <row r="19" spans="1:10">
      <c r="A19" s="94" t="s">
        <v>227</v>
      </c>
      <c r="G19">
        <v>0.86</v>
      </c>
      <c r="H19">
        <v>0.86</v>
      </c>
      <c r="I19">
        <v>0.86</v>
      </c>
      <c r="J19">
        <v>0.86</v>
      </c>
    </row>
    <row r="20" spans="1:10">
      <c r="A20" s="95" t="s">
        <v>223</v>
      </c>
      <c r="G20" s="105">
        <f>G16+G18*G19</f>
        <v>0.11327999999999999</v>
      </c>
      <c r="H20" s="106">
        <f t="shared" ref="H20:J20" si="3">H16+H18*H19</f>
        <v>0.11330799999999999</v>
      </c>
      <c r="I20" s="106">
        <f t="shared" si="3"/>
        <v>0.11333599999999999</v>
      </c>
      <c r="J20" s="106">
        <f t="shared" si="3"/>
        <v>0.11333599999999999</v>
      </c>
    </row>
    <row r="21" spans="1:10">
      <c r="A21" s="94"/>
    </row>
    <row r="22" spans="1:10">
      <c r="A22" s="102" t="s">
        <v>243</v>
      </c>
      <c r="G22" s="69">
        <f>'Cost Sheet'!G35</f>
        <v>8.7832075575443883E-2</v>
      </c>
      <c r="H22" s="69">
        <f>'Cost Sheet'!H35</f>
        <v>9.5299570525789232E-2</v>
      </c>
      <c r="I22" s="69">
        <f>'Cost Sheet'!I35</f>
        <v>9.993850421010031E-2</v>
      </c>
      <c r="J22" s="69">
        <f>'Cost Sheet'!J35</f>
        <v>9.4356716770444479E-2</v>
      </c>
    </row>
    <row r="23" spans="1:10">
      <c r="A23" s="102" t="s">
        <v>244</v>
      </c>
      <c r="G23" s="69">
        <f>G8</f>
        <v>0.25489256047542652</v>
      </c>
      <c r="H23" s="69">
        <f t="shared" ref="H23:J23" si="4">H8</f>
        <v>0.24169185112976574</v>
      </c>
      <c r="I23" s="69">
        <f t="shared" si="4"/>
        <v>0.24875268984466295</v>
      </c>
      <c r="J23" s="69">
        <f t="shared" si="4"/>
        <v>0.25105224945897708</v>
      </c>
    </row>
    <row r="24" spans="1:10">
      <c r="A24" s="103" t="s">
        <v>245</v>
      </c>
      <c r="G24" s="63">
        <f>G22*(1-G23)</f>
        <v>6.5444332940147815E-2</v>
      </c>
      <c r="H24" s="63">
        <f t="shared" ref="H24:J24" si="5">H22*(1-H23)</f>
        <v>7.2266440913539565E-2</v>
      </c>
      <c r="I24" s="63">
        <f t="shared" si="5"/>
        <v>7.5078532468785694E-2</v>
      </c>
      <c r="J24" s="63">
        <f t="shared" si="5"/>
        <v>7.0668250773660804E-2</v>
      </c>
    </row>
    <row r="25" spans="1:10">
      <c r="A25" s="9"/>
    </row>
    <row r="26" spans="1:10">
      <c r="A26" s="102" t="s">
        <v>246</v>
      </c>
      <c r="G26">
        <f>SUM('Balance sheet '!G40,'Balance sheet '!G48)</f>
        <v>319.435</v>
      </c>
      <c r="H26">
        <f>SUM('Balance sheet '!H40,'Balance sheet '!H48)</f>
        <v>330.15274999999997</v>
      </c>
      <c r="I26">
        <f>SUM('Balance sheet '!I40,'Balance sheet '!I48)</f>
        <v>330.60173750000001</v>
      </c>
      <c r="J26">
        <f>SUM('Balance sheet '!J40,'Balance sheet '!J48)</f>
        <v>322.93463187499998</v>
      </c>
    </row>
    <row r="27" spans="1:10">
      <c r="A27" s="102" t="s">
        <v>247</v>
      </c>
      <c r="G27">
        <f>'Balance sheet '!G36</f>
        <v>19788.322</v>
      </c>
      <c r="H27">
        <f>'Balance sheet '!H36</f>
        <v>22711.9984</v>
      </c>
      <c r="I27">
        <f>'Balance sheet '!I36</f>
        <v>25497.51008</v>
      </c>
      <c r="J27">
        <f>'Balance sheet '!J36</f>
        <v>28261.376096</v>
      </c>
    </row>
    <row r="28" spans="1:10">
      <c r="A28" s="103" t="s">
        <v>183</v>
      </c>
      <c r="G28" s="9">
        <f>SUM(G26:G27)</f>
        <v>20107.757000000001</v>
      </c>
      <c r="H28" s="9">
        <f t="shared" ref="H28:J28" si="6">SUM(H26:H27)</f>
        <v>23042.151150000002</v>
      </c>
      <c r="I28" s="9">
        <f t="shared" si="6"/>
        <v>25828.111817500001</v>
      </c>
      <c r="J28" s="9">
        <f t="shared" si="6"/>
        <v>28584.310727874999</v>
      </c>
    </row>
    <row r="29" spans="1:10">
      <c r="A29" s="9"/>
    </row>
    <row r="30" spans="1:10">
      <c r="A30" s="102" t="s">
        <v>248</v>
      </c>
      <c r="G30" s="6">
        <f>G26/G28</f>
        <v>1.5886157764886454E-2</v>
      </c>
      <c r="H30" s="6">
        <f t="shared" ref="H30:J30" si="7">H26/H28</f>
        <v>1.4328208675082835E-2</v>
      </c>
      <c r="I30" s="6">
        <f t="shared" si="7"/>
        <v>1.2800073804698286E-2</v>
      </c>
      <c r="J30" s="6">
        <f t="shared" si="7"/>
        <v>1.1297618296602089E-2</v>
      </c>
    </row>
    <row r="31" spans="1:10">
      <c r="A31" s="102" t="s">
        <v>249</v>
      </c>
      <c r="G31" s="6">
        <f>G27/G28</f>
        <v>0.98411384223511345</v>
      </c>
      <c r="H31" s="6">
        <f t="shared" ref="H31:J31" si="8">H27/H28</f>
        <v>0.98567179132491711</v>
      </c>
      <c r="I31" s="6">
        <f t="shared" si="8"/>
        <v>0.98719992619530172</v>
      </c>
      <c r="J31" s="6">
        <f t="shared" si="8"/>
        <v>0.98870238170339797</v>
      </c>
    </row>
    <row r="32" spans="1:10">
      <c r="A32" s="103" t="s">
        <v>183</v>
      </c>
      <c r="G32" s="6">
        <f>G28/G28</f>
        <v>1</v>
      </c>
      <c r="H32" s="6">
        <f t="shared" ref="H32:J32" si="9">H28/H28</f>
        <v>1</v>
      </c>
      <c r="I32" s="6">
        <f t="shared" si="9"/>
        <v>1</v>
      </c>
      <c r="J32" s="6">
        <f t="shared" si="9"/>
        <v>1</v>
      </c>
    </row>
    <row r="33" spans="1:10">
      <c r="A33" s="94"/>
    </row>
    <row r="34" spans="1:10">
      <c r="A34" s="103" t="s">
        <v>250</v>
      </c>
      <c r="G34" s="70">
        <f>G20*G31+G24*G30</f>
        <v>0.11252007504629859</v>
      </c>
      <c r="H34" s="70">
        <f t="shared" ref="H34:J34" si="10">H20*H31+H24*H30</f>
        <v>0.11271994797705844</v>
      </c>
      <c r="I34" s="70">
        <f t="shared" si="10"/>
        <v>0.11284630159201961</v>
      </c>
      <c r="J34" s="70">
        <f t="shared" si="10"/>
        <v>0.11285395605566567</v>
      </c>
    </row>
    <row r="35" spans="1:10">
      <c r="A35" s="9"/>
    </row>
    <row r="36" spans="1:10">
      <c r="A36" s="9" t="s">
        <v>251</v>
      </c>
      <c r="G36" s="107">
        <f>AVERAGE(G34:J34)</f>
        <v>0.11273507016776058</v>
      </c>
    </row>
    <row r="37" spans="1:10">
      <c r="A37" s="9"/>
    </row>
    <row r="38" spans="1:10">
      <c r="A38" s="9"/>
    </row>
    <row r="39" spans="1:10">
      <c r="A39" s="95" t="s">
        <v>228</v>
      </c>
      <c r="G39" s="98">
        <f>NPV(G36,G13:J13)</f>
        <v>16618.080303989056</v>
      </c>
    </row>
    <row r="40" spans="1:10">
      <c r="A40" s="94"/>
    </row>
    <row r="41" spans="1:10">
      <c r="A41" s="94" t="s">
        <v>229</v>
      </c>
      <c r="G41" s="69">
        <v>0.06</v>
      </c>
    </row>
    <row r="42" spans="1:10">
      <c r="A42" s="94" t="s">
        <v>230</v>
      </c>
      <c r="G42" s="9">
        <f>J13*(1+G41)/G36-G41</f>
        <v>71105.075470314958</v>
      </c>
    </row>
    <row r="43" spans="1:10">
      <c r="A43" s="95"/>
    </row>
    <row r="44" spans="1:10">
      <c r="A44" s="94"/>
    </row>
    <row r="45" spans="1:10">
      <c r="A45" s="95" t="s">
        <v>231</v>
      </c>
      <c r="G45">
        <f>G42/(1+G36)^4</f>
        <v>46380.294065408627</v>
      </c>
    </row>
    <row r="46" spans="1:10">
      <c r="A46" s="94"/>
    </row>
    <row r="48" spans="1:10">
      <c r="A48" s="95" t="s">
        <v>232</v>
      </c>
      <c r="G48" s="9">
        <f>SUM(G45,G42)</f>
        <v>117485.36953572358</v>
      </c>
    </row>
    <row r="49" spans="1:8">
      <c r="A49" s="94" t="s">
        <v>233</v>
      </c>
      <c r="G49">
        <f>'Balance sheet '!F23 +'Balance sheet '!F24</f>
        <v>422.8</v>
      </c>
    </row>
    <row r="50" spans="1:8">
      <c r="A50" s="102" t="s">
        <v>252</v>
      </c>
      <c r="G50">
        <f>-'Balance sheet '!F40</f>
        <v>-20.09</v>
      </c>
    </row>
    <row r="51" spans="1:8">
      <c r="A51" s="102" t="s">
        <v>253</v>
      </c>
      <c r="G51">
        <f>'Income Statement'!F63</f>
        <v>-22.98</v>
      </c>
    </row>
    <row r="52" spans="1:8">
      <c r="A52" s="100"/>
    </row>
    <row r="53" spans="1:8">
      <c r="A53" s="95" t="s">
        <v>234</v>
      </c>
      <c r="G53">
        <f>SUM(G48:G51)</f>
        <v>117865.0995357236</v>
      </c>
    </row>
    <row r="54" spans="1:8" ht="15" thickBot="1">
      <c r="A54" s="94" t="s">
        <v>235</v>
      </c>
      <c r="G54" s="100">
        <f>380219721/10^7</f>
        <v>38.021972099999999</v>
      </c>
    </row>
    <row r="55" spans="1:8" ht="15" thickBot="1">
      <c r="A55" s="95" t="s">
        <v>236</v>
      </c>
      <c r="G55" s="108">
        <f>(G53/G54)</f>
        <v>3099.9207307220026</v>
      </c>
      <c r="H55" s="109" t="str">
        <f>IF(G55&gt;3700,"Undervalued","Overvalued")</f>
        <v>Overvalued</v>
      </c>
    </row>
  </sheetData>
  <mergeCells count="1">
    <mergeCell ref="B3:D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BCB2B-B03C-441E-A399-DA4F999DAD25}">
  <sheetPr>
    <tabColor rgb="FFFFC000"/>
  </sheetPr>
  <dimension ref="A1:N13"/>
  <sheetViews>
    <sheetView showGridLines="0" topLeftCell="A3" workbookViewId="0">
      <selection activeCell="C9" sqref="C9"/>
    </sheetView>
  </sheetViews>
  <sheetFormatPr defaultRowHeight="14.4"/>
  <cols>
    <col min="1" max="1" width="24.6640625" customWidth="1"/>
    <col min="3" max="3" width="9.44140625" bestFit="1" customWidth="1"/>
  </cols>
  <sheetData>
    <row r="1" spans="1:14">
      <c r="A1" s="52" t="s">
        <v>213</v>
      </c>
      <c r="B1" s="51"/>
      <c r="C1" s="51"/>
      <c r="D1" s="51"/>
      <c r="E1" s="51"/>
      <c r="F1" s="110"/>
      <c r="G1" s="111"/>
      <c r="H1" s="111"/>
      <c r="I1" s="111"/>
      <c r="J1" s="63"/>
      <c r="K1" s="63"/>
    </row>
    <row r="2" spans="1:14">
      <c r="A2" s="52" t="s">
        <v>1</v>
      </c>
      <c r="B2" s="51"/>
      <c r="C2" s="51"/>
      <c r="D2" s="51"/>
      <c r="E2" s="51"/>
      <c r="F2" s="110"/>
      <c r="G2" s="111"/>
      <c r="H2" s="111"/>
      <c r="I2" s="111"/>
      <c r="J2" s="63"/>
      <c r="K2" s="63"/>
    </row>
    <row r="3" spans="1:14">
      <c r="A3" s="51"/>
      <c r="B3" s="118" t="s">
        <v>255</v>
      </c>
      <c r="C3" s="118"/>
      <c r="D3" s="118"/>
      <c r="E3" s="51"/>
      <c r="F3" s="110"/>
      <c r="G3" s="111"/>
      <c r="H3" s="111"/>
      <c r="I3" s="111"/>
      <c r="J3" s="63"/>
      <c r="K3" s="63"/>
    </row>
    <row r="4" spans="1:14">
      <c r="A4" s="51"/>
      <c r="B4" s="118"/>
      <c r="C4" s="118"/>
      <c r="D4" s="118"/>
      <c r="E4" s="51"/>
      <c r="F4" s="110"/>
      <c r="G4" s="111"/>
      <c r="H4" s="111"/>
      <c r="I4" s="111"/>
      <c r="J4" s="63"/>
      <c r="K4" s="63"/>
    </row>
    <row r="5" spans="1:14">
      <c r="A5" s="72" t="s">
        <v>4</v>
      </c>
      <c r="B5" s="72" t="s">
        <v>5</v>
      </c>
      <c r="C5" s="72" t="s">
        <v>6</v>
      </c>
      <c r="D5" s="72" t="s">
        <v>7</v>
      </c>
      <c r="E5" s="72" t="s">
        <v>8</v>
      </c>
      <c r="F5" s="112" t="s">
        <v>9</v>
      </c>
      <c r="G5" s="113" t="s">
        <v>192</v>
      </c>
      <c r="H5" s="113" t="s">
        <v>193</v>
      </c>
      <c r="I5" s="113" t="s">
        <v>194</v>
      </c>
      <c r="J5" s="113" t="s">
        <v>214</v>
      </c>
      <c r="K5" s="112"/>
      <c r="L5" s="72"/>
      <c r="M5" s="72"/>
      <c r="N5" s="72"/>
    </row>
    <row r="6" spans="1:14">
      <c r="A6" s="72"/>
      <c r="B6" s="72" t="s">
        <v>10</v>
      </c>
      <c r="C6" s="72" t="s">
        <v>10</v>
      </c>
      <c r="D6" s="72" t="s">
        <v>10</v>
      </c>
      <c r="E6" s="72" t="s">
        <v>10</v>
      </c>
      <c r="F6" s="112" t="s">
        <v>10</v>
      </c>
      <c r="G6" s="113" t="s">
        <v>195</v>
      </c>
      <c r="H6" s="113" t="s">
        <v>195</v>
      </c>
      <c r="I6" s="113" t="s">
        <v>195</v>
      </c>
      <c r="J6" s="113" t="s">
        <v>195</v>
      </c>
      <c r="K6" s="112"/>
      <c r="L6" s="72"/>
      <c r="M6" s="72"/>
      <c r="N6" s="72"/>
    </row>
    <row r="7" spans="1:14">
      <c r="A7" s="9" t="s">
        <v>255</v>
      </c>
      <c r="F7" s="63"/>
      <c r="G7" s="63"/>
      <c r="H7" s="63"/>
      <c r="I7" s="63"/>
      <c r="J7" s="63"/>
      <c r="K7" s="63"/>
    </row>
    <row r="8" spans="1:14">
      <c r="A8" s="9" t="s">
        <v>256</v>
      </c>
      <c r="C8" s="139">
        <f>('Income Statement'!B8-'Income Statement'!B16)/('Income Statement'!B10)*100</f>
        <v>30.375435385251038</v>
      </c>
      <c r="D8" s="139">
        <f>('Income Statement'!C8-'Income Statement'!C16)/'Income Statement'!C10*100</f>
        <v>31.429359418499637</v>
      </c>
      <c r="E8" s="139">
        <f>('Income Statement'!D8-'Income Statement'!D16)/'Income Statement'!D10*100</f>
        <v>29.239945692955782</v>
      </c>
      <c r="F8" s="139">
        <f>('Income Statement'!E8-'Income Statement'!E16)/'Income Statement'!E10*100</f>
        <v>28.668162035242467</v>
      </c>
      <c r="G8" s="139">
        <f>('Income Statement'!F8-'Income Statement'!F16)/'Income Statement'!F10*100</f>
        <v>29.412950411764307</v>
      </c>
      <c r="H8" s="139">
        <f>('Income Statement'!G8-'Income Statement'!G16)/'Income Statement'!G10*100</f>
        <v>31.759149906261207</v>
      </c>
      <c r="I8" s="139">
        <f>('Income Statement'!H8-'Income Statement'!H16)/'Income Statement'!H10*100</f>
        <v>31.639614330093391</v>
      </c>
      <c r="J8" s="139">
        <f>('Income Statement'!I8-'Income Statement'!I16)/'Income Statement'!I10*100</f>
        <v>31.194395970975453</v>
      </c>
      <c r="K8" s="63"/>
    </row>
    <row r="9" spans="1:14">
      <c r="A9" s="9" t="s">
        <v>259</v>
      </c>
      <c r="C9" s="140">
        <f>('Income Statement'!B29-'Income Statement'!B9)/('Income Statement'!B10)*100</f>
        <v>12.795392591122178</v>
      </c>
      <c r="D9" s="140">
        <f>('Income Statement'!C29-'Income Statement'!C9)/('Income Statement'!C10)*100</f>
        <v>13.029999453075918</v>
      </c>
      <c r="E9" s="140">
        <f>('Income Statement'!D29-'Income Statement'!D9)/('Income Statement'!D10)*100</f>
        <v>10.527082290909471</v>
      </c>
      <c r="F9" s="140">
        <f>('Income Statement'!E29-'Income Statement'!E9)/('Income Statement'!E10)*100</f>
        <v>8.424153225123387</v>
      </c>
      <c r="G9" s="140">
        <f>('Income Statement'!F29-'Income Statement'!F9)/('Income Statement'!F10)*100</f>
        <v>9.7890742724978725</v>
      </c>
      <c r="H9" s="140">
        <f>('Income Statement'!G29-'Income Statement'!G9)/('Income Statement'!G10)*100</f>
        <v>12.799450123012626</v>
      </c>
      <c r="I9" s="140">
        <f>('Income Statement'!H29-'Income Statement'!H9)/('Income Statement'!H10)*100</f>
        <v>14.140379216789164</v>
      </c>
      <c r="J9" s="140">
        <f>('Income Statement'!I29-'Income Statement'!I9)/('Income Statement'!I10)*100</f>
        <v>15.045974960125664</v>
      </c>
      <c r="K9" s="63"/>
    </row>
    <row r="10" spans="1:14">
      <c r="A10" s="9" t="s">
        <v>257</v>
      </c>
      <c r="C10" s="114">
        <f>'Income Statement'!B36/'Income Statement'!B10</f>
        <v>0.10001309906586925</v>
      </c>
      <c r="D10" s="114">
        <f>'Income Statement'!C36/'Income Statement'!C10</f>
        <v>0.12203777244489741</v>
      </c>
      <c r="E10" s="114">
        <f>'Income Statement'!D36/'Income Statement'!D10</f>
        <v>9.3157394924467965E-2</v>
      </c>
      <c r="F10" s="114">
        <f>'Income Statement'!E36/'Income Statement'!E10</f>
        <v>7.7360910294825433E-2</v>
      </c>
      <c r="G10" s="114">
        <f>'Income Statement'!F36/'Income Statement'!F10</f>
        <v>8.2180088972997931E-2</v>
      </c>
      <c r="H10" s="114">
        <f>'Income Statement'!G36/'Income Statement'!G10</f>
        <v>9.8147999202675265E-2</v>
      </c>
      <c r="I10" s="114">
        <f>'Income Statement'!H36/'Income Statement'!H10</f>
        <v>0.11399033355185741</v>
      </c>
      <c r="J10" s="114">
        <f>'Income Statement'!I36/'Income Statement'!I10</f>
        <v>0.12523984534849769</v>
      </c>
      <c r="K10" s="63"/>
    </row>
    <row r="11" spans="1:14">
      <c r="A11" s="9" t="s">
        <v>216</v>
      </c>
      <c r="C11" s="114">
        <f>'Income Statement'!B29/'Income Statement'!B10</f>
        <v>0.14776784992971512</v>
      </c>
      <c r="D11" s="114">
        <f>'Income Statement'!C29/'Income Statement'!C10</f>
        <v>0.15466346160259431</v>
      </c>
      <c r="E11" s="114">
        <f>'Income Statement'!D29/'Income Statement'!D10</f>
        <v>0.1229723302500326</v>
      </c>
      <c r="F11" s="114">
        <f>'Income Statement'!E29/'Income Statement'!E10</f>
        <v>0.10267655031556529</v>
      </c>
      <c r="G11" s="114">
        <f>'Income Statement'!F29/'Income Statement'!F10</f>
        <v>0.11427579210530935</v>
      </c>
      <c r="H11" s="114">
        <f>'Income Statement'!G29/'Income Statement'!G10</f>
        <v>0.12799450123012626</v>
      </c>
      <c r="I11" s="114">
        <f>'Income Statement'!H29/'Income Statement'!H10</f>
        <v>0.14140379216789165</v>
      </c>
      <c r="J11" s="114">
        <f>'Income Statement'!I29/'Income Statement'!I10</f>
        <v>0.15045974960125663</v>
      </c>
      <c r="K11" s="63"/>
    </row>
    <row r="12" spans="1:14">
      <c r="A12" s="9" t="s">
        <v>254</v>
      </c>
      <c r="C12" s="114">
        <f>SUM('Income Statement'!B29,'Income Statement'!B20)/'Income Statement'!B10</f>
        <v>0.16578454748786459</v>
      </c>
      <c r="D12" s="114">
        <f>SUM('Income Statement'!C29,'Income Statement'!C20)/'Income Statement'!C10</f>
        <v>0.18286873688549415</v>
      </c>
      <c r="E12" s="114">
        <f>SUM('Income Statement'!D29,'Income Statement'!D20)/'Income Statement'!D10</f>
        <v>0.14566224229457733</v>
      </c>
      <c r="F12" s="114">
        <f>SUM('Income Statement'!E29,'Income Statement'!E20)/'Income Statement'!E10</f>
        <v>0.12557940549964808</v>
      </c>
      <c r="G12" s="114">
        <f>SUM('Income Statement'!F29,'Income Statement'!F20)/'Income Statement'!F10</f>
        <v>0.13435763528442532</v>
      </c>
      <c r="H12" s="114">
        <f>SUM('Income Statement'!G29,'Income Statement'!G20)/'Income Statement'!G10</f>
        <v>0.1508222352836589</v>
      </c>
      <c r="I12" s="114">
        <f>SUM('Income Statement'!H29,'Income Statement'!H20)/'Income Statement'!H10</f>
        <v>0.16359615878586029</v>
      </c>
      <c r="J12" s="114">
        <f>SUM('Income Statement'!I29,'Income Statement'!I20)/'Income Statement'!I10</f>
        <v>0.17227190527506586</v>
      </c>
      <c r="K12" s="63"/>
    </row>
    <row r="13" spans="1:14">
      <c r="A13" s="9" t="s">
        <v>258</v>
      </c>
      <c r="C13" s="114">
        <f>'Income Statement'!C8/'Income Statement'!B8-1</f>
        <v>-0.13884605161333252</v>
      </c>
      <c r="D13" s="115">
        <f>'Income Statement'!D8/'Income Statement'!C8-1</f>
        <v>5.8241372851159934E-2</v>
      </c>
      <c r="E13" s="115">
        <f>'Income Statement'!E8/'Income Statement'!D8-1</f>
        <v>-4.5476318986381714E-2</v>
      </c>
      <c r="F13" s="116">
        <f>'Income Statement'!F8/'Income Statement'!E8-1</f>
        <v>0.15590187633158359</v>
      </c>
      <c r="G13" s="116">
        <f>'Income Statement'!G8/'Income Statement'!F8-1</f>
        <v>0.14802148111239455</v>
      </c>
      <c r="H13" s="116">
        <f>'Income Statement'!H8/'Income Statement'!G8-1</f>
        <v>0.15999999999999992</v>
      </c>
      <c r="I13" s="116">
        <f>'Income Statement'!I8/'Income Statement'!H8-1</f>
        <v>0.15999999999999992</v>
      </c>
      <c r="J13" s="116">
        <f>'Income Statement'!J8/'Income Statement'!I8-1</f>
        <v>0.15999999999999992</v>
      </c>
      <c r="K13" s="63"/>
    </row>
  </sheetData>
  <mergeCells count="1">
    <mergeCell ref="B3:D4"/>
  </mergeCells>
  <conditionalFormatting sqref="C8:J1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Income Statement</vt:lpstr>
      <vt:lpstr>Balance sheet </vt:lpstr>
      <vt:lpstr>CFS</vt:lpstr>
      <vt:lpstr>Cost Sheet</vt:lpstr>
      <vt:lpstr>Working Capital</vt:lpstr>
      <vt:lpstr>Revenue Schedule</vt:lpstr>
      <vt:lpstr>DCF</vt:lpstr>
      <vt:lpstr>Margin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Piyush Sharma</dc:creator>
  <cp:lastModifiedBy>Sakshi jas</cp:lastModifiedBy>
  <cp:lastPrinted>2023-12-04T19:04:53Z</cp:lastPrinted>
  <dcterms:created xsi:type="dcterms:W3CDTF">2023-11-26T06:17:00Z</dcterms:created>
  <dcterms:modified xsi:type="dcterms:W3CDTF">2023-12-13T07:20:06Z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68F51D9F4D0446E2A3958EF975D8E5B6_13</vt:lpwstr>
  </property>
  <property fmtid="{D5CDD505-2E9C-101B-9397-08002B2CF9AE}" pid="3" name="KSOProductBuildVer">
    <vt:lpwstr>1033-12.2.0.13306</vt:lpwstr>
  </property>
</Properties>
</file>