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3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whitecapsgc-my.sharepoint.com/personal/fkhoury_gc_edu/Documents/Math/Math 1342/excel/"/>
    </mc:Choice>
  </mc:AlternateContent>
  <xr:revisionPtr revIDLastSave="169" documentId="11_A1D96020BD9FF91B6F91B8E0A05DF932AE4825C6" xr6:coauthVersionLast="45" xr6:coauthVersionMax="45" xr10:uidLastSave="{A547D36C-734E-4CBC-B9BA-99FCA0732528}"/>
  <bookViews>
    <workbookView xWindow="234" yWindow="48" windowWidth="9504" windowHeight="11712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" l="1"/>
  <c r="F26" i="1" l="1"/>
  <c r="O32" i="9" l="1"/>
  <c r="N32" i="9"/>
  <c r="M32" i="9"/>
  <c r="M8" i="1"/>
  <c r="M9" i="1" s="1"/>
  <c r="M10" i="1" s="1"/>
  <c r="AB5" i="1"/>
  <c r="AB6" i="1" s="1"/>
  <c r="AB7" i="1" s="1"/>
  <c r="AB8" i="1" s="1"/>
  <c r="AB9" i="1" s="1"/>
  <c r="AB10" i="1" s="1"/>
  <c r="D6" i="1"/>
  <c r="D7" i="1"/>
  <c r="D8" i="1"/>
  <c r="D9" i="1"/>
  <c r="D10" i="1"/>
  <c r="D11" i="1"/>
  <c r="D12" i="1"/>
  <c r="D13" i="1"/>
  <c r="D14" i="1"/>
  <c r="D15" i="1"/>
  <c r="D16" i="1"/>
  <c r="D5" i="1"/>
  <c r="O6" i="1"/>
  <c r="P2" i="1"/>
  <c r="AC6" i="1" s="1"/>
  <c r="M33" i="1"/>
  <c r="I34" i="1"/>
  <c r="J34" i="1"/>
  <c r="K34" i="1"/>
  <c r="L34" i="1"/>
  <c r="H34" i="1"/>
  <c r="M28" i="1"/>
  <c r="F16" i="1"/>
  <c r="G16" i="1"/>
  <c r="H16" i="1"/>
  <c r="H5" i="9"/>
  <c r="T5" i="9"/>
  <c r="T6" i="9"/>
  <c r="T8" i="9"/>
  <c r="T9" i="9"/>
  <c r="T4" i="9"/>
  <c r="T7" i="9"/>
  <c r="T10" i="9"/>
  <c r="T11" i="9"/>
  <c r="T12" i="9"/>
  <c r="AA4" i="9"/>
  <c r="AA5" i="9"/>
  <c r="AA6" i="9"/>
  <c r="AA7" i="9"/>
  <c r="AA8" i="9"/>
  <c r="L6" i="11"/>
  <c r="H29" i="11"/>
  <c r="B2" i="11"/>
  <c r="B3" i="11"/>
  <c r="AA14" i="1"/>
  <c r="AA15" i="1"/>
  <c r="AA16" i="1"/>
  <c r="AA17" i="1"/>
  <c r="AA18" i="1"/>
  <c r="Z14" i="1"/>
  <c r="Z15" i="1"/>
  <c r="Z16" i="1"/>
  <c r="Z17" i="1"/>
  <c r="Z18" i="1"/>
  <c r="AA19" i="1"/>
  <c r="F10" i="1"/>
  <c r="C2" i="1"/>
  <c r="L24" i="1"/>
  <c r="L25" i="1"/>
  <c r="L23" i="1"/>
  <c r="P4" i="1"/>
  <c r="Y12" i="1"/>
  <c r="Y13" i="1"/>
  <c r="Y14" i="1"/>
  <c r="Y15" i="1"/>
  <c r="Y16" i="1"/>
  <c r="Y17" i="1"/>
  <c r="Y18" i="1"/>
  <c r="Y6" i="1"/>
  <c r="Y7" i="1"/>
  <c r="Y8" i="1"/>
  <c r="Y9" i="1"/>
  <c r="Y10" i="1"/>
  <c r="Y11" i="1"/>
  <c r="Y5" i="1"/>
  <c r="Z12" i="1"/>
  <c r="AA12" i="1"/>
  <c r="Z13" i="1"/>
  <c r="AA13" i="1"/>
  <c r="AA8" i="1"/>
  <c r="Z8" i="1"/>
  <c r="AA7" i="1"/>
  <c r="Z7" i="1"/>
  <c r="AA6" i="1"/>
  <c r="Z6" i="1"/>
  <c r="Z5" i="1"/>
  <c r="AA5" i="1"/>
  <c r="AA9" i="1"/>
  <c r="Z9" i="1"/>
  <c r="AA11" i="1"/>
  <c r="Z11" i="1"/>
  <c r="AA10" i="1"/>
  <c r="Z10" i="1"/>
  <c r="I25" i="1"/>
  <c r="H25" i="1"/>
  <c r="I24" i="1"/>
  <c r="H24" i="1"/>
  <c r="I23" i="1"/>
  <c r="H23" i="1"/>
  <c r="F7" i="6"/>
  <c r="F13" i="1"/>
  <c r="AP18" i="9"/>
  <c r="AP10" i="9"/>
  <c r="AP6" i="9"/>
  <c r="AJ2" i="9"/>
  <c r="AL6" i="9"/>
  <c r="AM6" i="9"/>
  <c r="AN6" i="9"/>
  <c r="AK6" i="9"/>
  <c r="AJ6" i="9"/>
  <c r="AJ3" i="9"/>
  <c r="AJ4" i="9"/>
  <c r="AJ5" i="9"/>
  <c r="AO2" i="9"/>
  <c r="AO3" i="9"/>
  <c r="AO4" i="9"/>
  <c r="AN7" i="9"/>
  <c r="AO5" i="9"/>
  <c r="AL7" i="9"/>
  <c r="AK7" i="9"/>
  <c r="AM7" i="9"/>
  <c r="AN9" i="9"/>
  <c r="AP15" i="9"/>
  <c r="AK9" i="9"/>
  <c r="AP3" i="9"/>
  <c r="AN12" i="9"/>
  <c r="AK11" i="9"/>
  <c r="AP5" i="9"/>
  <c r="AM11" i="9"/>
  <c r="AP13" i="9"/>
  <c r="AL12" i="9"/>
  <c r="AN10" i="9"/>
  <c r="AP16" i="9"/>
  <c r="AL9" i="9"/>
  <c r="AP7" i="9"/>
  <c r="AM9" i="9"/>
  <c r="AP11" i="9"/>
  <c r="AL10" i="9"/>
  <c r="AP8" i="9"/>
  <c r="AN11" i="9"/>
  <c r="AP17" i="9"/>
  <c r="AK10" i="9"/>
  <c r="AP4" i="9"/>
  <c r="AL11" i="9"/>
  <c r="AP9" i="9"/>
  <c r="AM10" i="9"/>
  <c r="AP12" i="9"/>
  <c r="AK12" i="9"/>
  <c r="AM12" i="9"/>
  <c r="AP14" i="9"/>
  <c r="AK14" i="9"/>
  <c r="AD9" i="9"/>
  <c r="AD10" i="9"/>
  <c r="AD11" i="9"/>
  <c r="AD12" i="9"/>
  <c r="AD13" i="9"/>
  <c r="AD14" i="9"/>
  <c r="D16" i="9"/>
  <c r="C16" i="9"/>
  <c r="L32" i="9"/>
  <c r="L30" i="9"/>
  <c r="M30" i="9"/>
  <c r="N30" i="9"/>
  <c r="P30" i="9"/>
  <c r="O30" i="9"/>
  <c r="D5" i="11"/>
  <c r="D6" i="11"/>
  <c r="K29" i="11"/>
  <c r="I15" i="11"/>
  <c r="M17" i="6"/>
  <c r="N17" i="6"/>
  <c r="X3" i="6"/>
  <c r="X2" i="6"/>
  <c r="N8" i="6"/>
  <c r="K14" i="10"/>
  <c r="L14" i="10"/>
  <c r="K15" i="10"/>
  <c r="L15" i="10"/>
  <c r="K16" i="10"/>
  <c r="L16" i="10"/>
  <c r="K17" i="10"/>
  <c r="L17" i="10"/>
  <c r="K18" i="10"/>
  <c r="L18" i="10"/>
  <c r="K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L19" i="10"/>
  <c r="D23" i="10"/>
  <c r="G8" i="1"/>
  <c r="H8" i="1" s="1"/>
  <c r="E8" i="1"/>
  <c r="F8" i="1" s="1"/>
  <c r="E6" i="1"/>
  <c r="F8" i="6"/>
  <c r="K2" i="6"/>
  <c r="G24" i="6"/>
  <c r="F12" i="6"/>
  <c r="J9" i="1"/>
  <c r="J8" i="1"/>
  <c r="J7" i="1"/>
  <c r="J6" i="1"/>
  <c r="K14" i="1"/>
  <c r="K13" i="1"/>
  <c r="K12" i="1"/>
  <c r="K11" i="1"/>
  <c r="J5" i="1"/>
  <c r="K9" i="1"/>
  <c r="K7" i="1"/>
  <c r="K8" i="1"/>
  <c r="K10" i="1"/>
  <c r="K6" i="1"/>
  <c r="G21" i="6"/>
  <c r="G22" i="6"/>
  <c r="G14" i="6"/>
  <c r="G20" i="6"/>
  <c r="G23" i="6"/>
  <c r="G17" i="6"/>
  <c r="G13" i="6"/>
  <c r="G16" i="6"/>
  <c r="G19" i="6"/>
  <c r="G15" i="6"/>
  <c r="G18" i="6"/>
  <c r="F17" i="10"/>
  <c r="E3" i="9"/>
  <c r="S1" i="9"/>
  <c r="AA13" i="9"/>
  <c r="AA14" i="9"/>
  <c r="AA12" i="9"/>
  <c r="C10" i="9"/>
  <c r="C11" i="9"/>
  <c r="C12" i="9"/>
  <c r="C13" i="9"/>
  <c r="C14" i="9"/>
  <c r="C15" i="9"/>
  <c r="J6" i="11"/>
  <c r="J5" i="11"/>
  <c r="G12" i="10"/>
  <c r="T3" i="6"/>
  <c r="T6" i="6"/>
  <c r="E5" i="11"/>
  <c r="F9" i="6"/>
  <c r="X20" i="9"/>
  <c r="X17" i="9"/>
  <c r="X12" i="9"/>
  <c r="V9" i="9"/>
  <c r="U16" i="9"/>
  <c r="U17" i="9"/>
  <c r="T13" i="9"/>
  <c r="U13" i="9"/>
  <c r="T14" i="9"/>
  <c r="U14" i="9"/>
  <c r="T15" i="9"/>
  <c r="U15" i="9"/>
  <c r="U12" i="9"/>
  <c r="X14" i="9"/>
  <c r="X16" i="9"/>
  <c r="U9" i="9"/>
  <c r="U10" i="9"/>
  <c r="U11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F5" i="9"/>
  <c r="F3" i="9"/>
  <c r="Y12" i="9"/>
  <c r="D17" i="9"/>
  <c r="AG12" i="9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/>
  <c r="D5" i="9"/>
  <c r="C6" i="9"/>
  <c r="D6" i="9"/>
  <c r="C7" i="9"/>
  <c r="D7" i="9"/>
  <c r="C8" i="9"/>
  <c r="D8" i="9"/>
  <c r="C9" i="9"/>
  <c r="D9" i="9"/>
  <c r="D10" i="9"/>
  <c r="D11" i="9"/>
  <c r="C4" i="9"/>
  <c r="D4" i="9"/>
  <c r="O27" i="9"/>
  <c r="K27" i="9"/>
  <c r="N27" i="9"/>
  <c r="M27" i="9"/>
  <c r="L27" i="9"/>
  <c r="O8" i="9"/>
  <c r="Q17" i="11"/>
  <c r="I31" i="11"/>
  <c r="I29" i="11"/>
  <c r="X11" i="11"/>
  <c r="K23" i="11"/>
  <c r="M23" i="11"/>
  <c r="R32" i="11"/>
  <c r="Q29" i="11"/>
  <c r="T27" i="11"/>
  <c r="S27" i="11"/>
  <c r="X6" i="11"/>
  <c r="X9" i="11"/>
  <c r="Z9" i="11"/>
  <c r="Z5" i="11"/>
  <c r="Z4" i="11"/>
  <c r="Y4" i="11"/>
  <c r="X4" i="11"/>
  <c r="Y9" i="11"/>
  <c r="T32" i="11"/>
  <c r="Q32" i="11"/>
  <c r="S32" i="11"/>
  <c r="Q27" i="11"/>
  <c r="L23" i="11"/>
  <c r="I27" i="11"/>
  <c r="J27" i="11"/>
  <c r="J29" i="11"/>
  <c r="J31" i="11"/>
  <c r="K31" i="11"/>
  <c r="I33" i="11"/>
  <c r="J33" i="11"/>
  <c r="L33" i="11"/>
  <c r="M33" i="11"/>
  <c r="K27" i="11"/>
  <c r="L27" i="11"/>
  <c r="M27" i="11"/>
  <c r="R27" i="11"/>
  <c r="R29" i="11"/>
  <c r="S29" i="11"/>
  <c r="J23" i="11"/>
  <c r="M29" i="11"/>
  <c r="L29" i="11"/>
  <c r="K33" i="11"/>
  <c r="K25" i="11"/>
  <c r="L25" i="11"/>
  <c r="M25" i="11"/>
  <c r="E8" i="11"/>
  <c r="R20" i="11"/>
  <c r="Q20" i="11"/>
  <c r="R23" i="11"/>
  <c r="R24" i="11"/>
  <c r="Q22" i="11"/>
  <c r="Q23" i="11"/>
  <c r="Q24" i="11"/>
  <c r="R22" i="11"/>
  <c r="J2" i="11"/>
  <c r="E10" i="11"/>
  <c r="Q15" i="11"/>
  <c r="R15" i="11"/>
  <c r="Q12" i="11"/>
  <c r="Q11" i="11"/>
  <c r="S15" i="11"/>
  <c r="R8" i="11"/>
  <c r="R7" i="11"/>
  <c r="R4" i="11"/>
  <c r="R3" i="11"/>
  <c r="R5" i="11"/>
  <c r="I23" i="11"/>
  <c r="I21" i="11"/>
  <c r="J21" i="11"/>
  <c r="L21" i="11"/>
  <c r="I18" i="11"/>
  <c r="K21" i="11"/>
  <c r="J15" i="11"/>
  <c r="L4" i="11"/>
  <c r="L5" i="11"/>
  <c r="J4" i="11"/>
  <c r="D3" i="11"/>
  <c r="D2" i="11"/>
  <c r="D4" i="11"/>
  <c r="F2" i="11"/>
  <c r="L15" i="11"/>
  <c r="K15" i="11"/>
  <c r="M15" i="11"/>
  <c r="K16" i="11"/>
  <c r="C4" i="11"/>
  <c r="C5" i="11"/>
  <c r="C6" i="11"/>
  <c r="C3" i="11"/>
  <c r="C2" i="11"/>
  <c r="F3" i="11"/>
  <c r="F4" i="11"/>
  <c r="H3" i="11"/>
  <c r="I9" i="11"/>
  <c r="K17" i="6"/>
  <c r="J3" i="11"/>
  <c r="H7" i="11"/>
  <c r="J9" i="11"/>
  <c r="K9" i="11"/>
  <c r="G21" i="1"/>
  <c r="I11" i="11"/>
  <c r="J11" i="11"/>
  <c r="L11" i="11"/>
  <c r="J7" i="11"/>
  <c r="L9" i="11"/>
  <c r="K11" i="11"/>
  <c r="B2" i="1"/>
  <c r="G6" i="1"/>
  <c r="H6" i="1" s="1"/>
  <c r="H4" i="1"/>
  <c r="G4" i="1"/>
  <c r="F4" i="1"/>
  <c r="E4" i="1"/>
  <c r="I16" i="1"/>
  <c r="E16" i="1"/>
  <c r="B1" i="9"/>
  <c r="A1" i="9"/>
  <c r="AF8" i="9"/>
  <c r="AF7" i="9"/>
  <c r="AG36" i="9"/>
  <c r="AH36" i="9"/>
  <c r="I20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/>
  <c r="H3" i="10"/>
  <c r="H10" i="9"/>
  <c r="M22" i="9"/>
  <c r="M13" i="9"/>
  <c r="M21" i="9"/>
  <c r="O21" i="9"/>
  <c r="L21" i="9"/>
  <c r="N21" i="9"/>
  <c r="E5" i="9"/>
  <c r="L17" i="9"/>
  <c r="M17" i="9"/>
  <c r="F12" i="9"/>
  <c r="M24" i="9"/>
  <c r="L24" i="9"/>
  <c r="G26" i="9"/>
  <c r="I19" i="9"/>
  <c r="G19" i="9"/>
  <c r="L8" i="9"/>
  <c r="G24" i="9"/>
  <c r="H24" i="9"/>
  <c r="H26" i="9"/>
  <c r="G17" i="9"/>
  <c r="H17" i="9"/>
  <c r="H19" i="9"/>
  <c r="G21" i="9"/>
  <c r="C5" i="10"/>
  <c r="C6" i="10"/>
  <c r="C7" i="10"/>
  <c r="C8" i="10"/>
  <c r="C9" i="10"/>
  <c r="C4" i="10"/>
  <c r="B1" i="10"/>
  <c r="A1" i="10"/>
  <c r="E3" i="10"/>
  <c r="N8" i="9"/>
  <c r="M8" i="9"/>
  <c r="P8" i="9"/>
  <c r="F31" i="9"/>
  <c r="E31" i="9"/>
  <c r="G31" i="9"/>
  <c r="G32" i="9"/>
  <c r="E32" i="9"/>
  <c r="H28" i="9"/>
  <c r="G28" i="9"/>
  <c r="F32" i="9"/>
  <c r="H21" i="9"/>
  <c r="L13" i="9"/>
  <c r="O13" i="9"/>
  <c r="D6" i="10"/>
  <c r="E6" i="10"/>
  <c r="L11" i="9"/>
  <c r="M11" i="9"/>
  <c r="L15" i="9"/>
  <c r="K5" i="10"/>
  <c r="L5" i="10"/>
  <c r="K13" i="10"/>
  <c r="L13" i="10"/>
  <c r="K6" i="10"/>
  <c r="L6" i="10"/>
  <c r="K7" i="10"/>
  <c r="L7" i="10"/>
  <c r="K10" i="10"/>
  <c r="L10" i="10"/>
  <c r="K8" i="10"/>
  <c r="L8" i="10"/>
  <c r="K11" i="10"/>
  <c r="L11" i="10"/>
  <c r="K9" i="10"/>
  <c r="L9" i="10"/>
  <c r="K4" i="10"/>
  <c r="L4" i="10"/>
  <c r="K12" i="10"/>
  <c r="L12" i="10"/>
  <c r="F7" i="10"/>
  <c r="F10" i="10"/>
  <c r="O11" i="9"/>
  <c r="P13" i="9"/>
  <c r="F6" i="10"/>
  <c r="N13" i="9"/>
  <c r="N11" i="9"/>
  <c r="P11" i="9"/>
  <c r="AG11" i="9"/>
  <c r="AG10" i="9"/>
  <c r="AG9" i="9"/>
  <c r="AG8" i="9"/>
  <c r="AG7" i="9"/>
  <c r="AG6" i="9"/>
  <c r="AG5" i="9"/>
  <c r="AG4" i="9"/>
  <c r="D10" i="10"/>
  <c r="E8" i="9"/>
  <c r="AH6" i="9"/>
  <c r="AH16" i="9"/>
  <c r="AH14" i="9"/>
  <c r="AH13" i="9"/>
  <c r="AH15" i="9"/>
  <c r="AH12" i="9"/>
  <c r="AH9" i="9"/>
  <c r="AH11" i="9"/>
  <c r="AH10" i="9"/>
  <c r="AH8" i="9"/>
  <c r="AH4" i="9"/>
  <c r="AH7" i="9"/>
  <c r="AH5" i="9"/>
  <c r="F8" i="9"/>
  <c r="G8" i="9"/>
  <c r="G3" i="9"/>
  <c r="F13" i="9"/>
  <c r="F14" i="9"/>
  <c r="G14" i="9"/>
  <c r="H14" i="9"/>
  <c r="E10" i="9"/>
  <c r="H3" i="9"/>
  <c r="L8" i="6"/>
  <c r="G12" i="9"/>
  <c r="H12" i="9"/>
  <c r="G10" i="9"/>
  <c r="F10" i="9"/>
  <c r="K27" i="6"/>
  <c r="K25" i="6"/>
  <c r="L25" i="6"/>
  <c r="M25" i="6"/>
  <c r="L12" i="6"/>
  <c r="K12" i="6"/>
  <c r="K8" i="6"/>
  <c r="M8" i="6"/>
  <c r="L6" i="6"/>
  <c r="O8" i="6"/>
  <c r="K6" i="6"/>
  <c r="K19" i="6"/>
  <c r="K21" i="6"/>
  <c r="L17" i="6"/>
  <c r="M12" i="6"/>
  <c r="N12" i="6"/>
  <c r="M6" i="6"/>
  <c r="N6" i="6"/>
  <c r="O6" i="6"/>
  <c r="M2" i="6"/>
  <c r="L2" i="6"/>
  <c r="E10" i="6"/>
  <c r="E11" i="6"/>
  <c r="E7" i="6"/>
  <c r="E8" i="6"/>
  <c r="E9" i="6"/>
  <c r="E3" i="6"/>
  <c r="E4" i="6"/>
  <c r="E5" i="6"/>
  <c r="E6" i="6"/>
  <c r="E2" i="6"/>
  <c r="G2" i="6"/>
  <c r="Q19" i="1"/>
  <c r="Q20" i="1"/>
  <c r="Q21" i="1"/>
  <c r="Q22" i="1"/>
  <c r="Q23" i="1"/>
  <c r="D3" i="6"/>
  <c r="D2" i="6"/>
  <c r="D9" i="6"/>
  <c r="D6" i="6"/>
  <c r="D10" i="6"/>
  <c r="D8" i="6"/>
  <c r="D4" i="6"/>
  <c r="D7" i="6"/>
  <c r="D11" i="6"/>
  <c r="D5" i="6"/>
  <c r="B1" i="4"/>
  <c r="B14" i="5"/>
  <c r="C11" i="5"/>
  <c r="G3" i="6"/>
  <c r="G4" i="6"/>
  <c r="C10" i="5"/>
  <c r="D10" i="5"/>
  <c r="C8" i="5"/>
  <c r="D8" i="5"/>
  <c r="C9" i="5"/>
  <c r="C7" i="5"/>
  <c r="D7" i="5"/>
  <c r="C6" i="5"/>
  <c r="D6" i="5"/>
  <c r="C5" i="5"/>
  <c r="D5" i="5"/>
  <c r="C4" i="5"/>
  <c r="D4" i="5"/>
  <c r="C13" i="5"/>
  <c r="C12" i="5"/>
  <c r="D12" i="5"/>
  <c r="D13" i="5"/>
  <c r="D9" i="5"/>
  <c r="D11" i="5"/>
  <c r="E1" i="4"/>
  <c r="C1" i="4"/>
  <c r="D1" i="4"/>
  <c r="F1" i="4"/>
  <c r="G1" i="4"/>
  <c r="H1" i="4"/>
  <c r="F18" i="1"/>
  <c r="R26" i="1"/>
  <c r="R24" i="1"/>
  <c r="R25" i="1"/>
  <c r="R19" i="1"/>
  <c r="R20" i="1"/>
  <c r="R21" i="1"/>
  <c r="R23" i="1"/>
  <c r="R22" i="1"/>
  <c r="AD4" i="9"/>
  <c r="Q4" i="9"/>
  <c r="U4" i="9"/>
  <c r="AD5" i="9"/>
  <c r="Q5" i="9"/>
  <c r="U5" i="9"/>
  <c r="AD6" i="9"/>
  <c r="Q6" i="9"/>
  <c r="U6" i="9"/>
  <c r="U7" i="9"/>
  <c r="Q7" i="9"/>
  <c r="AD7" i="9"/>
  <c r="W4" i="9"/>
  <c r="AD8" i="9"/>
  <c r="Q8" i="9"/>
  <c r="U8" i="9"/>
  <c r="V4" i="9"/>
  <c r="W9" i="9"/>
  <c r="V7" i="9"/>
  <c r="W7" i="9"/>
  <c r="Y7" i="9"/>
  <c r="AB7" i="9"/>
  <c r="AB11" i="9"/>
  <c r="AB4" i="9"/>
  <c r="AB8" i="9"/>
  <c r="AB5" i="9"/>
  <c r="AB9" i="9"/>
  <c r="AB6" i="9"/>
  <c r="AB10" i="9"/>
  <c r="X7" i="9"/>
  <c r="U8" i="1" l="1"/>
  <c r="AC9" i="1"/>
  <c r="U4" i="1"/>
  <c r="AC8" i="1"/>
  <c r="AC5" i="1"/>
  <c r="AD5" i="1" s="1"/>
  <c r="AD6" i="1" s="1"/>
  <c r="AE6" i="1" s="1"/>
  <c r="U6" i="1"/>
  <c r="AC7" i="1"/>
  <c r="AC10" i="1"/>
  <c r="R6" i="1"/>
  <c r="O7" i="1"/>
  <c r="Q6" i="1"/>
  <c r="Q5" i="1"/>
  <c r="R5" i="1"/>
  <c r="F12" i="1"/>
  <c r="G10" i="1"/>
  <c r="E10" i="1"/>
  <c r="G12" i="1"/>
  <c r="G18" i="1"/>
  <c r="I18" i="1" s="1"/>
  <c r="F6" i="1"/>
  <c r="AD7" i="1" l="1"/>
  <c r="AD8" i="1" s="1"/>
  <c r="AD9" i="1" s="1"/>
  <c r="AD10" i="1" s="1"/>
  <c r="U11" i="1"/>
  <c r="O8" i="1"/>
  <c r="Q7" i="1"/>
  <c r="R7" i="1"/>
  <c r="H18" i="1"/>
  <c r="Q8" i="1" l="1"/>
  <c r="R8" i="1"/>
  <c r="O9" i="1"/>
  <c r="Q9" i="1" l="1"/>
  <c r="R9" i="1"/>
  <c r="O10" i="1"/>
  <c r="O11" i="1" l="1"/>
  <c r="R10" i="1"/>
  <c r="Q10" i="1"/>
  <c r="Q11" i="1" l="1"/>
  <c r="O12" i="1"/>
  <c r="R11" i="1"/>
  <c r="Q12" i="1" l="1"/>
  <c r="O13" i="1"/>
  <c r="R12" i="1"/>
  <c r="O14" i="1" l="1"/>
  <c r="R13" i="1"/>
  <c r="Q13" i="1"/>
  <c r="Q14" i="1" l="1"/>
  <c r="R14" i="1"/>
  <c r="O15" i="1"/>
  <c r="R15" i="1" l="1"/>
  <c r="Q15" i="1"/>
  <c r="O16" i="1"/>
  <c r="R16" i="1" l="1"/>
  <c r="O17" i="1"/>
  <c r="Q16" i="1"/>
  <c r="O18" i="1" l="1"/>
  <c r="Q17" i="1"/>
  <c r="R17" i="1"/>
  <c r="R18" i="1" l="1"/>
  <c r="Q18" i="1"/>
  <c r="U10" i="1" s="1"/>
  <c r="T4" i="1" l="1"/>
  <c r="U9" i="1"/>
  <c r="T6" i="1" s="1"/>
  <c r="R4" i="1"/>
  <c r="S20" i="1" l="1"/>
  <c r="S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8" i="1" l="1"/>
</calcChain>
</file>

<file path=xl/sharedStrings.xml><?xml version="1.0" encoding="utf-8"?>
<sst xmlns="http://schemas.openxmlformats.org/spreadsheetml/2006/main" count="401" uniqueCount="194">
  <si>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</si>
  <si>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</si>
  <si>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</si>
  <si>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</si>
  <si>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</si>
  <si>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</si>
  <si>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</si>
  <si>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</si>
  <si>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</si>
  <si>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</si>
  <si>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</si>
  <si>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</si>
  <si>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</si>
  <si>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</si>
  <si>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</si>
  <si>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</si>
  <si>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</si>
  <si>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</si>
  <si>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</si>
  <si>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</si>
  <si>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</si>
  <si>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</si>
  <si>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</si>
  <si>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</si>
  <si>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</si>
  <si>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</si>
  <si>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</si>
  <si>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</si>
  <si>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</si>
  <si>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</si>
  <si>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</si>
  <si>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</si>
  <si>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</si>
  <si>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</si>
  <si>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</si>
  <si>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</si>
  <si>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</si>
  <si>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</si>
  <si>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</si>
  <si>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</si>
  <si>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</si>
  <si>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</si>
  <si>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</si>
  <si>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</si>
  <si>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</si>
  <si>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</si>
  <si>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</si>
  <si>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</si>
  <si>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</si>
  <si>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</si>
  <si>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</si>
  <si>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</si>
  <si>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</si>
  <si>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</si>
  <si>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</si>
  <si>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</si>
  <si>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</si>
  <si>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</si>
  <si>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</si>
  <si>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</si>
  <si>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</si>
  <si>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</si>
  <si>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</si>
  <si>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</si>
  <si>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</si>
  <si>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</si>
  <si>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</si>
  <si>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</si>
  <si>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</si>
  <si>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</si>
  <si>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</si>
  <si>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</si>
  <si>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</si>
  <si>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</si>
  <si>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</si>
  <si>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</si>
  <si>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</si>
  <si>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</si>
  <si>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</si>
  <si>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</si>
  <si>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</si>
  <si>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</si>
  <si>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</si>
  <si>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</si>
  <si>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</si>
  <si>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</si>
  <si>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</si>
  <si>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</si>
  <si>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</si>
  <si>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</si>
  <si>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</si>
  <si>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</si>
  <si>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</si>
  <si>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</si>
  <si>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</si>
  <si>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</si>
  <si>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</si>
  <si>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</si>
  <si>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</si>
  <si>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</si>
  <si>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</si>
  <si>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</si>
  <si>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</si>
  <si>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</si>
  <si>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</si>
  <si>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</si>
  <si>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</si>
  <si>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</si>
  <si>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</si>
  <si>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</si>
  <si>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</si>
  <si>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</si>
  <si>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</si>
  <si>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</si>
  <si>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</si>
  <si>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</si>
  <si>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</si>
  <si>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</si>
  <si>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</si>
  <si>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</si>
  <si>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</si>
  <si>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</si>
  <si>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</si>
  <si>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</si>
  <si>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</si>
  <si>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</si>
  <si>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</si>
  <si>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</si>
  <si>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</si>
  <si>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</si>
  <si>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</si>
  <si>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</si>
  <si>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</si>
  <si>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</si>
  <si>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</si>
  <si>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</si>
  <si>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</si>
  <si>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</si>
  <si>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</si>
  <si>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</si>
  <si>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</si>
  <si>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</si>
  <si>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</si>
  <si>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</si>
  <si>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</si>
  <si>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</si>
  <si>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</si>
  <si>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</si>
  <si>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</si>
  <si>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</si>
  <si>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</si>
  <si>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</si>
  <si>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</si>
  <si>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</si>
  <si>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</si>
  <si>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</si>
  <si>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</si>
  <si>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</si>
  <si>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</si>
  <si>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</si>
  <si>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</si>
  <si>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</si>
  <si>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</si>
  <si>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</si>
  <si>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</si>
  <si>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</si>
  <si>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</si>
  <si>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</si>
  <si>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</si>
  <si>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</si>
  <si>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</si>
  <si>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</si>
  <si>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</si>
  <si>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</si>
  <si>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</si>
  <si>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</si>
  <si>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</si>
  <si>
    <t>Range</t>
  </si>
  <si>
    <t>Lo</t>
  </si>
  <si>
    <t>Hi</t>
  </si>
  <si>
    <t>outside</t>
  </si>
  <si>
    <t>Greater</t>
  </si>
  <si>
    <t>Greater than</t>
  </si>
  <si>
    <r>
      <t>t</t>
    </r>
    <r>
      <rPr>
        <b/>
        <sz val="11"/>
        <color rgb="FFFF0000"/>
        <rFont val="Times New Roman"/>
        <family val="1"/>
      </rPr>
      <t>-2</t>
    </r>
    <r>
      <rPr>
        <b/>
        <i/>
        <sz val="11"/>
        <color rgb="FFFF0000"/>
        <rFont val="Times New Roman"/>
        <family val="1"/>
      </rPr>
      <t>Tail</t>
    </r>
  </si>
  <si>
    <t>t-critical &gt;&lt;</t>
  </si>
  <si>
    <t>C</t>
  </si>
  <si>
    <t>D</t>
  </si>
  <si>
    <t>GPA</t>
  </si>
  <si>
    <t>Weighted</t>
  </si>
  <si>
    <r>
      <t xml:space="preserve">Std. Dev </t>
    </r>
    <r>
      <rPr>
        <b/>
        <i/>
        <sz val="10"/>
        <color rgb="FFFF0000"/>
        <rFont val="Calibri"/>
        <family val="2"/>
        <scheme val="minor"/>
      </rPr>
      <t>(P)</t>
    </r>
  </si>
  <si>
    <t>CF</t>
  </si>
  <si>
    <t>P</t>
  </si>
  <si>
    <t>CP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</si>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</sst>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10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CC"/>
      <name val="Times New Roman"/>
      <family val="1"/>
    </font>
    <font>
      <sz val="13"/>
      <color rgb="FF0000CC"/>
      <name val="Times New Roman"/>
      <family val="1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2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i/>
      <sz val="8"/>
      <color theme="2" tint="-9.9978637043366805E-2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4"/>
      <color rgb="FF0000CC"/>
      <name val="Times New Roman"/>
      <family val="1"/>
    </font>
    <font>
      <sz val="9"/>
      <color theme="0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2" fillId="0" borderId="0"/>
    <xf numFmtId="0" fontId="73" fillId="0" borderId="0"/>
    <xf numFmtId="0" fontId="74" fillId="0" borderId="0"/>
    <xf numFmtId="0" fontId="76" fillId="0" borderId="0"/>
    <xf numFmtId="0" fontId="77" fillId="0" borderId="0"/>
  </cellStyleXfs>
  <cellXfs count="6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6" fillId="0" borderId="0" xfId="0" applyFont="1" applyFill="1"/>
    <xf numFmtId="0" fontId="26" fillId="0" borderId="5" xfId="0" applyFont="1" applyFill="1" applyBorder="1"/>
    <xf numFmtId="0" fontId="25" fillId="3" borderId="3" xfId="0" applyFont="1" applyFill="1" applyBorder="1"/>
    <xf numFmtId="0" fontId="25" fillId="3" borderId="5" xfId="0" applyFont="1" applyFill="1" applyBorder="1"/>
    <xf numFmtId="167" fontId="23" fillId="0" borderId="9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24" xfId="0" applyFont="1" applyBorder="1"/>
    <xf numFmtId="164" fontId="23" fillId="0" borderId="2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8" fillId="0" borderId="0" xfId="0" applyFont="1"/>
    <xf numFmtId="0" fontId="6" fillId="0" borderId="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4" fillId="3" borderId="18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0" fontId="9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4" fontId="23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6" fillId="5" borderId="0" xfId="0" applyFont="1" applyFill="1"/>
    <xf numFmtId="0" fontId="18" fillId="5" borderId="0" xfId="0" applyFont="1" applyFill="1"/>
    <xf numFmtId="0" fontId="32" fillId="5" borderId="0" xfId="0" applyFont="1" applyFill="1"/>
    <xf numFmtId="0" fontId="33" fillId="5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9" fillId="6" borderId="3" xfId="0" applyFont="1" applyFill="1" applyBorder="1"/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6" borderId="5" xfId="0" applyFont="1" applyFill="1" applyBorder="1"/>
    <xf numFmtId="165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5" fontId="40" fillId="0" borderId="9" xfId="0" applyNumberFormat="1" applyFont="1" applyBorder="1" applyAlignment="1">
      <alignment horizontal="center"/>
    </xf>
    <xf numFmtId="0" fontId="19" fillId="0" borderId="3" xfId="0" applyFont="1" applyBorder="1"/>
    <xf numFmtId="0" fontId="19" fillId="0" borderId="9" xfId="0" applyFont="1" applyBorder="1"/>
    <xf numFmtId="165" fontId="40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166" fontId="19" fillId="0" borderId="0" xfId="0" applyNumberFormat="1" applyFont="1"/>
    <xf numFmtId="0" fontId="41" fillId="0" borderId="0" xfId="0" applyFont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3" fillId="0" borderId="0" xfId="0" applyNumberFormat="1" applyFont="1" applyBorder="1" applyAlignment="1">
      <alignment horizontal="center" vertical="center"/>
    </xf>
    <xf numFmtId="0" fontId="19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167" fontId="23" fillId="0" borderId="8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6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/>
    </xf>
    <xf numFmtId="0" fontId="25" fillId="6" borderId="3" xfId="0" applyFont="1" applyFill="1" applyBorder="1"/>
    <xf numFmtId="0" fontId="47" fillId="6" borderId="5" xfId="0" applyFont="1" applyFill="1" applyBorder="1"/>
    <xf numFmtId="0" fontId="48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8" fontId="23" fillId="0" borderId="24" xfId="0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1" fillId="7" borderId="29" xfId="0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6" fillId="8" borderId="3" xfId="0" applyFont="1" applyFill="1" applyBorder="1"/>
    <xf numFmtId="0" fontId="26" fillId="8" borderId="5" xfId="0" applyFont="1" applyFill="1" applyBorder="1"/>
    <xf numFmtId="0" fontId="20" fillId="0" borderId="9" xfId="0" applyFont="1" applyBorder="1" applyAlignment="1">
      <alignment horizontal="right" vertical="center"/>
    </xf>
    <xf numFmtId="0" fontId="21" fillId="7" borderId="7" xfId="0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6" fillId="8" borderId="4" xfId="0" applyFont="1" applyFill="1" applyBorder="1"/>
    <xf numFmtId="165" fontId="23" fillId="0" borderId="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5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1" fillId="0" borderId="31" xfId="0" applyFont="1" applyBorder="1"/>
    <xf numFmtId="164" fontId="0" fillId="0" borderId="0" xfId="0" applyNumberFormat="1"/>
    <xf numFmtId="0" fontId="54" fillId="0" borderId="0" xfId="0" applyFont="1" applyBorder="1" applyAlignment="1">
      <alignment horizontal="center" vertical="center"/>
    </xf>
    <xf numFmtId="0" fontId="30" fillId="0" borderId="9" xfId="0" applyFont="1" applyBorder="1"/>
    <xf numFmtId="0" fontId="30" fillId="0" borderId="8" xfId="0" applyFont="1" applyBorder="1"/>
    <xf numFmtId="0" fontId="20" fillId="0" borderId="9" xfId="0" applyFont="1" applyBorder="1" applyAlignment="1">
      <alignment horizontal="center" vertical="center"/>
    </xf>
    <xf numFmtId="0" fontId="19" fillId="12" borderId="0" xfId="0" applyFont="1" applyFill="1"/>
    <xf numFmtId="0" fontId="0" fillId="12" borderId="0" xfId="0" applyFill="1"/>
    <xf numFmtId="164" fontId="57" fillId="0" borderId="40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28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2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1" fillId="0" borderId="0" xfId="0" applyFont="1" applyBorder="1" applyAlignment="1">
      <alignment horizontal="right"/>
    </xf>
    <xf numFmtId="0" fontId="35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2" fontId="50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9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0" fontId="28" fillId="0" borderId="0" xfId="0" applyFont="1" applyBorder="1" applyAlignment="1">
      <alignment horizontal="right"/>
    </xf>
    <xf numFmtId="0" fontId="6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43" fillId="0" borderId="7" xfId="0" applyNumberFormat="1" applyFont="1" applyBorder="1" applyAlignment="1">
      <alignment horizontal="center"/>
    </xf>
    <xf numFmtId="168" fontId="22" fillId="0" borderId="8" xfId="0" applyNumberFormat="1" applyFont="1" applyBorder="1" applyAlignment="1">
      <alignment horizontal="center" vertical="center"/>
    </xf>
    <xf numFmtId="165" fontId="57" fillId="0" borderId="7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2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3" fillId="0" borderId="48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26" fillId="5" borderId="3" xfId="0" applyFont="1" applyFill="1" applyBorder="1"/>
    <xf numFmtId="0" fontId="26" fillId="5" borderId="5" xfId="0" applyFont="1" applyFill="1" applyBorder="1"/>
    <xf numFmtId="0" fontId="26" fillId="5" borderId="4" xfId="0" applyFont="1" applyFill="1" applyBorder="1"/>
    <xf numFmtId="0" fontId="21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0" fillId="0" borderId="27" xfId="0" applyBorder="1"/>
    <xf numFmtId="0" fontId="19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1" fillId="0" borderId="0" xfId="0" applyFont="1" applyAlignment="1">
      <alignment horizontal="right" vertical="center"/>
    </xf>
    <xf numFmtId="165" fontId="23" fillId="0" borderId="5" xfId="0" applyNumberFormat="1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1" fillId="0" borderId="15" xfId="0" applyFont="1" applyBorder="1" applyAlignment="1">
      <alignment horizontal="center" vertical="center"/>
    </xf>
    <xf numFmtId="164" fontId="23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164" fontId="23" fillId="0" borderId="54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center" vertical="center"/>
    </xf>
    <xf numFmtId="0" fontId="0" fillId="0" borderId="24" xfId="0" applyBorder="1"/>
    <xf numFmtId="0" fontId="21" fillId="0" borderId="17" xfId="0" applyFont="1" applyBorder="1" applyAlignment="1">
      <alignment horizontal="right"/>
    </xf>
    <xf numFmtId="168" fontId="19" fillId="0" borderId="0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right"/>
    </xf>
    <xf numFmtId="0" fontId="21" fillId="0" borderId="55" xfId="0" applyFont="1" applyBorder="1" applyAlignment="1">
      <alignment horizontal="right"/>
    </xf>
    <xf numFmtId="0" fontId="21" fillId="0" borderId="10" xfId="0" applyFont="1" applyBorder="1"/>
    <xf numFmtId="165" fontId="23" fillId="0" borderId="7" xfId="0" applyNumberFormat="1" applyFont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41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6" borderId="17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2" fontId="22" fillId="9" borderId="18" xfId="0" applyNumberFormat="1" applyFont="1" applyFill="1" applyBorder="1" applyAlignment="1">
      <alignment horizontal="center" vertical="center"/>
    </xf>
    <xf numFmtId="164" fontId="22" fillId="9" borderId="24" xfId="0" applyNumberFormat="1" applyFont="1" applyFill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0" fontId="25" fillId="0" borderId="0" xfId="0" applyFont="1" applyBorder="1"/>
    <xf numFmtId="0" fontId="26" fillId="0" borderId="0" xfId="0" applyFont="1" applyBorder="1"/>
    <xf numFmtId="0" fontId="37" fillId="0" borderId="29" xfId="0" applyFont="1" applyBorder="1" applyAlignment="1">
      <alignment horizontal="center" vertical="center"/>
    </xf>
    <xf numFmtId="0" fontId="26" fillId="6" borderId="5" xfId="0" applyFont="1" applyFill="1" applyBorder="1" applyAlignment="1">
      <alignment vertical="center" wrapText="1"/>
    </xf>
    <xf numFmtId="0" fontId="68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64" fontId="67" fillId="6" borderId="5" xfId="0" applyNumberFormat="1" applyFont="1" applyFill="1" applyBorder="1" applyAlignment="1">
      <alignment horizontal="center" vertical="center"/>
    </xf>
    <xf numFmtId="0" fontId="25" fillId="6" borderId="4" xfId="0" applyFont="1" applyFill="1" applyBorder="1"/>
    <xf numFmtId="0" fontId="6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164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49" fillId="6" borderId="5" xfId="0" applyNumberFormat="1" applyFont="1" applyFill="1" applyBorder="1" applyAlignment="1">
      <alignment horizontal="center" vertical="center"/>
    </xf>
    <xf numFmtId="0" fontId="49" fillId="6" borderId="5" xfId="0" applyFont="1" applyFill="1" applyBorder="1"/>
    <xf numFmtId="0" fontId="3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/>
    <xf numFmtId="0" fontId="19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horizontal="center" vertical="center"/>
    </xf>
    <xf numFmtId="165" fontId="49" fillId="0" borderId="0" xfId="0" applyNumberFormat="1" applyFont="1" applyBorder="1"/>
    <xf numFmtId="171" fontId="39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3" fillId="0" borderId="8" xfId="0" applyNumberFormat="1" applyFont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6" fillId="8" borderId="17" xfId="0" applyFont="1" applyFill="1" applyBorder="1"/>
    <xf numFmtId="2" fontId="26" fillId="0" borderId="0" xfId="0" applyNumberFormat="1" applyFont="1"/>
    <xf numFmtId="2" fontId="26" fillId="6" borderId="0" xfId="0" applyNumberFormat="1" applyFont="1" applyFill="1"/>
    <xf numFmtId="2" fontId="25" fillId="6" borderId="0" xfId="0" applyNumberFormat="1" applyFont="1" applyFill="1"/>
    <xf numFmtId="173" fontId="23" fillId="0" borderId="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23" fillId="0" borderId="27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0" fontId="70" fillId="0" borderId="0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70" fillId="0" borderId="8" xfId="0" applyNumberFormat="1" applyFont="1" applyBorder="1" applyAlignment="1">
      <alignment horizontal="center" vertical="center"/>
    </xf>
    <xf numFmtId="0" fontId="70" fillId="0" borderId="6" xfId="1" applyNumberFormat="1" applyFont="1" applyBorder="1"/>
    <xf numFmtId="0" fontId="70" fillId="0" borderId="58" xfId="1" applyNumberFormat="1" applyFont="1" applyBorder="1"/>
    <xf numFmtId="0" fontId="25" fillId="3" borderId="0" xfId="0" applyFont="1" applyFill="1" applyBorder="1"/>
    <xf numFmtId="0" fontId="25" fillId="3" borderId="27" xfId="0" applyFont="1" applyFill="1" applyBorder="1"/>
    <xf numFmtId="165" fontId="22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2" fillId="0" borderId="58" xfId="0" applyNumberFormat="1" applyFont="1" applyBorder="1" applyAlignment="1">
      <alignment horizontal="center" vertical="center"/>
    </xf>
    <xf numFmtId="0" fontId="62" fillId="11" borderId="7" xfId="0" applyFont="1" applyFill="1" applyBorder="1"/>
    <xf numFmtId="0" fontId="21" fillId="11" borderId="9" xfId="0" applyFont="1" applyFill="1" applyBorder="1" applyAlignment="1">
      <alignment horizontal="center" vertical="center"/>
    </xf>
    <xf numFmtId="0" fontId="19" fillId="0" borderId="8" xfId="0" applyFont="1" applyBorder="1"/>
    <xf numFmtId="0" fontId="75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165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/>
    <xf numFmtId="173" fontId="19" fillId="0" borderId="0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6" xfId="1" applyNumberFormat="1" applyFont="1" applyBorder="1"/>
    <xf numFmtId="2" fontId="23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26" fillId="6" borderId="0" xfId="0" applyNumberFormat="1" applyFont="1" applyFill="1" applyBorder="1"/>
    <xf numFmtId="0" fontId="7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2" fontId="25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19" fillId="0" borderId="0" xfId="0" applyNumberFormat="1" applyFont="1"/>
    <xf numFmtId="0" fontId="23" fillId="0" borderId="4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2" fillId="0" borderId="58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174" fontId="22" fillId="0" borderId="0" xfId="0" applyNumberFormat="1" applyFont="1" applyBorder="1"/>
    <xf numFmtId="0" fontId="20" fillId="0" borderId="5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3" fillId="0" borderId="9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165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62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66" fillId="0" borderId="5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0" fillId="15" borderId="0" xfId="0" applyFont="1" applyFill="1" applyBorder="1"/>
    <xf numFmtId="0" fontId="0" fillId="0" borderId="0" xfId="0" applyAlignment="1">
      <alignment horizontal="center" vertical="center" wrapText="1"/>
    </xf>
    <xf numFmtId="164" fontId="23" fillId="0" borderId="9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165" fontId="49" fillId="0" borderId="62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165" fontId="70" fillId="0" borderId="0" xfId="0" applyNumberFormat="1" applyFont="1" applyBorder="1" applyAlignment="1">
      <alignment horizontal="center" vertical="center"/>
    </xf>
    <xf numFmtId="0" fontId="49" fillId="0" borderId="6" xfId="5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 wrapText="1"/>
    </xf>
    <xf numFmtId="2" fontId="19" fillId="0" borderId="51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5" fontId="10" fillId="0" borderId="0" xfId="0" applyNumberFormat="1" applyFont="1"/>
    <xf numFmtId="0" fontId="0" fillId="0" borderId="6" xfId="0" applyBorder="1" applyAlignment="1">
      <alignment horizontal="center" vertical="center"/>
    </xf>
    <xf numFmtId="0" fontId="84" fillId="0" borderId="0" xfId="0" applyFont="1"/>
    <xf numFmtId="0" fontId="84" fillId="5" borderId="0" xfId="0" applyFont="1" applyFill="1"/>
    <xf numFmtId="2" fontId="83" fillId="0" borderId="9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64" fontId="85" fillId="0" borderId="10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0" fontId="86" fillId="0" borderId="0" xfId="0" applyFont="1"/>
    <xf numFmtId="0" fontId="20" fillId="0" borderId="3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7" fillId="6" borderId="0" xfId="0" applyFont="1" applyFill="1"/>
    <xf numFmtId="0" fontId="0" fillId="16" borderId="6" xfId="0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91" fillId="16" borderId="6" xfId="0" applyFont="1" applyFill="1" applyBorder="1" applyAlignment="1">
      <alignment horizontal="center" vertical="center"/>
    </xf>
    <xf numFmtId="0" fontId="0" fillId="16" borderId="19" xfId="0" applyFill="1" applyBorder="1"/>
    <xf numFmtId="2" fontId="81" fillId="16" borderId="56" xfId="0" applyNumberFormat="1" applyFont="1" applyFill="1" applyBorder="1"/>
    <xf numFmtId="0" fontId="26" fillId="16" borderId="56" xfId="0" applyFont="1" applyFill="1" applyBorder="1"/>
    <xf numFmtId="0" fontId="88" fillId="16" borderId="56" xfId="0" applyFont="1" applyFill="1" applyBorder="1" applyAlignment="1">
      <alignment horizontal="center" vertical="center"/>
    </xf>
    <xf numFmtId="0" fontId="89" fillId="16" borderId="20" xfId="0" applyFont="1" applyFill="1" applyBorder="1"/>
    <xf numFmtId="0" fontId="0" fillId="16" borderId="51" xfId="0" applyFill="1" applyBorder="1" applyAlignment="1">
      <alignment horizontal="center" vertical="center"/>
    </xf>
    <xf numFmtId="0" fontId="90" fillId="16" borderId="21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62" fillId="16" borderId="57" xfId="0" applyFont="1" applyFill="1" applyBorder="1" applyAlignment="1">
      <alignment horizontal="center" vertical="center"/>
    </xf>
    <xf numFmtId="0" fontId="91" fillId="16" borderId="57" xfId="0" applyFont="1" applyFill="1" applyBorder="1" applyAlignment="1">
      <alignment horizontal="center" vertical="center"/>
    </xf>
    <xf numFmtId="0" fontId="90" fillId="16" borderId="23" xfId="0" applyFont="1" applyFill="1" applyBorder="1" applyAlignment="1">
      <alignment horizontal="center" vertical="center"/>
    </xf>
    <xf numFmtId="0" fontId="92" fillId="17" borderId="0" xfId="0" applyFont="1" applyFill="1"/>
    <xf numFmtId="0" fontId="93" fillId="17" borderId="0" xfId="0" applyFont="1" applyFill="1"/>
    <xf numFmtId="0" fontId="10" fillId="0" borderId="0" xfId="0" applyFont="1" applyAlignment="1">
      <alignment horizontal="center" vertical="center"/>
    </xf>
    <xf numFmtId="0" fontId="77" fillId="0" borderId="6" xfId="5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4" fillId="2" borderId="0" xfId="0" applyFont="1" applyFill="1"/>
    <xf numFmtId="0" fontId="94" fillId="2" borderId="3" xfId="0" applyFont="1" applyFill="1" applyBorder="1"/>
    <xf numFmtId="0" fontId="94" fillId="2" borderId="1" xfId="0" applyFont="1" applyFill="1" applyBorder="1"/>
    <xf numFmtId="0" fontId="94" fillId="2" borderId="5" xfId="0" applyFont="1" applyFill="1" applyBorder="1"/>
    <xf numFmtId="0" fontId="94" fillId="2" borderId="11" xfId="0" applyFont="1" applyFill="1" applyBorder="1"/>
    <xf numFmtId="0" fontId="94" fillId="2" borderId="4" xfId="0" applyFont="1" applyFill="1" applyBorder="1"/>
    <xf numFmtId="0" fontId="77" fillId="0" borderId="15" xfId="5" applyNumberFormat="1" applyFont="1" applyBorder="1" applyAlignment="1">
      <alignment horizontal="center" vertical="center"/>
    </xf>
    <xf numFmtId="0" fontId="0" fillId="0" borderId="15" xfId="0" applyNumberFormat="1" applyFont="1" applyBorder="1"/>
    <xf numFmtId="0" fontId="95" fillId="2" borderId="18" xfId="0" applyFont="1" applyFill="1" applyBorder="1" applyAlignment="1">
      <alignment horizontal="center" vertical="center"/>
    </xf>
    <xf numFmtId="0" fontId="94" fillId="2" borderId="17" xfId="0" applyFont="1" applyFill="1" applyBorder="1"/>
    <xf numFmtId="0" fontId="94" fillId="2" borderId="17" xfId="0" applyFont="1" applyFill="1" applyBorder="1" applyAlignment="1">
      <alignment horizontal="center" vertical="center"/>
    </xf>
    <xf numFmtId="0" fontId="94" fillId="2" borderId="10" xfId="0" applyFont="1" applyFill="1" applyBorder="1"/>
    <xf numFmtId="0" fontId="94" fillId="2" borderId="2" xfId="0" applyFont="1" applyFill="1" applyBorder="1"/>
    <xf numFmtId="0" fontId="96" fillId="0" borderId="0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165" fontId="69" fillId="0" borderId="9" xfId="0" applyNumberFormat="1" applyFont="1" applyBorder="1" applyAlignment="1">
      <alignment horizontal="center" vertical="center" wrapText="1"/>
    </xf>
    <xf numFmtId="165" fontId="19" fillId="0" borderId="61" xfId="0" applyNumberFormat="1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9" xfId="0" applyNumberFormat="1" applyFont="1" applyBorder="1"/>
    <xf numFmtId="164" fontId="22" fillId="0" borderId="20" xfId="0" applyNumberFormat="1" applyFont="1" applyBorder="1" applyAlignment="1">
      <alignment horizontal="center" vertical="center" wrapText="1"/>
    </xf>
    <xf numFmtId="0" fontId="0" fillId="0" borderId="51" xfId="0" applyNumberFormat="1" applyFont="1" applyBorder="1"/>
    <xf numFmtId="164" fontId="22" fillId="0" borderId="23" xfId="0" applyNumberFormat="1" applyFont="1" applyBorder="1" applyAlignment="1">
      <alignment horizontal="center" vertical="center" wrapText="1"/>
    </xf>
    <xf numFmtId="0" fontId="20" fillId="14" borderId="9" xfId="0" applyFont="1" applyFill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 wrapText="1"/>
    </xf>
    <xf numFmtId="2" fontId="22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1" fillId="7" borderId="40" xfId="0" applyFont="1" applyFill="1" applyBorder="1" applyAlignment="1">
      <alignment horizontal="center" vertical="center"/>
    </xf>
    <xf numFmtId="2" fontId="97" fillId="0" borderId="41" xfId="0" applyNumberFormat="1" applyFont="1" applyBorder="1" applyAlignment="1">
      <alignment horizontal="center" vertical="center"/>
    </xf>
    <xf numFmtId="2" fontId="98" fillId="3" borderId="0" xfId="0" applyNumberFormat="1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165" fontId="2" fillId="0" borderId="42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2" fillId="11" borderId="7" xfId="0" applyFont="1" applyFill="1" applyBorder="1" applyAlignment="1">
      <alignment horizontal="center" vertical="center"/>
    </xf>
    <xf numFmtId="2" fontId="23" fillId="0" borderId="53" xfId="0" applyNumberFormat="1" applyFont="1" applyBorder="1" applyAlignment="1">
      <alignment horizontal="center"/>
    </xf>
    <xf numFmtId="164" fontId="31" fillId="0" borderId="3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26" fillId="0" borderId="10" xfId="0" applyFont="1" applyBorder="1"/>
    <xf numFmtId="2" fontId="101" fillId="0" borderId="6" xfId="0" applyNumberFormat="1" applyFont="1" applyBorder="1" applyAlignment="1">
      <alignment horizontal="center" vertical="center"/>
    </xf>
    <xf numFmtId="2" fontId="101" fillId="0" borderId="6" xfId="0" applyNumberFormat="1" applyFont="1" applyBorder="1"/>
    <xf numFmtId="0" fontId="0" fillId="7" borderId="0" xfId="0" applyFill="1"/>
    <xf numFmtId="0" fontId="102" fillId="0" borderId="0" xfId="0" applyFont="1"/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1" fillId="0" borderId="1" xfId="0" applyFont="1" applyBorder="1"/>
    <xf numFmtId="0" fontId="101" fillId="0" borderId="2" xfId="0" applyFont="1" applyBorder="1"/>
    <xf numFmtId="0" fontId="15" fillId="0" borderId="0" xfId="0" applyFont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" fontId="82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6" fillId="7" borderId="0" xfId="0" applyFont="1" applyFill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168" fontId="70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164" fontId="23" fillId="11" borderId="18" xfId="0" applyNumberFormat="1" applyFont="1" applyFill="1" applyBorder="1" applyAlignment="1">
      <alignment horizontal="center" vertical="center"/>
    </xf>
    <xf numFmtId="164" fontId="23" fillId="11" borderId="1" xfId="0" applyNumberFormat="1" applyFont="1" applyFill="1" applyBorder="1" applyAlignment="1">
      <alignment horizontal="center" vertical="center"/>
    </xf>
    <xf numFmtId="165" fontId="51" fillId="0" borderId="7" xfId="0" applyNumberFormat="1" applyFont="1" applyBorder="1" applyAlignment="1">
      <alignment horizontal="center"/>
    </xf>
    <xf numFmtId="165" fontId="51" fillId="0" borderId="8" xfId="0" applyNumberFormat="1" applyFont="1" applyBorder="1" applyAlignment="1">
      <alignment horizontal="center"/>
    </xf>
    <xf numFmtId="165" fontId="51" fillId="0" borderId="29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5" fontId="23" fillId="0" borderId="59" xfId="0" applyNumberFormat="1" applyFont="1" applyBorder="1" applyAlignment="1">
      <alignment horizontal="center" vertical="center"/>
    </xf>
    <xf numFmtId="165" fontId="23" fillId="0" borderId="60" xfId="0" applyNumberFormat="1" applyFont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65" fontId="23" fillId="0" borderId="22" xfId="0" applyNumberFormat="1" applyFont="1" applyFill="1" applyBorder="1" applyAlignment="1">
      <alignment horizontal="center" vertical="center"/>
    </xf>
    <xf numFmtId="165" fontId="23" fillId="0" borderId="23" xfId="0" applyNumberFormat="1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224"/>
        <c:axId val="203009880"/>
      </c:scatterChart>
      <c:valAx>
        <c:axId val="1391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80"/>
        <c:crosses val="autoZero"/>
        <c:crossBetween val="midCat"/>
      </c:valAx>
      <c:valAx>
        <c:axId val="203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6296"/>
        <c:axId val="202272088"/>
      </c:barChart>
      <c:catAx>
        <c:axId val="2004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088"/>
        <c:crosses val="autoZero"/>
        <c:auto val="1"/>
        <c:lblAlgn val="ctr"/>
        <c:lblOffset val="100"/>
        <c:noMultiLvlLbl val="0"/>
      </c:catAx>
      <c:valAx>
        <c:axId val="2022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7672"/>
        <c:axId val="201469696"/>
      </c:lineChart>
      <c:catAx>
        <c:axId val="2408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696"/>
        <c:crosses val="autoZero"/>
        <c:auto val="1"/>
        <c:lblAlgn val="ctr"/>
        <c:lblOffset val="100"/>
        <c:noMultiLvlLbl val="0"/>
      </c:catAx>
      <c:valAx>
        <c:axId val="201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8632"/>
        <c:axId val="240539232"/>
      </c:lineChart>
      <c:catAx>
        <c:axId val="138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9232"/>
        <c:crosses val="autoZero"/>
        <c:auto val="1"/>
        <c:lblAlgn val="ctr"/>
        <c:lblOffset val="100"/>
        <c:noMultiLvlLbl val="0"/>
      </c:catAx>
      <c:valAx>
        <c:axId val="240539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54472"/>
        <c:axId val="139816888"/>
      </c:barChart>
      <c:catAx>
        <c:axId val="24105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6888"/>
        <c:crosses val="autoZero"/>
        <c:auto val="1"/>
        <c:lblAlgn val="ctr"/>
        <c:lblOffset val="100"/>
        <c:noMultiLvlLbl val="0"/>
      </c:catAx>
      <c:valAx>
        <c:axId val="1398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</xdr:row>
          <xdr:rowOff>0</xdr:rowOff>
        </xdr:from>
        <xdr:to>
          <xdr:col>8</xdr:col>
          <xdr:colOff>502920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121920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0</xdr:rowOff>
        </xdr:from>
        <xdr:to>
          <xdr:col>6</xdr:col>
          <xdr:colOff>441960</xdr:colOff>
          <xdr:row>13</xdr:row>
          <xdr:rowOff>7620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16</xdr:row>
          <xdr:rowOff>22860</xdr:rowOff>
        </xdr:from>
        <xdr:to>
          <xdr:col>8</xdr:col>
          <xdr:colOff>518160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99060</xdr:colOff>
          <xdr:row>2</xdr:row>
          <xdr:rowOff>0</xdr:rowOff>
        </xdr:from>
        <xdr:to>
          <xdr:col>16</xdr:col>
          <xdr:colOff>365760</xdr:colOff>
          <xdr:row>3</xdr:row>
          <xdr:rowOff>7620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45720</xdr:rowOff>
        </xdr:from>
        <xdr:to>
          <xdr:col>14</xdr:col>
          <xdr:colOff>487680</xdr:colOff>
          <xdr:row>6</xdr:row>
          <xdr:rowOff>251460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13</xdr:row>
          <xdr:rowOff>7620</xdr:rowOff>
        </xdr:from>
        <xdr:to>
          <xdr:col>17</xdr:col>
          <xdr:colOff>518160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198120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7620</xdr:rowOff>
        </xdr:from>
        <xdr:to>
          <xdr:col>17</xdr:col>
          <xdr:colOff>502920</xdr:colOff>
          <xdr:row>18</xdr:row>
          <xdr:rowOff>198120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18</xdr:row>
          <xdr:rowOff>7620</xdr:rowOff>
        </xdr:from>
        <xdr:to>
          <xdr:col>16</xdr:col>
          <xdr:colOff>480060</xdr:colOff>
          <xdr:row>18</xdr:row>
          <xdr:rowOff>198120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213360</xdr:colOff>
          <xdr:row>23</xdr:row>
          <xdr:rowOff>0</xdr:rowOff>
        </xdr:from>
        <xdr:to>
          <xdr:col>15</xdr:col>
          <xdr:colOff>441960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21</xdr:row>
          <xdr:rowOff>30480</xdr:rowOff>
        </xdr:from>
        <xdr:to>
          <xdr:col>6</xdr:col>
          <xdr:colOff>312420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27</xdr:row>
          <xdr:rowOff>0</xdr:rowOff>
        </xdr:from>
        <xdr:to>
          <xdr:col>8</xdr:col>
          <xdr:colOff>441960</xdr:colOff>
          <xdr:row>28</xdr:row>
          <xdr:rowOff>7620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121920</xdr:colOff>
          <xdr:row>31</xdr:row>
          <xdr:rowOff>7620</xdr:rowOff>
        </xdr:from>
        <xdr:to>
          <xdr:col>9</xdr:col>
          <xdr:colOff>518160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22860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198120</xdr:rowOff>
        </xdr:from>
        <xdr:to>
          <xdr:col>14</xdr:col>
          <xdr:colOff>441960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27</xdr:row>
          <xdr:rowOff>7620</xdr:rowOff>
        </xdr:from>
        <xdr:to>
          <xdr:col>14</xdr:col>
          <xdr:colOff>350520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160020</xdr:colOff>
          <xdr:row>8</xdr:row>
          <xdr:rowOff>30480</xdr:rowOff>
        </xdr:from>
        <xdr:to>
          <xdr:col>14</xdr:col>
          <xdr:colOff>312420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30480</xdr:rowOff>
        </xdr:from>
        <xdr:to>
          <xdr:col>21</xdr:col>
          <xdr:colOff>312420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7620</xdr:rowOff>
        </xdr:from>
        <xdr:to>
          <xdr:col>24</xdr:col>
          <xdr:colOff>502920</xdr:colOff>
          <xdr:row>2</xdr:row>
          <xdr:rowOff>198120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</xdr:row>
          <xdr:rowOff>7620</xdr:rowOff>
        </xdr:from>
        <xdr:to>
          <xdr:col>23</xdr:col>
          <xdr:colOff>480060</xdr:colOff>
          <xdr:row>2</xdr:row>
          <xdr:rowOff>198120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7620</xdr:rowOff>
        </xdr:from>
        <xdr:to>
          <xdr:col>25</xdr:col>
          <xdr:colOff>502920</xdr:colOff>
          <xdr:row>2</xdr:row>
          <xdr:rowOff>198120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121920</xdr:colOff>
          <xdr:row>25</xdr:row>
          <xdr:rowOff>30480</xdr:rowOff>
        </xdr:from>
        <xdr:to>
          <xdr:col>18</xdr:col>
          <xdr:colOff>518160</xdr:colOff>
          <xdr:row>25</xdr:row>
          <xdr:rowOff>251460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121920</xdr:colOff>
          <xdr:row>25</xdr:row>
          <xdr:rowOff>38100</xdr:rowOff>
        </xdr:from>
        <xdr:to>
          <xdr:col>19</xdr:col>
          <xdr:colOff>518160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27</xdr:row>
          <xdr:rowOff>0</xdr:rowOff>
        </xdr:from>
        <xdr:to>
          <xdr:col>16</xdr:col>
          <xdr:colOff>381000</xdr:colOff>
          <xdr:row>27</xdr:row>
          <xdr:rowOff>198120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160020</xdr:rowOff>
        </xdr:from>
        <xdr:to>
          <xdr:col>21</xdr:col>
          <xdr:colOff>441960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99060</xdr:colOff>
          <xdr:row>9</xdr:row>
          <xdr:rowOff>198120</xdr:rowOff>
        </xdr:from>
        <xdr:to>
          <xdr:col>21</xdr:col>
          <xdr:colOff>411480</xdr:colOff>
          <xdr:row>11</xdr:row>
          <xdr:rowOff>7620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7620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27</xdr:row>
          <xdr:rowOff>0</xdr:rowOff>
        </xdr:from>
        <xdr:to>
          <xdr:col>10</xdr:col>
          <xdr:colOff>441960</xdr:colOff>
          <xdr:row>28</xdr:row>
          <xdr:rowOff>7620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11</xdr:row>
          <xdr:rowOff>30480</xdr:rowOff>
        </xdr:from>
        <xdr:to>
          <xdr:col>14</xdr:col>
          <xdr:colOff>121920</xdr:colOff>
          <xdr:row>11</xdr:row>
          <xdr:rowOff>228600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45720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6</xdr:row>
          <xdr:rowOff>38100</xdr:rowOff>
        </xdr:from>
        <xdr:to>
          <xdr:col>12</xdr:col>
          <xdr:colOff>441960</xdr:colOff>
          <xdr:row>7</xdr:row>
          <xdr:rowOff>7620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30480</xdr:rowOff>
        </xdr:from>
        <xdr:to>
          <xdr:col>13</xdr:col>
          <xdr:colOff>411480</xdr:colOff>
          <xdr:row>7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289560</xdr:colOff>
          <xdr:row>15</xdr:row>
          <xdr:rowOff>22860</xdr:rowOff>
        </xdr:from>
        <xdr:to>
          <xdr:col>9</xdr:col>
          <xdr:colOff>556260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19</xdr:row>
          <xdr:rowOff>22860</xdr:rowOff>
        </xdr:from>
        <xdr:to>
          <xdr:col>7</xdr:col>
          <xdr:colOff>220980</xdr:colOff>
          <xdr:row>20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7620</xdr:rowOff>
        </xdr:from>
        <xdr:to>
          <xdr:col>4</xdr:col>
          <xdr:colOff>381000</xdr:colOff>
          <xdr:row>20</xdr:row>
          <xdr:rowOff>22860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7620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502920</xdr:colOff>
          <xdr:row>10</xdr:row>
          <xdr:rowOff>7620</xdr:rowOff>
        </xdr:from>
        <xdr:to>
          <xdr:col>7</xdr:col>
          <xdr:colOff>251460</xdr:colOff>
          <xdr:row>10</xdr:row>
          <xdr:rowOff>228600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198120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213360</xdr:rowOff>
        </xdr:from>
        <xdr:to>
          <xdr:col>5</xdr:col>
          <xdr:colOff>464820</xdr:colOff>
          <xdr:row>6</xdr:row>
          <xdr:rowOff>198120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213360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7620</xdr:rowOff>
        </xdr:from>
        <xdr:to>
          <xdr:col>6</xdr:col>
          <xdr:colOff>30480</xdr:colOff>
          <xdr:row>8</xdr:row>
          <xdr:rowOff>213360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26</xdr:row>
          <xdr:rowOff>22860</xdr:rowOff>
        </xdr:from>
        <xdr:to>
          <xdr:col>7</xdr:col>
          <xdr:colOff>220980</xdr:colOff>
          <xdr:row>27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22860</xdr:rowOff>
        </xdr:from>
        <xdr:to>
          <xdr:col>9</xdr:col>
          <xdr:colOff>480060</xdr:colOff>
          <xdr:row>22</xdr:row>
          <xdr:rowOff>213360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7620</xdr:rowOff>
        </xdr:from>
        <xdr:to>
          <xdr:col>9</xdr:col>
          <xdr:colOff>464820</xdr:colOff>
          <xdr:row>23</xdr:row>
          <xdr:rowOff>213360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22</xdr:row>
          <xdr:rowOff>7620</xdr:rowOff>
        </xdr:from>
        <xdr:to>
          <xdr:col>12</xdr:col>
          <xdr:colOff>60960</xdr:colOff>
          <xdr:row>22</xdr:row>
          <xdr:rowOff>213360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236220</xdr:colOff>
          <xdr:row>2</xdr:row>
          <xdr:rowOff>68580</xdr:rowOff>
        </xdr:from>
        <xdr:to>
          <xdr:col>22</xdr:col>
          <xdr:colOff>480060</xdr:colOff>
          <xdr:row>2</xdr:row>
          <xdr:rowOff>213360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2</xdr:row>
          <xdr:rowOff>22860</xdr:rowOff>
        </xdr:from>
        <xdr:to>
          <xdr:col>21</xdr:col>
          <xdr:colOff>426720</xdr:colOff>
          <xdr:row>2</xdr:row>
          <xdr:rowOff>228600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83820</xdr:colOff>
          <xdr:row>5</xdr:row>
          <xdr:rowOff>7620</xdr:rowOff>
        </xdr:from>
        <xdr:to>
          <xdr:col>21</xdr:col>
          <xdr:colOff>228600</xdr:colOff>
          <xdr:row>6</xdr:row>
          <xdr:rowOff>7620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198120</xdr:rowOff>
        </xdr:from>
        <xdr:to>
          <xdr:col>9</xdr:col>
          <xdr:colOff>441960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30</xdr:row>
          <xdr:rowOff>7620</xdr:rowOff>
        </xdr:from>
        <xdr:to>
          <xdr:col>9</xdr:col>
          <xdr:colOff>350520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0</xdr:rowOff>
        </xdr:from>
        <xdr:to>
          <xdr:col>11</xdr:col>
          <xdr:colOff>381000</xdr:colOff>
          <xdr:row>30</xdr:row>
          <xdr:rowOff>198120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289560</xdr:colOff>
          <xdr:row>10</xdr:row>
          <xdr:rowOff>22860</xdr:rowOff>
        </xdr:from>
        <xdr:to>
          <xdr:col>24</xdr:col>
          <xdr:colOff>426720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236220</xdr:colOff>
          <xdr:row>13</xdr:row>
          <xdr:rowOff>68580</xdr:rowOff>
        </xdr:from>
        <xdr:to>
          <xdr:col>35</xdr:col>
          <xdr:colOff>480060</xdr:colOff>
          <xdr:row>13</xdr:row>
          <xdr:rowOff>213360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3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85724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7620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7620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4" Type="http://schemas.openxmlformats.org/officeDocument/2006/relationships/oleObject" Target="../embeddings/oleObject57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9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zoomScaleNormal="100" workbookViewId="0">
      <selection activeCell="C7" sqref="C7"/>
    </sheetView>
  </sheetViews>
  <sheetFormatPr defaultRowHeight="14.4"/>
  <cols>
    <col min="1" max="1" width="1.7890625" customWidth="1"/>
    <col min="2" max="3" width="7.26171875" customWidth="1"/>
    <col min="4" max="4" width="0.9453125" customWidth="1"/>
    <col min="5" max="5" width="11.578125" customWidth="1"/>
    <col min="6" max="6" width="9.5234375" customWidth="1"/>
    <col min="7" max="7" width="11.41796875" customWidth="1"/>
    <col min="8" max="8" width="8.62890625" customWidth="1"/>
    <col min="9" max="9" width="6.83984375" customWidth="1"/>
    <col min="10" max="10" width="6.578125" style="101" customWidth="1"/>
    <col min="11" max="11" width="7.68359375" style="101" customWidth="1"/>
    <col min="12" max="12" width="6.734375" customWidth="1"/>
    <col min="13" max="13" width="6.83984375" customWidth="1"/>
    <col min="14" max="14" width="6.05078125" customWidth="1"/>
    <col min="15" max="15" width="7.1015625" customWidth="1"/>
    <col min="16" max="16" width="6.734375" customWidth="1"/>
    <col min="17" max="18" width="1.3125" style="552" customWidth="1"/>
    <col min="19" max="19" width="1.47265625" style="552" customWidth="1"/>
    <col min="20" max="20" width="10.47265625" customWidth="1"/>
    <col min="21" max="21" width="9.26171875" customWidth="1"/>
    <col min="22" max="22" width="2.26171875" customWidth="1"/>
    <col min="23" max="23" width="5.3671875" customWidth="1"/>
    <col min="24" max="24" width="5" customWidth="1"/>
    <col min="25" max="25" width="6.05078125" customWidth="1"/>
    <col min="26" max="26" width="0.68359375" style="547" customWidth="1"/>
    <col min="27" max="27" width="1.05078125" style="548" customWidth="1"/>
    <col min="28" max="30" width="3.62890625" style="101" customWidth="1"/>
    <col min="31" max="31" width="2.83984375" style="101" customWidth="1"/>
  </cols>
  <sheetData>
    <row r="1" spans="1:31" ht="14.7" thickBot="1">
      <c r="I1" s="11"/>
      <c r="J1" s="100"/>
      <c r="K1" s="100"/>
      <c r="L1" s="11"/>
      <c r="M1" s="11"/>
      <c r="N1" s="8"/>
    </row>
    <row r="2" spans="1:31" ht="15.9" thickBot="1">
      <c r="B2" s="549">
        <f>COUNT(B5:B60)</f>
        <v>3</v>
      </c>
      <c r="C2" s="580">
        <f>COUNT(C5:C60)</f>
        <v>3</v>
      </c>
      <c r="E2" s="629" t="s">
        <v>3</v>
      </c>
      <c r="F2" s="630"/>
      <c r="G2" s="631" t="s">
        <v>4</v>
      </c>
      <c r="H2" s="632"/>
      <c r="I2" s="11"/>
      <c r="J2" s="100"/>
      <c r="K2" s="100"/>
      <c r="L2" s="11"/>
      <c r="M2" s="11"/>
      <c r="N2" s="8"/>
      <c r="O2" s="55"/>
      <c r="P2" s="610">
        <f>SUM(P5:P18)</f>
        <v>115.5</v>
      </c>
    </row>
    <row r="3" spans="1:31" ht="17.100000000000001" thickBot="1">
      <c r="B3" s="14" t="s">
        <v>3</v>
      </c>
      <c r="C3" s="14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7" t="s">
        <v>5</v>
      </c>
      <c r="P3" s="16" t="s">
        <v>6</v>
      </c>
      <c r="Q3" s="560"/>
      <c r="R3" s="553"/>
      <c r="S3" s="554"/>
      <c r="T3" s="9" t="s">
        <v>0</v>
      </c>
      <c r="U3" s="10" t="s">
        <v>0</v>
      </c>
      <c r="W3" s="60" t="s">
        <v>178</v>
      </c>
      <c r="X3" s="60" t="s">
        <v>179</v>
      </c>
      <c r="Y3" s="60"/>
    </row>
    <row r="4" spans="1:31" ht="15.9" thickBot="1">
      <c r="B4" s="437"/>
      <c r="C4" s="437"/>
      <c r="D4" s="5"/>
      <c r="E4" s="626">
        <f>IF(B5="","",AVERAGE(B5:B60))</f>
        <v>72</v>
      </c>
      <c r="F4" s="18">
        <f>MEDIAN(B5:B60)</f>
        <v>64</v>
      </c>
      <c r="G4" s="19">
        <f>IF(C5="","",AVERAGE(C5:C60))</f>
        <v>70.333333333333329</v>
      </c>
      <c r="H4" s="18">
        <f>MEDIAN(C5:C60)</f>
        <v>68</v>
      </c>
      <c r="J4" s="402" t="s">
        <v>12</v>
      </c>
      <c r="K4" s="435"/>
      <c r="L4" s="22"/>
      <c r="M4" s="16" t="s">
        <v>7</v>
      </c>
      <c r="N4" s="16" t="s">
        <v>8</v>
      </c>
      <c r="O4" s="439"/>
      <c r="P4" s="531">
        <f>SUM(P5:P18)</f>
        <v>115.5</v>
      </c>
      <c r="Q4" s="561"/>
      <c r="R4" s="555">
        <f>SUM(R5:R20)</f>
        <v>5220</v>
      </c>
      <c r="S4" s="556"/>
      <c r="T4" s="472">
        <f>IF(O5="","",SUM(R5:R26)/SUM(P5:P26))</f>
        <v>45.194805194805198</v>
      </c>
      <c r="U4" s="109">
        <f>SUM(Z5:Z18)/P4</f>
        <v>1.5047402597402599</v>
      </c>
      <c r="W4" s="60"/>
      <c r="X4" s="60"/>
      <c r="Y4" s="530"/>
      <c r="AB4" s="101" t="s">
        <v>190</v>
      </c>
      <c r="AC4" s="101" t="s">
        <v>191</v>
      </c>
      <c r="AD4" s="101" t="s">
        <v>192</v>
      </c>
      <c r="AE4" s="101" t="s">
        <v>22</v>
      </c>
    </row>
    <row r="5" spans="1:31" ht="15.9" thickBot="1">
      <c r="B5" s="627">
        <v>89</v>
      </c>
      <c r="C5" s="462">
        <v>68</v>
      </c>
      <c r="D5" s="5">
        <f>B5*C5</f>
        <v>6052</v>
      </c>
      <c r="E5" s="9" t="s">
        <v>2</v>
      </c>
      <c r="F5" s="13" t="s">
        <v>9</v>
      </c>
      <c r="G5" s="9" t="s">
        <v>2</v>
      </c>
      <c r="H5" s="10" t="s">
        <v>9</v>
      </c>
      <c r="J5" s="599">
        <f>SUM(J6:J16)</f>
        <v>87.95</v>
      </c>
      <c r="K5" s="434" t="s">
        <v>161</v>
      </c>
      <c r="M5" s="8">
        <v>25</v>
      </c>
      <c r="N5" s="8">
        <v>34</v>
      </c>
      <c r="O5" s="605">
        <f>M5+(M6-M5)/2</f>
        <v>30</v>
      </c>
      <c r="P5" s="558">
        <v>23.7</v>
      </c>
      <c r="Q5" s="562">
        <f>P5*O5^2</f>
        <v>21330</v>
      </c>
      <c r="R5" s="555">
        <f t="shared" ref="R5:R25" si="0">O5*P5</f>
        <v>711</v>
      </c>
      <c r="S5" s="556">
        <f>(O5-T$4)^2*P5</f>
        <v>5471.9058863214732</v>
      </c>
      <c r="T5" s="9" t="s">
        <v>2</v>
      </c>
      <c r="U5" s="9" t="s">
        <v>2</v>
      </c>
      <c r="W5" s="550">
        <v>0</v>
      </c>
      <c r="X5" s="550">
        <v>0.49</v>
      </c>
      <c r="Y5" s="609">
        <f>IF(W5="","",0.5+(W5+X5)/2)</f>
        <v>0.745</v>
      </c>
      <c r="Z5" s="547">
        <f t="shared" ref="Z5:Z18" si="1">IF(ISBLANK(P5), 0, Y5*P5)</f>
        <v>17.656499999999998</v>
      </c>
      <c r="AA5" s="547">
        <f t="shared" ref="AA5:AA18" si="2">IF(ISBLANK(P5), 0,P5*Y5^2)</f>
        <v>13.154092499999999</v>
      </c>
      <c r="AB5" s="55">
        <f>P5</f>
        <v>23.7</v>
      </c>
      <c r="AC5" s="615">
        <f>100*P5/P$2</f>
        <v>20.519480519480521</v>
      </c>
      <c r="AD5" s="55">
        <f>AC5</f>
        <v>20.519480519480521</v>
      </c>
    </row>
    <row r="6" spans="1:31" ht="15.6" thickBot="1">
      <c r="B6" s="627">
        <v>64</v>
      </c>
      <c r="C6" s="462">
        <v>79</v>
      </c>
      <c r="D6" s="5">
        <f t="shared" ref="D6:D16" si="3">B6*C6</f>
        <v>5056</v>
      </c>
      <c r="E6" s="19">
        <f>_xlfn.STDEV.S(B5:B60)</f>
        <v>14.730919862656235</v>
      </c>
      <c r="F6" s="20">
        <f>E6^2</f>
        <v>216.99999999999997</v>
      </c>
      <c r="G6" s="19">
        <f>_xlfn.STDEV.S(C5:C60)</f>
        <v>7.7674534651540297</v>
      </c>
      <c r="H6" s="20">
        <f>G6^2</f>
        <v>60.333333333333343</v>
      </c>
      <c r="J6" s="427">
        <f>0.15*100</f>
        <v>15</v>
      </c>
      <c r="K6" s="432">
        <f>IF(J6="","",J6/J$5)</f>
        <v>0.17055144968732233</v>
      </c>
      <c r="M6" s="611">
        <v>35</v>
      </c>
      <c r="N6" s="8"/>
      <c r="O6" s="605">
        <f>O5+M$6-M$5</f>
        <v>40</v>
      </c>
      <c r="P6" s="558">
        <v>31.2</v>
      </c>
      <c r="Q6" s="562">
        <f t="shared" ref="Q6:Q23" si="4">P6*O6^2</f>
        <v>49920</v>
      </c>
      <c r="R6" s="555">
        <f t="shared" si="0"/>
        <v>1248</v>
      </c>
      <c r="S6" s="556">
        <f t="shared" ref="S6:S20" si="5">(O6-T$4)^2*P6</f>
        <v>841.96323157362224</v>
      </c>
      <c r="T6" s="472">
        <f>SQRT( (P4*U10 - U9^2) / (P4*(P4-1)))</f>
        <v>10.340540846850692</v>
      </c>
      <c r="U6" s="130">
        <f>SQRT((P4*SUM(AA5:AA18)-SUM(Z5:Z18)^2)/(P4*(P4-1)))</f>
        <v>0.5170270423425346</v>
      </c>
      <c r="W6" s="550">
        <v>0.5</v>
      </c>
      <c r="X6" s="550">
        <v>0.99</v>
      </c>
      <c r="Y6" s="609">
        <f t="shared" ref="Y6:Y18" si="6">IF(W6="","",0.5+(W6+X6)/2)</f>
        <v>1.2450000000000001</v>
      </c>
      <c r="Z6" s="547">
        <f t="shared" si="1"/>
        <v>38.844000000000001</v>
      </c>
      <c r="AA6" s="547">
        <f t="shared" si="2"/>
        <v>48.360780000000005</v>
      </c>
      <c r="AB6" s="55">
        <f>AB5+P6</f>
        <v>54.9</v>
      </c>
      <c r="AC6" s="615">
        <f t="shared" ref="AC6:AC10" si="7">100*P6/P$2</f>
        <v>27.012987012987011</v>
      </c>
      <c r="AD6" s="55">
        <f>AD5+AC6</f>
        <v>47.532467532467535</v>
      </c>
      <c r="AE6" s="55">
        <f>50-AD6</f>
        <v>2.4675324675324646</v>
      </c>
    </row>
    <row r="7" spans="1:31" ht="15.6">
      <c r="B7" s="627">
        <v>63</v>
      </c>
      <c r="C7" s="462">
        <v>64</v>
      </c>
      <c r="D7" s="5">
        <f t="shared" si="3"/>
        <v>4032</v>
      </c>
      <c r="E7" s="10" t="s">
        <v>162</v>
      </c>
      <c r="F7" s="13" t="s">
        <v>9</v>
      </c>
      <c r="G7" s="10" t="s">
        <v>162</v>
      </c>
      <c r="H7" s="10" t="s">
        <v>9</v>
      </c>
      <c r="J7" s="426">
        <f>0.2*89</f>
        <v>17.8</v>
      </c>
      <c r="K7" s="432">
        <f t="shared" ref="K7:K14" si="8">IF(J7="","",J7/J$5)</f>
        <v>0.20238772029562252</v>
      </c>
      <c r="M7" s="612">
        <v>45</v>
      </c>
      <c r="O7" s="605">
        <f t="shared" ref="O7:O18" si="9">O6+M$6-M$5</f>
        <v>50</v>
      </c>
      <c r="P7" s="558">
        <v>37.5</v>
      </c>
      <c r="Q7" s="562">
        <f t="shared" si="4"/>
        <v>93750</v>
      </c>
      <c r="R7" s="555">
        <f t="shared" si="0"/>
        <v>1875</v>
      </c>
      <c r="S7" s="556">
        <f t="shared" si="5"/>
        <v>865.87114184516656</v>
      </c>
      <c r="T7" s="602" t="s">
        <v>189</v>
      </c>
      <c r="U7" s="602" t="s">
        <v>2</v>
      </c>
      <c r="W7" s="550">
        <v>1</v>
      </c>
      <c r="X7" s="550">
        <v>1.49</v>
      </c>
      <c r="Y7" s="609">
        <f t="shared" si="6"/>
        <v>1.7450000000000001</v>
      </c>
      <c r="Z7" s="547">
        <f t="shared" si="1"/>
        <v>65.4375</v>
      </c>
      <c r="AA7" s="547">
        <f t="shared" si="2"/>
        <v>114.18843750000001</v>
      </c>
      <c r="AB7" s="55">
        <f t="shared" ref="AB7:AB10" si="10">AB6+P7</f>
        <v>92.4</v>
      </c>
      <c r="AC7" s="615">
        <f t="shared" si="7"/>
        <v>32.467532467532465</v>
      </c>
      <c r="AD7" s="55">
        <f t="shared" ref="AD7:AD10" si="11">AD6+AC7</f>
        <v>80</v>
      </c>
    </row>
    <row r="8" spans="1:31" ht="15.6" thickBot="1">
      <c r="B8" s="627"/>
      <c r="C8" s="462"/>
      <c r="D8" s="5">
        <f t="shared" si="3"/>
        <v>0</v>
      </c>
      <c r="E8" s="446">
        <f>_xlfn.STDEV.P(B5:B60)</f>
        <v>12.027745701779143</v>
      </c>
      <c r="F8" s="20">
        <f>E8^2</f>
        <v>144.66666666666663</v>
      </c>
      <c r="G8" s="446">
        <f>_xlfn.STDEV.P(C5:C60)</f>
        <v>6.342099196813483</v>
      </c>
      <c r="H8" s="20">
        <f>G8^2</f>
        <v>40.222222222222229</v>
      </c>
      <c r="I8" s="7"/>
      <c r="J8" s="426">
        <f>0.5*86</f>
        <v>43</v>
      </c>
      <c r="K8" s="432">
        <f t="shared" si="8"/>
        <v>0.48891415577032404</v>
      </c>
      <c r="L8" s="7"/>
      <c r="M8" s="609">
        <f>M7+M6</f>
        <v>80</v>
      </c>
      <c r="O8" s="605">
        <f t="shared" si="9"/>
        <v>60</v>
      </c>
      <c r="P8" s="558">
        <v>23.1</v>
      </c>
      <c r="Q8" s="562">
        <f t="shared" si="4"/>
        <v>83160</v>
      </c>
      <c r="R8" s="555">
        <f t="shared" si="0"/>
        <v>1386</v>
      </c>
      <c r="S8" s="556">
        <f t="shared" si="5"/>
        <v>5063.376623376621</v>
      </c>
      <c r="T8" s="472">
        <f>SQRT( SUM(S5:S20)/P4)</f>
        <v>10.295679286722073</v>
      </c>
      <c r="U8" s="130">
        <f>SQRT((P4*SUM(AA5:AA18)-SUM(Z5:Z18)^2)/(P4*(P4-1)))</f>
        <v>0.5170270423425346</v>
      </c>
      <c r="W8" s="550">
        <v>1.5</v>
      </c>
      <c r="X8" s="550">
        <v>1.99</v>
      </c>
      <c r="Y8" s="609">
        <f t="shared" si="6"/>
        <v>2.2450000000000001</v>
      </c>
      <c r="Z8" s="547">
        <f t="shared" si="1"/>
        <v>51.859500000000004</v>
      </c>
      <c r="AA8" s="547">
        <f t="shared" si="2"/>
        <v>116.42457750000003</v>
      </c>
      <c r="AB8" s="55">
        <f t="shared" si="10"/>
        <v>115.5</v>
      </c>
      <c r="AC8" s="615">
        <f t="shared" si="7"/>
        <v>20</v>
      </c>
      <c r="AD8" s="55">
        <f t="shared" si="11"/>
        <v>100</v>
      </c>
    </row>
    <row r="9" spans="1:31" ht="15.3">
      <c r="B9" s="627"/>
      <c r="C9" s="462"/>
      <c r="D9" s="5">
        <f t="shared" si="3"/>
        <v>0</v>
      </c>
      <c r="E9" s="9" t="s">
        <v>24</v>
      </c>
      <c r="F9" s="522" t="s">
        <v>177</v>
      </c>
      <c r="G9" s="10" t="s">
        <v>24</v>
      </c>
      <c r="H9" s="23"/>
      <c r="J9" s="426">
        <f>0.15*81</f>
        <v>12.15</v>
      </c>
      <c r="K9" s="432">
        <f t="shared" si="8"/>
        <v>0.1381466742467311</v>
      </c>
      <c r="M9" s="609">
        <f>M8+M7</f>
        <v>125</v>
      </c>
      <c r="O9" s="605">
        <f t="shared" si="9"/>
        <v>70</v>
      </c>
      <c r="P9" s="558"/>
      <c r="Q9" s="562">
        <f t="shared" si="4"/>
        <v>0</v>
      </c>
      <c r="R9" s="555">
        <f t="shared" si="0"/>
        <v>0</v>
      </c>
      <c r="S9" s="556">
        <f t="shared" si="5"/>
        <v>0</v>
      </c>
      <c r="T9" s="603"/>
      <c r="U9" s="613">
        <f>SUM(R5:R20)</f>
        <v>5220</v>
      </c>
      <c r="W9" s="550">
        <v>2</v>
      </c>
      <c r="X9" s="550">
        <v>2.4900000000000002</v>
      </c>
      <c r="Y9" s="609">
        <f t="shared" si="6"/>
        <v>2.7450000000000001</v>
      </c>
      <c r="Z9" s="547">
        <f t="shared" si="1"/>
        <v>0</v>
      </c>
      <c r="AA9" s="547">
        <f t="shared" si="2"/>
        <v>0</v>
      </c>
      <c r="AB9" s="55">
        <f t="shared" si="10"/>
        <v>115.5</v>
      </c>
      <c r="AC9" s="615">
        <f t="shared" si="7"/>
        <v>0</v>
      </c>
      <c r="AD9" s="55">
        <f t="shared" si="11"/>
        <v>100</v>
      </c>
    </row>
    <row r="10" spans="1:31" ht="15.6" thickBot="1">
      <c r="B10" s="627"/>
      <c r="C10" s="462"/>
      <c r="D10" s="5">
        <f t="shared" si="3"/>
        <v>0</v>
      </c>
      <c r="E10" s="56">
        <f>E6/E4</f>
        <v>0.20459610920355881</v>
      </c>
      <c r="F10" s="459">
        <f>MAX(B5:B39)-MIN(B5:B39)</f>
        <v>26</v>
      </c>
      <c r="G10" s="57">
        <f>G6/G4</f>
        <v>0.11043772699271133</v>
      </c>
      <c r="H10" s="21"/>
      <c r="J10" s="426"/>
      <c r="K10" s="432" t="str">
        <f t="shared" si="8"/>
        <v/>
      </c>
      <c r="M10" s="609">
        <f>M9+M8</f>
        <v>205</v>
      </c>
      <c r="O10" s="605">
        <f t="shared" si="9"/>
        <v>80</v>
      </c>
      <c r="P10" s="558"/>
      <c r="Q10" s="562">
        <f t="shared" si="4"/>
        <v>0</v>
      </c>
      <c r="R10" s="555">
        <f t="shared" si="0"/>
        <v>0</v>
      </c>
      <c r="S10" s="556">
        <f t="shared" si="5"/>
        <v>0</v>
      </c>
      <c r="T10" s="604"/>
      <c r="U10" s="614">
        <f>SUM(Q5:Q26)</f>
        <v>248160</v>
      </c>
      <c r="W10" s="550">
        <v>2.5</v>
      </c>
      <c r="X10" s="550">
        <v>2.99</v>
      </c>
      <c r="Y10" s="609">
        <f t="shared" si="6"/>
        <v>3.2450000000000001</v>
      </c>
      <c r="Z10" s="547">
        <f t="shared" si="1"/>
        <v>0</v>
      </c>
      <c r="AA10" s="547">
        <f t="shared" si="2"/>
        <v>0</v>
      </c>
      <c r="AB10" s="55">
        <f t="shared" si="10"/>
        <v>115.5</v>
      </c>
      <c r="AC10" s="615">
        <f t="shared" si="7"/>
        <v>0</v>
      </c>
      <c r="AD10" s="55">
        <f t="shared" si="11"/>
        <v>100</v>
      </c>
    </row>
    <row r="11" spans="1:31" ht="18.600000000000001" thickBot="1">
      <c r="B11" s="627"/>
      <c r="C11" s="462"/>
      <c r="D11" s="5">
        <f t="shared" si="3"/>
        <v>0</v>
      </c>
      <c r="E11" s="244" t="s">
        <v>108</v>
      </c>
      <c r="F11" s="232">
        <v>36.299999999999997</v>
      </c>
      <c r="G11" s="601" t="s">
        <v>188</v>
      </c>
      <c r="H11" s="110"/>
      <c r="J11" s="426"/>
      <c r="K11" s="432" t="str">
        <f t="shared" si="8"/>
        <v/>
      </c>
      <c r="O11" s="605">
        <f t="shared" si="9"/>
        <v>90</v>
      </c>
      <c r="P11" s="558"/>
      <c r="Q11" s="562">
        <f t="shared" si="4"/>
        <v>0</v>
      </c>
      <c r="R11" s="555">
        <f t="shared" si="0"/>
        <v>0</v>
      </c>
      <c r="S11" s="556">
        <f t="shared" si="5"/>
        <v>0</v>
      </c>
      <c r="T11" s="208" t="s">
        <v>1</v>
      </c>
      <c r="U11" s="566">
        <f>M7+(AE6/AC7)*(M6-M5)</f>
        <v>45.76</v>
      </c>
      <c r="W11" s="550">
        <v>3</v>
      </c>
      <c r="X11" s="550">
        <v>3.49</v>
      </c>
      <c r="Y11" s="609">
        <f t="shared" si="6"/>
        <v>3.7450000000000001</v>
      </c>
      <c r="Z11" s="547">
        <f t="shared" si="1"/>
        <v>0</v>
      </c>
      <c r="AA11" s="547">
        <f t="shared" si="2"/>
        <v>0</v>
      </c>
      <c r="AB11" s="55"/>
    </row>
    <row r="12" spans="1:31" ht="15.9" thickBot="1">
      <c r="B12" s="627"/>
      <c r="C12" s="462"/>
      <c r="D12" s="5">
        <f t="shared" si="3"/>
        <v>0</v>
      </c>
      <c r="E12" s="518" t="s">
        <v>97</v>
      </c>
      <c r="F12" s="600">
        <f>(F11-E4)/(E6)</f>
        <v>-2.4234739128886069</v>
      </c>
      <c r="G12" s="109">
        <f>SUM(D5:D16)/(SUM(C5:C16))</f>
        <v>71.753554502369667</v>
      </c>
      <c r="H12" s="517"/>
      <c r="J12" s="426"/>
      <c r="K12" s="432" t="str">
        <f t="shared" si="8"/>
        <v/>
      </c>
      <c r="O12" s="605">
        <f t="shared" si="9"/>
        <v>100</v>
      </c>
      <c r="P12" s="558"/>
      <c r="Q12" s="562">
        <f t="shared" si="4"/>
        <v>0</v>
      </c>
      <c r="R12" s="555">
        <f t="shared" si="0"/>
        <v>0</v>
      </c>
      <c r="S12" s="556">
        <f t="shared" si="5"/>
        <v>0</v>
      </c>
      <c r="W12" s="550">
        <v>3.5</v>
      </c>
      <c r="X12" s="550">
        <v>3.99</v>
      </c>
      <c r="Y12" s="608">
        <f t="shared" si="6"/>
        <v>4.2450000000000001</v>
      </c>
      <c r="Z12" s="547">
        <f t="shared" si="1"/>
        <v>0</v>
      </c>
      <c r="AA12" s="547">
        <f t="shared" si="2"/>
        <v>0</v>
      </c>
      <c r="AB12" s="55"/>
    </row>
    <row r="13" spans="1:31" ht="15.6" thickBot="1">
      <c r="B13" s="627"/>
      <c r="C13" s="462"/>
      <c r="D13" s="5">
        <f t="shared" si="3"/>
        <v>0</v>
      </c>
      <c r="E13" s="519" t="s">
        <v>177</v>
      </c>
      <c r="F13" s="551">
        <f>MAX(B5:B31)- MIN(B5:B31)</f>
        <v>26</v>
      </c>
      <c r="G13" s="102"/>
      <c r="H13" s="111"/>
      <c r="J13" s="431"/>
      <c r="K13" s="432" t="str">
        <f t="shared" si="8"/>
        <v/>
      </c>
      <c r="O13" s="605">
        <f t="shared" si="9"/>
        <v>110</v>
      </c>
      <c r="P13" s="558"/>
      <c r="Q13" s="562">
        <f t="shared" si="4"/>
        <v>0</v>
      </c>
      <c r="R13" s="555">
        <f t="shared" si="0"/>
        <v>0</v>
      </c>
      <c r="S13" s="556">
        <f t="shared" si="5"/>
        <v>0</v>
      </c>
      <c r="U13" s="447"/>
      <c r="W13" s="550">
        <v>4</v>
      </c>
      <c r="X13" s="550">
        <v>4.49</v>
      </c>
      <c r="Y13" s="608">
        <f t="shared" si="6"/>
        <v>4.7450000000000001</v>
      </c>
      <c r="Z13" s="547">
        <f t="shared" si="1"/>
        <v>0</v>
      </c>
      <c r="AA13" s="547">
        <f t="shared" si="2"/>
        <v>0</v>
      </c>
      <c r="AB13" s="55"/>
    </row>
    <row r="14" spans="1:31" ht="15.6" thickBot="1">
      <c r="B14" s="462"/>
      <c r="C14" s="462"/>
      <c r="D14" s="5">
        <f t="shared" si="3"/>
        <v>0</v>
      </c>
      <c r="J14" s="431"/>
      <c r="K14" s="432" t="str">
        <f t="shared" si="8"/>
        <v/>
      </c>
      <c r="O14" s="605">
        <f t="shared" si="9"/>
        <v>120</v>
      </c>
      <c r="P14" s="559"/>
      <c r="Q14" s="562">
        <f t="shared" si="4"/>
        <v>0</v>
      </c>
      <c r="R14" s="555">
        <f t="shared" si="0"/>
        <v>0</v>
      </c>
      <c r="S14" s="556">
        <f t="shared" si="5"/>
        <v>0</v>
      </c>
      <c r="Y14" s="22" t="str">
        <f t="shared" si="6"/>
        <v/>
      </c>
      <c r="Z14" s="547">
        <f t="shared" si="1"/>
        <v>0</v>
      </c>
      <c r="AA14" s="547">
        <f t="shared" si="2"/>
        <v>0</v>
      </c>
    </row>
    <row r="15" spans="1:31" ht="14.7" thickBot="1">
      <c r="A15" s="607"/>
      <c r="B15" s="462"/>
      <c r="C15" s="462"/>
      <c r="D15" s="5">
        <f t="shared" si="3"/>
        <v>0</v>
      </c>
      <c r="E15" s="238" t="s">
        <v>25</v>
      </c>
      <c r="F15" s="50" t="s">
        <v>98</v>
      </c>
      <c r="G15" s="50" t="s">
        <v>99</v>
      </c>
      <c r="H15" s="50" t="s">
        <v>100</v>
      </c>
      <c r="I15" s="49" t="s">
        <v>26</v>
      </c>
      <c r="O15" s="605">
        <f t="shared" si="9"/>
        <v>130</v>
      </c>
      <c r="P15" s="54"/>
      <c r="Q15" s="562">
        <f t="shared" si="4"/>
        <v>0</v>
      </c>
      <c r="R15" s="555">
        <f t="shared" si="0"/>
        <v>0</v>
      </c>
      <c r="S15" s="556">
        <f t="shared" si="5"/>
        <v>0</v>
      </c>
      <c r="U15" s="447"/>
      <c r="Y15" s="22" t="str">
        <f t="shared" si="6"/>
        <v/>
      </c>
      <c r="Z15" s="547">
        <f t="shared" si="1"/>
        <v>0</v>
      </c>
      <c r="AA15" s="547">
        <f t="shared" si="2"/>
        <v>0</v>
      </c>
    </row>
    <row r="16" spans="1:31" ht="14.7" thickBot="1">
      <c r="B16" s="462"/>
      <c r="C16" s="462"/>
      <c r="D16" s="5">
        <f t="shared" si="3"/>
        <v>0</v>
      </c>
      <c r="E16" s="239">
        <f>MIN(B5:B60)</f>
        <v>63</v>
      </c>
      <c r="F16" s="51">
        <f>IF(ISEVEN(ROUNDDOWN(COUNT(B5:B60)/2,0)),AVERAGE(SMALL(B5:B60,ROUNDDOWN(COUNT(B5:B60)/2,0)/2),SMALL(B5:B60,ROUNDDOWN(COUNT(B5:B60)/2,0)/2+1)),SMALL(B5:B60,ROUNDUP(ROUNDDOWN(COUNT(B5:B60)/2,0)/2,0)))</f>
        <v>63</v>
      </c>
      <c r="G16" s="51">
        <f>QUARTILE($B$5:$B$60, 2)</f>
        <v>64</v>
      </c>
      <c r="H16" s="51">
        <f>IF(ISEVEN(ROUNDDOWN(COUNT(B5:B60)/2,0)),AVERAGE(LARGE(B5:B60,ROUNDDOWN(COUNT(B5:B60)/2,0)/2),LARGE(B5:B60,ROUNDDOWN(COUNT(B5:B60)/2,0)/2+1)),LARGE(B5:B60,ROUNDUP(ROUNDDOWN(COUNT(B5:B60)/2,0)/2,0)))</f>
        <v>89</v>
      </c>
      <c r="I16" s="235">
        <f>MAX(B5:B60)</f>
        <v>89</v>
      </c>
      <c r="O16" s="605">
        <f t="shared" si="9"/>
        <v>140</v>
      </c>
      <c r="P16" s="54"/>
      <c r="Q16" s="562">
        <f t="shared" si="4"/>
        <v>0</v>
      </c>
      <c r="R16" s="555">
        <f t="shared" si="0"/>
        <v>0</v>
      </c>
      <c r="S16" s="556">
        <f t="shared" si="5"/>
        <v>0</v>
      </c>
      <c r="Y16" s="22" t="str">
        <f t="shared" si="6"/>
        <v/>
      </c>
      <c r="Z16" s="547">
        <f t="shared" si="1"/>
        <v>0</v>
      </c>
      <c r="AA16" s="547">
        <f t="shared" si="2"/>
        <v>0</v>
      </c>
    </row>
    <row r="17" spans="2:27" ht="14.7" thickBot="1">
      <c r="B17" s="462"/>
      <c r="C17" s="3"/>
      <c r="D17" s="5"/>
      <c r="E17" s="240" t="s">
        <v>29</v>
      </c>
      <c r="F17" s="50" t="s">
        <v>28</v>
      </c>
      <c r="G17" s="10" t="s">
        <v>101</v>
      </c>
      <c r="H17" s="50" t="s">
        <v>102</v>
      </c>
      <c r="I17" s="9" t="s">
        <v>103</v>
      </c>
      <c r="O17" s="605">
        <f t="shared" si="9"/>
        <v>150</v>
      </c>
      <c r="P17" s="54"/>
      <c r="Q17" s="562">
        <f t="shared" si="4"/>
        <v>0</v>
      </c>
      <c r="R17" s="555">
        <f t="shared" si="0"/>
        <v>0</v>
      </c>
      <c r="S17" s="556">
        <f t="shared" si="5"/>
        <v>0</v>
      </c>
      <c r="Y17" s="22" t="str">
        <f t="shared" si="6"/>
        <v/>
      </c>
      <c r="Z17" s="547">
        <f t="shared" si="1"/>
        <v>0</v>
      </c>
      <c r="AA17" s="547">
        <f t="shared" si="2"/>
        <v>0</v>
      </c>
    </row>
    <row r="18" spans="2:27" ht="15.9" thickBot="1">
      <c r="B18" s="462"/>
      <c r="C18" s="3"/>
      <c r="D18" s="5"/>
      <c r="E18" s="241">
        <v>75</v>
      </c>
      <c r="F18" s="53">
        <f xml:space="preserve">  INDEX(B5:B260, $E$26) + (INDEX(B5:B60, 1+ $E$26) -INDEX(B5:B60, $E$26))*E25</f>
        <v>0</v>
      </c>
      <c r="G18" s="234">
        <f>H16-F16</f>
        <v>26</v>
      </c>
      <c r="H18" s="233">
        <f>F16-1.5*G18</f>
        <v>24</v>
      </c>
      <c r="I18" s="233">
        <f>H16+1.5*G18</f>
        <v>128</v>
      </c>
      <c r="O18" s="605">
        <f t="shared" si="9"/>
        <v>160</v>
      </c>
      <c r="P18" s="54"/>
      <c r="Q18" s="562">
        <f t="shared" si="4"/>
        <v>0</v>
      </c>
      <c r="R18" s="555">
        <f t="shared" si="0"/>
        <v>0</v>
      </c>
      <c r="S18" s="556">
        <f t="shared" si="5"/>
        <v>0</v>
      </c>
      <c r="Y18" s="22" t="str">
        <f t="shared" si="6"/>
        <v/>
      </c>
      <c r="Z18" s="547">
        <f t="shared" si="1"/>
        <v>0</v>
      </c>
      <c r="AA18" s="547">
        <f t="shared" si="2"/>
        <v>0</v>
      </c>
    </row>
    <row r="19" spans="2:27" ht="14.7" thickBot="1">
      <c r="B19" s="462"/>
      <c r="C19" s="3"/>
      <c r="D19" s="5"/>
      <c r="O19" s="605"/>
      <c r="P19" s="54"/>
      <c r="Q19" s="562">
        <f t="shared" si="4"/>
        <v>0</v>
      </c>
      <c r="R19" s="555">
        <f t="shared" si="0"/>
        <v>0</v>
      </c>
      <c r="S19" s="556">
        <f t="shared" si="5"/>
        <v>0</v>
      </c>
      <c r="AA19" s="547">
        <f>IF(Y19="", 0,P19*Y19^2)</f>
        <v>0</v>
      </c>
    </row>
    <row r="20" spans="2:27" ht="15.6" thickBot="1">
      <c r="B20" s="462"/>
      <c r="C20" s="3"/>
      <c r="D20" s="5"/>
      <c r="E20" s="242" t="s">
        <v>39</v>
      </c>
      <c r="F20" s="237">
        <v>96</v>
      </c>
      <c r="G20" s="209" t="s">
        <v>43</v>
      </c>
      <c r="J20"/>
      <c r="O20" s="605"/>
      <c r="P20" s="48"/>
      <c r="Q20" s="562">
        <f t="shared" si="4"/>
        <v>0</v>
      </c>
      <c r="R20" s="555">
        <f t="shared" si="0"/>
        <v>0</v>
      </c>
      <c r="S20" s="556">
        <f t="shared" si="5"/>
        <v>0</v>
      </c>
    </row>
    <row r="21" spans="2:27" ht="15.6" thickBot="1">
      <c r="B21" s="462"/>
      <c r="C21" s="3"/>
      <c r="D21" s="5"/>
      <c r="E21" s="242" t="s">
        <v>41</v>
      </c>
      <c r="F21" s="237">
        <v>99</v>
      </c>
      <c r="G21" s="236">
        <f xml:space="preserve"> (F20-F21)/F22</f>
        <v>-0.21428571428571427</v>
      </c>
      <c r="J21"/>
      <c r="K21" s="436"/>
      <c r="O21" s="605"/>
      <c r="P21" s="48"/>
      <c r="Q21" s="562">
        <f t="shared" si="4"/>
        <v>0</v>
      </c>
      <c r="R21" s="555">
        <f t="shared" si="0"/>
        <v>0</v>
      </c>
      <c r="S21" s="556"/>
    </row>
    <row r="22" spans="2:27" ht="15.3">
      <c r="B22" s="462"/>
      <c r="C22" s="3"/>
      <c r="D22" s="5"/>
      <c r="E22" s="242" t="s">
        <v>42</v>
      </c>
      <c r="F22" s="237">
        <v>14</v>
      </c>
      <c r="G22" s="86"/>
      <c r="H22" s="535"/>
      <c r="I22" s="536"/>
      <c r="J22" s="537"/>
      <c r="K22" s="538" t="s">
        <v>180</v>
      </c>
      <c r="L22" s="539" t="s">
        <v>181</v>
      </c>
      <c r="O22" s="606"/>
      <c r="P22" s="48"/>
      <c r="Q22" s="562">
        <f t="shared" si="4"/>
        <v>0</v>
      </c>
      <c r="R22" s="555">
        <f t="shared" si="0"/>
        <v>0</v>
      </c>
      <c r="S22" s="556"/>
    </row>
    <row r="23" spans="2:27" ht="15.3">
      <c r="B23" s="462"/>
      <c r="C23" s="3"/>
      <c r="D23" s="5"/>
      <c r="E23" s="526"/>
      <c r="F23" s="523"/>
      <c r="H23" s="540">
        <f>F$21-F$22</f>
        <v>85</v>
      </c>
      <c r="I23" s="532">
        <f>F$21+F$22</f>
        <v>113</v>
      </c>
      <c r="J23" s="533">
        <v>68</v>
      </c>
      <c r="K23" s="534">
        <v>32</v>
      </c>
      <c r="L23" s="541">
        <f>K23/2</f>
        <v>16</v>
      </c>
      <c r="O23" s="606"/>
      <c r="P23" s="48"/>
      <c r="Q23" s="562">
        <f t="shared" si="4"/>
        <v>0</v>
      </c>
      <c r="R23" s="555">
        <f t="shared" si="0"/>
        <v>0</v>
      </c>
      <c r="S23" s="556"/>
    </row>
    <row r="24" spans="2:27" ht="15.75" customHeight="1">
      <c r="B24" s="462"/>
      <c r="C24" s="3"/>
      <c r="D24" s="5"/>
      <c r="E24" s="527"/>
      <c r="F24" s="525"/>
      <c r="H24" s="540">
        <f>F$21-2*F$22</f>
        <v>71</v>
      </c>
      <c r="I24" s="532">
        <f>F$21+2*F$22</f>
        <v>127</v>
      </c>
      <c r="J24" s="533">
        <v>95</v>
      </c>
      <c r="K24" s="534">
        <v>5</v>
      </c>
      <c r="L24" s="541">
        <f t="shared" ref="L24:L25" si="12">K24/2</f>
        <v>2.5</v>
      </c>
      <c r="O24" s="52"/>
      <c r="P24" s="48"/>
      <c r="Q24" s="561"/>
      <c r="R24" s="555">
        <f t="shared" si="0"/>
        <v>0</v>
      </c>
      <c r="S24" s="556"/>
    </row>
    <row r="25" spans="2:27" ht="15.6" thickBot="1">
      <c r="B25" s="462"/>
      <c r="C25" s="3"/>
      <c r="D25" s="5"/>
      <c r="E25" s="524"/>
      <c r="F25" s="524"/>
      <c r="G25" s="47"/>
      <c r="H25" s="542">
        <f>F$21-3*F$22</f>
        <v>57</v>
      </c>
      <c r="I25" s="543">
        <f>F$21+3*F$22</f>
        <v>141</v>
      </c>
      <c r="J25" s="544">
        <v>99.7</v>
      </c>
      <c r="K25" s="545">
        <v>0.3</v>
      </c>
      <c r="L25" s="546">
        <f t="shared" si="12"/>
        <v>0.15</v>
      </c>
      <c r="O25" s="52"/>
      <c r="P25" s="48"/>
      <c r="Q25" s="561"/>
      <c r="R25" s="555">
        <f t="shared" si="0"/>
        <v>0</v>
      </c>
      <c r="S25" s="556"/>
    </row>
    <row r="26" spans="2:27" ht="15.6" thickBot="1">
      <c r="B26" s="462"/>
      <c r="C26" s="3"/>
      <c r="D26" s="5"/>
      <c r="E26" s="524"/>
      <c r="F26" s="628">
        <f>163/56</f>
        <v>2.9107142857142856</v>
      </c>
      <c r="G26" s="47"/>
      <c r="H26" s="529"/>
      <c r="I26" s="8"/>
      <c r="J26" s="528"/>
      <c r="O26" s="52"/>
      <c r="P26" s="48"/>
      <c r="Q26" s="563"/>
      <c r="R26" s="557">
        <f t="shared" ref="R26" si="13">O26*P26</f>
        <v>0</v>
      </c>
      <c r="S26" s="564"/>
    </row>
    <row r="27" spans="2:27" ht="15.75" customHeight="1" thickBot="1">
      <c r="B27" s="462"/>
      <c r="C27" s="3"/>
      <c r="D27" s="5"/>
      <c r="E27" s="45"/>
      <c r="F27" s="27"/>
      <c r="G27" s="579"/>
      <c r="H27" s="585" t="s">
        <v>20</v>
      </c>
      <c r="I27" s="586" t="s">
        <v>22</v>
      </c>
      <c r="J27" s="587" t="s">
        <v>185</v>
      </c>
      <c r="K27" s="588" t="s">
        <v>186</v>
      </c>
      <c r="L27" s="589" t="s">
        <v>148</v>
      </c>
      <c r="M27" s="581" t="s">
        <v>187</v>
      </c>
    </row>
    <row r="28" spans="2:27" ht="16" customHeight="1" thickBot="1">
      <c r="B28" s="462"/>
      <c r="C28" s="3"/>
      <c r="D28" s="5"/>
      <c r="E28" s="45"/>
      <c r="F28" s="27"/>
      <c r="G28" s="579"/>
      <c r="H28" s="590">
        <v>2</v>
      </c>
      <c r="I28" s="591"/>
      <c r="J28" s="591">
        <v>3</v>
      </c>
      <c r="K28" s="591">
        <v>4</v>
      </c>
      <c r="L28" s="592">
        <v>1</v>
      </c>
      <c r="M28" s="582">
        <f>IF(M33=0,"",(H34*4+I34*3+J34*2+K34*1+L34*0)/M33)</f>
        <v>1.8</v>
      </c>
    </row>
    <row r="29" spans="2:27" ht="16" customHeight="1">
      <c r="B29" s="462"/>
      <c r="C29" s="3"/>
      <c r="D29" s="5"/>
      <c r="E29" s="45"/>
      <c r="F29" s="46"/>
      <c r="G29" s="47"/>
      <c r="H29" s="593"/>
      <c r="I29" s="594"/>
      <c r="J29" s="594"/>
      <c r="K29" s="594"/>
      <c r="L29" s="595"/>
    </row>
    <row r="30" spans="2:27" ht="16" customHeight="1" thickBot="1">
      <c r="B30" s="462"/>
      <c r="D30" s="6"/>
      <c r="E30" s="45"/>
      <c r="F30" s="46"/>
      <c r="G30" s="47"/>
      <c r="H30" s="593"/>
      <c r="I30" s="594"/>
      <c r="J30" s="594"/>
      <c r="K30" s="594"/>
      <c r="L30" s="595"/>
    </row>
    <row r="31" spans="2:27" ht="16" customHeight="1">
      <c r="B31" s="462"/>
      <c r="D31" s="5"/>
      <c r="E31" s="28"/>
      <c r="F31" s="28"/>
      <c r="G31" s="28"/>
      <c r="H31" s="593"/>
      <c r="I31" s="594"/>
      <c r="J31" s="594"/>
      <c r="K31" s="594"/>
      <c r="L31" s="595"/>
    </row>
    <row r="32" spans="2:27" ht="16" customHeight="1">
      <c r="B32" s="462"/>
      <c r="D32" s="5"/>
      <c r="H32" s="593"/>
      <c r="I32" s="594"/>
      <c r="J32" s="594"/>
      <c r="K32" s="594"/>
      <c r="L32" s="595"/>
    </row>
    <row r="33" spans="2:13" ht="16" customHeight="1" thickBot="1">
      <c r="B33" s="462"/>
      <c r="D33" s="5"/>
      <c r="H33" s="596"/>
      <c r="I33" s="597"/>
      <c r="J33" s="597"/>
      <c r="K33" s="597"/>
      <c r="L33" s="598"/>
      <c r="M33" s="584">
        <f>SUM(H28:L33)</f>
        <v>10</v>
      </c>
    </row>
    <row r="34" spans="2:13">
      <c r="B34" s="462"/>
      <c r="D34" s="5"/>
      <c r="H34" s="583">
        <f>SUM(H28:H33)</f>
        <v>2</v>
      </c>
      <c r="I34" s="583">
        <f t="shared" ref="I34:L34" si="14">SUM(I28:I33)</f>
        <v>0</v>
      </c>
      <c r="J34" s="583">
        <f t="shared" si="14"/>
        <v>3</v>
      </c>
      <c r="K34" s="583">
        <f t="shared" si="14"/>
        <v>4</v>
      </c>
      <c r="L34" s="583">
        <f t="shared" si="14"/>
        <v>1</v>
      </c>
    </row>
    <row r="35" spans="2:13" ht="14.7" thickBot="1">
      <c r="B35" s="462"/>
      <c r="D35" s="6"/>
    </row>
    <row r="36" spans="2:13">
      <c r="B36" s="462"/>
    </row>
    <row r="37" spans="2:13">
      <c r="B37" s="462"/>
    </row>
    <row r="38" spans="2:13">
      <c r="B38" s="462"/>
    </row>
    <row r="39" spans="2:13">
      <c r="B39" s="462"/>
    </row>
    <row r="40" spans="2:13">
      <c r="B40" s="462"/>
    </row>
    <row r="41" spans="2:13">
      <c r="B41" s="462"/>
    </row>
    <row r="42" spans="2:13" ht="15.3">
      <c r="B42" s="462"/>
      <c r="E42" s="45"/>
      <c r="F42" s="42"/>
    </row>
    <row r="43" spans="2:13" ht="15.3">
      <c r="B43" s="462"/>
      <c r="E43" s="45"/>
      <c r="F43" s="42"/>
    </row>
    <row r="44" spans="2:13" ht="15.3">
      <c r="B44" s="462"/>
      <c r="E44" s="45"/>
      <c r="F44" s="42"/>
    </row>
    <row r="45" spans="2:13" ht="15.3">
      <c r="B45" s="462"/>
      <c r="E45" s="45"/>
      <c r="F45" s="42"/>
    </row>
    <row r="46" spans="2:13" ht="15.3">
      <c r="B46" s="462"/>
      <c r="E46" s="45"/>
      <c r="F46" s="42"/>
    </row>
    <row r="47" spans="2:13" ht="15.3">
      <c r="B47" s="462"/>
      <c r="E47" s="45"/>
      <c r="F47" s="42"/>
    </row>
    <row r="48" spans="2:13">
      <c r="B48" s="462"/>
    </row>
    <row r="49" spans="2:2">
      <c r="B49" s="462"/>
    </row>
    <row r="50" spans="2:2">
      <c r="B50" s="462"/>
    </row>
    <row r="51" spans="2:2">
      <c r="B51" s="462"/>
    </row>
    <row r="52" spans="2:2">
      <c r="B52" s="462"/>
    </row>
    <row r="53" spans="2:2">
      <c r="B53" s="462"/>
    </row>
    <row r="54" spans="2:2">
      <c r="B54" s="462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 F10" formula="1"/>
    <ignoredError sqref="F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zoomScale="120" zoomScaleNormal="120" workbookViewId="0">
      <selection activeCell="J6" sqref="J6"/>
    </sheetView>
  </sheetViews>
  <sheetFormatPr defaultRowHeight="14.4"/>
  <cols>
    <col min="1" max="1" width="1.3125" customWidth="1"/>
    <col min="2" max="2" width="6.05078125" customWidth="1"/>
    <col min="3" max="3" width="11.578125" bestFit="1" customWidth="1"/>
    <col min="4" max="4" width="0.5234375" style="74" customWidth="1"/>
    <col min="5" max="5" width="0.5234375" style="75" customWidth="1"/>
    <col min="6" max="6" width="9.9453125" customWidth="1"/>
    <col min="7" max="7" width="8.89453125" customWidth="1"/>
    <col min="8" max="8" width="0.26171875" customWidth="1"/>
    <col min="9" max="9" width="5.62890625" customWidth="1"/>
    <col min="10" max="10" width="8.62890625" customWidth="1"/>
    <col min="11" max="12" width="12.3671875" customWidth="1"/>
    <col min="13" max="13" width="15.578125" customWidth="1"/>
    <col min="14" max="15" width="10.47265625" customWidth="1"/>
    <col min="16" max="16" width="1.89453125" customWidth="1"/>
    <col min="17" max="17" width="6.578125" customWidth="1"/>
    <col min="18" max="18" width="8.62890625" customWidth="1"/>
    <col min="19" max="19" width="8.05078125" customWidth="1"/>
    <col min="20" max="20" width="9.68359375" customWidth="1"/>
    <col min="21" max="21" width="4.83984375" customWidth="1"/>
  </cols>
  <sheetData>
    <row r="1" spans="1:24" ht="15.3" thickBot="1">
      <c r="A1" s="58"/>
      <c r="B1" s="62" t="s">
        <v>30</v>
      </c>
      <c r="C1" s="93" t="s">
        <v>31</v>
      </c>
      <c r="D1" s="97"/>
      <c r="E1" s="76"/>
      <c r="F1" s="58"/>
      <c r="G1" s="58"/>
      <c r="H1" s="58"/>
      <c r="I1" s="58"/>
      <c r="J1" s="58"/>
      <c r="K1" s="245" t="s">
        <v>36</v>
      </c>
      <c r="L1" s="246" t="s">
        <v>37</v>
      </c>
      <c r="M1" s="247" t="s">
        <v>38</v>
      </c>
      <c r="N1" s="58"/>
      <c r="O1" s="58"/>
      <c r="V1" s="60" t="s">
        <v>124</v>
      </c>
    </row>
    <row r="2" spans="1:24" ht="15.6" thickBot="1">
      <c r="A2" s="58"/>
      <c r="B2" s="520">
        <v>0</v>
      </c>
      <c r="C2" s="520">
        <v>0.27800000000000002</v>
      </c>
      <c r="D2" s="411">
        <f>(B2-$G$2)^2 *C2</f>
        <v>0.22618191199999998</v>
      </c>
      <c r="E2" s="76">
        <f>B2*C2</f>
        <v>0</v>
      </c>
      <c r="F2" s="94" t="s">
        <v>32</v>
      </c>
      <c r="G2" s="63">
        <f>SUM(E2:E12)</f>
        <v>0.90199999999999991</v>
      </c>
      <c r="H2" s="248"/>
      <c r="I2" s="60" t="s">
        <v>34</v>
      </c>
      <c r="J2" s="68">
        <v>4</v>
      </c>
      <c r="K2" s="254">
        <f>PERMUT(J3,J2)</f>
        <v>5040</v>
      </c>
      <c r="L2" s="255">
        <f>COMBIN(J3,J2)</f>
        <v>209.99999999999997</v>
      </c>
      <c r="M2" s="256">
        <f>FACT(J3)</f>
        <v>3628800</v>
      </c>
      <c r="N2" s="58"/>
      <c r="O2" s="58"/>
      <c r="Q2" s="402" t="s">
        <v>30</v>
      </c>
      <c r="R2" s="62" t="s">
        <v>152</v>
      </c>
      <c r="S2" s="62" t="s">
        <v>153</v>
      </c>
      <c r="T2" s="92" t="s">
        <v>151</v>
      </c>
      <c r="V2" s="462">
        <v>10</v>
      </c>
      <c r="W2" s="465" t="s">
        <v>32</v>
      </c>
      <c r="X2" s="63">
        <f>AVERAGE(V2:V111)</f>
        <v>3.09</v>
      </c>
    </row>
    <row r="3" spans="1:24" ht="15.6" thickBot="1">
      <c r="A3" s="58"/>
      <c r="B3" s="520">
        <v>1</v>
      </c>
      <c r="C3" s="520">
        <v>0.58299999999999996</v>
      </c>
      <c r="D3" s="98">
        <f t="shared" ref="D3:D11" si="0">(B3-$G$2)^2 *C3</f>
        <v>5.5991320000000093E-3</v>
      </c>
      <c r="E3" s="77">
        <f t="shared" ref="E3:E11" si="1">B3*C3</f>
        <v>0.58299999999999996</v>
      </c>
      <c r="F3" s="95" t="s">
        <v>9</v>
      </c>
      <c r="G3" s="64">
        <f>SUM(D2:D11)</f>
        <v>0.54639599999999999</v>
      </c>
      <c r="H3" s="248"/>
      <c r="I3" s="60" t="s">
        <v>35</v>
      </c>
      <c r="J3" s="68">
        <v>10</v>
      </c>
      <c r="K3" s="616"/>
      <c r="L3" s="617"/>
      <c r="M3" s="620"/>
      <c r="N3" s="58"/>
      <c r="O3" s="58"/>
      <c r="Q3" s="403">
        <v>1</v>
      </c>
      <c r="R3" s="404">
        <v>38</v>
      </c>
      <c r="S3" s="405">
        <v>140</v>
      </c>
      <c r="T3" s="410">
        <f>S3*Q3/R3+S4*Q4/R4 + IF(R5 =0,R5=1, S5*Q5/R5)</f>
        <v>-0.21052631578947389</v>
      </c>
      <c r="V3" s="462">
        <v>10</v>
      </c>
      <c r="W3" s="466" t="s">
        <v>33</v>
      </c>
      <c r="X3" s="65">
        <f>_xlfn.STDEV.S(V2:V110)</f>
        <v>1.8537158968576135</v>
      </c>
    </row>
    <row r="4" spans="1:24" ht="15.6" thickBot="1">
      <c r="A4" s="58"/>
      <c r="B4" s="520">
        <v>2</v>
      </c>
      <c r="C4" s="520">
        <v>0.105</v>
      </c>
      <c r="D4" s="98">
        <f t="shared" si="0"/>
        <v>0.12658842000000001</v>
      </c>
      <c r="E4" s="77">
        <f t="shared" si="1"/>
        <v>0.21</v>
      </c>
      <c r="F4" s="96" t="s">
        <v>33</v>
      </c>
      <c r="G4" s="65">
        <f>SQRT(G3)</f>
        <v>0.73918603882919753</v>
      </c>
      <c r="H4" s="248"/>
      <c r="I4" s="59"/>
      <c r="J4" s="68"/>
      <c r="K4" s="618"/>
      <c r="L4" s="619"/>
      <c r="M4" s="87"/>
      <c r="N4" s="58"/>
      <c r="O4" s="58"/>
      <c r="Q4" s="406">
        <v>37</v>
      </c>
      <c r="R4" s="237">
        <v>38</v>
      </c>
      <c r="S4" s="407">
        <v>-4</v>
      </c>
      <c r="T4" s="67"/>
      <c r="V4" s="462">
        <v>9</v>
      </c>
      <c r="W4" s="270"/>
    </row>
    <row r="5" spans="1:24" ht="15.6" thickBot="1">
      <c r="A5" s="58"/>
      <c r="B5" s="520">
        <v>3</v>
      </c>
      <c r="C5" s="520">
        <v>2.8000000000000001E-2</v>
      </c>
      <c r="D5" s="98">
        <f t="shared" si="0"/>
        <v>0.123244912</v>
      </c>
      <c r="E5" s="77">
        <f t="shared" si="1"/>
        <v>8.4000000000000005E-2</v>
      </c>
      <c r="F5" s="58"/>
      <c r="G5" s="58">
        <v>6</v>
      </c>
      <c r="H5" s="248"/>
      <c r="I5" s="60" t="s">
        <v>35</v>
      </c>
      <c r="J5" s="68">
        <v>65</v>
      </c>
      <c r="K5" s="62" t="s">
        <v>31</v>
      </c>
      <c r="L5" s="93" t="s">
        <v>104</v>
      </c>
      <c r="M5" s="62" t="s">
        <v>49</v>
      </c>
      <c r="N5" s="187" t="s">
        <v>105</v>
      </c>
      <c r="O5" s="187" t="s">
        <v>107</v>
      </c>
      <c r="Q5" s="406"/>
      <c r="R5" s="237"/>
      <c r="S5" s="407"/>
      <c r="T5" s="67"/>
      <c r="V5" s="462">
        <v>8</v>
      </c>
    </row>
    <row r="6" spans="1:24" ht="15.6" thickBot="1">
      <c r="A6" s="58"/>
      <c r="B6" s="520">
        <v>4</v>
      </c>
      <c r="C6" s="520">
        <v>5.0000000000000001E-3</v>
      </c>
      <c r="D6" s="98">
        <f t="shared" si="0"/>
        <v>4.7988019999999992E-2</v>
      </c>
      <c r="E6" s="77">
        <f t="shared" si="1"/>
        <v>0.02</v>
      </c>
      <c r="F6" s="58"/>
      <c r="G6" s="58">
        <v>2</v>
      </c>
      <c r="H6" s="248"/>
      <c r="I6" s="59" t="s">
        <v>40</v>
      </c>
      <c r="J6" s="621">
        <v>9.5000000000000001E-2</v>
      </c>
      <c r="K6" s="108">
        <f>_xlfn.BINOM.DIST(J7, J5, J6, FALSE)</f>
        <v>4.6939075631520629E-3</v>
      </c>
      <c r="L6" s="166">
        <f>_xlfn.BINOM.DIST(J7, J5, J6, TRUE)</f>
        <v>0.9972132452012088</v>
      </c>
      <c r="M6" s="460">
        <f>1-L6+K6</f>
        <v>7.4806623619432652E-3</v>
      </c>
      <c r="N6" s="81">
        <f>1-M6</f>
        <v>0.99251933763805678</v>
      </c>
      <c r="O6" s="81">
        <f>_xlfn.BINOM.DIST(J8,J5, J6, TRUE)-N6</f>
        <v>7.4806623619432244E-3</v>
      </c>
      <c r="P6" s="243"/>
      <c r="Q6" s="408"/>
      <c r="R6" s="468" t="s">
        <v>166</v>
      </c>
      <c r="S6" s="409">
        <v>1000</v>
      </c>
      <c r="T6" s="467">
        <f>T3*S6</f>
        <v>-210.5263157894739</v>
      </c>
      <c r="V6" s="462">
        <v>7</v>
      </c>
    </row>
    <row r="7" spans="1:24" ht="18" thickBot="1">
      <c r="A7" s="58"/>
      <c r="B7" s="520">
        <v>5</v>
      </c>
      <c r="C7" s="520">
        <v>1E-3</v>
      </c>
      <c r="D7" s="98">
        <f t="shared" si="0"/>
        <v>1.6793604E-2</v>
      </c>
      <c r="E7" s="77">
        <f>B7*C7</f>
        <v>5.0000000000000001E-3</v>
      </c>
      <c r="F7" s="521">
        <f>SUM(C2:C11)</f>
        <v>1</v>
      </c>
      <c r="G7" s="58">
        <v>4</v>
      </c>
      <c r="H7" s="248"/>
      <c r="I7" s="59" t="s">
        <v>39</v>
      </c>
      <c r="J7" s="68">
        <v>13</v>
      </c>
      <c r="K7" s="62" t="s">
        <v>41</v>
      </c>
      <c r="L7" s="93" t="s">
        <v>42</v>
      </c>
      <c r="M7" s="62" t="s">
        <v>43</v>
      </c>
      <c r="N7" s="461" t="s">
        <v>165</v>
      </c>
      <c r="O7" s="187" t="s">
        <v>164</v>
      </c>
      <c r="V7" s="462">
        <v>7</v>
      </c>
    </row>
    <row r="8" spans="1:24" ht="15.6" thickBot="1">
      <c r="A8" s="58"/>
      <c r="B8" s="69"/>
      <c r="C8" s="457"/>
      <c r="D8" s="98">
        <f t="shared" si="0"/>
        <v>0</v>
      </c>
      <c r="E8" s="77">
        <f t="shared" si="1"/>
        <v>0</v>
      </c>
      <c r="F8" s="445">
        <f>B2*C2+B3*C3+B4*C4</f>
        <v>0.79299999999999993</v>
      </c>
      <c r="G8" s="58"/>
      <c r="H8" s="248"/>
      <c r="I8" s="59" t="s">
        <v>106</v>
      </c>
      <c r="J8" s="68">
        <v>37</v>
      </c>
      <c r="K8" s="459">
        <f>J5*J6</f>
        <v>6.1749999999999998</v>
      </c>
      <c r="L8" s="306">
        <f>SQRT(J5*J6*(1-J6))</f>
        <v>2.3639744076448883</v>
      </c>
      <c r="M8" s="109">
        <f>ROUND((J7 - K8)/L8, 2)</f>
        <v>2.89</v>
      </c>
      <c r="N8" s="178">
        <f>J7/J6</f>
        <v>136.84210526315789</v>
      </c>
      <c r="O8" s="112">
        <f>1-L6</f>
        <v>2.7867547987912022E-3</v>
      </c>
      <c r="V8" s="462">
        <v>7</v>
      </c>
    </row>
    <row r="9" spans="1:24" ht="15.3">
      <c r="A9" s="58"/>
      <c r="B9" s="69"/>
      <c r="C9" s="122"/>
      <c r="D9" s="98">
        <f t="shared" si="0"/>
        <v>0</v>
      </c>
      <c r="E9" s="77">
        <f t="shared" si="1"/>
        <v>0</v>
      </c>
      <c r="F9" s="58">
        <f>F8*G7-G6*G5</f>
        <v>-8.8279999999999994</v>
      </c>
      <c r="G9" s="58"/>
      <c r="H9" s="248"/>
      <c r="I9" s="67"/>
      <c r="J9" s="67"/>
      <c r="K9" s="86"/>
      <c r="L9" s="58"/>
      <c r="M9" s="58"/>
      <c r="N9" s="458"/>
      <c r="O9" s="58"/>
      <c r="T9" s="456"/>
      <c r="V9" s="462">
        <v>6</v>
      </c>
    </row>
    <row r="10" spans="1:24" ht="15.6" thickBot="1">
      <c r="A10" s="58"/>
      <c r="B10" s="69"/>
      <c r="C10" s="83"/>
      <c r="D10" s="98">
        <f t="shared" si="0"/>
        <v>0</v>
      </c>
      <c r="E10" s="77">
        <f>B10*C10</f>
        <v>0</v>
      </c>
      <c r="F10" s="58"/>
      <c r="G10" s="58"/>
      <c r="H10" s="248"/>
      <c r="I10" s="60"/>
      <c r="J10" s="68"/>
      <c r="K10" s="86"/>
      <c r="L10" s="86"/>
      <c r="M10" s="565" t="s">
        <v>182</v>
      </c>
      <c r="N10" s="58"/>
      <c r="O10" s="58"/>
      <c r="V10" s="462">
        <v>6</v>
      </c>
    </row>
    <row r="11" spans="1:24" ht="15.6" thickBot="1">
      <c r="A11" s="58"/>
      <c r="B11" s="70"/>
      <c r="C11" s="89"/>
      <c r="D11" s="98">
        <f t="shared" si="0"/>
        <v>0</v>
      </c>
      <c r="E11" s="77">
        <f t="shared" si="1"/>
        <v>0</v>
      </c>
      <c r="F11" s="402" t="s">
        <v>12</v>
      </c>
      <c r="G11" s="435"/>
      <c r="H11" s="248"/>
      <c r="I11" s="59" t="s">
        <v>39</v>
      </c>
      <c r="J11" s="68">
        <v>41</v>
      </c>
      <c r="K11" s="62" t="s">
        <v>43</v>
      </c>
      <c r="L11" s="62" t="s">
        <v>44</v>
      </c>
      <c r="M11" s="62" t="s">
        <v>51</v>
      </c>
      <c r="N11" s="187" t="s">
        <v>107</v>
      </c>
      <c r="O11" s="58"/>
      <c r="V11" s="462">
        <v>5</v>
      </c>
    </row>
    <row r="12" spans="1:24" ht="15.6" thickBot="1">
      <c r="A12" s="58"/>
      <c r="B12" s="61"/>
      <c r="C12" s="61"/>
      <c r="D12" s="98"/>
      <c r="E12" s="77"/>
      <c r="F12" s="433">
        <f>SUM(F13:F28)</f>
        <v>996</v>
      </c>
      <c r="G12" s="434" t="s">
        <v>161</v>
      </c>
      <c r="H12" s="248"/>
      <c r="I12" s="59" t="s">
        <v>41</v>
      </c>
      <c r="J12" s="68">
        <v>50</v>
      </c>
      <c r="K12" s="252">
        <f xml:space="preserve"> (J11-J12)/J13</f>
        <v>-1.2857142857142858</v>
      </c>
      <c r="L12" s="253">
        <f xml:space="preserve"> _xlfn.NORM.DIST(J11,J12,J13, TRUE)</f>
        <v>9.9271396843330958E-2</v>
      </c>
      <c r="M12" s="253">
        <f>1-L12</f>
        <v>0.90072860315666903</v>
      </c>
      <c r="N12" s="147">
        <f>_xlfn.NORM.DIST(J14,J12, J13, TRUE)-L12</f>
        <v>0.77417964868311118</v>
      </c>
      <c r="O12" s="58"/>
      <c r="V12" s="462">
        <v>5</v>
      </c>
    </row>
    <row r="13" spans="1:24" ht="15.3">
      <c r="A13" s="58"/>
      <c r="B13" s="86"/>
      <c r="C13" s="86"/>
      <c r="D13" s="98"/>
      <c r="E13" s="428"/>
      <c r="F13" s="462">
        <v>234</v>
      </c>
      <c r="G13" s="463">
        <f>IF(F13="","",F13/F$12)</f>
        <v>0.23493975903614459</v>
      </c>
      <c r="H13" s="248"/>
      <c r="I13" s="59" t="s">
        <v>42</v>
      </c>
      <c r="J13" s="68">
        <v>7</v>
      </c>
      <c r="K13" s="86"/>
      <c r="L13" s="86"/>
      <c r="M13" s="83"/>
      <c r="N13" s="58"/>
      <c r="O13" s="58"/>
      <c r="V13" s="462">
        <v>5</v>
      </c>
    </row>
    <row r="14" spans="1:24" ht="15.3">
      <c r="A14" s="58"/>
      <c r="B14" s="61"/>
      <c r="C14" s="440"/>
      <c r="D14" s="98"/>
      <c r="E14" s="428"/>
      <c r="F14" s="462">
        <v>290</v>
      </c>
      <c r="G14" s="464">
        <f t="shared" ref="G14:G24" si="2">IF(F14="","",F14/F$12)</f>
        <v>0.29116465863453816</v>
      </c>
      <c r="H14" s="248"/>
      <c r="I14" s="59" t="s">
        <v>106</v>
      </c>
      <c r="J14" s="68">
        <v>58</v>
      </c>
      <c r="K14" s="86"/>
      <c r="L14" s="86"/>
      <c r="M14" s="83"/>
      <c r="N14" s="58"/>
      <c r="O14" s="58"/>
      <c r="V14" s="462">
        <v>5</v>
      </c>
    </row>
    <row r="15" spans="1:24" ht="15.6" thickBot="1">
      <c r="A15" s="58"/>
      <c r="B15" s="61"/>
      <c r="C15" s="442"/>
      <c r="D15" s="99"/>
      <c r="E15" s="429"/>
      <c r="F15" s="462">
        <v>273</v>
      </c>
      <c r="G15" s="464">
        <f t="shared" si="2"/>
        <v>0.2740963855421687</v>
      </c>
      <c r="H15" s="248"/>
      <c r="I15" s="59"/>
      <c r="J15" s="68"/>
      <c r="K15" s="148" t="s">
        <v>150</v>
      </c>
      <c r="L15" s="148" t="s">
        <v>67</v>
      </c>
      <c r="M15" s="148" t="s">
        <v>168</v>
      </c>
      <c r="N15" s="153" t="s">
        <v>169</v>
      </c>
      <c r="O15" s="58"/>
      <c r="V15" s="462">
        <v>5</v>
      </c>
    </row>
    <row r="16" spans="1:24" ht="15.3" thickBot="1">
      <c r="A16" s="58"/>
      <c r="B16" s="58"/>
      <c r="C16" s="441"/>
      <c r="D16" s="71"/>
      <c r="E16" s="71"/>
      <c r="F16" s="462">
        <v>142</v>
      </c>
      <c r="G16" s="464">
        <f t="shared" si="2"/>
        <v>0.14257028112449799</v>
      </c>
      <c r="H16" s="248"/>
      <c r="I16" s="79"/>
      <c r="J16" s="80"/>
      <c r="K16" s="62" t="s">
        <v>44</v>
      </c>
      <c r="L16" s="62" t="s">
        <v>51</v>
      </c>
      <c r="M16" s="470" t="s">
        <v>171</v>
      </c>
      <c r="N16" s="471" t="s">
        <v>170</v>
      </c>
      <c r="O16" s="58"/>
      <c r="V16" s="462">
        <v>5</v>
      </c>
    </row>
    <row r="17" spans="1:22" ht="15.6" thickBot="1">
      <c r="A17" s="58"/>
      <c r="B17" s="58"/>
      <c r="C17" s="67"/>
      <c r="D17" s="71"/>
      <c r="E17" s="71"/>
      <c r="F17" s="443">
        <v>57</v>
      </c>
      <c r="G17" s="430">
        <f t="shared" si="2"/>
        <v>5.7228915662650599E-2</v>
      </c>
      <c r="H17" s="248"/>
      <c r="I17" s="82" t="s">
        <v>50</v>
      </c>
      <c r="J17" s="83">
        <v>-0.22</v>
      </c>
      <c r="K17" s="112">
        <f>_xlfn.NORM.S.DIST(J17,TRUE)</f>
        <v>0.41293557735178538</v>
      </c>
      <c r="L17" s="88">
        <f>1-K17</f>
        <v>0.58706442264821468</v>
      </c>
      <c r="M17" s="112">
        <f>ABS(_xlfn.NORM.S.DIST(J17,TRUE) - _xlfn.NORM.S.DIST(J18,TRUE) )</f>
        <v>0.45139836170183195</v>
      </c>
      <c r="N17" s="112">
        <f>1-M17</f>
        <v>0.54860163829816799</v>
      </c>
      <c r="O17" s="58"/>
      <c r="V17" s="462">
        <v>4</v>
      </c>
    </row>
    <row r="18" spans="1:22" ht="17.7" thickBot="1">
      <c r="C18" s="28"/>
      <c r="D18" s="72"/>
      <c r="E18" s="72"/>
      <c r="F18" s="443"/>
      <c r="G18" s="430" t="str">
        <f t="shared" si="2"/>
        <v/>
      </c>
      <c r="H18" s="249"/>
      <c r="I18" s="201" t="s">
        <v>167</v>
      </c>
      <c r="J18" s="202">
        <v>1.1000000000000001</v>
      </c>
      <c r="K18" s="258" t="s">
        <v>43</v>
      </c>
      <c r="M18" s="243"/>
      <c r="O18" s="58"/>
      <c r="V18" s="462">
        <v>4</v>
      </c>
    </row>
    <row r="19" spans="1:22" ht="15.6" thickBot="1">
      <c r="C19" s="28"/>
      <c r="D19" s="72"/>
      <c r="E19" s="72"/>
      <c r="F19" s="444"/>
      <c r="G19" s="430" t="str">
        <f t="shared" si="2"/>
        <v/>
      </c>
      <c r="H19" s="249"/>
      <c r="I19" s="469" t="s">
        <v>44</v>
      </c>
      <c r="J19" s="89">
        <v>6.4000000000000001E-2</v>
      </c>
      <c r="K19" s="326">
        <f>_xlfn.NORM.S.INV(J19)</f>
        <v>-1.5220362417358562</v>
      </c>
      <c r="O19" s="58"/>
      <c r="V19" s="462">
        <v>4</v>
      </c>
    </row>
    <row r="20" spans="1:22" ht="16.5" customHeight="1">
      <c r="C20" s="28"/>
      <c r="D20" s="72"/>
      <c r="E20" s="72"/>
      <c r="F20" s="444"/>
      <c r="G20" s="430" t="str">
        <f t="shared" si="2"/>
        <v/>
      </c>
      <c r="H20" s="249"/>
      <c r="I20" s="59" t="s">
        <v>41</v>
      </c>
      <c r="J20" s="68">
        <v>2.2000000000000002</v>
      </c>
      <c r="K20" s="250" t="s">
        <v>109</v>
      </c>
      <c r="O20" s="58"/>
      <c r="V20" s="462">
        <v>4</v>
      </c>
    </row>
    <row r="21" spans="1:22" ht="15.6" thickBot="1">
      <c r="C21" s="28"/>
      <c r="D21" s="72"/>
      <c r="E21" s="72"/>
      <c r="F21" s="444"/>
      <c r="G21" s="430" t="str">
        <f t="shared" si="2"/>
        <v/>
      </c>
      <c r="H21" s="249"/>
      <c r="I21" s="59" t="s">
        <v>42</v>
      </c>
      <c r="J21" s="68">
        <v>1.31</v>
      </c>
      <c r="K21" s="251">
        <f>K19*J21+J20</f>
        <v>0.20613252332602849</v>
      </c>
      <c r="O21" s="58"/>
      <c r="V21" s="462">
        <v>4</v>
      </c>
    </row>
    <row r="22" spans="1:22">
      <c r="C22" s="28"/>
      <c r="D22" s="72"/>
      <c r="E22" s="72"/>
      <c r="F22" s="444"/>
      <c r="G22" s="430" t="str">
        <f t="shared" si="2"/>
        <v/>
      </c>
      <c r="H22" s="249"/>
      <c r="O22" s="58"/>
      <c r="V22" s="462">
        <v>4</v>
      </c>
    </row>
    <row r="23" spans="1:22" ht="14.7" thickBot="1">
      <c r="C23" s="28"/>
      <c r="D23" s="72"/>
      <c r="E23" s="72"/>
      <c r="F23" s="444"/>
      <c r="G23" s="430" t="str">
        <f t="shared" si="2"/>
        <v/>
      </c>
      <c r="H23" s="249"/>
      <c r="J23" s="633"/>
      <c r="K23" s="633"/>
      <c r="O23" s="58"/>
      <c r="V23" s="462">
        <v>4</v>
      </c>
    </row>
    <row r="24" spans="1:22" ht="15.6" thickBot="1">
      <c r="C24" s="28"/>
      <c r="D24" s="72"/>
      <c r="E24" s="72"/>
      <c r="F24" s="444"/>
      <c r="G24" s="430" t="str">
        <f t="shared" si="2"/>
        <v/>
      </c>
      <c r="H24" s="249"/>
      <c r="I24" s="59" t="s">
        <v>39</v>
      </c>
      <c r="J24" s="68">
        <v>1.21</v>
      </c>
      <c r="K24" s="62" t="s">
        <v>43</v>
      </c>
      <c r="L24" s="62" t="s">
        <v>44</v>
      </c>
      <c r="M24" s="62" t="s">
        <v>51</v>
      </c>
      <c r="O24" s="58"/>
      <c r="V24" s="462">
        <v>4</v>
      </c>
    </row>
    <row r="25" spans="1:22" ht="15.6" thickBot="1">
      <c r="C25" s="28"/>
      <c r="D25" s="72"/>
      <c r="E25" s="72"/>
      <c r="F25" s="73"/>
      <c r="H25" s="249"/>
      <c r="I25" s="59" t="s">
        <v>41</v>
      </c>
      <c r="J25" s="68">
        <v>0</v>
      </c>
      <c r="K25" s="252">
        <f xml:space="preserve"> (J24-J25)/K27</f>
        <v>2.7306357613906034</v>
      </c>
      <c r="L25" s="253">
        <f xml:space="preserve">  _xlfn.NORM.S.DIST(K25,TRUE)</f>
        <v>0.99683938542026707</v>
      </c>
      <c r="M25" s="88">
        <f>1-L25</f>
        <v>3.1606145797329344E-3</v>
      </c>
      <c r="V25" s="462">
        <v>4</v>
      </c>
    </row>
    <row r="26" spans="1:22" ht="15.6" thickBot="1">
      <c r="C26" s="28"/>
      <c r="D26" s="72"/>
      <c r="E26" s="72"/>
      <c r="F26" s="73"/>
      <c r="H26" s="249"/>
      <c r="I26" s="59" t="s">
        <v>42</v>
      </c>
      <c r="J26" s="68">
        <v>1.88</v>
      </c>
      <c r="K26" s="92" t="s">
        <v>53</v>
      </c>
      <c r="L26" s="86"/>
      <c r="M26" s="83"/>
      <c r="V26" s="462">
        <v>4</v>
      </c>
    </row>
    <row r="27" spans="1:22" ht="16.5" thickBot="1">
      <c r="C27" s="28"/>
      <c r="D27" s="72"/>
      <c r="E27" s="72"/>
      <c r="F27" s="73"/>
      <c r="H27" s="249"/>
      <c r="I27" s="90" t="s">
        <v>52</v>
      </c>
      <c r="J27" s="91">
        <v>18</v>
      </c>
      <c r="K27" s="121">
        <f>J26/SQRT(J27)</f>
        <v>0.44312024954356982</v>
      </c>
      <c r="V27" s="462">
        <v>4</v>
      </c>
    </row>
    <row r="28" spans="1:22">
      <c r="C28" s="28"/>
      <c r="D28" s="72"/>
      <c r="E28" s="72"/>
      <c r="F28" s="73"/>
      <c r="H28" s="249"/>
      <c r="V28" s="462">
        <v>3</v>
      </c>
    </row>
    <row r="29" spans="1:22">
      <c r="C29" s="28"/>
      <c r="D29" s="72"/>
      <c r="E29" s="72"/>
      <c r="F29" s="73"/>
      <c r="H29" s="249"/>
      <c r="V29" s="462">
        <v>3</v>
      </c>
    </row>
    <row r="30" spans="1:22">
      <c r="C30" s="28"/>
      <c r="D30" s="72"/>
      <c r="E30" s="72"/>
      <c r="F30" s="73"/>
      <c r="V30" s="462">
        <v>3</v>
      </c>
    </row>
    <row r="31" spans="1:22">
      <c r="C31" s="28"/>
      <c r="D31" s="72"/>
      <c r="E31" s="72"/>
      <c r="F31" s="73"/>
      <c r="V31" s="462">
        <v>3</v>
      </c>
    </row>
    <row r="32" spans="1:22">
      <c r="C32" s="28"/>
      <c r="D32" s="72"/>
      <c r="E32" s="72"/>
      <c r="F32" s="73"/>
      <c r="V32" s="462">
        <v>3</v>
      </c>
    </row>
    <row r="33" spans="3:22">
      <c r="C33" s="28"/>
      <c r="D33" s="72"/>
      <c r="E33" s="72"/>
      <c r="F33" s="73"/>
      <c r="V33" s="462">
        <v>3</v>
      </c>
    </row>
    <row r="34" spans="3:22">
      <c r="C34" s="28"/>
      <c r="D34" s="72"/>
      <c r="E34" s="72"/>
      <c r="F34" s="73"/>
      <c r="V34" s="462">
        <v>3</v>
      </c>
    </row>
    <row r="35" spans="3:22">
      <c r="C35" s="28"/>
      <c r="D35" s="72"/>
      <c r="E35" s="72"/>
      <c r="F35" s="73"/>
      <c r="V35" s="462">
        <v>3</v>
      </c>
    </row>
    <row r="36" spans="3:22">
      <c r="C36" s="28"/>
      <c r="D36" s="72"/>
      <c r="E36" s="72"/>
      <c r="F36" s="73"/>
      <c r="V36" s="462">
        <v>3</v>
      </c>
    </row>
    <row r="37" spans="3:22">
      <c r="C37" s="28"/>
      <c r="D37" s="72"/>
      <c r="E37" s="72"/>
      <c r="F37" s="73"/>
      <c r="V37" s="462">
        <v>3</v>
      </c>
    </row>
    <row r="38" spans="3:22">
      <c r="C38" s="28"/>
      <c r="D38" s="72"/>
      <c r="E38" s="72"/>
      <c r="F38" s="73"/>
      <c r="V38" s="462">
        <v>3</v>
      </c>
    </row>
    <row r="39" spans="3:22">
      <c r="C39" s="28"/>
      <c r="D39" s="72"/>
      <c r="E39" s="72"/>
      <c r="F39" s="73"/>
      <c r="V39" s="462">
        <v>3</v>
      </c>
    </row>
    <row r="40" spans="3:22">
      <c r="C40" s="28"/>
      <c r="D40" s="72"/>
      <c r="E40" s="72"/>
      <c r="F40" s="73"/>
      <c r="V40" s="462">
        <v>3</v>
      </c>
    </row>
    <row r="41" spans="3:22">
      <c r="C41" s="28"/>
      <c r="D41" s="72"/>
      <c r="E41" s="72"/>
      <c r="F41" s="73"/>
      <c r="V41" s="462">
        <v>3</v>
      </c>
    </row>
    <row r="42" spans="3:22">
      <c r="C42" s="28"/>
      <c r="D42" s="72"/>
      <c r="E42" s="72"/>
      <c r="F42" s="73"/>
      <c r="V42" s="462">
        <v>3</v>
      </c>
    </row>
    <row r="43" spans="3:22">
      <c r="C43" s="28"/>
      <c r="D43" s="72"/>
      <c r="E43" s="72"/>
      <c r="F43" s="73"/>
      <c r="V43" s="462">
        <v>3</v>
      </c>
    </row>
    <row r="44" spans="3:22">
      <c r="C44" s="28"/>
      <c r="D44" s="72"/>
      <c r="E44" s="72"/>
      <c r="F44" s="73"/>
      <c r="V44" s="462">
        <v>3</v>
      </c>
    </row>
    <row r="45" spans="3:22">
      <c r="C45" s="28"/>
      <c r="D45" s="72"/>
      <c r="E45" s="72"/>
      <c r="F45" s="73"/>
      <c r="V45" s="462">
        <v>3</v>
      </c>
    </row>
    <row r="46" spans="3:22">
      <c r="C46" s="28"/>
      <c r="D46" s="72"/>
      <c r="E46" s="72"/>
      <c r="F46" s="73"/>
      <c r="V46" s="462">
        <v>3</v>
      </c>
    </row>
    <row r="47" spans="3:22">
      <c r="C47" s="28"/>
      <c r="D47" s="72"/>
      <c r="E47" s="72"/>
      <c r="F47" s="73"/>
      <c r="V47" s="462">
        <v>3</v>
      </c>
    </row>
    <row r="48" spans="3:22">
      <c r="C48" s="28"/>
      <c r="D48" s="72"/>
      <c r="E48" s="72"/>
      <c r="F48" s="73"/>
      <c r="V48" s="462">
        <v>3</v>
      </c>
    </row>
    <row r="49" spans="3:22">
      <c r="C49" s="28"/>
      <c r="D49" s="72"/>
      <c r="E49" s="72"/>
      <c r="F49" s="73"/>
      <c r="V49" s="462">
        <v>3</v>
      </c>
    </row>
    <row r="50" spans="3:22">
      <c r="C50" s="28"/>
      <c r="D50" s="72"/>
      <c r="E50" s="72"/>
      <c r="F50" s="73"/>
      <c r="V50" s="462">
        <v>3</v>
      </c>
    </row>
    <row r="51" spans="3:22">
      <c r="C51" s="28"/>
      <c r="D51" s="72"/>
      <c r="E51" s="72"/>
      <c r="F51" s="73"/>
      <c r="V51" s="462">
        <v>3</v>
      </c>
    </row>
    <row r="52" spans="3:22">
      <c r="C52" s="28"/>
      <c r="D52" s="72"/>
      <c r="E52" s="72"/>
      <c r="F52" s="73"/>
      <c r="V52" s="462">
        <v>3</v>
      </c>
    </row>
    <row r="53" spans="3:22">
      <c r="C53" s="28"/>
      <c r="D53" s="72"/>
      <c r="E53" s="72"/>
      <c r="F53" s="73"/>
      <c r="V53" s="462">
        <v>3</v>
      </c>
    </row>
    <row r="54" spans="3:22">
      <c r="C54" s="28"/>
      <c r="D54" s="72"/>
      <c r="E54" s="72"/>
      <c r="F54" s="73"/>
      <c r="V54" s="462">
        <v>3</v>
      </c>
    </row>
    <row r="55" spans="3:22">
      <c r="C55" s="28"/>
      <c r="D55" s="72"/>
      <c r="E55" s="72"/>
      <c r="F55" s="73"/>
      <c r="V55" s="462">
        <v>3</v>
      </c>
    </row>
    <row r="56" spans="3:22">
      <c r="V56" s="462">
        <v>3</v>
      </c>
    </row>
    <row r="57" spans="3:22">
      <c r="V57" s="462">
        <v>2</v>
      </c>
    </row>
    <row r="58" spans="3:22">
      <c r="V58" s="462">
        <v>2</v>
      </c>
    </row>
    <row r="59" spans="3:22">
      <c r="V59" s="462">
        <v>2</v>
      </c>
    </row>
    <row r="60" spans="3:22">
      <c r="V60" s="462">
        <v>2</v>
      </c>
    </row>
    <row r="61" spans="3:22">
      <c r="V61" s="462">
        <v>2</v>
      </c>
    </row>
    <row r="62" spans="3:22">
      <c r="V62" s="462">
        <v>2</v>
      </c>
    </row>
    <row r="63" spans="3:22">
      <c r="V63" s="462">
        <v>2</v>
      </c>
    </row>
    <row r="64" spans="3:22">
      <c r="V64" s="462">
        <v>2</v>
      </c>
    </row>
    <row r="65" spans="22:22">
      <c r="V65" s="462">
        <v>2</v>
      </c>
    </row>
    <row r="66" spans="22:22">
      <c r="V66" s="462">
        <v>2</v>
      </c>
    </row>
    <row r="67" spans="22:22">
      <c r="V67" s="462">
        <v>2</v>
      </c>
    </row>
    <row r="68" spans="22:22">
      <c r="V68" s="462">
        <v>2</v>
      </c>
    </row>
    <row r="69" spans="22:22">
      <c r="V69" s="462">
        <v>2</v>
      </c>
    </row>
    <row r="70" spans="22:22">
      <c r="V70" s="462">
        <v>2</v>
      </c>
    </row>
    <row r="71" spans="22:22">
      <c r="V71" s="462">
        <v>2</v>
      </c>
    </row>
    <row r="72" spans="22:22">
      <c r="V72" s="462">
        <v>2</v>
      </c>
    </row>
    <row r="73" spans="22:22">
      <c r="V73" s="462">
        <v>2</v>
      </c>
    </row>
    <row r="74" spans="22:22">
      <c r="V74" s="462">
        <v>2</v>
      </c>
    </row>
    <row r="75" spans="22:22">
      <c r="V75" s="462">
        <v>2</v>
      </c>
    </row>
    <row r="76" spans="22:22">
      <c r="V76" s="462">
        <v>2</v>
      </c>
    </row>
    <row r="77" spans="22:22">
      <c r="V77" s="462">
        <v>2</v>
      </c>
    </row>
    <row r="78" spans="22:22">
      <c r="V78" s="462">
        <v>2</v>
      </c>
    </row>
    <row r="79" spans="22:22">
      <c r="V79" s="462">
        <v>2</v>
      </c>
    </row>
    <row r="80" spans="22:22">
      <c r="V80" s="462">
        <v>2</v>
      </c>
    </row>
    <row r="81" spans="22:22">
      <c r="V81" s="462">
        <v>2</v>
      </c>
    </row>
    <row r="82" spans="22:22">
      <c r="V82" s="462">
        <v>2</v>
      </c>
    </row>
    <row r="83" spans="22:22">
      <c r="V83" s="462">
        <v>2</v>
      </c>
    </row>
    <row r="84" spans="22:22">
      <c r="V84" s="462">
        <v>2</v>
      </c>
    </row>
    <row r="85" spans="22:22">
      <c r="V85" s="462">
        <v>2</v>
      </c>
    </row>
    <row r="86" spans="22:22">
      <c r="V86" s="462">
        <v>2</v>
      </c>
    </row>
    <row r="87" spans="22:22">
      <c r="V87" s="462">
        <v>2</v>
      </c>
    </row>
    <row r="88" spans="22:22">
      <c r="V88" s="462">
        <v>2</v>
      </c>
    </row>
    <row r="89" spans="22:22">
      <c r="V89" s="462">
        <v>2</v>
      </c>
    </row>
    <row r="90" spans="22:22">
      <c r="V90" s="462">
        <v>1</v>
      </c>
    </row>
    <row r="91" spans="22:22">
      <c r="V91" s="462">
        <v>1</v>
      </c>
    </row>
    <row r="92" spans="22:22">
      <c r="V92" s="462">
        <v>1</v>
      </c>
    </row>
    <row r="93" spans="22:22">
      <c r="V93" s="462">
        <v>1</v>
      </c>
    </row>
    <row r="94" spans="22:22">
      <c r="V94" s="462">
        <v>1</v>
      </c>
    </row>
    <row r="95" spans="22:22">
      <c r="V95" s="462">
        <v>1</v>
      </c>
    </row>
    <row r="96" spans="22:22">
      <c r="V96" s="462">
        <v>1</v>
      </c>
    </row>
    <row r="97" spans="22:22">
      <c r="V97" s="462">
        <v>1</v>
      </c>
    </row>
    <row r="98" spans="22:22">
      <c r="V98" s="462">
        <v>1</v>
      </c>
    </row>
    <row r="99" spans="22:22">
      <c r="V99" s="462">
        <v>1</v>
      </c>
    </row>
    <row r="100" spans="22:22">
      <c r="V100" s="462">
        <v>1</v>
      </c>
    </row>
    <row r="101" spans="22:22">
      <c r="V101" s="462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Normal="100" workbookViewId="0">
      <selection activeCell="M22" sqref="M22:M23"/>
    </sheetView>
  </sheetViews>
  <sheetFormatPr defaultRowHeight="15.3"/>
  <cols>
    <col min="1" max="1" width="6.3125" customWidth="1"/>
    <col min="2" max="2" width="8.89453125" customWidth="1"/>
    <col min="3" max="4" width="0.9453125" customWidth="1"/>
    <col min="5" max="5" width="9.41796875" customWidth="1"/>
    <col min="6" max="6" width="9.68359375" customWidth="1"/>
    <col min="7" max="7" width="6.83984375" customWidth="1"/>
    <col min="8" max="8" width="8.62890625" customWidth="1"/>
    <col min="10" max="10" width="10.89453125" customWidth="1"/>
    <col min="11" max="11" width="11.578125" customWidth="1"/>
    <col min="12" max="12" width="10.62890625" customWidth="1"/>
    <col min="13" max="13" width="10.47265625" customWidth="1"/>
    <col min="14" max="14" width="0.68359375" customWidth="1"/>
    <col min="15" max="15" width="8.62890625" customWidth="1"/>
    <col min="16" max="16" width="8.3125" customWidth="1"/>
    <col min="17" max="18" width="9.9453125" customWidth="1"/>
    <col min="19" max="19" width="9.7890625" customWidth="1"/>
    <col min="20" max="20" width="10.1015625" customWidth="1"/>
    <col min="21" max="21" width="0.68359375" customWidth="1"/>
    <col min="22" max="22" width="6.734375" style="29" customWidth="1"/>
    <col min="23" max="23" width="7.9453125" style="29" customWidth="1"/>
    <col min="24" max="24" width="9.7890625" customWidth="1"/>
    <col min="25" max="25" width="10.1015625" customWidth="1"/>
    <col min="26" max="26" width="10.47265625" customWidth="1"/>
    <col min="27" max="27" width="4.15625" customWidth="1"/>
  </cols>
  <sheetData>
    <row r="1" spans="1:27" ht="21.75" customHeight="1" thickBot="1">
      <c r="A1" s="62" t="s">
        <v>30</v>
      </c>
      <c r="B1" s="209" t="s">
        <v>31</v>
      </c>
      <c r="C1" s="97"/>
      <c r="D1" s="76"/>
      <c r="E1" s="58"/>
      <c r="F1" s="58"/>
      <c r="K1" s="337" t="s">
        <v>56</v>
      </c>
      <c r="L1" s="338">
        <v>80</v>
      </c>
      <c r="N1" s="288"/>
      <c r="U1" s="322"/>
    </row>
    <row r="2" spans="1:27" ht="15.6" thickBot="1">
      <c r="A2" s="475">
        <v>35</v>
      </c>
      <c r="B2" s="475">
        <f>1/38</f>
        <v>2.6315789473684209E-2</v>
      </c>
      <c r="C2" s="98">
        <f>(A2-$F$2)^2 *B2</f>
        <v>32.333867910774167</v>
      </c>
      <c r="D2" s="77">
        <f>A2*B2</f>
        <v>0.92105263157894735</v>
      </c>
      <c r="E2" s="94" t="s">
        <v>32</v>
      </c>
      <c r="F2" s="334">
        <f>SUM(D2:D6)</f>
        <v>-5.2631578947368474E-2</v>
      </c>
      <c r="G2" s="341" t="s">
        <v>41</v>
      </c>
      <c r="H2" s="342">
        <v>-0.05</v>
      </c>
      <c r="I2" s="92" t="s">
        <v>110</v>
      </c>
      <c r="J2" s="115">
        <f>H2</f>
        <v>-0.05</v>
      </c>
      <c r="K2" s="343"/>
      <c r="L2" s="329"/>
      <c r="N2" s="289"/>
      <c r="O2" s="58"/>
      <c r="P2" s="58"/>
      <c r="Q2" s="58"/>
      <c r="R2" s="58"/>
      <c r="U2" s="323"/>
      <c r="X2" s="131"/>
    </row>
    <row r="3" spans="1:27" ht="15.6" thickBot="1">
      <c r="A3" s="475">
        <v>-1</v>
      </c>
      <c r="B3" s="475">
        <f>1-B2</f>
        <v>0.97368421052631582</v>
      </c>
      <c r="C3" s="98">
        <f t="shared" ref="C3:C6" si="0">(A3-$F$2)^2 *B3</f>
        <v>0.87388832191281518</v>
      </c>
      <c r="D3" s="77">
        <f t="shared" ref="D3:D6" si="1">A3*B3</f>
        <v>-0.97368421052631582</v>
      </c>
      <c r="E3" s="95" t="s">
        <v>9</v>
      </c>
      <c r="F3" s="335">
        <f>SUM(C2:C6)</f>
        <v>33.207756232686982</v>
      </c>
      <c r="G3" s="344" t="s">
        <v>42</v>
      </c>
      <c r="H3" s="345">
        <f>F4</f>
        <v>5.7626171339667343</v>
      </c>
      <c r="I3" s="92" t="s">
        <v>53</v>
      </c>
      <c r="J3" s="112">
        <f>H3/SQRT(H4)</f>
        <v>0.71476468675078908</v>
      </c>
      <c r="K3" s="28"/>
      <c r="L3" s="299"/>
      <c r="N3" s="289"/>
      <c r="O3" s="277" t="s">
        <v>102</v>
      </c>
      <c r="P3" s="66">
        <v>0.14599999999999999</v>
      </c>
      <c r="Q3" s="151"/>
      <c r="R3" s="280">
        <f>(P3+P4)/2</f>
        <v>0.19400000000000001</v>
      </c>
      <c r="U3" s="323"/>
      <c r="V3" s="86"/>
      <c r="W3" s="68">
        <v>0.05</v>
      </c>
      <c r="X3" s="112"/>
      <c r="Y3" s="112"/>
      <c r="Z3" s="117"/>
    </row>
    <row r="4" spans="1:27" ht="16.5" thickBot="1">
      <c r="A4" s="475"/>
      <c r="B4" s="475"/>
      <c r="C4" s="98">
        <f t="shared" si="0"/>
        <v>0</v>
      </c>
      <c r="D4" s="77">
        <f t="shared" si="1"/>
        <v>0</v>
      </c>
      <c r="E4" s="96" t="s">
        <v>33</v>
      </c>
      <c r="F4" s="336">
        <f>SQRT(F3)</f>
        <v>5.7626171339667343</v>
      </c>
      <c r="G4" s="346" t="s">
        <v>52</v>
      </c>
      <c r="H4" s="273">
        <v>65</v>
      </c>
      <c r="I4" s="175"/>
      <c r="J4" s="416">
        <f>SQRT(H6*(1-H6)/H4)</f>
        <v>3.6368837040690591E-2</v>
      </c>
      <c r="K4" s="272"/>
      <c r="L4" s="260">
        <f>H6</f>
        <v>9.5000000000000001E-2</v>
      </c>
      <c r="N4" s="314"/>
      <c r="O4" s="277" t="s">
        <v>103</v>
      </c>
      <c r="P4" s="66">
        <v>0.24199999999999999</v>
      </c>
      <c r="Q4" s="279" t="s">
        <v>119</v>
      </c>
      <c r="R4" s="257">
        <f>(P4-P3)/2</f>
        <v>4.8000000000000001E-2</v>
      </c>
      <c r="U4" s="323"/>
      <c r="V4" s="325" t="s">
        <v>122</v>
      </c>
      <c r="W4" s="68">
        <v>399</v>
      </c>
      <c r="X4" s="290">
        <f>_xlfn.CHISQ.INV(W3,W4)</f>
        <v>353.69919875678079</v>
      </c>
      <c r="Y4" s="112">
        <f>_xlfn.CHISQ.INV.RT(W3,W4)</f>
        <v>446.57424159297688</v>
      </c>
      <c r="Z4" s="112">
        <f>_xlfn.CHISQ.INV.RT(1-W3 / 2,W4)</f>
        <v>345.5511325689846</v>
      </c>
      <c r="AA4" s="1"/>
    </row>
    <row r="5" spans="1:27" ht="16.5" thickBot="1">
      <c r="A5" s="475"/>
      <c r="B5" s="475"/>
      <c r="C5" s="98">
        <f t="shared" si="0"/>
        <v>0</v>
      </c>
      <c r="D5" s="77">
        <f t="shared" si="1"/>
        <v>0</v>
      </c>
      <c r="E5" s="417">
        <f>A2*B2+A3*B3</f>
        <v>-5.2631578947368474E-2</v>
      </c>
      <c r="F5" s="207"/>
      <c r="G5" s="346" t="s">
        <v>116</v>
      </c>
      <c r="H5" s="273">
        <v>1500000</v>
      </c>
      <c r="I5" s="271" t="s">
        <v>117</v>
      </c>
      <c r="J5" s="566">
        <f>H4*H6*(1-H6)</f>
        <v>5.5883750000000001</v>
      </c>
      <c r="K5" s="269" t="s">
        <v>118</v>
      </c>
      <c r="L5" s="172">
        <f>H4/H5</f>
        <v>4.3333333333333334E-5</v>
      </c>
      <c r="N5" s="315"/>
      <c r="O5" s="278" t="s">
        <v>52</v>
      </c>
      <c r="P5" s="66">
        <v>1200</v>
      </c>
      <c r="Q5" s="269" t="s">
        <v>39</v>
      </c>
      <c r="R5" s="281">
        <f>P5*R3</f>
        <v>232.8</v>
      </c>
      <c r="U5" s="323"/>
      <c r="V5" s="312" t="s">
        <v>125</v>
      </c>
      <c r="W5" s="223">
        <v>2.9</v>
      </c>
      <c r="X5" s="150"/>
      <c r="Z5" s="112">
        <f>_xlfn.CHISQ.INV.RT(W3/ 2,W4)</f>
        <v>456.23611133422855</v>
      </c>
      <c r="AA5" s="2"/>
    </row>
    <row r="6" spans="1:27" ht="17.7" thickBot="1">
      <c r="A6" s="475"/>
      <c r="B6" s="475"/>
      <c r="C6" s="98">
        <f t="shared" si="0"/>
        <v>0</v>
      </c>
      <c r="D6" s="77">
        <f t="shared" si="1"/>
        <v>0</v>
      </c>
      <c r="E6" s="270"/>
      <c r="F6" s="207"/>
      <c r="G6" s="346" t="s">
        <v>115</v>
      </c>
      <c r="H6" s="273">
        <v>9.5000000000000001E-2</v>
      </c>
      <c r="I6" s="159" t="s">
        <v>156</v>
      </c>
      <c r="J6" s="363">
        <f>ROUND(H8/H6, 0)</f>
        <v>4632</v>
      </c>
      <c r="K6" s="159" t="s">
        <v>155</v>
      </c>
      <c r="L6" s="178">
        <f>10/(H6*(1-H6))-H4</f>
        <v>51.312881651642911</v>
      </c>
      <c r="N6" s="315"/>
      <c r="O6" s="58"/>
      <c r="P6" s="58"/>
      <c r="Q6" s="58"/>
      <c r="R6" s="58"/>
      <c r="U6" s="323"/>
      <c r="V6" s="60"/>
      <c r="W6" s="223"/>
      <c r="X6" s="326">
        <f>(W7-1)*W5^2 / W8^2</f>
        <v>45.992187499999993</v>
      </c>
    </row>
    <row r="7" spans="1:27" ht="17.7" thickBot="1">
      <c r="A7" s="294"/>
      <c r="B7" s="297" t="s">
        <v>124</v>
      </c>
      <c r="C7" s="296"/>
      <c r="D7" s="77"/>
      <c r="E7" s="144" t="s">
        <v>0</v>
      </c>
      <c r="F7" s="58"/>
      <c r="G7" s="344" t="s">
        <v>111</v>
      </c>
      <c r="H7" s="286">
        <f>J3</f>
        <v>0.71476468675078908</v>
      </c>
      <c r="I7" s="269" t="s">
        <v>42</v>
      </c>
      <c r="J7" s="260">
        <f>H7*SQRT(H4)</f>
        <v>5.7626171339667343</v>
      </c>
      <c r="K7" s="28"/>
      <c r="L7" s="299"/>
      <c r="N7" s="315"/>
      <c r="O7" s="168"/>
      <c r="P7" s="135">
        <v>0.37</v>
      </c>
      <c r="Q7" s="283" t="s">
        <v>72</v>
      </c>
      <c r="R7" s="284">
        <f>P7*(1-P7)* ((_xlfn.NORM.S.INV(1- (100-L1)/200))/P8)^2</f>
        <v>425.37497352380251</v>
      </c>
      <c r="U7" s="323"/>
      <c r="V7" s="118" t="s">
        <v>60</v>
      </c>
      <c r="W7" s="223">
        <v>15</v>
      </c>
      <c r="X7" s="638" t="s">
        <v>65</v>
      </c>
      <c r="Y7" s="639"/>
      <c r="Z7" s="640"/>
    </row>
    <row r="8" spans="1:27" ht="18" customHeight="1" thickBot="1">
      <c r="A8" s="266"/>
      <c r="B8" s="295"/>
      <c r="C8" s="296"/>
      <c r="D8" s="77"/>
      <c r="E8" s="146">
        <f>IF(B9="","",AVERAGE(B9:B30))</f>
        <v>0.15580000000000002</v>
      </c>
      <c r="F8" s="58"/>
      <c r="G8" s="344" t="s">
        <v>39</v>
      </c>
      <c r="H8" s="273">
        <v>440</v>
      </c>
      <c r="I8" s="62" t="s">
        <v>43</v>
      </c>
      <c r="J8" s="62" t="s">
        <v>44</v>
      </c>
      <c r="K8" s="62" t="s">
        <v>51</v>
      </c>
      <c r="L8" s="187" t="s">
        <v>107</v>
      </c>
      <c r="N8" s="315"/>
      <c r="O8" s="311" t="s">
        <v>63</v>
      </c>
      <c r="P8" s="89">
        <v>0.03</v>
      </c>
      <c r="Q8" s="285" t="s">
        <v>121</v>
      </c>
      <c r="R8" s="284">
        <f>0.25* ((_xlfn.NORM.S.INV(1- (100-L$1)/200))/P8)^2</f>
        <v>456.21511531939353</v>
      </c>
      <c r="U8" s="323"/>
      <c r="V8" s="267" t="s">
        <v>42</v>
      </c>
      <c r="W8" s="66">
        <v>1.6</v>
      </c>
      <c r="X8" s="327" t="s">
        <v>134</v>
      </c>
      <c r="Y8" s="330" t="s">
        <v>133</v>
      </c>
      <c r="Z8" s="332"/>
    </row>
    <row r="9" spans="1:27" ht="15.6" thickBot="1">
      <c r="A9" s="266"/>
      <c r="B9" s="476">
        <v>6.5000000000000002E-2</v>
      </c>
      <c r="C9" s="296"/>
      <c r="D9" s="77"/>
      <c r="E9" s="144" t="s">
        <v>2</v>
      </c>
      <c r="F9" s="58"/>
      <c r="G9" s="347" t="s">
        <v>106</v>
      </c>
      <c r="H9" s="274">
        <v>78.3</v>
      </c>
      <c r="I9" s="263">
        <f>ROUND((H8-H2)/H3,2)</f>
        <v>76.36</v>
      </c>
      <c r="J9" s="264">
        <f xml:space="preserve"> _xlfn.NORM.DIST(H8,H2,H3, TRUE)</f>
        <v>1</v>
      </c>
      <c r="K9" s="264">
        <f>1-J9</f>
        <v>0</v>
      </c>
      <c r="L9" s="265">
        <f>_xlfn.NORM.DIST(H9,H2, H3, TRUE)-J9</f>
        <v>0</v>
      </c>
      <c r="N9" s="315"/>
      <c r="O9" s="86"/>
      <c r="P9" s="68">
        <v>0.01</v>
      </c>
      <c r="Q9" s="148" t="s">
        <v>67</v>
      </c>
      <c r="R9" s="131"/>
      <c r="U9" s="323"/>
      <c r="X9" s="176">
        <f>CHIDIST(X6,W7-1)</f>
        <v>2.8119835991838909E-5</v>
      </c>
      <c r="Y9" s="331">
        <f>1-X9</f>
        <v>0.99997188016400818</v>
      </c>
      <c r="Z9" s="65">
        <f>2*X9</f>
        <v>5.6239671983677817E-5</v>
      </c>
    </row>
    <row r="10" spans="1:27" ht="15.9" thickTop="1" thickBot="1">
      <c r="A10" s="266"/>
      <c r="B10" s="476">
        <v>0.185</v>
      </c>
      <c r="C10" s="296"/>
      <c r="D10" s="77"/>
      <c r="E10" s="333">
        <f>_xlfn.STDEV.S(B9:B30)</f>
        <v>9.4021037834920523E-2</v>
      </c>
      <c r="G10" s="348"/>
      <c r="H10" s="268" t="s">
        <v>112</v>
      </c>
      <c r="I10" s="261" t="s">
        <v>43</v>
      </c>
      <c r="J10" s="261" t="s">
        <v>113</v>
      </c>
      <c r="K10" s="261" t="s">
        <v>114</v>
      </c>
      <c r="L10" s="262" t="s">
        <v>107</v>
      </c>
      <c r="N10" s="315"/>
      <c r="O10" s="292" t="s">
        <v>122</v>
      </c>
      <c r="P10" s="61">
        <v>40</v>
      </c>
      <c r="Q10" s="62" t="s">
        <v>123</v>
      </c>
      <c r="R10" s="103"/>
      <c r="S10" s="103"/>
      <c r="T10" s="28"/>
      <c r="U10" s="323"/>
      <c r="W10" s="83">
        <v>10.8</v>
      </c>
      <c r="X10" s="150"/>
      <c r="Y10" s="86"/>
    </row>
    <row r="11" spans="1:27" ht="15.6" thickBot="1">
      <c r="A11" s="266"/>
      <c r="B11" s="476">
        <v>7.3999999999999996E-2</v>
      </c>
      <c r="C11" s="296"/>
      <c r="D11" s="77"/>
      <c r="I11" s="339">
        <f>ROUND((H8-H2)/H7, 2)</f>
        <v>615.66</v>
      </c>
      <c r="J11" s="340">
        <f xml:space="preserve"> _xlfn.NORM.S.DIST(I11,TRUE)</f>
        <v>1</v>
      </c>
      <c r="K11" s="340">
        <f>1-J11</f>
        <v>0</v>
      </c>
      <c r="L11" s="147">
        <f>_xlfn.NORM.DIST(H9,H2, J3, TRUE)-J11</f>
        <v>0</v>
      </c>
      <c r="N11" s="315"/>
      <c r="O11" s="292" t="s">
        <v>115</v>
      </c>
      <c r="P11" s="61">
        <v>0.2</v>
      </c>
      <c r="Q11" s="290">
        <f>TINV(2*P11, P10)</f>
        <v>0.85069979579045529</v>
      </c>
      <c r="R11" s="158"/>
      <c r="S11" s="103"/>
      <c r="T11" s="103"/>
      <c r="U11" s="323"/>
      <c r="W11" s="83">
        <v>9</v>
      </c>
      <c r="X11" s="130">
        <f>(W7-1)*W11/ W10</f>
        <v>11.666666666666666</v>
      </c>
      <c r="Y11" s="103"/>
    </row>
    <row r="12" spans="1:27" ht="15.6" thickBot="1">
      <c r="A12" s="266"/>
      <c r="B12" s="476">
        <v>0.126</v>
      </c>
      <c r="C12" s="296"/>
      <c r="D12" s="77"/>
      <c r="N12" s="315"/>
      <c r="O12" s="634" t="s">
        <v>126</v>
      </c>
      <c r="P12" s="635"/>
      <c r="Q12" s="112">
        <f>TINV(1-L$1/100, P10)</f>
        <v>1.3030770526071962</v>
      </c>
      <c r="R12" s="67"/>
      <c r="S12" s="28"/>
      <c r="T12" s="103"/>
      <c r="U12" s="323"/>
      <c r="W12" s="123"/>
      <c r="X12" s="28"/>
      <c r="Y12" s="28"/>
    </row>
    <row r="13" spans="1:27" ht="15.6" thickBot="1">
      <c r="A13" s="266"/>
      <c r="B13" s="476">
        <v>6.0999999999999999E-2</v>
      </c>
      <c r="C13" s="296"/>
      <c r="D13" s="77"/>
      <c r="G13" s="119"/>
      <c r="H13" s="135">
        <v>0.24</v>
      </c>
      <c r="I13" s="189"/>
      <c r="J13" s="179"/>
      <c r="K13" s="179"/>
      <c r="L13" s="190" t="s">
        <v>66</v>
      </c>
      <c r="M13" s="287" t="s">
        <v>67</v>
      </c>
      <c r="N13" s="315"/>
      <c r="O13" s="291"/>
      <c r="P13" s="66"/>
      <c r="Q13" s="103"/>
      <c r="R13" s="58"/>
      <c r="U13" s="323"/>
    </row>
    <row r="14" spans="1:27" ht="16.5" thickBot="1">
      <c r="A14" s="298"/>
      <c r="B14" s="476">
        <v>0.24399999999999999</v>
      </c>
      <c r="C14" s="296"/>
      <c r="D14" s="77"/>
      <c r="G14" s="82"/>
      <c r="H14" s="83"/>
      <c r="I14" s="149" t="s">
        <v>137</v>
      </c>
      <c r="J14" s="62" t="s">
        <v>44</v>
      </c>
      <c r="K14" s="62" t="s">
        <v>51</v>
      </c>
      <c r="L14" s="62" t="s">
        <v>65</v>
      </c>
      <c r="M14" s="208" t="s">
        <v>65</v>
      </c>
      <c r="N14" s="315"/>
      <c r="O14" s="119" t="s">
        <v>32</v>
      </c>
      <c r="P14" s="302">
        <v>4.97</v>
      </c>
      <c r="Q14" s="62" t="s">
        <v>59</v>
      </c>
      <c r="R14" s="151"/>
      <c r="S14" s="151"/>
      <c r="T14" s="28"/>
      <c r="U14" s="323"/>
    </row>
    <row r="15" spans="1:27" ht="15.6" thickBot="1">
      <c r="A15" s="298"/>
      <c r="B15" s="476">
        <v>0.25600000000000001</v>
      </c>
      <c r="C15" s="296"/>
      <c r="D15" s="77"/>
      <c r="G15" s="188"/>
      <c r="H15" s="89"/>
      <c r="I15" s="109">
        <f xml:space="preserve"> ROUND( (H13-H6) / SQRT(H6*(1-H6)/H4), 2)</f>
        <v>3.99</v>
      </c>
      <c r="J15" s="88">
        <f>_xlfn.NORM.S.DIST(I15,TRUE)</f>
        <v>0.99996696335237056</v>
      </c>
      <c r="K15" s="112">
        <f>1-J15</f>
        <v>3.3036647629436366E-5</v>
      </c>
      <c r="L15" s="112">
        <f>2*J15</f>
        <v>1.9999339267047411</v>
      </c>
      <c r="M15" s="140">
        <f>2*K15</f>
        <v>6.6073295258872733E-5</v>
      </c>
      <c r="N15" s="315"/>
      <c r="O15" s="160" t="s">
        <v>125</v>
      </c>
      <c r="P15" s="223">
        <v>16.3</v>
      </c>
      <c r="Q15" s="112">
        <f xml:space="preserve"> TINV(1-L$1/100, P16 -1 )* P15 / SQRT(P16)</f>
        <v>6.4154914182132199</v>
      </c>
      <c r="R15" s="109">
        <f>P14-Q15</f>
        <v>-1.4454914182132201</v>
      </c>
      <c r="S15" s="109">
        <f>P14+Q15</f>
        <v>11.385491418213221</v>
      </c>
      <c r="T15" s="114"/>
      <c r="U15" s="323"/>
    </row>
    <row r="16" spans="1:27" ht="18" customHeight="1" thickBot="1">
      <c r="A16" s="298"/>
      <c r="B16" s="476">
        <v>0.33200000000000002</v>
      </c>
      <c r="C16" s="296"/>
      <c r="D16" s="77"/>
      <c r="K16" s="243">
        <f>K15-0.117</f>
        <v>-0.11696696335237057</v>
      </c>
      <c r="N16" s="315"/>
      <c r="O16" s="293" t="s">
        <v>60</v>
      </c>
      <c r="P16" s="223">
        <v>12</v>
      </c>
      <c r="Q16" s="159" t="s">
        <v>72</v>
      </c>
      <c r="R16" s="109"/>
      <c r="S16" s="109"/>
      <c r="T16" s="28"/>
      <c r="U16" s="323"/>
    </row>
    <row r="17" spans="1:21" ht="19.5" customHeight="1" thickBot="1">
      <c r="A17" s="298"/>
      <c r="B17" s="476">
        <v>0.121</v>
      </c>
      <c r="C17" s="296"/>
      <c r="D17" s="77"/>
      <c r="G17" s="86"/>
      <c r="H17" s="83"/>
      <c r="I17" s="62"/>
      <c r="J17" s="103"/>
      <c r="K17" s="103"/>
      <c r="N17" s="315"/>
      <c r="O17" s="317" t="s">
        <v>64</v>
      </c>
      <c r="P17" s="318">
        <v>2</v>
      </c>
      <c r="Q17" s="178">
        <f>((_xlfn.NORM.S.INV(1- (100-L1)/200))*P15/P17)^2</f>
        <v>109.09061459028872</v>
      </c>
      <c r="R17" s="114"/>
      <c r="S17" s="103"/>
      <c r="T17" s="28"/>
      <c r="U17" s="323"/>
    </row>
    <row r="18" spans="1:21" ht="19.5" customHeight="1" thickBot="1">
      <c r="A18" s="298"/>
      <c r="B18" s="476">
        <v>9.4E-2</v>
      </c>
      <c r="C18" s="296"/>
      <c r="D18" s="77"/>
      <c r="G18" s="86"/>
      <c r="H18" s="83"/>
      <c r="I18" s="106">
        <f>-_xlfn.NORM.S.INV( (1-L1/100)/2)</f>
        <v>1.2815515655446006</v>
      </c>
      <c r="J18" s="207"/>
      <c r="K18" s="207"/>
      <c r="N18" s="315"/>
      <c r="O18" s="319"/>
      <c r="P18" s="321"/>
      <c r="Q18" s="167"/>
      <c r="R18" s="167"/>
      <c r="S18" s="320"/>
      <c r="T18" s="320"/>
      <c r="U18" s="323"/>
    </row>
    <row r="19" spans="1:21" ht="17.25" customHeight="1" thickBot="1">
      <c r="A19" s="298"/>
      <c r="B19" s="476"/>
      <c r="C19" s="296"/>
      <c r="D19" s="77"/>
      <c r="G19" s="83"/>
      <c r="H19" s="67"/>
      <c r="I19" s="86"/>
      <c r="J19" s="86"/>
      <c r="K19" s="131" t="s">
        <v>66</v>
      </c>
      <c r="L19" s="153" t="s">
        <v>67</v>
      </c>
      <c r="N19" s="315"/>
      <c r="O19" s="60"/>
      <c r="P19" s="58"/>
      <c r="Q19" s="106"/>
      <c r="R19" s="106"/>
      <c r="U19" s="323"/>
    </row>
    <row r="20" spans="1:21" ht="15.6" thickBot="1">
      <c r="A20" s="298"/>
      <c r="B20" s="476"/>
      <c r="C20" s="296"/>
      <c r="D20" s="77"/>
      <c r="G20" s="418"/>
      <c r="H20" s="419"/>
      <c r="I20" s="62" t="s">
        <v>44</v>
      </c>
      <c r="J20" s="62" t="s">
        <v>51</v>
      </c>
      <c r="K20" s="62" t="s">
        <v>65</v>
      </c>
      <c r="L20" s="62" t="s">
        <v>65</v>
      </c>
      <c r="N20" s="315"/>
      <c r="O20" s="118" t="s">
        <v>60</v>
      </c>
      <c r="P20" s="223">
        <v>20</v>
      </c>
      <c r="Q20" s="129">
        <f>_xlfn.CHISQ.INV((1-L1/100)/2,P20-1)</f>
        <v>11.650910032126951</v>
      </c>
      <c r="R20" s="129">
        <f>_xlfn.CHISQ.INV.RT((1-L1/100)/2,P20-1)</f>
        <v>27.20357102935683</v>
      </c>
      <c r="U20" s="323"/>
    </row>
    <row r="21" spans="1:21" ht="20.100000000000001" thickBot="1">
      <c r="A21" s="298"/>
      <c r="B21" s="299"/>
      <c r="C21" s="296"/>
      <c r="D21" s="77"/>
      <c r="G21" s="275" t="s">
        <v>50</v>
      </c>
      <c r="H21" s="276">
        <v>-0.5</v>
      </c>
      <c r="I21" s="112">
        <f>_xlfn.NORM.S.DIST(H21,TRUE)</f>
        <v>0.30853753872598688</v>
      </c>
      <c r="J21" s="112">
        <f>1-I21</f>
        <v>0.69146246127401312</v>
      </c>
      <c r="K21" s="307">
        <f>2*I21</f>
        <v>0.61707507745197376</v>
      </c>
      <c r="L21" s="307">
        <f>2*J21</f>
        <v>1.3829249225480262</v>
      </c>
      <c r="N21" s="315"/>
      <c r="O21" s="60" t="s">
        <v>127</v>
      </c>
      <c r="P21" s="68">
        <v>2.2999999999999998</v>
      </c>
      <c r="Q21" s="62" t="s">
        <v>102</v>
      </c>
      <c r="R21" s="62" t="s">
        <v>103</v>
      </c>
      <c r="U21" s="323"/>
    </row>
    <row r="22" spans="1:21" ht="15.6" thickBot="1">
      <c r="A22" s="298"/>
      <c r="B22" s="299"/>
      <c r="C22" s="296"/>
      <c r="D22" s="77"/>
      <c r="G22" s="84"/>
      <c r="H22" s="636">
        <v>0.05</v>
      </c>
      <c r="I22" s="62" t="s">
        <v>43</v>
      </c>
      <c r="J22" s="62" t="s">
        <v>130</v>
      </c>
      <c r="K22" s="308" t="s">
        <v>131</v>
      </c>
      <c r="L22" s="309" t="s">
        <v>132</v>
      </c>
      <c r="M22" s="310" t="s">
        <v>183</v>
      </c>
      <c r="N22" s="315"/>
      <c r="O22" s="58"/>
      <c r="P22" s="61"/>
      <c r="Q22" s="129">
        <f>(P20-1)*P21/R20</f>
        <v>1.6064067453806334</v>
      </c>
      <c r="R22" s="129">
        <f>(P20-1)*P21/Q20</f>
        <v>3.7507799716501862</v>
      </c>
      <c r="U22" s="323"/>
    </row>
    <row r="23" spans="1:21" ht="15.6" thickBot="1">
      <c r="A23" s="298"/>
      <c r="B23" s="299"/>
      <c r="C23" s="296"/>
      <c r="D23" s="77"/>
      <c r="G23" s="85" t="s">
        <v>44</v>
      </c>
      <c r="H23" s="637"/>
      <c r="I23" s="112">
        <f>_xlfn.NORM.S.INV(H22)</f>
        <v>-1.6448536269514726</v>
      </c>
      <c r="J23" s="112">
        <f>_xlfn.NORM.S.INV(H22/2)</f>
        <v>-1.9599639845400538</v>
      </c>
      <c r="K23" s="191">
        <f>-TINV(2*H22,H24)</f>
        <v>-1.7613101357748921</v>
      </c>
      <c r="L23" s="306">
        <f>TINV(2*H22,H24)</f>
        <v>1.7613101357748921</v>
      </c>
      <c r="M23" s="81">
        <f>TINV(H22,H24)</f>
        <v>2.1447866879178044</v>
      </c>
      <c r="N23" s="315"/>
      <c r="O23" s="143" t="s">
        <v>128</v>
      </c>
      <c r="P23" s="61">
        <v>1414</v>
      </c>
      <c r="Q23" s="129">
        <f>SQRT((P20-1)*(P23^2)/R20)</f>
        <v>1181.7163679943158</v>
      </c>
      <c r="R23" s="129">
        <f>SQRT((P20-1)*(P23^2)/Q20)</f>
        <v>1805.7028587225839</v>
      </c>
      <c r="U23" s="323"/>
    </row>
    <row r="24" spans="1:21" ht="16.5" customHeight="1" thickBot="1">
      <c r="A24" s="298"/>
      <c r="B24" s="299"/>
      <c r="C24" s="296"/>
      <c r="D24" s="77"/>
      <c r="G24" s="292" t="s">
        <v>122</v>
      </c>
      <c r="H24" s="61">
        <v>14</v>
      </c>
      <c r="K24" s="131" t="s">
        <v>66</v>
      </c>
      <c r="L24" s="153" t="s">
        <v>67</v>
      </c>
      <c r="M24" s="153" t="s">
        <v>129</v>
      </c>
      <c r="N24" s="315"/>
      <c r="P24" s="8"/>
      <c r="Q24" s="129">
        <f>Q23^2</f>
        <v>1396453.574385677</v>
      </c>
      <c r="R24" s="129">
        <f>R23^2</f>
        <v>3260562.8139989115</v>
      </c>
      <c r="U24" s="323"/>
    </row>
    <row r="25" spans="1:21" ht="15.6" thickBot="1">
      <c r="A25" s="298"/>
      <c r="B25" s="299"/>
      <c r="C25" s="296"/>
      <c r="D25" s="77"/>
      <c r="K25" s="112">
        <f>IF(J29 &gt;=10,  _xlfn.NORM.S.DIST(K27,TRUE), _xlfn.BINOM.DIST(H28, H26, H27, TRUE))</f>
        <v>0.99807379086781212</v>
      </c>
      <c r="L25" s="112">
        <f>1-K25</f>
        <v>1.9262091321878838E-3</v>
      </c>
      <c r="M25" s="112">
        <f>2*L25</f>
        <v>3.8524182643757676E-3</v>
      </c>
      <c r="N25" s="315"/>
      <c r="P25" s="8"/>
      <c r="Q25" s="303"/>
      <c r="U25" s="323"/>
    </row>
    <row r="26" spans="1:21" ht="17.7" thickBot="1">
      <c r="A26" s="298"/>
      <c r="B26" s="299"/>
      <c r="C26" s="296"/>
      <c r="D26" s="77"/>
      <c r="G26" s="119" t="s">
        <v>35</v>
      </c>
      <c r="H26" s="135">
        <v>65</v>
      </c>
      <c r="I26" s="62" t="s">
        <v>32</v>
      </c>
      <c r="J26" s="209" t="s">
        <v>62</v>
      </c>
      <c r="K26" s="62" t="s">
        <v>43</v>
      </c>
      <c r="L26" s="62" t="s">
        <v>44</v>
      </c>
      <c r="M26" s="208" t="s">
        <v>51</v>
      </c>
      <c r="N26" s="315"/>
      <c r="O26" s="218" t="s">
        <v>68</v>
      </c>
      <c r="P26" s="135">
        <v>18</v>
      </c>
      <c r="Q26" s="105" t="s">
        <v>90</v>
      </c>
      <c r="R26" s="62" t="s">
        <v>65</v>
      </c>
      <c r="S26" s="328"/>
      <c r="T26" s="329"/>
      <c r="U26" s="323"/>
    </row>
    <row r="27" spans="1:21" ht="17.7" thickBot="1">
      <c r="A27" s="298"/>
      <c r="B27" s="299"/>
      <c r="C27" s="296"/>
      <c r="D27" s="77"/>
      <c r="G27" s="82" t="s">
        <v>40</v>
      </c>
      <c r="H27" s="122">
        <v>9.5000000000000001E-2</v>
      </c>
      <c r="I27" s="115">
        <f>H26*H27</f>
        <v>6.1749999999999998</v>
      </c>
      <c r="J27" s="304">
        <f>SQRT(H26*H27*(1-H27))</f>
        <v>2.3639744076448883</v>
      </c>
      <c r="K27" s="121">
        <f>ROUND((H28 - I27)/J27,2)</f>
        <v>2.89</v>
      </c>
      <c r="L27" s="112">
        <f>_xlfn.NORM.S.DIST(K27,TRUE)</f>
        <v>0.99807379086781212</v>
      </c>
      <c r="M27" s="112">
        <f t="shared" ref="M27" si="2">_xlfn.NORM.S.DIST(L27,TRUE)</f>
        <v>0.84087821095976378</v>
      </c>
      <c r="N27" s="315"/>
      <c r="O27" s="313" t="s">
        <v>69</v>
      </c>
      <c r="P27" s="83">
        <v>1.88</v>
      </c>
      <c r="Q27" s="112">
        <f xml:space="preserve"> (P28 - P29) * SQRT(P26) / P27</f>
        <v>2.7306357613906038</v>
      </c>
      <c r="R27" s="112">
        <f>2*(_xlfn.T.DIST(Q27, P26-1, TRUE))</f>
        <v>1.9857662335219557</v>
      </c>
      <c r="S27" s="121">
        <f>P28-Q29*P27/SQRT(P26)</f>
        <v>0.61915259209030016</v>
      </c>
      <c r="T27" s="121">
        <f>P28+Q29*P27/SQRT(P26)</f>
        <v>1.8008474079096999</v>
      </c>
      <c r="U27" s="323"/>
    </row>
    <row r="28" spans="1:21" ht="15.6" thickBot="1">
      <c r="A28" s="298"/>
      <c r="B28" s="299"/>
      <c r="C28" s="296"/>
      <c r="D28" s="77"/>
      <c r="G28" s="82" t="s">
        <v>39</v>
      </c>
      <c r="H28" s="83">
        <v>13</v>
      </c>
      <c r="I28" s="117"/>
      <c r="J28" s="282" t="s">
        <v>120</v>
      </c>
      <c r="K28" s="474"/>
      <c r="L28" s="62" t="s">
        <v>173</v>
      </c>
      <c r="M28" s="180" t="s">
        <v>107</v>
      </c>
      <c r="N28" s="315"/>
      <c r="O28" s="86"/>
      <c r="P28" s="91">
        <v>1.21</v>
      </c>
      <c r="Q28" s="62"/>
      <c r="R28" s="62" t="s">
        <v>136</v>
      </c>
      <c r="S28" s="62" t="s">
        <v>135</v>
      </c>
      <c r="U28" s="323"/>
    </row>
    <row r="29" spans="1:21" ht="15.6" thickBot="1">
      <c r="A29" s="298"/>
      <c r="B29" s="299"/>
      <c r="C29" s="296"/>
      <c r="D29" s="77"/>
      <c r="G29" s="347" t="s">
        <v>106</v>
      </c>
      <c r="H29" s="89">
        <f>0.27*H26</f>
        <v>17.55</v>
      </c>
      <c r="I29" s="129">
        <f xml:space="preserve"> H28/H26</f>
        <v>0.2</v>
      </c>
      <c r="J29" s="109">
        <f>H26*I29*(1-I29)</f>
        <v>10.4</v>
      </c>
      <c r="K29" s="472">
        <f>(H28+2)/(H26+4)</f>
        <v>0.21739130434782608</v>
      </c>
      <c r="L29" s="478">
        <f>L27*2</f>
        <v>1.9961475817356242</v>
      </c>
      <c r="M29" s="112">
        <f xml:space="preserve"> M27 - 1 + _xlfn.NORM.S.DIST(ROUND((H29 - I27)/J27,2),TRUE)</f>
        <v>0.84087745630828459</v>
      </c>
      <c r="N29" s="315"/>
      <c r="O29" s="167"/>
      <c r="P29" s="89">
        <v>0</v>
      </c>
      <c r="Q29" s="112">
        <f>TINV((100-L1)/100, P26-1)</f>
        <v>1.3333793897216262</v>
      </c>
      <c r="R29" s="112">
        <f>1-_xlfn.T.DIST(Q27, P26-1, TRUE)</f>
        <v>7.1168832390221537E-3</v>
      </c>
      <c r="S29" s="112">
        <f>_xlfn.T.DIST(Q27, P26-1, TRUE)</f>
        <v>0.99288311676097785</v>
      </c>
      <c r="U29" s="323"/>
    </row>
    <row r="30" spans="1:21" ht="18" thickTop="1" thickBot="1">
      <c r="A30" s="300"/>
      <c r="B30" s="301"/>
      <c r="C30" s="296"/>
      <c r="D30" s="77"/>
      <c r="I30" s="119" t="s">
        <v>70</v>
      </c>
      <c r="J30" s="105" t="s">
        <v>57</v>
      </c>
      <c r="K30" s="107" t="s">
        <v>58</v>
      </c>
      <c r="M30" s="243"/>
      <c r="N30" s="315"/>
      <c r="O30" s="136"/>
      <c r="P30" s="114"/>
      <c r="Q30" s="86"/>
      <c r="R30" s="67"/>
      <c r="S30" s="305" t="s">
        <v>66</v>
      </c>
      <c r="T30" s="148" t="s">
        <v>67</v>
      </c>
      <c r="U30" s="323"/>
    </row>
    <row r="31" spans="1:21" ht="17.7" thickBot="1">
      <c r="I31" s="120">
        <f xml:space="preserve"> (100-L1)/200</f>
        <v>0.1</v>
      </c>
      <c r="J31" s="108">
        <f>1-I31</f>
        <v>0.9</v>
      </c>
      <c r="K31" s="104">
        <f>_xlfn.NORM.S.INV(J31)</f>
        <v>1.2815515655446006</v>
      </c>
      <c r="N31" s="315"/>
      <c r="O31" s="138" t="s">
        <v>61</v>
      </c>
      <c r="P31" s="132">
        <v>2.73</v>
      </c>
      <c r="Q31" s="62" t="s">
        <v>65</v>
      </c>
      <c r="R31" s="62" t="s">
        <v>88</v>
      </c>
      <c r="S31" s="62" t="s">
        <v>65</v>
      </c>
      <c r="T31" s="208" t="s">
        <v>65</v>
      </c>
      <c r="U31" s="323"/>
    </row>
    <row r="32" spans="1:21" ht="17.7" thickBot="1">
      <c r="I32" s="105" t="s">
        <v>59</v>
      </c>
      <c r="J32" s="150"/>
      <c r="K32" s="150"/>
      <c r="L32" s="473" t="s">
        <v>172</v>
      </c>
      <c r="M32" s="144" t="s">
        <v>103</v>
      </c>
      <c r="N32" s="315"/>
      <c r="O32" s="139" t="s">
        <v>52</v>
      </c>
      <c r="P32" s="133">
        <v>18</v>
      </c>
      <c r="Q32" s="112">
        <f xml:space="preserve"> 1 -_xlfn.T.DIST(P31, P32-1, TRUE)</f>
        <v>7.126358926695775E-3</v>
      </c>
      <c r="R32" s="112">
        <f>_xlfn.T.DIST(P31, P32-1, TRUE)</f>
        <v>0.99287364107330423</v>
      </c>
      <c r="S32" s="112">
        <f>2*Q32</f>
        <v>1.425271785339155E-2</v>
      </c>
      <c r="T32" s="140">
        <f>2*R32</f>
        <v>1.9857472821466085</v>
      </c>
      <c r="U32" s="323"/>
    </row>
    <row r="33" spans="9:21" ht="15.6" thickBot="1">
      <c r="I33" s="106">
        <f>K31* SQRT(I29*(1-I29) / H26)</f>
        <v>6.358276331788365E-2</v>
      </c>
      <c r="J33" s="106">
        <f>I29-I33</f>
        <v>0.13641723668211636</v>
      </c>
      <c r="K33" s="106">
        <f>I29+I33</f>
        <v>0.26358276331788366</v>
      </c>
      <c r="L33" s="191">
        <f>K29-K31*SQRT(K29*(1-K29)/(H26+4))</f>
        <v>0.1537549987405315</v>
      </c>
      <c r="M33" s="81">
        <f>K29+K31*SQRT(K29*(1-K29)/(H26+4))</f>
        <v>0.28102760995512066</v>
      </c>
      <c r="N33" s="316"/>
      <c r="U33" s="323"/>
    </row>
    <row r="34" spans="9:21" ht="15.6" thickBot="1">
      <c r="U34" s="324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121920</xdr:colOff>
                <xdr:row>3</xdr:row>
                <xdr:rowOff>0</xdr:rowOff>
              </from>
              <to>
                <xdr:col>8</xdr:col>
                <xdr:colOff>502920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121920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175260</xdr:colOff>
                <xdr:row>12</xdr:row>
                <xdr:rowOff>0</xdr:rowOff>
              </from>
              <to>
                <xdr:col>6</xdr:col>
                <xdr:colOff>441960</xdr:colOff>
                <xdr:row>13</xdr:row>
                <xdr:rowOff>7620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autoPict="0" r:id="rId11">
            <anchor moveWithCells="1">
              <from>
                <xdr:col>8</xdr:col>
                <xdr:colOff>83820</xdr:colOff>
                <xdr:row>16</xdr:row>
                <xdr:rowOff>22860</xdr:rowOff>
              </from>
              <to>
                <xdr:col>8</xdr:col>
                <xdr:colOff>518160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99060</xdr:colOff>
                <xdr:row>2</xdr:row>
                <xdr:rowOff>0</xdr:rowOff>
              </from>
              <to>
                <xdr:col>16</xdr:col>
                <xdr:colOff>365760</xdr:colOff>
                <xdr:row>3</xdr:row>
                <xdr:rowOff>7620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45720</xdr:rowOff>
              </from>
              <to>
                <xdr:col>14</xdr:col>
                <xdr:colOff>487680</xdr:colOff>
                <xdr:row>6</xdr:row>
                <xdr:rowOff>251460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121920</xdr:colOff>
                <xdr:row>13</xdr:row>
                <xdr:rowOff>7620</xdr:rowOff>
              </from>
              <to>
                <xdr:col>17</xdr:col>
                <xdr:colOff>518160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198120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7620</xdr:rowOff>
              </from>
              <to>
                <xdr:col>17</xdr:col>
                <xdr:colOff>502920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160020</xdr:colOff>
                <xdr:row>18</xdr:row>
                <xdr:rowOff>7620</xdr:rowOff>
              </from>
              <to>
                <xdr:col>16</xdr:col>
                <xdr:colOff>480060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213360</xdr:colOff>
                <xdr:row>23</xdr:row>
                <xdr:rowOff>0</xdr:rowOff>
              </from>
              <to>
                <xdr:col>15</xdr:col>
                <xdr:colOff>441960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160020</xdr:colOff>
                <xdr:row>21</xdr:row>
                <xdr:rowOff>30480</xdr:rowOff>
              </from>
              <to>
                <xdr:col>6</xdr:col>
                <xdr:colOff>312420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175260</xdr:colOff>
                <xdr:row>27</xdr:row>
                <xdr:rowOff>0</xdr:rowOff>
              </from>
              <to>
                <xdr:col>8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121920</xdr:colOff>
                <xdr:row>31</xdr:row>
                <xdr:rowOff>7620</xdr:rowOff>
              </from>
              <to>
                <xdr:col>9</xdr:col>
                <xdr:colOff>518160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22860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198120</xdr:rowOff>
              </from>
              <to>
                <xdr:col>14</xdr:col>
                <xdr:colOff>441960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213360</xdr:colOff>
                <xdr:row>27</xdr:row>
                <xdr:rowOff>7620</xdr:rowOff>
              </from>
              <to>
                <xdr:col>14</xdr:col>
                <xdr:colOff>350520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160020</xdr:colOff>
                <xdr:row>8</xdr:row>
                <xdr:rowOff>30480</xdr:rowOff>
              </from>
              <to>
                <xdr:col>14</xdr:col>
                <xdr:colOff>312420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160020</xdr:colOff>
                <xdr:row>2</xdr:row>
                <xdr:rowOff>30480</xdr:rowOff>
              </from>
              <to>
                <xdr:col>21</xdr:col>
                <xdr:colOff>312420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7620</xdr:rowOff>
              </from>
              <to>
                <xdr:col>24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160020</xdr:colOff>
                <xdr:row>2</xdr:row>
                <xdr:rowOff>7620</xdr:rowOff>
              </from>
              <to>
                <xdr:col>23</xdr:col>
                <xdr:colOff>480060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7620</xdr:rowOff>
              </from>
              <to>
                <xdr:col>25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121920</xdr:colOff>
                <xdr:row>25</xdr:row>
                <xdr:rowOff>30480</xdr:rowOff>
              </from>
              <to>
                <xdr:col>18</xdr:col>
                <xdr:colOff>518160</xdr:colOff>
                <xdr:row>25</xdr:row>
                <xdr:rowOff>251460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121920</xdr:colOff>
                <xdr:row>25</xdr:row>
                <xdr:rowOff>38100</xdr:rowOff>
              </from>
              <to>
                <xdr:col>19</xdr:col>
                <xdr:colOff>518160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160020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198120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160020</xdr:rowOff>
              </from>
              <to>
                <xdr:col>21</xdr:col>
                <xdr:colOff>441960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99060</xdr:colOff>
                <xdr:row>9</xdr:row>
                <xdr:rowOff>198120</xdr:rowOff>
              </from>
              <to>
                <xdr:col>21</xdr:col>
                <xdr:colOff>411480</xdr:colOff>
                <xdr:row>11</xdr:row>
                <xdr:rowOff>7620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7620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175260</xdr:colOff>
                <xdr:row>27</xdr:row>
                <xdr:rowOff>0</xdr:rowOff>
              </from>
              <to>
                <xdr:col>10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zoomScale="80" zoomScaleNormal="80" workbookViewId="0">
      <selection activeCell="O33" sqref="O33"/>
    </sheetView>
  </sheetViews>
  <sheetFormatPr defaultRowHeight="15.3"/>
  <cols>
    <col min="1" max="3" width="8.05078125" customWidth="1"/>
    <col min="4" max="4" width="1.05078125" customWidth="1"/>
    <col min="5" max="5" width="9.7890625" bestFit="1" customWidth="1"/>
    <col min="6" max="6" width="10.47265625" customWidth="1"/>
    <col min="7" max="7" width="10.47265625" bestFit="1" customWidth="1"/>
    <col min="8" max="8" width="12.3671875" customWidth="1"/>
    <col min="9" max="9" width="1.3125" customWidth="1"/>
    <col min="10" max="10" width="11.9453125" style="83" customWidth="1"/>
    <col min="11" max="11" width="9.15625" style="83" customWidth="1"/>
    <col min="12" max="12" width="10.1015625" style="123" bestFit="1" customWidth="1"/>
    <col min="13" max="14" width="9.68359375" style="123" customWidth="1"/>
    <col min="15" max="15" width="9.41796875" style="28" customWidth="1"/>
    <col min="16" max="16" width="9.15625" style="28"/>
    <col min="17" max="17" width="0.5234375" style="370" customWidth="1"/>
    <col min="18" max="18" width="8.62890625" style="28" customWidth="1"/>
    <col min="19" max="19" width="7.68359375" style="28" customWidth="1"/>
    <col min="20" max="20" width="9.41796875" style="28" customWidth="1"/>
    <col min="21" max="21" width="0.9453125" style="28" customWidth="1"/>
    <col min="22" max="22" width="10.3671875" style="28" customWidth="1"/>
    <col min="23" max="23" width="8.3125" style="28" customWidth="1"/>
    <col min="24" max="24" width="9.15625" style="28" customWidth="1"/>
    <col min="25" max="25" width="9.41796875" style="28" customWidth="1"/>
    <col min="26" max="26" width="11.578125" style="28" bestFit="1" customWidth="1"/>
    <col min="27" max="27" width="11.83984375" style="28" bestFit="1" customWidth="1"/>
    <col min="28" max="28" width="9.15625" style="28" customWidth="1"/>
    <col min="29" max="29" width="3.89453125" style="28" customWidth="1"/>
    <col min="30" max="30" width="1.62890625" style="28" customWidth="1"/>
    <col min="31" max="31" width="2.41796875" customWidth="1"/>
    <col min="32" max="34" width="0.9453125" style="101" customWidth="1"/>
    <col min="35" max="35" width="4.05078125" customWidth="1"/>
    <col min="36" max="36" width="7.5234375" customWidth="1"/>
    <col min="41" max="41" width="4.15625" customWidth="1"/>
    <col min="42" max="42" width="2.83984375" style="513" customWidth="1"/>
  </cols>
  <sheetData>
    <row r="1" spans="1:42" ht="17.7" thickBot="1">
      <c r="A1" s="155">
        <f>COUNT(A4:A39)</f>
        <v>8</v>
      </c>
      <c r="B1" s="155">
        <f>COUNT(B4:B39)</f>
        <v>8</v>
      </c>
      <c r="C1" s="155"/>
      <c r="D1" s="142"/>
      <c r="E1" s="356" t="s">
        <v>3</v>
      </c>
      <c r="F1" s="357" t="s">
        <v>4</v>
      </c>
      <c r="G1" s="641"/>
      <c r="H1" s="642"/>
      <c r="I1" s="184"/>
      <c r="J1" s="141"/>
      <c r="K1" s="91"/>
      <c r="L1" s="86"/>
      <c r="M1" s="86"/>
      <c r="O1" s="67"/>
      <c r="P1" s="67"/>
      <c r="Q1" s="184"/>
      <c r="R1" s="67" t="s">
        <v>157</v>
      </c>
      <c r="S1" s="421">
        <f>SUM(S4:S18)</f>
        <v>994</v>
      </c>
      <c r="T1" s="67"/>
      <c r="U1" s="142"/>
      <c r="V1" s="67"/>
      <c r="W1" s="67"/>
      <c r="X1" s="67"/>
      <c r="Y1" s="67"/>
      <c r="Z1" s="67"/>
      <c r="AA1" s="67"/>
      <c r="AB1" s="67"/>
      <c r="AC1" s="67"/>
      <c r="AD1" s="67"/>
    </row>
    <row r="2" spans="1:42" ht="18" thickBot="1">
      <c r="A2" s="143" t="s">
        <v>3</v>
      </c>
      <c r="B2" s="143" t="s">
        <v>4</v>
      </c>
      <c r="C2" s="143"/>
      <c r="D2" s="145"/>
      <c r="E2" s="144" t="s">
        <v>0</v>
      </c>
      <c r="F2" s="144" t="s">
        <v>0</v>
      </c>
      <c r="G2" s="362" t="s">
        <v>142</v>
      </c>
      <c r="H2" s="362" t="s">
        <v>144</v>
      </c>
      <c r="I2" s="145"/>
      <c r="J2" s="192" t="s">
        <v>56</v>
      </c>
      <c r="K2" s="186">
        <v>99</v>
      </c>
      <c r="L2" s="103"/>
      <c r="M2" s="103"/>
      <c r="N2" s="86"/>
      <c r="O2" s="67"/>
      <c r="P2" s="67"/>
      <c r="Q2" s="372"/>
      <c r="R2" s="371" t="s">
        <v>52</v>
      </c>
      <c r="S2" s="31">
        <v>994</v>
      </c>
      <c r="T2" s="123"/>
      <c r="U2" s="381"/>
      <c r="V2" s="3"/>
      <c r="W2" s="3"/>
      <c r="X2" s="3"/>
      <c r="Y2" s="3"/>
      <c r="Z2" s="3"/>
      <c r="AA2" s="3"/>
      <c r="AB2" s="3"/>
      <c r="AC2" s="3"/>
      <c r="AD2" s="67"/>
      <c r="AJ2">
        <f>SUM(AK2:AN2)</f>
        <v>23</v>
      </c>
      <c r="AK2" s="512">
        <v>11</v>
      </c>
      <c r="AL2" s="512">
        <v>8</v>
      </c>
      <c r="AM2" s="512">
        <v>4</v>
      </c>
      <c r="AN2" s="512"/>
      <c r="AO2" s="22">
        <f>AJ2/AJ$6</f>
        <v>0.25555555555555554</v>
      </c>
    </row>
    <row r="3" spans="1:42" ht="17.7" thickBot="1">
      <c r="A3" s="438"/>
      <c r="B3" s="438"/>
      <c r="C3" s="352" t="s">
        <v>10</v>
      </c>
      <c r="D3" s="145"/>
      <c r="E3" s="146">
        <f>IF(A4="","",AVERAGE(A4:A39))</f>
        <v>48.674999999999997</v>
      </c>
      <c r="F3" s="146">
        <f>IF(B4="","",AVERAGE(B4:B39))</f>
        <v>50.662500000000001</v>
      </c>
      <c r="G3" s="146">
        <f xml:space="preserve"> IF(G8&gt;0, 2*(1-_xlfn.T.DIST(G8,A1- 1, TRUE)), 2*(_xlfn.T.DIST(G8,A1- 1, TRUE)))</f>
        <v>3.1678567640053161E-2</v>
      </c>
      <c r="H3" s="173">
        <f>_xlfn.T.DIST(G8,A1- 1, TRUE)</f>
        <v>1.5839283820026581E-2</v>
      </c>
      <c r="I3" s="145"/>
      <c r="J3" s="141" t="s">
        <v>193</v>
      </c>
      <c r="K3" s="625">
        <v>0.05</v>
      </c>
      <c r="L3" s="152"/>
      <c r="M3" s="103"/>
      <c r="N3" s="114"/>
      <c r="O3" s="67"/>
      <c r="P3" s="67"/>
      <c r="Q3" s="372"/>
      <c r="R3" s="492" t="s">
        <v>145</v>
      </c>
      <c r="S3" s="494" t="s">
        <v>148</v>
      </c>
      <c r="T3" s="493" t="s">
        <v>146</v>
      </c>
      <c r="U3" s="381"/>
      <c r="V3" s="389"/>
      <c r="W3" s="390"/>
      <c r="X3" s="3"/>
      <c r="Y3" s="3"/>
      <c r="Z3" s="487" t="s">
        <v>146</v>
      </c>
      <c r="AA3" s="488" t="s">
        <v>145</v>
      </c>
      <c r="AB3" s="3"/>
      <c r="AC3" s="495" t="s">
        <v>30</v>
      </c>
      <c r="AD3" s="67"/>
      <c r="AF3" s="124"/>
      <c r="AG3" s="113" t="s">
        <v>10</v>
      </c>
      <c r="AH3" s="134" t="s">
        <v>11</v>
      </c>
      <c r="AJ3">
        <f>SUM(AK3:AN3)</f>
        <v>36</v>
      </c>
      <c r="AK3" s="512">
        <v>20</v>
      </c>
      <c r="AL3" s="512">
        <v>5</v>
      </c>
      <c r="AM3" s="512">
        <v>11</v>
      </c>
      <c r="AN3" s="512"/>
      <c r="AO3" s="22">
        <f>AJ3/AJ$6</f>
        <v>0.4</v>
      </c>
      <c r="AP3" s="514">
        <f>IF(AK2="",0,(AK2-AK9)^2/AK9)</f>
        <v>1.1234692731153725E-5</v>
      </c>
    </row>
    <row r="4" spans="1:42" ht="20.25" customHeight="1" thickBot="1">
      <c r="A4" s="624">
        <v>48.7</v>
      </c>
      <c r="B4" s="624">
        <v>51.5</v>
      </c>
      <c r="C4" s="351">
        <f>A4-B4</f>
        <v>-2.7999999999999972</v>
      </c>
      <c r="D4" s="145">
        <f>IF(B4=0,0, C4^2 / B4)</f>
        <v>0.15223300970873754</v>
      </c>
      <c r="E4" s="144" t="s">
        <v>2</v>
      </c>
      <c r="F4" s="144" t="s">
        <v>2</v>
      </c>
      <c r="G4" s="144" t="s">
        <v>122</v>
      </c>
      <c r="H4" s="570" t="s">
        <v>184</v>
      </c>
      <c r="I4" s="145"/>
      <c r="J4" s="136"/>
      <c r="L4" s="103"/>
      <c r="O4" s="67"/>
      <c r="P4" s="67"/>
      <c r="Q4" s="372">
        <f>IF(S4=0,0, (R4-S4)^2 / S4)</f>
        <v>3.9968006400000005</v>
      </c>
      <c r="R4" s="504">
        <v>1.6000000000000001E-3</v>
      </c>
      <c r="S4" s="507">
        <v>4</v>
      </c>
      <c r="T4" s="568">
        <f>S$2*R4</f>
        <v>1.5904</v>
      </c>
      <c r="U4" s="381">
        <f>IF(T4=0,0,IF(T4=S4,(S4-V$9)^2/V$9,(S4-T4)^2/T4))</f>
        <v>3.6507621730382298</v>
      </c>
      <c r="V4" s="391">
        <f>SUM(Q4:Q15)</f>
        <v>992.00102366723172</v>
      </c>
      <c r="W4" s="392">
        <f>_xlfn.CHISQ.INV.RT((100-K2)/100,COUNT(R4:R25)-1)</f>
        <v>13.276704135987623</v>
      </c>
      <c r="X4" s="3"/>
      <c r="Y4" s="3"/>
      <c r="Z4" s="572">
        <v>1.6</v>
      </c>
      <c r="AA4" s="573">
        <f>Z4/S$2</f>
        <v>1.6096579476861169E-3</v>
      </c>
      <c r="AB4" s="500">
        <f>W$9^AC4*EXP(-W$9)/FACT(AC4)</f>
        <v>4.0762203978366211E-2</v>
      </c>
      <c r="AC4" s="497">
        <v>0</v>
      </c>
      <c r="AD4" s="496">
        <f>AC4*R4</f>
        <v>0</v>
      </c>
      <c r="AF4" s="124"/>
      <c r="AG4" s="125">
        <f>$A4-$B4</f>
        <v>-2.7999999999999972</v>
      </c>
      <c r="AH4" s="125">
        <f>IF(A4="",0, (AG4-$E$8)^2)</f>
        <v>0.66015624999999711</v>
      </c>
      <c r="AJ4">
        <f t="shared" ref="AJ4:AJ5" si="0">SUM(AK4:AN4)</f>
        <v>31</v>
      </c>
      <c r="AK4" s="512">
        <v>12</v>
      </c>
      <c r="AL4" s="512">
        <v>9</v>
      </c>
      <c r="AM4" s="512">
        <v>10</v>
      </c>
      <c r="AN4" s="512"/>
      <c r="AO4" s="22">
        <f t="shared" ref="AO4:AO5" si="1">AJ4/AJ$6</f>
        <v>0.34444444444444444</v>
      </c>
      <c r="AP4" s="514">
        <f t="shared" ref="AP4:AP6" si="2">IF(AK3="",0,(AK3-AK10)^2/AK10)</f>
        <v>0.45581395348837234</v>
      </c>
    </row>
    <row r="5" spans="1:42" ht="15.6" thickBot="1">
      <c r="A5" s="624">
        <v>52</v>
      </c>
      <c r="B5" s="624">
        <v>50.7</v>
      </c>
      <c r="C5" s="351">
        <f t="shared" ref="C5:C16" si="3">A5-B5</f>
        <v>1.2999999999999972</v>
      </c>
      <c r="D5" s="145">
        <f t="shared" ref="D5:D17" si="4">IF(B5=0,0, C5^2 / B5)</f>
        <v>3.3333333333333187E-2</v>
      </c>
      <c r="E5" s="147">
        <f>_xlfn.STDEV.S(A4:A39)</f>
        <v>3.5507544469953345</v>
      </c>
      <c r="F5" s="147">
        <f>_xlfn.STDEV.S(B4:B39)</f>
        <v>2.8923235839521335</v>
      </c>
      <c r="G5" s="569">
        <v>351</v>
      </c>
      <c r="H5" s="173">
        <f>TINV(2*(1-K2/100),G5)</f>
        <v>2.3370185990570649</v>
      </c>
      <c r="I5" s="145"/>
      <c r="J5" s="166"/>
      <c r="K5" s="166"/>
      <c r="L5" s="114"/>
      <c r="O5" s="67"/>
      <c r="P5" s="67"/>
      <c r="Q5" s="372">
        <f t="shared" ref="Q5:Q23" si="5">IF(S5=0,0, (R5-S5)^2 / S5)</f>
        <v>38.94881680410257</v>
      </c>
      <c r="R5" s="504">
        <v>2.5600000000000001E-2</v>
      </c>
      <c r="S5" s="507">
        <v>39</v>
      </c>
      <c r="T5" s="568">
        <f t="shared" ref="T5:T10" si="6">S$2*R5</f>
        <v>25.446400000000001</v>
      </c>
      <c r="U5" s="381">
        <f t="shared" ref="U5:U17" si="7">IF(T5=0,0,IF(T5=S5,(S5-V$9)^2/V$9,(S5-T5)^2/T5))</f>
        <v>7.2190986921529161</v>
      </c>
      <c r="V5" s="3"/>
      <c r="W5" s="3"/>
      <c r="X5" s="3"/>
      <c r="Y5" s="3"/>
      <c r="Z5" s="574">
        <v>25.4</v>
      </c>
      <c r="AA5" s="486">
        <f t="shared" ref="AA5:AA8" si="8">Z5/S$2</f>
        <v>2.5553319919517103E-2</v>
      </c>
      <c r="AB5" s="500">
        <f t="shared" ref="AB5:AB11" si="9">W$9^AC5*EXP(-W$9)/FACT(AC5)</f>
        <v>0.13043905273077189</v>
      </c>
      <c r="AC5" s="497">
        <v>1</v>
      </c>
      <c r="AD5" s="496">
        <f t="shared" ref="AD5:AD14" si="10">AC5*R5</f>
        <v>2.5600000000000001E-2</v>
      </c>
      <c r="AF5" s="124"/>
      <c r="AG5" s="125">
        <f t="shared" ref="AG5:AG36" si="11">$A5-$B5</f>
        <v>1.2999999999999972</v>
      </c>
      <c r="AH5" s="125">
        <f t="shared" ref="AH5:AH11" si="12">IF(A5="",0, (AG5-$E$8)^2)</f>
        <v>10.807656249999974</v>
      </c>
      <c r="AJ5">
        <f t="shared" si="0"/>
        <v>0</v>
      </c>
      <c r="AK5" s="512"/>
      <c r="AL5" s="512"/>
      <c r="AM5" s="512"/>
      <c r="AN5" s="512"/>
      <c r="AO5" s="22">
        <f t="shared" si="1"/>
        <v>0</v>
      </c>
      <c r="AP5" s="514">
        <f t="shared" si="2"/>
        <v>0.53354171876302436</v>
      </c>
    </row>
    <row r="6" spans="1:42" ht="15.75" customHeight="1" thickBot="1">
      <c r="A6" s="624">
        <v>49.6</v>
      </c>
      <c r="B6" s="624">
        <v>54.3</v>
      </c>
      <c r="C6" s="351">
        <f t="shared" si="3"/>
        <v>-4.6999999999999957</v>
      </c>
      <c r="D6" s="145">
        <f t="shared" si="4"/>
        <v>0.40681399631675802</v>
      </c>
      <c r="E6" s="116"/>
      <c r="F6" s="83"/>
      <c r="G6" s="58"/>
      <c r="H6" s="153"/>
      <c r="I6" s="145"/>
      <c r="O6" s="210" t="s">
        <v>139</v>
      </c>
      <c r="P6" s="131"/>
      <c r="Q6" s="372">
        <f t="shared" si="5"/>
        <v>121.69299338491804</v>
      </c>
      <c r="R6" s="504">
        <v>0.15359999999999999</v>
      </c>
      <c r="S6" s="507">
        <v>122</v>
      </c>
      <c r="T6" s="568">
        <f t="shared" si="6"/>
        <v>152.67839999999998</v>
      </c>
      <c r="U6" s="381">
        <f t="shared" si="7"/>
        <v>6.1643574111334614</v>
      </c>
      <c r="V6" s="393" t="s">
        <v>175</v>
      </c>
      <c r="W6" s="362" t="s">
        <v>144</v>
      </c>
      <c r="X6" s="3"/>
      <c r="Y6" s="3"/>
      <c r="Z6" s="574">
        <v>152.69999999999999</v>
      </c>
      <c r="AA6" s="486">
        <f t="shared" si="8"/>
        <v>0.15362173038229376</v>
      </c>
      <c r="AB6" s="500">
        <f t="shared" si="9"/>
        <v>0.20870248436923505</v>
      </c>
      <c r="AC6" s="497">
        <v>2</v>
      </c>
      <c r="AD6" s="496">
        <f t="shared" si="10"/>
        <v>0.30719999999999997</v>
      </c>
      <c r="AF6" s="124"/>
      <c r="AG6" s="125">
        <f t="shared" si="11"/>
        <v>-4.6999999999999957</v>
      </c>
      <c r="AH6" s="125">
        <f t="shared" si="12"/>
        <v>7.3576562499999829</v>
      </c>
      <c r="AJ6">
        <f>SUM(AK2:AN5)</f>
        <v>90</v>
      </c>
      <c r="AK6">
        <f>SUM(AK2:AK5)</f>
        <v>43</v>
      </c>
      <c r="AL6">
        <f t="shared" ref="AL6:AN6" si="13">SUM(AL2:AL5)</f>
        <v>22</v>
      </c>
      <c r="AM6">
        <f t="shared" si="13"/>
        <v>25</v>
      </c>
      <c r="AN6">
        <f t="shared" si="13"/>
        <v>0</v>
      </c>
      <c r="AP6" s="514">
        <f t="shared" si="2"/>
        <v>0</v>
      </c>
    </row>
    <row r="7" spans="1:42" ht="18" customHeight="1" thickBot="1">
      <c r="A7" s="624">
        <v>42.6</v>
      </c>
      <c r="B7" s="624">
        <v>47.3</v>
      </c>
      <c r="C7" s="351">
        <f t="shared" si="3"/>
        <v>-4.6999999999999957</v>
      </c>
      <c r="D7" s="145">
        <f t="shared" si="4"/>
        <v>0.46701902748414298</v>
      </c>
      <c r="E7" s="161"/>
      <c r="F7" s="58"/>
      <c r="G7" s="58"/>
      <c r="H7" s="62"/>
      <c r="I7" s="145"/>
      <c r="J7" s="218" t="s">
        <v>76</v>
      </c>
      <c r="K7" s="135">
        <v>19</v>
      </c>
      <c r="L7" s="92" t="s">
        <v>40</v>
      </c>
      <c r="M7" s="62"/>
      <c r="N7" s="62"/>
      <c r="O7" s="209" t="s">
        <v>79</v>
      </c>
      <c r="P7" s="247" t="s">
        <v>2</v>
      </c>
      <c r="Q7" s="372">
        <f t="shared" si="5"/>
        <v>440.18118043573696</v>
      </c>
      <c r="R7" s="504">
        <v>0.40960000000000002</v>
      </c>
      <c r="S7" s="507">
        <v>441</v>
      </c>
      <c r="T7" s="568">
        <f>S$2*R7</f>
        <v>407.14240000000001</v>
      </c>
      <c r="U7" s="381">
        <f t="shared" si="7"/>
        <v>2.8155679137323926</v>
      </c>
      <c r="V7" s="394">
        <f>SUM(U4:U17)</f>
        <v>20.749794338950363</v>
      </c>
      <c r="W7" s="130">
        <f>CHIDIST(V7,COUNT(R4:R19)-1)</f>
        <v>3.5496610755409791E-4</v>
      </c>
      <c r="X7" s="483">
        <f>1-W7</f>
        <v>0.99964503389244586</v>
      </c>
      <c r="Y7" s="484">
        <f>2*W7</f>
        <v>7.0993221510819583E-4</v>
      </c>
      <c r="Z7" s="574">
        <v>407.1</v>
      </c>
      <c r="AA7" s="486">
        <f t="shared" si="8"/>
        <v>0.40955734406438632</v>
      </c>
      <c r="AB7" s="500">
        <f t="shared" si="9"/>
        <v>0.22261598332718405</v>
      </c>
      <c r="AC7" s="497">
        <v>3</v>
      </c>
      <c r="AD7" s="496">
        <f t="shared" si="10"/>
        <v>1.2288000000000001</v>
      </c>
      <c r="AF7" s="126">
        <f>SUM(A4:A39)</f>
        <v>389.4</v>
      </c>
      <c r="AG7" s="125">
        <f t="shared" si="11"/>
        <v>-4.6999999999999957</v>
      </c>
      <c r="AH7" s="125">
        <f t="shared" si="12"/>
        <v>7.3576562499999829</v>
      </c>
      <c r="AK7" s="511">
        <f>AK6/$AJ$6</f>
        <v>0.4777777777777778</v>
      </c>
      <c r="AL7" s="511">
        <f t="shared" ref="AL7:AN7" si="14">AL6/$AJ$6</f>
        <v>0.24444444444444444</v>
      </c>
      <c r="AM7" s="511">
        <f t="shared" si="14"/>
        <v>0.27777777777777779</v>
      </c>
      <c r="AN7" s="511">
        <f t="shared" si="14"/>
        <v>0</v>
      </c>
      <c r="AP7" s="514">
        <f>IF(AL2="",0,(AL2-AL9)^2/AL9)</f>
        <v>1.0056214317083887</v>
      </c>
    </row>
    <row r="8" spans="1:42" ht="18.75" customHeight="1" thickBot="1">
      <c r="A8" s="624">
        <v>54.1</v>
      </c>
      <c r="B8" s="624">
        <v>54.4</v>
      </c>
      <c r="C8" s="351">
        <f t="shared" si="3"/>
        <v>-0.29999999999999716</v>
      </c>
      <c r="D8" s="145">
        <f t="shared" si="4"/>
        <v>1.6544117647058509E-3</v>
      </c>
      <c r="E8" s="163">
        <f xml:space="preserve"> SUM(AG4:AG39)/A1</f>
        <v>-1.9874999999999989</v>
      </c>
      <c r="F8" s="162">
        <f>SQRT(SUM(AH4:AH39) /(A1-1))</f>
        <v>2.0999574825627829</v>
      </c>
      <c r="G8" s="162">
        <f>E8*SQRT(A1)/F8</f>
        <v>-2.6769584418312067</v>
      </c>
      <c r="H8" s="173"/>
      <c r="I8" s="145"/>
      <c r="J8" s="136" t="s">
        <v>75</v>
      </c>
      <c r="K8" s="83">
        <v>100000</v>
      </c>
      <c r="L8" s="129">
        <f xml:space="preserve"> (K7+K10) / (K8+K11)</f>
        <v>3.4499999999999998E-4</v>
      </c>
      <c r="M8" s="112">
        <f>K7/K8</f>
        <v>1.9000000000000001E-4</v>
      </c>
      <c r="N8" s="88">
        <f>K10/K11</f>
        <v>5.0000000000000001E-4</v>
      </c>
      <c r="O8" s="129">
        <f>(ABS(K7-K10)-1)/SQRT(K7+K10)</f>
        <v>3.6115755925730761</v>
      </c>
      <c r="P8" s="112">
        <f>SQRT(  M8*(1-M8)/K8 + N8*(1-N8)/K11 )</f>
        <v>8.3049015647387422E-5</v>
      </c>
      <c r="Q8" s="372">
        <f t="shared" si="5"/>
        <v>387.18123240247417</v>
      </c>
      <c r="R8" s="504">
        <v>0.40960000000000002</v>
      </c>
      <c r="S8" s="507">
        <v>388</v>
      </c>
      <c r="T8" s="568">
        <f t="shared" si="6"/>
        <v>407.14240000000001</v>
      </c>
      <c r="U8" s="381">
        <f t="shared" si="7"/>
        <v>0.900008148893361</v>
      </c>
      <c r="V8" s="395" t="s">
        <v>147</v>
      </c>
      <c r="W8" s="352" t="s">
        <v>32</v>
      </c>
      <c r="X8" s="3"/>
      <c r="Y8" s="3"/>
      <c r="Z8" s="574">
        <v>407.1</v>
      </c>
      <c r="AA8" s="486">
        <f t="shared" si="8"/>
        <v>0.40955734406438632</v>
      </c>
      <c r="AB8" s="500">
        <f t="shared" si="9"/>
        <v>0.1780927866617473</v>
      </c>
      <c r="AC8" s="497">
        <v>4</v>
      </c>
      <c r="AD8" s="496">
        <f t="shared" si="10"/>
        <v>1.6384000000000001</v>
      </c>
      <c r="AF8" s="126">
        <f>SUM(B4:B39)</f>
        <v>405.3</v>
      </c>
      <c r="AG8" s="125">
        <f t="shared" si="11"/>
        <v>-0.29999999999999716</v>
      </c>
      <c r="AH8" s="125">
        <f t="shared" si="12"/>
        <v>2.8476562500000062</v>
      </c>
      <c r="AP8" s="514">
        <f t="shared" ref="AP8:AP10" si="15">IF(AL3="",0,(AL3-AL10)^2/AL10)</f>
        <v>1.6409090909090902</v>
      </c>
    </row>
    <row r="9" spans="1:42" ht="17.7" thickBot="1">
      <c r="A9" s="624">
        <v>46.4</v>
      </c>
      <c r="B9" s="624">
        <v>47.1</v>
      </c>
      <c r="C9" s="351">
        <f t="shared" si="3"/>
        <v>-0.70000000000000284</v>
      </c>
      <c r="D9" s="145">
        <f t="shared" si="4"/>
        <v>1.0403397027600934E-2</v>
      </c>
      <c r="E9" s="208" t="s">
        <v>78</v>
      </c>
      <c r="F9" s="230"/>
      <c r="G9" s="229"/>
      <c r="H9" s="183" t="s">
        <v>89</v>
      </c>
      <c r="I9" s="145"/>
      <c r="J9" s="136"/>
      <c r="K9" s="114"/>
      <c r="N9" s="86"/>
      <c r="O9" s="182" t="s">
        <v>66</v>
      </c>
      <c r="P9" s="148" t="s">
        <v>67</v>
      </c>
      <c r="Q9" s="372">
        <f t="shared" si="5"/>
        <v>0</v>
      </c>
      <c r="R9" s="504"/>
      <c r="S9" s="507"/>
      <c r="T9" s="568">
        <f t="shared" si="6"/>
        <v>0</v>
      </c>
      <c r="U9" s="381">
        <f t="shared" si="7"/>
        <v>0</v>
      </c>
      <c r="V9" s="567">
        <f>SUM(S4:S15)/COUNT(S4:S15)</f>
        <v>198.8</v>
      </c>
      <c r="W9" s="498">
        <f>SUM(AD4:AD14)</f>
        <v>3.2</v>
      </c>
      <c r="X9" s="3"/>
      <c r="Y9" s="3"/>
      <c r="Z9" s="508"/>
      <c r="AA9" s="486"/>
      <c r="AB9" s="500">
        <f t="shared" si="9"/>
        <v>0.11397938346351828</v>
      </c>
      <c r="AC9" s="497">
        <v>5</v>
      </c>
      <c r="AD9" s="496">
        <f t="shared" si="10"/>
        <v>0</v>
      </c>
      <c r="AF9" s="124"/>
      <c r="AG9" s="125">
        <f t="shared" si="11"/>
        <v>-0.70000000000000284</v>
      </c>
      <c r="AH9" s="125">
        <f t="shared" si="12"/>
        <v>1.6576562499999898</v>
      </c>
      <c r="AK9" s="516">
        <f>AO2*AK7*AJ6</f>
        <v>10.988888888888889</v>
      </c>
      <c r="AL9" s="516">
        <f>AJ6*AO2*AL7</f>
        <v>5.6222222222222218</v>
      </c>
      <c r="AM9" s="516">
        <f>AJ6*AO2*AM7</f>
        <v>6.3888888888888893</v>
      </c>
      <c r="AN9" s="516">
        <f>AO2*AJ6*AN7</f>
        <v>0</v>
      </c>
      <c r="AP9" s="514">
        <f t="shared" si="15"/>
        <v>0.26692733789507994</v>
      </c>
    </row>
    <row r="10" spans="1:42" ht="17.7" thickBot="1">
      <c r="A10" s="624">
        <v>49.4</v>
      </c>
      <c r="B10" s="624">
        <v>51.7</v>
      </c>
      <c r="C10" s="351">
        <f t="shared" si="3"/>
        <v>-2.3000000000000043</v>
      </c>
      <c r="D10" s="145">
        <f t="shared" si="4"/>
        <v>0.10232108317214737</v>
      </c>
      <c r="E10" s="162">
        <f xml:space="preserve"> H10* F8 /SQRT(A1)</f>
        <v>2.5981811838387356</v>
      </c>
      <c r="F10" s="121">
        <f>E8-E10</f>
        <v>-4.5856811838387346</v>
      </c>
      <c r="G10" s="481">
        <f>E8+E10</f>
        <v>0.61068118383873671</v>
      </c>
      <c r="H10" s="174">
        <f>TINV(1-K2/100, A$1- 1)</f>
        <v>3.4994832973504928</v>
      </c>
      <c r="I10" s="145"/>
      <c r="J10" s="136" t="s">
        <v>77</v>
      </c>
      <c r="K10" s="83">
        <v>50</v>
      </c>
      <c r="L10" s="62" t="s">
        <v>79</v>
      </c>
      <c r="M10" s="62" t="s">
        <v>44</v>
      </c>
      <c r="N10" s="62" t="s">
        <v>51</v>
      </c>
      <c r="O10" s="62" t="s">
        <v>65</v>
      </c>
      <c r="P10" s="208" t="s">
        <v>65</v>
      </c>
      <c r="Q10" s="372">
        <f t="shared" si="5"/>
        <v>0</v>
      </c>
      <c r="R10" s="504"/>
      <c r="S10" s="507"/>
      <c r="T10" s="568">
        <f t="shared" si="6"/>
        <v>0</v>
      </c>
      <c r="U10" s="381">
        <f t="shared" si="7"/>
        <v>0</v>
      </c>
      <c r="V10" s="3"/>
      <c r="W10" s="3"/>
      <c r="X10" s="3"/>
      <c r="Y10" s="3"/>
      <c r="Z10" s="508"/>
      <c r="AA10" s="486"/>
      <c r="AB10" s="500">
        <f t="shared" si="9"/>
        <v>6.0789004513876407E-2</v>
      </c>
      <c r="AC10" s="497">
        <v>6</v>
      </c>
      <c r="AD10" s="496">
        <f t="shared" si="10"/>
        <v>0</v>
      </c>
      <c r="AF10" s="124"/>
      <c r="AG10" s="125">
        <f t="shared" si="11"/>
        <v>-2.3000000000000043</v>
      </c>
      <c r="AH10" s="125">
        <f t="shared" si="12"/>
        <v>9.7656250000003331E-2</v>
      </c>
      <c r="AK10" s="516">
        <f>AJ6*AO3*AK7</f>
        <v>17.2</v>
      </c>
      <c r="AL10" s="516">
        <f>AJ6*AO3*AL7</f>
        <v>8.7999999999999989</v>
      </c>
      <c r="AM10" s="516">
        <f>AJ6*AO3*AM7</f>
        <v>10</v>
      </c>
      <c r="AN10" s="516">
        <f>AJ6*AO3*AN7</f>
        <v>0</v>
      </c>
      <c r="AP10" s="514">
        <f t="shared" si="15"/>
        <v>0</v>
      </c>
    </row>
    <row r="11" spans="1:42" ht="17.7" thickBot="1">
      <c r="A11" s="624">
        <v>46.6</v>
      </c>
      <c r="B11" s="624">
        <v>48.3</v>
      </c>
      <c r="C11" s="351">
        <f t="shared" si="3"/>
        <v>-1.6999999999999957</v>
      </c>
      <c r="D11" s="145">
        <f t="shared" si="4"/>
        <v>5.9834368530020408E-2</v>
      </c>
      <c r="E11" s="158"/>
      <c r="F11" s="114"/>
      <c r="G11" s="366"/>
      <c r="H11" s="367"/>
      <c r="I11" s="145"/>
      <c r="J11" s="136" t="s">
        <v>74</v>
      </c>
      <c r="K11" s="83">
        <v>100000</v>
      </c>
      <c r="L11" s="129">
        <f>(M8-N8 ) / (SQRT(L8*(1-L8)) * SQRT(1/K8+1/K11))</f>
        <v>-3.7326053756298925</v>
      </c>
      <c r="M11" s="88">
        <f>_xlfn.NORM.S.DIST(L11,TRUE)</f>
        <v>9.4754687239365819E-5</v>
      </c>
      <c r="N11" s="112">
        <f>1-M11</f>
        <v>0.99990524531276059</v>
      </c>
      <c r="O11" s="112">
        <f>2*M11</f>
        <v>1.8950937447873164E-4</v>
      </c>
      <c r="P11" s="140">
        <f>2*N11</f>
        <v>1.9998104906255212</v>
      </c>
      <c r="Q11" s="372">
        <f t="shared" si="5"/>
        <v>0</v>
      </c>
      <c r="R11" s="504"/>
      <c r="S11" s="507"/>
      <c r="T11" s="508">
        <f t="shared" ref="T11:T12" si="16">S$2*R11</f>
        <v>0</v>
      </c>
      <c r="U11" s="381">
        <f t="shared" si="7"/>
        <v>0</v>
      </c>
      <c r="V11" s="103"/>
      <c r="W11" s="103"/>
      <c r="X11" s="489" t="s">
        <v>158</v>
      </c>
      <c r="Y11" s="571"/>
      <c r="Z11" s="508"/>
      <c r="AA11" s="486"/>
      <c r="AB11" s="500">
        <f t="shared" si="9"/>
        <v>2.7789259206343508E-2</v>
      </c>
      <c r="AC11" s="497">
        <v>7</v>
      </c>
      <c r="AD11" s="496">
        <f t="shared" si="10"/>
        <v>0</v>
      </c>
      <c r="AF11" s="124"/>
      <c r="AG11" s="125">
        <f t="shared" si="11"/>
        <v>-1.6999999999999957</v>
      </c>
      <c r="AH11" s="125">
        <f t="shared" si="12"/>
        <v>8.2656250000001832E-2</v>
      </c>
      <c r="AK11" s="516">
        <f>AJ6*AO4*AK7</f>
        <v>14.811111111111112</v>
      </c>
      <c r="AL11" s="516">
        <f>AJ6*AO4*AL7</f>
        <v>7.5777777777777775</v>
      </c>
      <c r="AM11" s="516">
        <f>AJ6*AO4*AM7</f>
        <v>8.6111111111111107</v>
      </c>
      <c r="AN11" s="516">
        <f>AJ6*AO4*AN7</f>
        <v>0</v>
      </c>
      <c r="AP11" s="514">
        <f>IF(AM2="",0,(AM2-AM9)^2/AM9)</f>
        <v>0.89323671497584567</v>
      </c>
    </row>
    <row r="12" spans="1:42" ht="17.7" thickBot="1">
      <c r="A12" s="462"/>
      <c r="B12" s="462"/>
      <c r="C12" s="351">
        <f t="shared" si="3"/>
        <v>0</v>
      </c>
      <c r="D12" s="145">
        <f t="shared" si="4"/>
        <v>0</v>
      </c>
      <c r="E12" s="355" t="s">
        <v>54</v>
      </c>
      <c r="F12" s="499">
        <f>E$5^2/A$1</f>
        <v>1.575982142857143</v>
      </c>
      <c r="G12" s="368">
        <f xml:space="preserve"> E3-G3 -H14</f>
        <v>-385.65511794463168</v>
      </c>
      <c r="H12" s="226">
        <f>E3-G3+H14</f>
        <v>482.94176080935154</v>
      </c>
      <c r="I12" s="145"/>
      <c r="J12" s="210"/>
      <c r="L12" s="170" t="s">
        <v>78</v>
      </c>
      <c r="M12" s="208" t="s">
        <v>80</v>
      </c>
      <c r="N12" s="643"/>
      <c r="O12" s="644"/>
      <c r="P12" s="62" t="s">
        <v>174</v>
      </c>
      <c r="Q12" s="372">
        <f t="shared" si="5"/>
        <v>0</v>
      </c>
      <c r="R12" s="504"/>
      <c r="S12" s="502"/>
      <c r="T12" s="508">
        <f t="shared" si="16"/>
        <v>0</v>
      </c>
      <c r="U12" s="381">
        <f t="shared" si="7"/>
        <v>0</v>
      </c>
      <c r="V12" s="396" t="s">
        <v>52</v>
      </c>
      <c r="W12" s="397">
        <v>1200</v>
      </c>
      <c r="X12" s="490">
        <f>W12*W13</f>
        <v>121.2</v>
      </c>
      <c r="Y12" s="577">
        <f>( (W14-X12)^2)/X12 + ((W12-W14-X14)^2)/X14</f>
        <v>79.720408080852579</v>
      </c>
      <c r="Z12" s="508"/>
      <c r="AA12" s="485">
        <f t="shared" ref="AA12:AA14" si="17">Z12/S$1</f>
        <v>0</v>
      </c>
      <c r="AB12" s="500"/>
      <c r="AC12" s="497">
        <v>8</v>
      </c>
      <c r="AD12" s="496">
        <f t="shared" si="10"/>
        <v>0</v>
      </c>
      <c r="AF12" s="124"/>
      <c r="AG12" s="125">
        <f t="shared" si="11"/>
        <v>0</v>
      </c>
      <c r="AH12" s="125">
        <f t="shared" ref="AH12:AH35" si="18">IF(A12="",0, (AG12-$E$8)^2)</f>
        <v>0</v>
      </c>
      <c r="AK12" s="516">
        <f>AJ6*AO5*AK7</f>
        <v>0</v>
      </c>
      <c r="AL12" s="516">
        <f>AJ6*AO5*AL7</f>
        <v>0</v>
      </c>
      <c r="AM12" s="516">
        <f>AJ6*AO5*AM7</f>
        <v>0</v>
      </c>
      <c r="AN12" s="516">
        <f>AJ6*AO5*AN7</f>
        <v>0</v>
      </c>
      <c r="AP12" s="514">
        <f t="shared" ref="AP12:AP14" si="19">IF(AM3="",0,(AM3-AM10)^2/AM10)</f>
        <v>0.1</v>
      </c>
    </row>
    <row r="13" spans="1:42" ht="17.7" thickBot="1">
      <c r="A13" s="482"/>
      <c r="B13" s="482"/>
      <c r="C13" s="351">
        <f t="shared" si="3"/>
        <v>0</v>
      </c>
      <c r="D13" s="145">
        <f t="shared" si="4"/>
        <v>0</v>
      </c>
      <c r="E13" s="62" t="s">
        <v>55</v>
      </c>
      <c r="F13" s="578">
        <f>G$5^2/B$1</f>
        <v>15400.125</v>
      </c>
      <c r="G13" s="149" t="s">
        <v>71</v>
      </c>
      <c r="H13" s="62" t="s">
        <v>78</v>
      </c>
      <c r="I13" s="145"/>
      <c r="J13" s="86"/>
      <c r="K13" s="122"/>
      <c r="L13" s="78">
        <f>_xlfn.NORM.S.INV(1- (100-K2)/200) *SQRT(M8*(1-M8)/K8+N8*(1-N8)/K11)</f>
        <v>2.1392008813543164E-4</v>
      </c>
      <c r="M13" s="349">
        <f xml:space="preserve"> _xlfn.NORM.S.INV(1- (100-K2)/200)</f>
        <v>2.5758293035488999</v>
      </c>
      <c r="N13" s="622">
        <f>M8-N8-L13</f>
        <v>-5.2392008813543166E-4</v>
      </c>
      <c r="O13" s="65">
        <f>M8-N8+L13</f>
        <v>-9.6079911864568364E-5</v>
      </c>
      <c r="P13" s="420">
        <f>2*M11</f>
        <v>1.8950937447873164E-4</v>
      </c>
      <c r="Q13" s="372">
        <f t="shared" si="5"/>
        <v>0</v>
      </c>
      <c r="R13" s="505"/>
      <c r="S13" s="503"/>
      <c r="T13" s="363">
        <f t="shared" ref="T13:T15" si="20">S$2*R13</f>
        <v>0</v>
      </c>
      <c r="U13" s="381">
        <f t="shared" si="7"/>
        <v>0</v>
      </c>
      <c r="V13" s="396" t="s">
        <v>115</v>
      </c>
      <c r="W13" s="422">
        <v>0.10100000000000001</v>
      </c>
      <c r="X13" s="424" t="s">
        <v>159</v>
      </c>
      <c r="Y13" s="3"/>
      <c r="Z13" s="509"/>
      <c r="AA13" s="485">
        <f t="shared" si="17"/>
        <v>0</v>
      </c>
      <c r="AB13" s="500"/>
      <c r="AC13" s="497">
        <v>9</v>
      </c>
      <c r="AD13" s="496">
        <f t="shared" si="10"/>
        <v>0</v>
      </c>
      <c r="AF13" s="127"/>
      <c r="AG13" s="125">
        <f t="shared" si="11"/>
        <v>0</v>
      </c>
      <c r="AH13" s="125">
        <f t="shared" si="18"/>
        <v>0</v>
      </c>
      <c r="AP13" s="514">
        <f t="shared" si="19"/>
        <v>0.22401433691756284</v>
      </c>
    </row>
    <row r="14" spans="1:42" ht="17.7" thickBot="1">
      <c r="A14" s="482"/>
      <c r="B14" s="482"/>
      <c r="C14" s="351">
        <f t="shared" si="3"/>
        <v>0</v>
      </c>
      <c r="D14" s="145">
        <f t="shared" si="4"/>
        <v>0</v>
      </c>
      <c r="E14" s="216" t="s">
        <v>73</v>
      </c>
      <c r="F14" s="164">
        <f>(F12+F13)^2 / ((F12^2/(A1-1)) + F13^2/(B1-1))</f>
        <v>7.0014326993949032</v>
      </c>
      <c r="G14" s="112">
        <f>TINV(1-K2/100, F14)</f>
        <v>3.4994832973504928</v>
      </c>
      <c r="H14" s="112">
        <f xml:space="preserve"> G14 * SQRT( E5^2 /A1 + G5^2/B1)</f>
        <v>434.29843937699161</v>
      </c>
      <c r="I14" s="145"/>
      <c r="J14" s="219" t="s">
        <v>82</v>
      </c>
      <c r="K14" s="350">
        <v>0.14000000000000001</v>
      </c>
      <c r="L14" s="62" t="s">
        <v>79</v>
      </c>
      <c r="M14" s="209"/>
      <c r="N14" s="86"/>
      <c r="O14" s="114"/>
      <c r="P14" s="114"/>
      <c r="Q14" s="372">
        <f t="shared" si="5"/>
        <v>0</v>
      </c>
      <c r="R14" s="505"/>
      <c r="S14" s="503"/>
      <c r="T14" s="363">
        <f t="shared" si="20"/>
        <v>0</v>
      </c>
      <c r="U14" s="381">
        <f t="shared" si="7"/>
        <v>0</v>
      </c>
      <c r="V14" s="398" t="s">
        <v>74</v>
      </c>
      <c r="W14" s="399">
        <v>28</v>
      </c>
      <c r="X14" s="423">
        <f>W12-X12</f>
        <v>1078.8</v>
      </c>
      <c r="Y14" s="3"/>
      <c r="Z14" s="510"/>
      <c r="AA14" s="575">
        <f t="shared" si="17"/>
        <v>0</v>
      </c>
      <c r="AB14" s="500"/>
      <c r="AC14" s="497">
        <v>10</v>
      </c>
      <c r="AD14" s="496">
        <f t="shared" si="10"/>
        <v>0</v>
      </c>
      <c r="AF14" s="128"/>
      <c r="AG14" s="125">
        <f t="shared" si="11"/>
        <v>0</v>
      </c>
      <c r="AH14" s="125">
        <f t="shared" si="18"/>
        <v>0</v>
      </c>
      <c r="AK14" s="515">
        <f>SUM(AP3:AP20)</f>
        <v>5.1200758193500944</v>
      </c>
      <c r="AP14" s="514">
        <f t="shared" si="19"/>
        <v>0</v>
      </c>
    </row>
    <row r="15" spans="1:42" ht="16.5" thickBot="1">
      <c r="A15" s="482"/>
      <c r="B15" s="482"/>
      <c r="C15" s="351">
        <f t="shared" si="3"/>
        <v>0</v>
      </c>
      <c r="D15" s="364">
        <f t="shared" si="4"/>
        <v>0</v>
      </c>
      <c r="E15" s="200"/>
      <c r="F15" s="200"/>
      <c r="G15" s="645" t="s">
        <v>95</v>
      </c>
      <c r="H15" s="646"/>
      <c r="I15" s="145"/>
      <c r="J15" s="118"/>
      <c r="L15" s="129">
        <f xml:space="preserve"> (M8-N8-K14) /SQRT(M8*(1-M8)/K8 + N8*(1-N8)/K11)</f>
        <v>-1689.4842028680196</v>
      </c>
      <c r="M15" s="129"/>
      <c r="N15" s="207"/>
      <c r="O15" s="67"/>
      <c r="P15" s="67"/>
      <c r="Q15" s="372">
        <f t="shared" si="5"/>
        <v>0</v>
      </c>
      <c r="R15" s="440"/>
      <c r="S15" s="66"/>
      <c r="T15" s="363">
        <f t="shared" si="20"/>
        <v>0</v>
      </c>
      <c r="U15" s="381">
        <f t="shared" si="7"/>
        <v>0</v>
      </c>
      <c r="V15" s="67"/>
      <c r="W15" s="67"/>
      <c r="X15" s="67"/>
      <c r="Y15" s="67"/>
      <c r="Z15" s="3"/>
      <c r="AA15" s="3"/>
      <c r="AB15" s="3"/>
      <c r="AC15" s="3"/>
      <c r="AD15" s="67"/>
      <c r="AG15" s="125">
        <f t="shared" si="11"/>
        <v>0</v>
      </c>
      <c r="AH15" s="125">
        <f t="shared" si="18"/>
        <v>0</v>
      </c>
      <c r="AP15" s="514">
        <f>IF(AN2="",0,(AN2-AN9)^2/AN9)</f>
        <v>0</v>
      </c>
    </row>
    <row r="16" spans="1:42" ht="17.7" thickBot="1">
      <c r="A16" s="482"/>
      <c r="B16" s="482"/>
      <c r="C16" s="351">
        <f t="shared" si="3"/>
        <v>0</v>
      </c>
      <c r="D16" s="364">
        <f t="shared" si="4"/>
        <v>0</v>
      </c>
      <c r="E16" s="365"/>
      <c r="F16" s="365"/>
      <c r="G16" s="180" t="s">
        <v>73</v>
      </c>
      <c r="H16" s="149" t="s">
        <v>89</v>
      </c>
      <c r="I16" s="145"/>
      <c r="K16" s="83">
        <v>0.22800000000000001</v>
      </c>
      <c r="L16" s="177" t="s">
        <v>68</v>
      </c>
      <c r="M16" s="177" t="s">
        <v>138</v>
      </c>
      <c r="N16" s="211"/>
      <c r="O16" s="212"/>
      <c r="P16" s="212"/>
      <c r="Q16" s="372">
        <f t="shared" si="5"/>
        <v>0</v>
      </c>
      <c r="R16" s="214"/>
      <c r="S16" s="212"/>
      <c r="T16" s="363"/>
      <c r="U16" s="381">
        <f t="shared" si="7"/>
        <v>0</v>
      </c>
      <c r="V16" s="212"/>
      <c r="W16" s="576" t="s">
        <v>144</v>
      </c>
      <c r="X16" s="112">
        <f>CHIDIST( (W14-X12)^2 / X12 + (W12-W14-X14)^2 / X14,1)</f>
        <v>4.313224276331199E-19</v>
      </c>
      <c r="Y16" s="212"/>
      <c r="Z16" s="3"/>
      <c r="AA16" s="3"/>
      <c r="AB16" s="3"/>
      <c r="AC16" s="3"/>
      <c r="AD16" s="213"/>
      <c r="AG16" s="125">
        <f t="shared" si="11"/>
        <v>0</v>
      </c>
      <c r="AH16" s="125">
        <f t="shared" si="18"/>
        <v>0</v>
      </c>
      <c r="AP16" s="514">
        <f t="shared" ref="AP16:AP18" si="21">IF(AN3="",0,(AN3-AN10)^2/AN10)</f>
        <v>0</v>
      </c>
    </row>
    <row r="17" spans="1:42" ht="17.7" thickBot="1">
      <c r="A17" s="165"/>
      <c r="B17" s="165"/>
      <c r="C17" s="165"/>
      <c r="D17" s="145">
        <f t="shared" si="4"/>
        <v>0</v>
      </c>
      <c r="E17" s="67"/>
      <c r="F17" s="67"/>
      <c r="G17" s="181">
        <f xml:space="preserve"> (I19+I20)^2/(I19^2/(F19-1)+I20^2/(F22-1))</f>
        <v>16.948110785195851</v>
      </c>
      <c r="H17" s="112">
        <f>TINV(1-K2/100, G17)</f>
        <v>2.9207816224250998</v>
      </c>
      <c r="I17" s="145"/>
      <c r="J17" s="136"/>
      <c r="K17" s="83">
        <v>0.193</v>
      </c>
      <c r="L17" s="623">
        <f xml:space="preserve"> ROUNDUP( (K16*(1-K16) + K17*(1-K17)) * (M13/K18)^2, 0)</f>
        <v>5504</v>
      </c>
      <c r="M17" s="623">
        <f>ROUNDUP( 0.5* (M13/K18)^2, 0)</f>
        <v>8294</v>
      </c>
      <c r="N17" s="212"/>
      <c r="O17" s="212"/>
      <c r="P17" s="212"/>
      <c r="Q17" s="372">
        <f t="shared" si="5"/>
        <v>0</v>
      </c>
      <c r="R17" s="506"/>
      <c r="S17" s="378"/>
      <c r="T17" s="363"/>
      <c r="U17" s="381">
        <f t="shared" si="7"/>
        <v>0</v>
      </c>
      <c r="V17" s="212"/>
      <c r="W17" s="576" t="s">
        <v>149</v>
      </c>
      <c r="X17" s="129">
        <f>1-_xlfn.NORM.S.DIST(X20,TRUE)</f>
        <v>1</v>
      </c>
      <c r="Y17" s="212"/>
      <c r="Z17" s="212"/>
      <c r="AA17" s="3"/>
      <c r="AB17" s="3"/>
      <c r="AC17" s="3"/>
      <c r="AD17" s="212"/>
      <c r="AG17" s="125">
        <f t="shared" si="11"/>
        <v>0</v>
      </c>
      <c r="AH17" s="125">
        <f t="shared" si="18"/>
        <v>0</v>
      </c>
      <c r="AP17" s="514">
        <f t="shared" si="21"/>
        <v>0</v>
      </c>
    </row>
    <row r="18" spans="1:42" ht="21.75" customHeight="1" thickBot="1">
      <c r="A18" s="165"/>
      <c r="B18" s="165"/>
      <c r="C18" s="165"/>
      <c r="D18" s="145"/>
      <c r="E18" s="116"/>
      <c r="F18" s="83"/>
      <c r="G18" s="149" t="s">
        <v>87</v>
      </c>
      <c r="H18" s="62" t="s">
        <v>78</v>
      </c>
      <c r="I18" s="145"/>
      <c r="J18" s="136" t="s">
        <v>81</v>
      </c>
      <c r="K18" s="83">
        <v>0.02</v>
      </c>
      <c r="L18" s="156"/>
      <c r="M18" s="156"/>
      <c r="N18" s="214"/>
      <c r="O18" s="215"/>
      <c r="P18" s="215"/>
      <c r="Q18" s="372">
        <f t="shared" si="5"/>
        <v>0</v>
      </c>
      <c r="R18" s="379"/>
      <c r="S18" s="379"/>
      <c r="T18" s="215"/>
      <c r="U18" s="382"/>
      <c r="V18" s="215"/>
      <c r="W18" s="215"/>
      <c r="X18" s="215"/>
      <c r="Y18" s="215"/>
      <c r="Z18" s="215"/>
      <c r="AA18" s="3"/>
      <c r="AB18" s="3"/>
      <c r="AC18" s="3"/>
      <c r="AD18" s="215"/>
      <c r="AG18" s="125">
        <f t="shared" si="11"/>
        <v>0</v>
      </c>
      <c r="AH18" s="125">
        <f t="shared" si="18"/>
        <v>0</v>
      </c>
      <c r="AP18" s="514">
        <f t="shared" si="21"/>
        <v>0</v>
      </c>
    </row>
    <row r="19" spans="1:42" ht="17.7" thickBot="1">
      <c r="A19" s="165"/>
      <c r="B19" s="165"/>
      <c r="C19" s="165"/>
      <c r="D19" s="145"/>
      <c r="E19" s="136" t="s">
        <v>83</v>
      </c>
      <c r="F19" s="83">
        <v>10</v>
      </c>
      <c r="G19" s="106">
        <f xml:space="preserve">  (F20-F23) / SQRT( F21^2 /F19 + F24^2/F22)</f>
        <v>2.3725907164139763</v>
      </c>
      <c r="H19" s="112">
        <f xml:space="preserve"> H17 * SQRT( F21^2 /F19 + F24^2/F22)</f>
        <v>3.6931548314068428</v>
      </c>
      <c r="I19" s="145">
        <f>F21^2 /F19</f>
        <v>0.60025000000000017</v>
      </c>
      <c r="J19" s="136"/>
      <c r="K19" s="114"/>
      <c r="L19" s="86"/>
      <c r="M19" s="67"/>
      <c r="N19" s="222" t="s">
        <v>66</v>
      </c>
      <c r="O19" s="148" t="s">
        <v>67</v>
      </c>
      <c r="P19" s="211"/>
      <c r="Q19" s="372">
        <f t="shared" si="5"/>
        <v>0</v>
      </c>
      <c r="R19" s="380"/>
      <c r="S19" s="380"/>
      <c r="T19" s="211"/>
      <c r="U19" s="383"/>
      <c r="V19" s="211"/>
      <c r="W19" s="211"/>
      <c r="X19" s="400"/>
      <c r="Y19" s="211"/>
      <c r="Z19" s="211"/>
      <c r="AA19" s="3"/>
      <c r="AB19" s="3"/>
      <c r="AC19" s="3"/>
      <c r="AD19" s="211"/>
      <c r="AG19" s="125">
        <f t="shared" si="11"/>
        <v>0</v>
      </c>
      <c r="AH19" s="125">
        <f t="shared" si="18"/>
        <v>0</v>
      </c>
      <c r="AP19" s="514"/>
    </row>
    <row r="20" spans="1:42" ht="17.7" thickBot="1">
      <c r="A20" s="165"/>
      <c r="B20" s="165"/>
      <c r="C20" s="165"/>
      <c r="D20" s="145"/>
      <c r="E20" s="137"/>
      <c r="F20" s="259">
        <v>63</v>
      </c>
      <c r="G20" s="648"/>
      <c r="H20" s="649"/>
      <c r="I20" s="145">
        <f>F24^2/F22</f>
        <v>0.99856000000000011</v>
      </c>
      <c r="J20" s="138" t="s">
        <v>61</v>
      </c>
      <c r="K20" s="132">
        <v>-2.0070000000000001</v>
      </c>
      <c r="L20" s="62" t="s">
        <v>65</v>
      </c>
      <c r="M20" s="62" t="s">
        <v>88</v>
      </c>
      <c r="N20" s="62" t="s">
        <v>65</v>
      </c>
      <c r="O20" s="62" t="s">
        <v>65</v>
      </c>
      <c r="P20" s="148"/>
      <c r="Q20" s="372">
        <f t="shared" si="5"/>
        <v>0</v>
      </c>
      <c r="R20" s="305"/>
      <c r="S20" s="305"/>
      <c r="T20" s="148"/>
      <c r="U20" s="384"/>
      <c r="V20" s="148"/>
      <c r="W20" s="491" t="s">
        <v>176</v>
      </c>
      <c r="X20" s="121">
        <f>(W14/W12-W13)/SQRT(W13*(1-W13)/W12)</f>
        <v>-8.928628566630632</v>
      </c>
      <c r="Y20" s="401"/>
      <c r="Z20" s="148"/>
      <c r="AA20" s="148"/>
      <c r="AB20" s="148"/>
      <c r="AC20" s="148"/>
      <c r="AD20" s="67"/>
      <c r="AG20" s="125">
        <f t="shared" si="11"/>
        <v>0</v>
      </c>
      <c r="AH20" s="125">
        <f t="shared" si="18"/>
        <v>0</v>
      </c>
      <c r="AP20" s="514"/>
    </row>
    <row r="21" spans="1:42" ht="17.7" thickBot="1">
      <c r="A21" s="165"/>
      <c r="B21" s="165"/>
      <c r="C21" s="165"/>
      <c r="D21" s="145"/>
      <c r="E21" s="137" t="s">
        <v>84</v>
      </c>
      <c r="F21" s="501">
        <v>2.4500000000000002</v>
      </c>
      <c r="G21" s="130">
        <f xml:space="preserve"> F20- F23 -H19</f>
        <v>-0.69315483140684275</v>
      </c>
      <c r="H21" s="130">
        <f xml:space="preserve">  F20- F23 + H19</f>
        <v>6.6931548314068428</v>
      </c>
      <c r="I21" s="185"/>
      <c r="J21" s="139" t="s">
        <v>52</v>
      </c>
      <c r="K21" s="133">
        <v>21</v>
      </c>
      <c r="L21" s="112">
        <f xml:space="preserve"> 1 -_xlfn.T.DIST(K20, K21-1, TRUE)</f>
        <v>0.97077136051515134</v>
      </c>
      <c r="M21" s="112">
        <f>_xlfn.T.DIST(K20, K21-1, TRUE)</f>
        <v>2.9228639484848648E-2</v>
      </c>
      <c r="N21" s="112">
        <f>2*L21</f>
        <v>1.9415427210303027</v>
      </c>
      <c r="O21" s="112">
        <f>2*M21</f>
        <v>5.8457278969697296E-2</v>
      </c>
      <c r="P21" s="86"/>
      <c r="Q21" s="372">
        <f t="shared" si="5"/>
        <v>0</v>
      </c>
      <c r="R21" s="86"/>
      <c r="S21" s="86"/>
      <c r="T21" s="86"/>
      <c r="U21" s="385"/>
      <c r="V21" s="86"/>
      <c r="W21" s="86"/>
      <c r="X21" s="86"/>
      <c r="Y21" s="86"/>
      <c r="Z21" s="86"/>
      <c r="AA21" s="86"/>
      <c r="AB21" s="86"/>
      <c r="AC21" s="86"/>
      <c r="AD21" s="67"/>
      <c r="AG21" s="125">
        <f t="shared" si="11"/>
        <v>0</v>
      </c>
      <c r="AH21" s="125">
        <f t="shared" si="18"/>
        <v>0</v>
      </c>
    </row>
    <row r="22" spans="1:42" ht="17.7" thickBot="1">
      <c r="A22" s="165"/>
      <c r="B22" s="165"/>
      <c r="C22" s="165"/>
      <c r="D22" s="145"/>
      <c r="E22" s="136" t="s">
        <v>85</v>
      </c>
      <c r="F22" s="83">
        <v>10</v>
      </c>
      <c r="G22" s="647" t="s">
        <v>96</v>
      </c>
      <c r="H22" s="647"/>
      <c r="I22" s="185"/>
      <c r="J22" s="218" t="s">
        <v>68</v>
      </c>
      <c r="K22" s="224">
        <v>12</v>
      </c>
      <c r="L22" s="225" t="s">
        <v>89</v>
      </c>
      <c r="M22" s="112">
        <f xml:space="preserve"> TINV(1-K2/100, K22 -1)</f>
        <v>3.10580651553928</v>
      </c>
      <c r="N22" s="103"/>
      <c r="O22" s="103"/>
      <c r="P22" s="103"/>
      <c r="Q22" s="372">
        <f t="shared" si="5"/>
        <v>0</v>
      </c>
      <c r="R22" s="103"/>
      <c r="S22" s="103"/>
      <c r="T22" s="103"/>
      <c r="U22" s="386"/>
      <c r="V22" s="103"/>
      <c r="W22" s="103"/>
      <c r="X22" s="103"/>
      <c r="Y22" s="103"/>
      <c r="Z22" s="103"/>
      <c r="AA22" s="103"/>
      <c r="AB22" s="103"/>
      <c r="AC22" s="103"/>
      <c r="AD22" s="67"/>
      <c r="AG22" s="125">
        <f t="shared" si="11"/>
        <v>0</v>
      </c>
      <c r="AH22" s="125">
        <f t="shared" si="18"/>
        <v>0</v>
      </c>
    </row>
    <row r="23" spans="1:42" ht="18.75" customHeight="1" thickBot="1">
      <c r="A23" s="165"/>
      <c r="B23" s="165"/>
      <c r="C23" s="165"/>
      <c r="D23" s="145"/>
      <c r="E23" s="137"/>
      <c r="F23" s="259">
        <v>60</v>
      </c>
      <c r="G23" s="180" t="s">
        <v>73</v>
      </c>
      <c r="H23" s="183" t="s">
        <v>89</v>
      </c>
      <c r="I23" s="185"/>
      <c r="J23" s="136"/>
      <c r="K23" s="223">
        <v>3.125</v>
      </c>
      <c r="L23" s="228"/>
      <c r="M23" s="229"/>
      <c r="O23" s="67"/>
      <c r="P23" s="67"/>
      <c r="Q23" s="372">
        <f t="shared" si="5"/>
        <v>0</v>
      </c>
      <c r="R23" s="377"/>
      <c r="S23" s="377"/>
      <c r="T23" s="67"/>
      <c r="U23" s="387"/>
      <c r="V23" s="67"/>
      <c r="W23" s="67"/>
      <c r="X23" s="67"/>
      <c r="Y23" s="67"/>
      <c r="Z23" s="67"/>
      <c r="AA23" s="67"/>
      <c r="AB23" s="67"/>
      <c r="AC23" s="67"/>
      <c r="AD23" s="67"/>
      <c r="AG23" s="125">
        <f t="shared" si="11"/>
        <v>0</v>
      </c>
      <c r="AH23" s="125">
        <f t="shared" si="18"/>
        <v>0</v>
      </c>
    </row>
    <row r="24" spans="1:42" ht="17.7" thickBot="1">
      <c r="A24" s="165"/>
      <c r="B24" s="165"/>
      <c r="C24" s="165"/>
      <c r="D24" s="145"/>
      <c r="E24" s="137" t="s">
        <v>86</v>
      </c>
      <c r="F24" s="501">
        <v>3.16</v>
      </c>
      <c r="G24" s="181">
        <f xml:space="preserve"> IF(F19=F22,F19-1,(I19+I20)^2/(I19^2/(F19-1)+I20^2/(F22-1)))</f>
        <v>9</v>
      </c>
      <c r="H24" s="140">
        <f>TINV(1-K2/100, G24)</f>
        <v>3.2498355415921263</v>
      </c>
      <c r="I24" s="185"/>
      <c r="J24" s="139"/>
      <c r="K24" s="227">
        <v>2.911</v>
      </c>
      <c r="L24" s="226">
        <f>K23 - M22* K24 /SQRT(K22)</f>
        <v>0.5150873094407431</v>
      </c>
      <c r="M24" s="129">
        <f xml:space="preserve">  K23 + M22* K24 /SQRT(K22)</f>
        <v>5.7349126905592573</v>
      </c>
      <c r="N24" s="157"/>
      <c r="O24" s="148"/>
      <c r="P24" s="148"/>
      <c r="Q24" s="373"/>
      <c r="R24" s="148"/>
      <c r="S24" s="148"/>
      <c r="T24" s="148"/>
      <c r="U24" s="384"/>
      <c r="V24" s="148"/>
      <c r="W24" s="148"/>
      <c r="X24" s="148"/>
      <c r="Y24" s="148"/>
      <c r="Z24" s="148"/>
      <c r="AA24" s="148"/>
      <c r="AB24" s="148"/>
      <c r="AC24" s="148"/>
      <c r="AD24" s="67"/>
      <c r="AG24" s="125">
        <f t="shared" si="11"/>
        <v>0</v>
      </c>
      <c r="AH24" s="125">
        <f t="shared" si="18"/>
        <v>0</v>
      </c>
    </row>
    <row r="25" spans="1:42" ht="17.7" thickBot="1">
      <c r="A25" s="165"/>
      <c r="B25" s="165"/>
      <c r="C25" s="165"/>
      <c r="D25" s="145"/>
      <c r="E25" s="137"/>
      <c r="F25" s="91"/>
      <c r="G25" s="149" t="s">
        <v>87</v>
      </c>
      <c r="H25" s="208" t="s">
        <v>78</v>
      </c>
      <c r="I25" s="185"/>
      <c r="J25" s="67"/>
      <c r="K25" s="67"/>
      <c r="L25" s="86"/>
      <c r="M25" s="86"/>
      <c r="N25" s="86"/>
      <c r="O25" s="86"/>
      <c r="P25" s="86"/>
      <c r="Q25" s="374"/>
      <c r="R25" s="86"/>
      <c r="S25" s="86"/>
      <c r="T25" s="86"/>
      <c r="U25" s="385"/>
      <c r="V25" s="86"/>
      <c r="W25" s="86"/>
      <c r="X25" s="86"/>
      <c r="Y25" s="86"/>
      <c r="Z25" s="86"/>
      <c r="AA25" s="86"/>
      <c r="AB25" s="86"/>
      <c r="AC25" s="86"/>
      <c r="AD25" s="67"/>
      <c r="AG25" s="125">
        <f t="shared" si="11"/>
        <v>0</v>
      </c>
      <c r="AH25" s="125">
        <f t="shared" si="18"/>
        <v>0</v>
      </c>
    </row>
    <row r="26" spans="1:42" ht="17.7" thickBot="1">
      <c r="A26" s="165"/>
      <c r="B26" s="165"/>
      <c r="C26" s="165"/>
      <c r="D26" s="145"/>
      <c r="E26" s="141"/>
      <c r="F26" s="83"/>
      <c r="G26" s="106">
        <f xml:space="preserve">  (F20-F23) / SQRT( F21^2 /F19 + F24^2/F22)</f>
        <v>2.3725907164139763</v>
      </c>
      <c r="H26" s="140">
        <f xml:space="preserve"> H24 * SQRT( F21^2 /F19 + F24^2/F22)</f>
        <v>4.1092239623664009</v>
      </c>
      <c r="I26" s="185"/>
      <c r="J26" s="141"/>
      <c r="K26" s="50" t="s">
        <v>25</v>
      </c>
      <c r="L26" s="50" t="s">
        <v>98</v>
      </c>
      <c r="M26" s="50" t="s">
        <v>99</v>
      </c>
      <c r="N26" s="50" t="s">
        <v>100</v>
      </c>
      <c r="O26" s="49" t="s">
        <v>26</v>
      </c>
      <c r="P26" s="103"/>
      <c r="Q26" s="375"/>
      <c r="R26" s="103"/>
      <c r="S26" s="103"/>
      <c r="T26" s="103"/>
      <c r="U26" s="386"/>
      <c r="V26" s="103"/>
      <c r="W26" s="103"/>
      <c r="X26" s="103"/>
      <c r="Y26" s="103"/>
      <c r="Z26" s="103"/>
      <c r="AA26" s="103"/>
      <c r="AB26" s="103"/>
      <c r="AC26" s="103"/>
      <c r="AD26" s="67"/>
      <c r="AG26" s="125">
        <f t="shared" si="11"/>
        <v>0</v>
      </c>
      <c r="AH26" s="125">
        <f t="shared" si="18"/>
        <v>0</v>
      </c>
    </row>
    <row r="27" spans="1:42" ht="17.7" thickBot="1">
      <c r="A27" s="165"/>
      <c r="B27" s="165"/>
      <c r="C27" s="165"/>
      <c r="D27" s="145"/>
      <c r="E27" s="141"/>
      <c r="F27" s="68"/>
      <c r="G27" s="220"/>
      <c r="H27" s="221"/>
      <c r="I27" s="185"/>
      <c r="J27" s="86"/>
      <c r="K27" s="358">
        <f>MIN(C4:C28)</f>
        <v>-4.6999999999999957</v>
      </c>
      <c r="L27" s="359">
        <f>QUARTILE(C4:C27, 1)</f>
        <v>-2.3000000000000043</v>
      </c>
      <c r="M27" s="359">
        <f>QUARTILE(C4:C15, 2)</f>
        <v>-0.5</v>
      </c>
      <c r="N27" s="359">
        <f>QUARTILE(C4:C15, 3)</f>
        <v>0</v>
      </c>
      <c r="O27" s="360">
        <f>MAX(C4:C24)</f>
        <v>1.2999999999999972</v>
      </c>
      <c r="P27" s="67"/>
      <c r="Q27" s="376"/>
      <c r="R27" s="67"/>
      <c r="S27" s="67"/>
      <c r="T27" s="67"/>
      <c r="U27" s="388"/>
      <c r="V27" s="67"/>
      <c r="W27" s="67"/>
      <c r="X27" s="67"/>
      <c r="Y27" s="67"/>
      <c r="Z27" s="67"/>
      <c r="AA27" s="67"/>
      <c r="AB27" s="67"/>
      <c r="AC27" s="67"/>
      <c r="AD27" s="67"/>
      <c r="AG27" s="125">
        <f t="shared" si="11"/>
        <v>0</v>
      </c>
      <c r="AH27" s="125">
        <f t="shared" si="18"/>
        <v>0</v>
      </c>
    </row>
    <row r="28" spans="1:42" ht="15.6" thickBot="1">
      <c r="A28" s="165"/>
      <c r="B28" s="165"/>
      <c r="C28" s="165"/>
      <c r="D28" s="145"/>
      <c r="E28" s="45"/>
      <c r="F28" s="91"/>
      <c r="G28" s="130">
        <f xml:space="preserve"> F20- F23 -H26</f>
        <v>-1.1092239623664009</v>
      </c>
      <c r="H28" s="217">
        <f xml:space="preserve">  F20- F23 + H26</f>
        <v>7.1092239623664009</v>
      </c>
      <c r="I28" s="185"/>
      <c r="J28" s="86"/>
      <c r="L28" s="103"/>
      <c r="M28" s="86"/>
      <c r="N28" s="67"/>
      <c r="O28" s="305" t="s">
        <v>66</v>
      </c>
      <c r="P28" s="148" t="s">
        <v>67</v>
      </c>
      <c r="Q28" s="369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G28" s="125">
        <f t="shared" si="11"/>
        <v>0</v>
      </c>
      <c r="AH28" s="125">
        <f t="shared" si="18"/>
        <v>0</v>
      </c>
    </row>
    <row r="29" spans="1:42" ht="17.7" thickBot="1">
      <c r="A29" s="165"/>
      <c r="B29" s="165"/>
      <c r="C29" s="165"/>
      <c r="D29" s="145"/>
      <c r="E29" s="353" t="s">
        <v>133</v>
      </c>
      <c r="F29" s="354" t="s">
        <v>134</v>
      </c>
      <c r="G29" s="361" t="s">
        <v>143</v>
      </c>
      <c r="H29" s="148"/>
      <c r="I29" s="185"/>
      <c r="J29" s="218" t="s">
        <v>68</v>
      </c>
      <c r="K29" s="135">
        <v>15</v>
      </c>
      <c r="L29" s="105" t="s">
        <v>90</v>
      </c>
      <c r="M29" s="62" t="s">
        <v>65</v>
      </c>
      <c r="N29" s="62" t="s">
        <v>88</v>
      </c>
      <c r="O29" s="62" t="s">
        <v>65</v>
      </c>
      <c r="P29" s="62" t="s">
        <v>65</v>
      </c>
      <c r="Q29" s="369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G29" s="125">
        <f t="shared" si="11"/>
        <v>0</v>
      </c>
      <c r="AH29" s="125">
        <f t="shared" si="18"/>
        <v>0</v>
      </c>
    </row>
    <row r="30" spans="1:42" ht="17.7" thickBot="1">
      <c r="A30" s="165"/>
      <c r="B30" s="165"/>
      <c r="C30" s="165"/>
      <c r="D30" s="145"/>
      <c r="E30" s="62" t="s">
        <v>65</v>
      </c>
      <c r="F30" s="62" t="s">
        <v>88</v>
      </c>
      <c r="G30" s="62" t="s">
        <v>65</v>
      </c>
      <c r="H30" s="62"/>
      <c r="I30" s="185"/>
      <c r="J30" s="313" t="s">
        <v>69</v>
      </c>
      <c r="K30" s="83">
        <v>1.55</v>
      </c>
      <c r="L30" s="112">
        <f xml:space="preserve"> (K31 - K32) * SQRT(K29) / K30</f>
        <v>2.5986468903585251</v>
      </c>
      <c r="M30" s="140">
        <f>1 -_xlfn.T.DIST(L30, K29-1, TRUE)</f>
        <v>1.0516323762406077E-2</v>
      </c>
      <c r="N30" s="112">
        <f>1-M30</f>
        <v>0.98948367623759392</v>
      </c>
      <c r="O30" s="480">
        <f>2*M30</f>
        <v>2.1032647524812154E-2</v>
      </c>
      <c r="P30" s="479">
        <f>2*N30</f>
        <v>1.9789673524751878</v>
      </c>
      <c r="Q30" s="369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G30" s="125">
        <f t="shared" si="11"/>
        <v>0</v>
      </c>
      <c r="AH30" s="125">
        <f t="shared" si="18"/>
        <v>0</v>
      </c>
    </row>
    <row r="31" spans="1:42" ht="15.6" thickBot="1">
      <c r="A31" s="165"/>
      <c r="B31" s="165"/>
      <c r="C31" s="91" t="s">
        <v>141</v>
      </c>
      <c r="D31" s="145"/>
      <c r="E31" s="112">
        <f xml:space="preserve"> _xlfn.T.DIST(G19,G17-1, TRUE)</f>
        <v>0.98426808459065007</v>
      </c>
      <c r="F31" s="112">
        <f>1-_xlfn.T.DIST(G19, G17-1, TRUE)</f>
        <v>1.5731915409349928E-2</v>
      </c>
      <c r="G31" s="112">
        <f xml:space="preserve">  IF(G19&gt;0, 2*(1-_xlfn.T.DIST(G19,G17, TRUE)), 2*(_xlfn.T.DIST(G19,G17, TRUE)))</f>
        <v>3.0537975652435767E-2</v>
      </c>
      <c r="H31" s="112"/>
      <c r="I31" s="185"/>
      <c r="J31" s="86"/>
      <c r="K31" s="477">
        <v>1.04</v>
      </c>
      <c r="L31" s="62"/>
      <c r="M31" s="308" t="s">
        <v>131</v>
      </c>
      <c r="N31" s="309" t="s">
        <v>132</v>
      </c>
      <c r="O31" s="310" t="s">
        <v>183</v>
      </c>
      <c r="P31" s="67"/>
      <c r="Q31" s="369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G31" s="125">
        <f t="shared" si="11"/>
        <v>0</v>
      </c>
      <c r="AH31" s="125">
        <f t="shared" si="18"/>
        <v>0</v>
      </c>
    </row>
    <row r="32" spans="1:42" ht="15.6" thickBot="1">
      <c r="A32" s="165"/>
      <c r="B32" s="165"/>
      <c r="C32" s="154" t="s">
        <v>140</v>
      </c>
      <c r="D32" s="145"/>
      <c r="E32" s="112">
        <f xml:space="preserve"> _xlfn.T.DIST(G19,G24-1, TRUE)</f>
        <v>0.97746808960675324</v>
      </c>
      <c r="F32" s="112">
        <f>1-_xlfn.T.DIST(G19, G24-1, TRUE)</f>
        <v>2.2531910393246757E-2</v>
      </c>
      <c r="G32" s="112">
        <f xml:space="preserve"> IF(G26&gt;0, 2*(1-_xlfn.T.DIST(G26,G24, TRUE)), 2*(_xlfn.T.DIST(G26,G24, TRUE)))</f>
        <v>4.1731402601214773E-2</v>
      </c>
      <c r="H32" s="112"/>
      <c r="I32" s="185"/>
      <c r="J32" s="167"/>
      <c r="K32" s="89">
        <v>0</v>
      </c>
      <c r="L32" s="112">
        <f>TINV((100-K2)/100, K29-1)</f>
        <v>2.9768427343708348</v>
      </c>
      <c r="M32" s="191">
        <f>-TINV(2*K3, K29-1)</f>
        <v>-1.7613101357748921</v>
      </c>
      <c r="N32" s="306">
        <f>TINV(2*K3, K29-1)</f>
        <v>1.7613101357748921</v>
      </c>
      <c r="O32" s="81">
        <f>TINV(K3, K29-1)</f>
        <v>2.1447866879178044</v>
      </c>
      <c r="P32" s="67"/>
      <c r="Q32" s="369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G32" s="125">
        <f t="shared" si="11"/>
        <v>0</v>
      </c>
      <c r="AH32" s="125">
        <f t="shared" si="18"/>
        <v>0</v>
      </c>
    </row>
    <row r="33" spans="1:34">
      <c r="A33" s="165"/>
      <c r="B33" s="165"/>
      <c r="C33" s="165"/>
      <c r="D33" s="145"/>
      <c r="E33" s="45"/>
      <c r="F33" s="42"/>
      <c r="I33" s="185"/>
      <c r="J33" s="165"/>
      <c r="K33" s="165"/>
      <c r="L33" s="363"/>
      <c r="AG33" s="125">
        <f t="shared" si="11"/>
        <v>0</v>
      </c>
      <c r="AH33" s="125">
        <f t="shared" si="18"/>
        <v>0</v>
      </c>
    </row>
    <row r="34" spans="1:34">
      <c r="A34" s="165"/>
      <c r="B34" s="165"/>
      <c r="C34" s="165"/>
      <c r="D34" s="145"/>
      <c r="I34" s="185"/>
      <c r="J34" s="165"/>
      <c r="K34" s="165"/>
      <c r="L34" s="363"/>
      <c r="AG34" s="125">
        <f t="shared" si="11"/>
        <v>0</v>
      </c>
      <c r="AH34" s="125">
        <f t="shared" si="18"/>
        <v>0</v>
      </c>
    </row>
    <row r="35" spans="1:34">
      <c r="A35" s="231"/>
      <c r="B35" s="231"/>
      <c r="C35" s="231"/>
      <c r="D35" s="145"/>
      <c r="I35" s="185"/>
      <c r="L35" s="363"/>
      <c r="AG35" s="125">
        <f t="shared" si="11"/>
        <v>0</v>
      </c>
      <c r="AH35" s="125">
        <f t="shared" si="18"/>
        <v>0</v>
      </c>
    </row>
    <row r="36" spans="1:34">
      <c r="AG36" s="125">
        <f t="shared" si="11"/>
        <v>0</v>
      </c>
      <c r="AH36" s="125">
        <f t="shared" ref="AH36" si="22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502920</xdr:colOff>
                <xdr:row>11</xdr:row>
                <xdr:rowOff>30480</xdr:rowOff>
              </from>
              <to>
                <xdr:col>14</xdr:col>
                <xdr:colOff>121920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45720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175260</xdr:colOff>
                <xdr:row>6</xdr:row>
                <xdr:rowOff>38100</xdr:rowOff>
              </from>
              <to>
                <xdr:col>12</xdr:col>
                <xdr:colOff>441960</xdr:colOff>
                <xdr:row>7</xdr:row>
                <xdr:rowOff>7620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30480</xdr:rowOff>
              </from>
              <to>
                <xdr:col>13</xdr:col>
                <xdr:colOff>411480</xdr:colOff>
                <xdr:row>7</xdr:row>
                <xdr:rowOff>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289560</xdr:colOff>
                <xdr:row>15</xdr:row>
                <xdr:rowOff>22860</xdr:rowOff>
              </from>
              <to>
                <xdr:col>9</xdr:col>
                <xdr:colOff>556260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480060</xdr:colOff>
                <xdr:row>19</xdr:row>
                <xdr:rowOff>22860</xdr:rowOff>
              </from>
              <to>
                <xdr:col>7</xdr:col>
                <xdr:colOff>220980</xdr:colOff>
                <xdr:row>20</xdr:row>
                <xdr:rowOff>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7620</xdr:rowOff>
              </from>
              <to>
                <xdr:col>4</xdr:col>
                <xdr:colOff>381000</xdr:colOff>
                <xdr:row>20</xdr:row>
                <xdr:rowOff>22860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7620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502920</xdr:colOff>
                <xdr:row>10</xdr:row>
                <xdr:rowOff>7620</xdr:rowOff>
              </from>
              <to>
                <xdr:col>7</xdr:col>
                <xdr:colOff>251460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198120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213360</xdr:rowOff>
              </from>
              <to>
                <xdr:col>5</xdr:col>
                <xdr:colOff>464820</xdr:colOff>
                <xdr:row>6</xdr:row>
                <xdr:rowOff>198120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213360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541020</xdr:colOff>
                <xdr:row>8</xdr:row>
                <xdr:rowOff>7620</xdr:rowOff>
              </from>
              <to>
                <xdr:col>6</xdr:col>
                <xdr:colOff>30480</xdr:colOff>
                <xdr:row>8</xdr:row>
                <xdr:rowOff>213360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480060</xdr:colOff>
                <xdr:row>26</xdr:row>
                <xdr:rowOff>22860</xdr:rowOff>
              </from>
              <to>
                <xdr:col>7</xdr:col>
                <xdr:colOff>220980</xdr:colOff>
                <xdr:row>27</xdr:row>
                <xdr:rowOff>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22860</xdr:rowOff>
              </from>
              <to>
                <xdr:col>9</xdr:col>
                <xdr:colOff>480060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7620</xdr:rowOff>
              </from>
              <to>
                <xdr:col>9</xdr:col>
                <xdr:colOff>464820</xdr:colOff>
                <xdr:row>23</xdr:row>
                <xdr:rowOff>213360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541020</xdr:colOff>
                <xdr:row>22</xdr:row>
                <xdr:rowOff>7620</xdr:rowOff>
              </from>
              <to>
                <xdr:col>12</xdr:col>
                <xdr:colOff>60960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236220</xdr:colOff>
                <xdr:row>2</xdr:row>
                <xdr:rowOff>68580</xdr:rowOff>
              </from>
              <to>
                <xdr:col>22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289560</xdr:colOff>
                <xdr:row>2</xdr:row>
                <xdr:rowOff>22860</xdr:rowOff>
              </from>
              <to>
                <xdr:col>21</xdr:col>
                <xdr:colOff>426720</xdr:colOff>
                <xdr:row>2</xdr:row>
                <xdr:rowOff>228600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83820</xdr:colOff>
                <xdr:row>5</xdr:row>
                <xdr:rowOff>7620</xdr:rowOff>
              </from>
              <to>
                <xdr:col>21</xdr:col>
                <xdr:colOff>228600</xdr:colOff>
                <xdr:row>6</xdr:row>
                <xdr:rowOff>7620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198120</xdr:rowOff>
              </from>
              <to>
                <xdr:col>9</xdr:col>
                <xdr:colOff>441960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213360</xdr:colOff>
                <xdr:row>30</xdr:row>
                <xdr:rowOff>7620</xdr:rowOff>
              </from>
              <to>
                <xdr:col>9</xdr:col>
                <xdr:colOff>350520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160020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198120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289560</xdr:colOff>
                <xdr:row>10</xdr:row>
                <xdr:rowOff>22860</xdr:rowOff>
              </from>
              <to>
                <xdr:col>24</xdr:col>
                <xdr:colOff>426720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  <mc:AlternateContent xmlns:mc="http://schemas.openxmlformats.org/markup-compatibility/2006">
      <mc:Choice Requires="x14">
        <oleObject progId="Equation.DSMT4" shapeId="12354" r:id="rId44">
          <objectPr defaultSize="0" autoPict="0" r:id="rId33">
            <anchor moveWithCells="1">
              <from>
                <xdr:col>35</xdr:col>
                <xdr:colOff>236220</xdr:colOff>
                <xdr:row>13</xdr:row>
                <xdr:rowOff>68580</xdr:rowOff>
              </from>
              <to>
                <xdr:col>35</xdr:col>
                <xdr:colOff>480060</xdr:colOff>
                <xdr:row>13</xdr:row>
                <xdr:rowOff>213360</xdr:rowOff>
              </to>
            </anchor>
          </objectPr>
        </oleObject>
      </mc:Choice>
      <mc:Fallback>
        <oleObject progId="Equation.DSMT4" shapeId="12354" r:id="rId4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zoomScale="110" zoomScaleNormal="110" workbookViewId="0">
      <selection activeCell="A4" sqref="A4:A11"/>
    </sheetView>
  </sheetViews>
  <sheetFormatPr defaultRowHeight="14.4"/>
  <cols>
    <col min="3" max="3" width="0.9453125" customWidth="1"/>
    <col min="4" max="4" width="13.05078125" customWidth="1"/>
    <col min="5" max="5" width="11.68359375" customWidth="1"/>
    <col min="6" max="6" width="13.05078125" customWidth="1"/>
    <col min="7" max="7" width="11.83984375" customWidth="1"/>
    <col min="8" max="8" width="7.9453125" customWidth="1"/>
    <col min="11" max="12" width="0.9453125" style="413" customWidth="1"/>
  </cols>
  <sheetData>
    <row r="1" spans="1:13" ht="18" thickBot="1">
      <c r="A1" s="155">
        <f>COUNT(A4:A25)</f>
        <v>5</v>
      </c>
      <c r="B1" s="155">
        <f>COUNT(B4:B25)</f>
        <v>5</v>
      </c>
      <c r="C1" s="195"/>
      <c r="D1" s="194" t="s">
        <v>91</v>
      </c>
      <c r="E1" s="197" t="s">
        <v>45</v>
      </c>
      <c r="G1" s="198" t="s">
        <v>56</v>
      </c>
      <c r="H1" s="186">
        <v>95</v>
      </c>
      <c r="K1" s="414"/>
      <c r="L1" s="414"/>
    </row>
    <row r="2" spans="1:13" ht="15.3" thickBot="1">
      <c r="A2" s="143" t="s">
        <v>3</v>
      </c>
      <c r="B2" s="143" t="s">
        <v>4</v>
      </c>
      <c r="C2" s="196"/>
      <c r="D2" s="171">
        <f>CORREL(A3:A33, B3:B33)</f>
        <v>0.99443184562040665</v>
      </c>
      <c r="E2" s="78">
        <f>D2^2</f>
        <v>0.98889469558400833</v>
      </c>
      <c r="K2" s="414"/>
      <c r="L2" s="414"/>
    </row>
    <row r="3" spans="1:13" ht="15" customHeight="1" thickBot="1">
      <c r="A3" s="438"/>
      <c r="B3" s="438"/>
      <c r="C3" s="196"/>
      <c r="D3" s="194" t="s">
        <v>92</v>
      </c>
      <c r="E3" s="129">
        <f>(_xlfn.T.INV((1-(100 -$H$1)/200), $A$1-2)) / SQRT((_xlfn.T.INV((1-(100 -$H$1)/200), $A$1-2))^2 + $A$1-2)</f>
        <v>0.87833944815980514</v>
      </c>
      <c r="G3" s="201" t="s">
        <v>80</v>
      </c>
      <c r="H3" s="169">
        <f>_xlfn.NORM.S.INV(1- (100-H1)/200)</f>
        <v>1.9599639845400536</v>
      </c>
      <c r="I3" s="29"/>
      <c r="J3" s="29"/>
      <c r="K3" s="415"/>
      <c r="L3" s="415"/>
      <c r="M3" s="29"/>
    </row>
    <row r="4" spans="1:13" ht="15.6" thickBot="1">
      <c r="A4" s="462">
        <v>2</v>
      </c>
      <c r="B4" s="462">
        <v>2</v>
      </c>
      <c r="C4" s="196">
        <f>A4*B4</f>
        <v>4</v>
      </c>
      <c r="D4" s="657" t="s">
        <v>48</v>
      </c>
      <c r="E4" s="658"/>
      <c r="G4" s="86"/>
      <c r="H4" s="193"/>
      <c r="I4" s="29"/>
      <c r="J4" s="29"/>
      <c r="K4" s="415">
        <f>IF( A4="",0, A4*E$6+D$6)</f>
        <v>1.7441860465116279</v>
      </c>
      <c r="L4" s="415">
        <f>(K4-B4)^2</f>
        <v>6.5440778799351007E-2</v>
      </c>
      <c r="M4" s="29"/>
    </row>
    <row r="5" spans="1:13" ht="15.6" thickBot="1">
      <c r="A5" s="462">
        <v>3</v>
      </c>
      <c r="B5" s="462">
        <v>4</v>
      </c>
      <c r="C5" s="196">
        <f t="shared" ref="C5:C33" si="0">A5*B5</f>
        <v>12</v>
      </c>
      <c r="D5" s="194" t="s">
        <v>46</v>
      </c>
      <c r="E5" s="62" t="s">
        <v>47</v>
      </c>
      <c r="F5" s="199"/>
      <c r="G5" s="28"/>
      <c r="I5" s="29"/>
      <c r="J5" s="29"/>
      <c r="K5" s="415">
        <f t="shared" ref="K5:K18" si="1">IF( A5="",0, A5*E$6+D$6)</f>
        <v>3.7674418604651163</v>
      </c>
      <c r="L5" s="415">
        <f t="shared" ref="L5:L18" si="2">(K5-B5)^2</f>
        <v>5.408328826392643E-2</v>
      </c>
      <c r="M5" s="29"/>
    </row>
    <row r="6" spans="1:13" ht="15.6" thickBot="1">
      <c r="A6" s="462">
        <v>4</v>
      </c>
      <c r="B6" s="462">
        <v>5</v>
      </c>
      <c r="C6" s="196">
        <f t="shared" si="0"/>
        <v>20</v>
      </c>
      <c r="D6" s="172">
        <f xml:space="preserve"> (SUM($B$4:$B$33)*SUMSQ($A$4:$A$33) - SUM(A4:A33)*SUM(C4:C33) ) / (COUNT(A4:A33)*SUMSQ(A4:A33) - SUM(A4:A33)^2 )</f>
        <v>-2.3023255813953489</v>
      </c>
      <c r="E6" s="112">
        <f xml:space="preserve">  (COUNT(A4:A33) *SUM(C4:C33) - SUM(A4:A33)*SUM(B4:B33) ) / (COUNT(A4:A33)*SUMSQ(A4:A33) - SUM(A4:A33)^2 )</f>
        <v>2.0232558139534884</v>
      </c>
      <c r="F6" s="109">
        <f>IF(D2 &gt; E3, D6+E6*E7, AVERAGE(B4:B33))</f>
        <v>5.7906976744186043</v>
      </c>
      <c r="G6" s="114"/>
      <c r="I6" s="29"/>
      <c r="J6" s="29"/>
      <c r="K6" s="415">
        <f t="shared" si="1"/>
        <v>5.7906976744186043</v>
      </c>
      <c r="L6" s="415">
        <f t="shared" si="2"/>
        <v>0.62520281233098918</v>
      </c>
      <c r="M6" s="29"/>
    </row>
    <row r="7" spans="1:13" ht="15.6" thickBot="1">
      <c r="A7" s="462">
        <v>6</v>
      </c>
      <c r="B7" s="462">
        <v>10</v>
      </c>
      <c r="C7" s="196">
        <f t="shared" si="0"/>
        <v>60</v>
      </c>
      <c r="D7" s="93" t="s">
        <v>94</v>
      </c>
      <c r="E7" s="202">
        <v>4</v>
      </c>
      <c r="F7" s="112">
        <f>E7*E6+D6</f>
        <v>5.7906976744186043</v>
      </c>
      <c r="I7" s="29"/>
      <c r="J7" s="86"/>
      <c r="K7" s="415">
        <f t="shared" si="1"/>
        <v>9.8372093023255811</v>
      </c>
      <c r="L7" s="415">
        <f t="shared" si="2"/>
        <v>2.6500811249324054E-2</v>
      </c>
      <c r="M7" s="193"/>
    </row>
    <row r="8" spans="1:13" ht="15.6" thickBot="1">
      <c r="A8" s="462">
        <v>7</v>
      </c>
      <c r="B8" s="462">
        <v>12</v>
      </c>
      <c r="C8" s="196">
        <f t="shared" si="0"/>
        <v>84</v>
      </c>
      <c r="D8" s="29"/>
      <c r="E8" s="29"/>
      <c r="F8" s="29"/>
      <c r="I8" s="29"/>
      <c r="J8" s="123"/>
      <c r="K8" s="415">
        <f t="shared" si="1"/>
        <v>11.86046511627907</v>
      </c>
      <c r="L8" s="415">
        <f t="shared" si="2"/>
        <v>1.9469983775013591E-2</v>
      </c>
      <c r="M8" s="123"/>
    </row>
    <row r="9" spans="1:13" ht="15.6" thickBot="1">
      <c r="A9" s="462"/>
      <c r="B9" s="462"/>
      <c r="C9" s="412">
        <f t="shared" si="0"/>
        <v>0</v>
      </c>
      <c r="D9" s="653" t="s">
        <v>154</v>
      </c>
      <c r="E9" s="654"/>
      <c r="F9" s="62" t="s">
        <v>160</v>
      </c>
      <c r="G9" s="207"/>
      <c r="I9" s="29"/>
      <c r="J9" s="123"/>
      <c r="K9" s="415">
        <f t="shared" si="1"/>
        <v>0</v>
      </c>
      <c r="L9" s="415">
        <f t="shared" si="2"/>
        <v>0</v>
      </c>
      <c r="M9" s="123"/>
    </row>
    <row r="10" spans="1:13" ht="15.6" thickBot="1">
      <c r="A10" s="454"/>
      <c r="B10" s="454"/>
      <c r="C10" s="412">
        <f t="shared" si="0"/>
        <v>0</v>
      </c>
      <c r="D10" s="659">
        <f>SUM(L4:L17)</f>
        <v>0.79069767441860428</v>
      </c>
      <c r="E10" s="660"/>
      <c r="F10" s="109">
        <f>VLOOKUP(E7,A4:B20,2,FALSE)-F7</f>
        <v>-0.79069767441860428</v>
      </c>
      <c r="G10" s="28"/>
      <c r="I10" s="29"/>
      <c r="J10" s="123"/>
      <c r="K10" s="415">
        <f t="shared" si="1"/>
        <v>0</v>
      </c>
      <c r="L10" s="415">
        <f t="shared" si="2"/>
        <v>0</v>
      </c>
      <c r="M10" s="123"/>
    </row>
    <row r="11" spans="1:13" ht="15.6" thickBot="1">
      <c r="A11" s="454"/>
      <c r="B11" s="454"/>
      <c r="C11" s="196">
        <f t="shared" si="0"/>
        <v>0</v>
      </c>
      <c r="D11" s="203"/>
      <c r="E11" s="203"/>
      <c r="I11" s="29"/>
      <c r="J11" s="123"/>
      <c r="K11" s="415">
        <f t="shared" si="1"/>
        <v>0</v>
      </c>
      <c r="L11" s="415">
        <f t="shared" si="2"/>
        <v>0</v>
      </c>
      <c r="M11" s="123"/>
    </row>
    <row r="12" spans="1:13" ht="15.6" thickBot="1">
      <c r="A12" s="454"/>
      <c r="B12" s="454"/>
      <c r="C12" s="196">
        <f t="shared" si="0"/>
        <v>0</v>
      </c>
      <c r="D12" s="93" t="s">
        <v>35</v>
      </c>
      <c r="E12" s="202">
        <v>10</v>
      </c>
      <c r="F12" s="62" t="s">
        <v>93</v>
      </c>
      <c r="G12" s="129">
        <f>(_xlfn.T.INV((1-(100 -$H$1)/200), E12-2)) / SQRT((_xlfn.T.INV((1-(100 -$H$1)/200), E12-2))^2 + E12-2)</f>
        <v>0.63189686471983386</v>
      </c>
      <c r="I12" s="29"/>
      <c r="J12" s="123"/>
      <c r="K12" s="415">
        <f t="shared" si="1"/>
        <v>0</v>
      </c>
      <c r="L12" s="415">
        <f t="shared" si="2"/>
        <v>0</v>
      </c>
      <c r="M12" s="123"/>
    </row>
    <row r="13" spans="1:13" ht="15.6" thickBot="1">
      <c r="A13" s="454"/>
      <c r="B13" s="454"/>
      <c r="C13" s="196">
        <f t="shared" si="0"/>
        <v>0</v>
      </c>
      <c r="D13" s="204" t="s">
        <v>34</v>
      </c>
      <c r="E13" s="205">
        <v>0.21149999999999999</v>
      </c>
      <c r="I13" s="29"/>
      <c r="J13" s="123"/>
      <c r="K13" s="415">
        <f t="shared" si="1"/>
        <v>0</v>
      </c>
      <c r="L13" s="415">
        <f t="shared" si="2"/>
        <v>0</v>
      </c>
      <c r="M13" s="123"/>
    </row>
    <row r="14" spans="1:13" ht="15.6" thickBot="1">
      <c r="A14" s="453"/>
      <c r="B14" s="453"/>
      <c r="C14" s="196">
        <f t="shared" si="0"/>
        <v>0</v>
      </c>
      <c r="D14" s="29"/>
      <c r="E14" s="68"/>
      <c r="I14" s="29"/>
      <c r="J14" s="29"/>
      <c r="K14" s="415">
        <f t="shared" si="1"/>
        <v>0</v>
      </c>
      <c r="L14" s="415">
        <f t="shared" si="2"/>
        <v>0</v>
      </c>
      <c r="M14" s="29"/>
    </row>
    <row r="15" spans="1:13" ht="15.6" thickBot="1">
      <c r="A15" s="453"/>
      <c r="B15" s="453"/>
      <c r="C15" s="196">
        <f t="shared" si="0"/>
        <v>0</v>
      </c>
      <c r="D15" s="661" t="s">
        <v>48</v>
      </c>
      <c r="E15" s="662"/>
      <c r="I15" s="29"/>
      <c r="J15" s="29"/>
      <c r="K15" s="415">
        <f t="shared" si="1"/>
        <v>0</v>
      </c>
      <c r="L15" s="415">
        <f t="shared" si="2"/>
        <v>0</v>
      </c>
      <c r="M15" s="29"/>
    </row>
    <row r="16" spans="1:13" ht="15.6" thickBot="1">
      <c r="A16" s="453"/>
      <c r="B16" s="453"/>
      <c r="C16" s="196">
        <f t="shared" si="0"/>
        <v>0</v>
      </c>
      <c r="D16" s="209" t="s">
        <v>46</v>
      </c>
      <c r="E16" s="62" t="s">
        <v>47</v>
      </c>
      <c r="F16" s="199"/>
      <c r="I16" s="29"/>
      <c r="J16" s="29"/>
      <c r="K16" s="415">
        <f t="shared" si="1"/>
        <v>0</v>
      </c>
      <c r="L16" s="415">
        <f t="shared" si="2"/>
        <v>0</v>
      </c>
      <c r="M16" s="29"/>
    </row>
    <row r="17" spans="1:13" ht="15.6" thickBot="1">
      <c r="A17" s="453"/>
      <c r="B17" s="453"/>
      <c r="C17" s="196">
        <f t="shared" si="0"/>
        <v>0</v>
      </c>
      <c r="D17" s="425">
        <v>2.097</v>
      </c>
      <c r="E17" s="425">
        <v>-0.20599999999999999</v>
      </c>
      <c r="F17" s="109">
        <f xml:space="preserve"> D17+E17*E18</f>
        <v>1.4790000000000001</v>
      </c>
      <c r="I17" s="29"/>
      <c r="J17" s="29"/>
      <c r="K17" s="415">
        <f t="shared" si="1"/>
        <v>0</v>
      </c>
      <c r="L17" s="415">
        <f t="shared" si="2"/>
        <v>0</v>
      </c>
      <c r="M17" s="29"/>
    </row>
    <row r="18" spans="1:13" ht="15.6" thickBot="1">
      <c r="A18" s="453"/>
      <c r="B18" s="453"/>
      <c r="C18" s="196">
        <f t="shared" si="0"/>
        <v>0</v>
      </c>
      <c r="D18" s="93" t="s">
        <v>94</v>
      </c>
      <c r="E18" s="202">
        <v>3</v>
      </c>
      <c r="F18" s="112"/>
      <c r="K18" s="415">
        <f t="shared" si="1"/>
        <v>0</v>
      </c>
      <c r="L18" s="455">
        <f t="shared" si="2"/>
        <v>0</v>
      </c>
    </row>
    <row r="19" spans="1:13" ht="14.7" thickBot="1">
      <c r="C19" s="196">
        <f t="shared" si="0"/>
        <v>0</v>
      </c>
      <c r="K19" s="448">
        <f>IF(A4="",0,D$21*A4+E$21)</f>
        <v>3.6425000000000001</v>
      </c>
      <c r="L19" s="448">
        <f>(B4-K19)^2</f>
        <v>2.6978062500000002</v>
      </c>
    </row>
    <row r="20" spans="1:13" ht="18" customHeight="1" thickBot="1">
      <c r="C20" s="412">
        <f t="shared" si="0"/>
        <v>0</v>
      </c>
      <c r="D20" s="651" t="s">
        <v>163</v>
      </c>
      <c r="E20" s="652"/>
      <c r="F20" s="650"/>
      <c r="G20" s="650"/>
      <c r="K20" s="448">
        <f t="shared" ref="K20:K30" si="3">IF(A5="",0,D$21*A5+E$21)</f>
        <v>5.7395000000000005</v>
      </c>
      <c r="L20" s="448">
        <f t="shared" ref="L20:L30" si="4">(B5-K20)^2</f>
        <v>3.0258602500000018</v>
      </c>
    </row>
    <row r="21" spans="1:13" ht="18" customHeight="1" thickBot="1">
      <c r="C21" s="412">
        <f t="shared" si="0"/>
        <v>0</v>
      </c>
      <c r="D21" s="408">
        <v>2.097</v>
      </c>
      <c r="E21" s="409">
        <v>-0.55149999999999999</v>
      </c>
      <c r="F21" s="449"/>
      <c r="G21" s="449"/>
      <c r="K21" s="448">
        <f t="shared" si="3"/>
        <v>7.8365</v>
      </c>
      <c r="L21" s="448">
        <f t="shared" si="4"/>
        <v>8.0457322500000004</v>
      </c>
    </row>
    <row r="22" spans="1:13" ht="18" customHeight="1">
      <c r="C22" s="412">
        <f t="shared" si="0"/>
        <v>0</v>
      </c>
      <c r="D22" s="653" t="s">
        <v>154</v>
      </c>
      <c r="E22" s="654"/>
      <c r="F22" s="450"/>
      <c r="G22" s="450"/>
      <c r="K22" s="448">
        <f t="shared" si="3"/>
        <v>12.0305</v>
      </c>
      <c r="L22" s="448">
        <f t="shared" si="4"/>
        <v>4.1229302499999996</v>
      </c>
    </row>
    <row r="23" spans="1:13" ht="18" customHeight="1" thickBot="1">
      <c r="C23" s="412">
        <f t="shared" si="0"/>
        <v>0</v>
      </c>
      <c r="D23" s="655">
        <f>SUM(L19:L30)</f>
        <v>22.41858525</v>
      </c>
      <c r="E23" s="656"/>
      <c r="F23" s="451"/>
      <c r="G23" s="452"/>
      <c r="K23" s="448">
        <f t="shared" si="3"/>
        <v>14.1275</v>
      </c>
      <c r="L23" s="448">
        <f t="shared" si="4"/>
        <v>4.5262562499999976</v>
      </c>
    </row>
    <row r="24" spans="1:13">
      <c r="C24" s="196">
        <f t="shared" si="0"/>
        <v>0</v>
      </c>
      <c r="K24" s="448">
        <f t="shared" si="3"/>
        <v>0</v>
      </c>
      <c r="L24" s="448">
        <f t="shared" si="4"/>
        <v>0</v>
      </c>
    </row>
    <row r="25" spans="1:13">
      <c r="C25" s="196">
        <f t="shared" si="0"/>
        <v>0</v>
      </c>
      <c r="K25" s="448">
        <f t="shared" si="3"/>
        <v>0</v>
      </c>
      <c r="L25" s="448">
        <f t="shared" si="4"/>
        <v>0</v>
      </c>
    </row>
    <row r="26" spans="1:13">
      <c r="C26" s="196">
        <f t="shared" si="0"/>
        <v>0</v>
      </c>
      <c r="K26" s="448">
        <f t="shared" si="3"/>
        <v>0</v>
      </c>
      <c r="L26" s="448">
        <f t="shared" si="4"/>
        <v>0</v>
      </c>
    </row>
    <row r="27" spans="1:13">
      <c r="C27" s="196">
        <f t="shared" si="0"/>
        <v>0</v>
      </c>
      <c r="K27" s="448">
        <f t="shared" si="3"/>
        <v>0</v>
      </c>
      <c r="L27" s="448">
        <f t="shared" si="4"/>
        <v>0</v>
      </c>
    </row>
    <row r="28" spans="1:13">
      <c r="C28" s="196">
        <f t="shared" si="0"/>
        <v>0</v>
      </c>
      <c r="K28" s="448">
        <f t="shared" si="3"/>
        <v>0</v>
      </c>
      <c r="L28" s="448">
        <f t="shared" si="4"/>
        <v>0</v>
      </c>
    </row>
    <row r="29" spans="1:13">
      <c r="C29" s="196">
        <f t="shared" si="0"/>
        <v>0</v>
      </c>
      <c r="K29" s="448">
        <f t="shared" si="3"/>
        <v>0</v>
      </c>
      <c r="L29" s="448">
        <f t="shared" si="4"/>
        <v>0</v>
      </c>
    </row>
    <row r="30" spans="1:13">
      <c r="C30" s="196">
        <f t="shared" si="0"/>
        <v>0</v>
      </c>
      <c r="K30" s="448">
        <f t="shared" si="3"/>
        <v>0</v>
      </c>
      <c r="L30" s="448">
        <f t="shared" si="4"/>
        <v>0</v>
      </c>
    </row>
    <row r="31" spans="1:13">
      <c r="C31" s="196">
        <f t="shared" si="0"/>
        <v>0</v>
      </c>
      <c r="K31" s="448"/>
      <c r="L31" s="448"/>
    </row>
    <row r="32" spans="1:13">
      <c r="C32" s="196">
        <f t="shared" si="0"/>
        <v>0</v>
      </c>
      <c r="K32" s="448"/>
      <c r="L32" s="448"/>
    </row>
    <row r="33" spans="3:12" ht="14.7" thickBot="1">
      <c r="C33" s="206">
        <f t="shared" si="0"/>
        <v>0</v>
      </c>
      <c r="K33" s="414"/>
      <c r="L33" s="414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198120</xdr:colOff>
                <xdr:row>4</xdr:row>
                <xdr:rowOff>7620</xdr:rowOff>
              </from>
              <to>
                <xdr:col>5</xdr:col>
                <xdr:colOff>449580</xdr:colOff>
                <xdr:row>4</xdr:row>
                <xdr:rowOff>175260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198120</xdr:colOff>
                <xdr:row>15</xdr:row>
                <xdr:rowOff>7620</xdr:rowOff>
              </from>
              <to>
                <xdr:col>5</xdr:col>
                <xdr:colOff>449580</xdr:colOff>
                <xdr:row>15</xdr:row>
                <xdr:rowOff>175260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E22" sqref="E22"/>
    </sheetView>
  </sheetViews>
  <sheetFormatPr defaultRowHeight="14.4"/>
  <sheetData>
    <row r="3" spans="1:4" ht="18.600000000000001" thickBot="1">
      <c r="B3" s="24" t="s">
        <v>12</v>
      </c>
      <c r="C3" s="43" t="s">
        <v>19</v>
      </c>
    </row>
    <row r="4" spans="1:4" ht="15.6" thickBot="1">
      <c r="A4" s="39" t="s">
        <v>20</v>
      </c>
      <c r="B4" s="31">
        <v>18</v>
      </c>
      <c r="C4" s="15">
        <f xml:space="preserve"> B4/B$14</f>
        <v>0.36</v>
      </c>
      <c r="D4" s="44">
        <f>C4</f>
        <v>0.36</v>
      </c>
    </row>
    <row r="5" spans="1:4" ht="15.6" thickBot="1">
      <c r="A5" s="40" t="s">
        <v>21</v>
      </c>
      <c r="B5" s="33">
        <v>4</v>
      </c>
      <c r="C5" s="15">
        <f t="shared" ref="C5:C13" si="0" xml:space="preserve"> B5/B$14</f>
        <v>0.08</v>
      </c>
      <c r="D5" s="44">
        <f t="shared" ref="D5:D13" si="1">C5</f>
        <v>0.08</v>
      </c>
    </row>
    <row r="6" spans="1:4" ht="15.6" thickBot="1">
      <c r="A6" s="40" t="s">
        <v>22</v>
      </c>
      <c r="B6" s="33">
        <v>6</v>
      </c>
      <c r="C6" s="15">
        <f t="shared" si="0"/>
        <v>0.12</v>
      </c>
      <c r="D6" s="44">
        <f t="shared" si="1"/>
        <v>0.12</v>
      </c>
    </row>
    <row r="7" spans="1:4" ht="15.6" thickBot="1">
      <c r="A7" s="40" t="s">
        <v>23</v>
      </c>
      <c r="B7" s="33">
        <v>22</v>
      </c>
      <c r="C7" s="15">
        <f t="shared" si="0"/>
        <v>0.44</v>
      </c>
      <c r="D7" s="44">
        <f t="shared" si="1"/>
        <v>0.44</v>
      </c>
    </row>
    <row r="8" spans="1:4" ht="15.6" thickBot="1">
      <c r="A8" s="40"/>
      <c r="B8" s="33"/>
      <c r="C8" s="15">
        <f t="shared" si="0"/>
        <v>0</v>
      </c>
      <c r="D8" s="44">
        <f t="shared" si="1"/>
        <v>0</v>
      </c>
    </row>
    <row r="9" spans="1:4" ht="15.6" thickBot="1">
      <c r="A9" s="40"/>
      <c r="B9" s="41"/>
      <c r="C9" s="15">
        <f t="shared" si="0"/>
        <v>0</v>
      </c>
      <c r="D9" s="44">
        <f t="shared" si="1"/>
        <v>0</v>
      </c>
    </row>
    <row r="10" spans="1:4">
      <c r="C10" s="15">
        <f t="shared" si="0"/>
        <v>0</v>
      </c>
      <c r="D10" s="44">
        <f>C10</f>
        <v>0</v>
      </c>
    </row>
    <row r="11" spans="1:4">
      <c r="C11" s="15">
        <f t="shared" si="0"/>
        <v>0</v>
      </c>
      <c r="D11" s="44">
        <f t="shared" si="1"/>
        <v>0</v>
      </c>
    </row>
    <row r="12" spans="1:4">
      <c r="C12" s="15">
        <f t="shared" si="0"/>
        <v>0</v>
      </c>
      <c r="D12" s="44">
        <f>C12</f>
        <v>0</v>
      </c>
    </row>
    <row r="13" spans="1:4">
      <c r="C13" s="15">
        <f t="shared" si="0"/>
        <v>0</v>
      </c>
      <c r="D13" s="44">
        <f t="shared" si="1"/>
        <v>0</v>
      </c>
    </row>
    <row r="14" spans="1:4">
      <c r="A14" s="12" t="s">
        <v>27</v>
      </c>
      <c r="B14" s="12">
        <f>SUM(B4:B13)</f>
        <v>50</v>
      </c>
      <c r="C14" s="15"/>
      <c r="D14" s="44"/>
    </row>
    <row r="15" spans="1:4">
      <c r="C15" s="15"/>
      <c r="D15" s="44"/>
    </row>
    <row r="16" spans="1:4">
      <c r="C16" s="15"/>
      <c r="D16" s="44"/>
    </row>
    <row r="17" spans="3:4">
      <c r="C17" s="15"/>
      <c r="D17" s="44"/>
    </row>
    <row r="18" spans="3:4">
      <c r="C18" s="15"/>
      <c r="D18" s="44"/>
    </row>
    <row r="19" spans="3:4">
      <c r="C19" s="15"/>
      <c r="D19" s="44"/>
    </row>
    <row r="20" spans="3:4">
      <c r="C20" s="15"/>
      <c r="D20" s="44"/>
    </row>
    <row r="21" spans="3:4">
      <c r="C21" s="15"/>
      <c r="D21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workbookViewId="0">
      <selection activeCell="C11" sqref="C11"/>
    </sheetView>
  </sheetViews>
  <sheetFormatPr defaultRowHeight="14.4"/>
  <cols>
    <col min="1" max="1" width="5.3671875" customWidth="1"/>
    <col min="2" max="8" width="5.62890625" customWidth="1"/>
    <col min="11" max="11" width="12.3671875" customWidth="1"/>
    <col min="12" max="12" width="11.9453125" customWidth="1"/>
  </cols>
  <sheetData>
    <row r="1" spans="2:13" ht="279" customHeight="1">
      <c r="B1" s="25" t="str">
        <f>REPT("*",COUNTIF(A2:A58,A1))</f>
        <v/>
      </c>
      <c r="C1" s="25" t="str">
        <f>REPT("*",COUNTIF('Lecture 1'!$A$4:$A$58,C$2))</f>
        <v/>
      </c>
      <c r="D1" s="25" t="str">
        <f>REPT("*",COUNTIF('Lecture 1'!$A$4:$A$58,D$2))</f>
        <v/>
      </c>
      <c r="E1" s="25" t="str">
        <f>REPT("*",COUNTIF('Lecture 1'!$A$4:$A$58,E$2))</f>
        <v/>
      </c>
      <c r="F1" s="25" t="str">
        <f>REPT("*",COUNTIF('Lecture 1'!$A$4:$A$58,F$2))</f>
        <v/>
      </c>
      <c r="G1" s="25" t="str">
        <f>REPT("*",COUNTIF('Lecture 1'!$A$4:$A$58,G$2))</f>
        <v/>
      </c>
      <c r="H1" s="25" t="str">
        <f>REPT("*",COUNTIF('Lecture 1'!$A$4:$A$58,H$2))</f>
        <v/>
      </c>
    </row>
    <row r="2" spans="2:13" ht="17.399999999999999">
      <c r="B2" s="26">
        <v>0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2:13" ht="15.6" thickBot="1">
      <c r="K3" s="29">
        <v>670</v>
      </c>
      <c r="L3" s="29">
        <v>0</v>
      </c>
      <c r="M3" s="29">
        <v>0</v>
      </c>
    </row>
    <row r="4" spans="2:13" ht="15.6" thickBot="1">
      <c r="K4" s="30">
        <v>675</v>
      </c>
      <c r="L4" s="31">
        <v>2</v>
      </c>
      <c r="M4" s="31">
        <v>4.3999999999999997E-2</v>
      </c>
    </row>
    <row r="5" spans="2:13" ht="15.6" thickBot="1">
      <c r="K5" s="32">
        <v>685</v>
      </c>
      <c r="L5" s="33">
        <v>0</v>
      </c>
      <c r="M5" s="33">
        <v>0</v>
      </c>
    </row>
    <row r="6" spans="2:13" ht="15.6" thickBot="1">
      <c r="K6" s="32">
        <v>695</v>
      </c>
      <c r="L6" s="33">
        <v>7</v>
      </c>
      <c r="M6" s="34">
        <v>0.15659999999999999</v>
      </c>
    </row>
    <row r="7" spans="2:13" ht="15.6" thickBot="1">
      <c r="K7" s="32">
        <v>705</v>
      </c>
      <c r="L7" s="33">
        <v>9</v>
      </c>
      <c r="M7" s="34">
        <v>0.2</v>
      </c>
    </row>
    <row r="8" spans="2:13" ht="15.6" thickBot="1">
      <c r="B8" s="27"/>
      <c r="C8" s="27"/>
      <c r="D8" s="27"/>
      <c r="E8" s="27"/>
      <c r="F8" s="27"/>
      <c r="G8" s="27"/>
      <c r="H8" s="27"/>
      <c r="I8" s="27"/>
      <c r="K8" s="32">
        <v>715</v>
      </c>
      <c r="L8" s="33">
        <v>9</v>
      </c>
      <c r="M8" s="34">
        <v>0.2</v>
      </c>
    </row>
    <row r="9" spans="2:13" ht="15.6" thickBot="1">
      <c r="B9" s="27"/>
      <c r="C9" s="27"/>
      <c r="D9" s="27"/>
      <c r="E9" s="27"/>
      <c r="F9" s="27"/>
      <c r="G9" s="27"/>
      <c r="H9" s="27"/>
      <c r="I9" s="27"/>
      <c r="K9" s="32">
        <v>725</v>
      </c>
      <c r="L9" s="33">
        <v>11</v>
      </c>
      <c r="M9" s="34">
        <v>0.24399999999999999</v>
      </c>
    </row>
    <row r="10" spans="2:13" ht="15.6" thickBot="1">
      <c r="B10" s="27"/>
      <c r="C10" s="27"/>
      <c r="D10" s="27"/>
      <c r="E10" s="27"/>
      <c r="F10" s="27"/>
      <c r="G10" s="27"/>
      <c r="H10" s="27"/>
      <c r="I10" s="27"/>
      <c r="K10" s="32">
        <v>735</v>
      </c>
      <c r="L10" s="33">
        <v>7</v>
      </c>
      <c r="M10" s="34">
        <v>0.15659999999999999</v>
      </c>
    </row>
    <row r="11" spans="2:13" ht="15.3">
      <c r="B11" s="27"/>
      <c r="C11" s="27"/>
      <c r="D11" s="27"/>
      <c r="E11" s="27"/>
      <c r="F11" s="27"/>
      <c r="G11" s="27"/>
      <c r="H11" s="27"/>
      <c r="I11" s="27"/>
      <c r="K11" s="35">
        <v>740</v>
      </c>
      <c r="L11" s="36">
        <v>0</v>
      </c>
      <c r="M11" s="37">
        <v>0</v>
      </c>
    </row>
    <row r="12" spans="2:13" ht="15">
      <c r="B12" s="27"/>
      <c r="C12" s="27"/>
      <c r="D12" s="27"/>
      <c r="E12" s="27"/>
      <c r="F12" s="27"/>
      <c r="G12" s="27"/>
      <c r="H12" s="27"/>
      <c r="I12" s="27"/>
    </row>
    <row r="15" spans="2:13" ht="15">
      <c r="B15" s="27"/>
    </row>
    <row r="16" spans="2:13" ht="15">
      <c r="B16" s="27"/>
    </row>
    <row r="17" spans="2:12" ht="15">
      <c r="B17" s="27"/>
    </row>
    <row r="18" spans="2:12" ht="15">
      <c r="B18" s="27"/>
    </row>
    <row r="19" spans="2:12" ht="15">
      <c r="B19" s="27"/>
    </row>
    <row r="20" spans="2:12" ht="15">
      <c r="B20" s="27"/>
      <c r="K20" s="663" t="s">
        <v>13</v>
      </c>
      <c r="L20" s="663"/>
    </row>
    <row r="21" spans="2:12" ht="15">
      <c r="B21" s="27"/>
      <c r="K21" s="38" t="s">
        <v>14</v>
      </c>
      <c r="L21" s="38" t="s">
        <v>15</v>
      </c>
    </row>
    <row r="22" spans="2:12" ht="28.8">
      <c r="B22" s="28"/>
      <c r="K22" s="38" t="s">
        <v>16</v>
      </c>
      <c r="L22" s="38">
        <v>9</v>
      </c>
    </row>
    <row r="23" spans="2:12">
      <c r="K23" s="38" t="s">
        <v>17</v>
      </c>
      <c r="L23" s="38">
        <v>23</v>
      </c>
    </row>
    <row r="24" spans="2:12" ht="28.8">
      <c r="K24" s="38" t="s">
        <v>18</v>
      </c>
      <c r="L24" s="38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2020-09-08T16:00:32Z</dcterms:modified>
</cp:coreProperties>
</file>