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F16" i="1" l="1"/>
  <c r="G18" i="1" s="1"/>
  <c r="H16" i="1"/>
  <c r="G16" i="1" l="1"/>
  <c r="AD9" i="9" l="1"/>
  <c r="AD10" i="9"/>
  <c r="AD11" i="9"/>
  <c r="AD12" i="9"/>
  <c r="AD13" i="9"/>
  <c r="AD14" i="9"/>
  <c r="Y12" i="9"/>
  <c r="D16" i="9" l="1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R5" i="9" l="1"/>
  <c r="AD5" i="9" s="1"/>
  <c r="R4" i="9"/>
  <c r="AD4" i="9" s="1"/>
  <c r="R6" i="9"/>
  <c r="AD6" i="9" s="1"/>
  <c r="R7" i="9"/>
  <c r="AD7" i="9" s="1"/>
  <c r="R8" i="9"/>
  <c r="AD8" i="9" s="1"/>
  <c r="AA5" i="9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W9" i="9" l="1"/>
  <c r="J6" i="1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U7" i="9" l="1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E16" i="1"/>
  <c r="G24" i="1" l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E1" i="4" l="1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<sst xmlns="http://schemas.openxmlformats.org/spreadsheetml/2006/main" count="373" uniqueCount="179">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</sst>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4" fillId="0" borderId="0"/>
    <xf numFmtId="0" fontId="75" fillId="0" borderId="0"/>
    <xf numFmtId="0" fontId="76" fillId="0" borderId="0"/>
    <xf numFmtId="0" fontId="78" fillId="0" borderId="0"/>
    <xf numFmtId="0" fontId="79" fillId="0" borderId="0"/>
  </cellStyleXfs>
  <cellXfs count="56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6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59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3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59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0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69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164" fontId="72" fillId="0" borderId="0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1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2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2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2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 wrapText="1"/>
    </xf>
    <xf numFmtId="164" fontId="72" fillId="0" borderId="8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4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7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4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74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4" fillId="0" borderId="6" xfId="1" applyNumberFormat="1" applyFont="1" applyBorder="1"/>
    <xf numFmtId="0" fontId="79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4" fillId="0" borderId="6" xfId="1" applyNumberFormat="1" applyFont="1" applyBorder="1"/>
    <xf numFmtId="0" fontId="79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2" fillId="0" borderId="7" xfId="0" applyFont="1" applyBorder="1" applyAlignment="1">
      <alignment horizontal="center" vertical="center"/>
    </xf>
    <xf numFmtId="0" fontId="74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8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2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  <xf numFmtId="0" fontId="74" fillId="0" borderId="6" xfId="1" applyNumberFormat="1" applyFont="1" applyBorder="1"/>
    <xf numFmtId="2" fontId="8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9" fillId="0" borderId="0" xfId="0" applyNumberFormat="1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5824"/>
        <c:axId val="283062352"/>
      </c:scatterChart>
      <c:valAx>
        <c:axId val="2830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62352"/>
        <c:crosses val="autoZero"/>
        <c:crossBetween val="midCat"/>
      </c:valAx>
      <c:valAx>
        <c:axId val="2830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29096"/>
        <c:axId val="282729480"/>
      </c:barChart>
      <c:catAx>
        <c:axId val="28272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480"/>
        <c:crosses val="autoZero"/>
        <c:auto val="1"/>
        <c:lblAlgn val="ctr"/>
        <c:lblOffset val="100"/>
        <c:noMultiLvlLbl val="0"/>
      </c:catAx>
      <c:valAx>
        <c:axId val="2827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13504"/>
        <c:axId val="282313888"/>
      </c:lineChart>
      <c:catAx>
        <c:axId val="2823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888"/>
        <c:crosses val="autoZero"/>
        <c:auto val="1"/>
        <c:lblAlgn val="ctr"/>
        <c:lblOffset val="100"/>
        <c:noMultiLvlLbl val="0"/>
      </c:catAx>
      <c:valAx>
        <c:axId val="282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07480"/>
        <c:axId val="282307864"/>
      </c:lineChart>
      <c:catAx>
        <c:axId val="28230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864"/>
        <c:crosses val="autoZero"/>
        <c:auto val="1"/>
        <c:lblAlgn val="ctr"/>
        <c:lblOffset val="100"/>
        <c:noMultiLvlLbl val="0"/>
      </c:catAx>
      <c:valAx>
        <c:axId val="282307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89264"/>
        <c:axId val="283371096"/>
      </c:barChart>
      <c:catAx>
        <c:axId val="28248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1096"/>
        <c:crosses val="autoZero"/>
        <c:auto val="1"/>
        <c:lblAlgn val="ctr"/>
        <c:lblOffset val="100"/>
        <c:noMultiLvlLbl val="0"/>
      </c:catAx>
      <c:valAx>
        <c:axId val="2833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219075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85725</xdr:colOff>
          <xdr:row>5</xdr:row>
          <xdr:rowOff>9525</xdr:rowOff>
        </xdr:from>
        <xdr:to>
          <xdr:col>21</xdr:col>
          <xdr:colOff>228600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428625</xdr:colOff>
          <xdr:row>10</xdr:row>
          <xdr:rowOff>219075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abSelected="1" zoomScale="110" zoomScaleNormal="110" workbookViewId="0">
      <selection activeCell="F12" sqref="F12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10</v>
      </c>
      <c r="E2" s="529" t="s">
        <v>3</v>
      </c>
      <c r="F2" s="530"/>
      <c r="G2" s="531" t="s">
        <v>4</v>
      </c>
      <c r="H2" s="532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56"/>
      <c r="C4" s="456"/>
      <c r="D4" s="5"/>
      <c r="E4" s="20">
        <f>IF(B5="","",AVERAGE(B5:B60))</f>
        <v>298.7</v>
      </c>
      <c r="F4" s="19">
        <f>MEDIAN(B5:B60)</f>
        <v>265</v>
      </c>
      <c r="G4" s="20">
        <f>IF(C5="","",AVERAGE(C5:C60))</f>
        <v>70.333333333333329</v>
      </c>
      <c r="H4" s="19">
        <f>MEDIAN(C5:C60)</f>
        <v>67</v>
      </c>
      <c r="J4" s="417" t="s">
        <v>12</v>
      </c>
      <c r="K4" s="450"/>
      <c r="L4" s="23"/>
      <c r="M4" s="17" t="s">
        <v>7</v>
      </c>
      <c r="N4" s="17" t="s">
        <v>8</v>
      </c>
      <c r="O4" s="459"/>
      <c r="P4" s="459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527">
        <v>147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4">
        <f>SUM(J6:J16)</f>
        <v>87.95</v>
      </c>
      <c r="K5" s="449" t="s">
        <v>163</v>
      </c>
      <c r="M5">
        <v>1</v>
      </c>
      <c r="N5">
        <v>2</v>
      </c>
      <c r="O5" s="61">
        <f>SUM(M5:N5)/2</f>
        <v>1.5</v>
      </c>
      <c r="P5" s="458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527">
        <v>150</v>
      </c>
      <c r="C6" s="3">
        <v>65</v>
      </c>
      <c r="D6" s="5"/>
      <c r="E6" s="20">
        <f>_xlfn.STDEV.S(B5:B60)</f>
        <v>146.52572773710727</v>
      </c>
      <c r="F6" s="21">
        <f>E6^2</f>
        <v>21469.788888888888</v>
      </c>
      <c r="G6" s="20">
        <f>_xlfn.STDEV.S(C5:C60)</f>
        <v>7.5718777944003657</v>
      </c>
      <c r="H6" s="21">
        <f>G6^2</f>
        <v>57.33333333333335</v>
      </c>
      <c r="J6" s="442">
        <f>0.15*100</f>
        <v>15</v>
      </c>
      <c r="K6" s="447">
        <f>IF(J6="","",J6/J$5)</f>
        <v>0.17055144968732233</v>
      </c>
      <c r="M6">
        <v>3</v>
      </c>
      <c r="O6" s="61">
        <f>O5+M$6-M$5</f>
        <v>3.5</v>
      </c>
      <c r="P6" s="458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527">
        <v>180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41">
        <f>0.2*89</f>
        <v>17.8</v>
      </c>
      <c r="K7" s="447">
        <f t="shared" ref="K7:K14" si="2">IF(J7="","",J7/J$5)</f>
        <v>0.20238772029562252</v>
      </c>
      <c r="O7" s="61">
        <f t="shared" ref="O7:O18" si="3">O6+M$6-M$5</f>
        <v>5.5</v>
      </c>
      <c r="P7" s="458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527">
        <v>189</v>
      </c>
      <c r="C8" s="3"/>
      <c r="D8" s="5"/>
      <c r="E8" s="466">
        <f>_xlfn.STDEV.P(B5:B60)</f>
        <v>139.00651063889057</v>
      </c>
      <c r="F8" s="21">
        <f>E8^2</f>
        <v>19322.809999999998</v>
      </c>
      <c r="G8" s="466">
        <f>_xlfn.STDEV.P(C5:C60)</f>
        <v>6.1824123303304699</v>
      </c>
      <c r="H8" s="21">
        <f>G8^2</f>
        <v>38.222222222222229</v>
      </c>
      <c r="I8" s="7"/>
      <c r="J8" s="441">
        <f>0.5*86</f>
        <v>43</v>
      </c>
      <c r="K8" s="447">
        <f t="shared" si="2"/>
        <v>0.48891415577032404</v>
      </c>
      <c r="L8" s="7"/>
      <c r="M8" s="7"/>
      <c r="O8" s="61">
        <f t="shared" si="3"/>
        <v>7.5</v>
      </c>
      <c r="P8" s="458">
        <v>5</v>
      </c>
      <c r="Q8" s="12">
        <f t="shared" si="0"/>
        <v>281.25</v>
      </c>
      <c r="R8" s="5">
        <f t="shared" si="1"/>
        <v>37.5</v>
      </c>
    </row>
    <row r="9" spans="2:20" ht="15.75">
      <c r="B9" s="527">
        <v>210</v>
      </c>
      <c r="C9" s="3"/>
      <c r="D9" s="5"/>
      <c r="E9" s="9" t="s">
        <v>24</v>
      </c>
      <c r="G9" s="10" t="s">
        <v>24</v>
      </c>
      <c r="H9" s="24"/>
      <c r="J9" s="441">
        <f>0.15*81</f>
        <v>12.15</v>
      </c>
      <c r="K9" s="447">
        <f t="shared" si="2"/>
        <v>0.1381466742467311</v>
      </c>
      <c r="O9" s="61">
        <f t="shared" si="3"/>
        <v>9.5</v>
      </c>
      <c r="P9" s="458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527">
        <v>320</v>
      </c>
      <c r="C10" s="3"/>
      <c r="D10" s="5"/>
      <c r="E10" s="64">
        <f>E6/E4</f>
        <v>0.49054478653199624</v>
      </c>
      <c r="G10" s="65">
        <f>G6/G4</f>
        <v>0.10765703025213791</v>
      </c>
      <c r="H10" s="22"/>
      <c r="J10" s="441"/>
      <c r="K10" s="447" t="str">
        <f t="shared" si="2"/>
        <v/>
      </c>
      <c r="O10" s="61">
        <f t="shared" si="3"/>
        <v>11.5</v>
      </c>
      <c r="P10" s="458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527">
        <v>375</v>
      </c>
      <c r="C11" s="3"/>
      <c r="D11" s="5"/>
      <c r="E11" s="257" t="s">
        <v>108</v>
      </c>
      <c r="F11" s="245">
        <v>49.1</v>
      </c>
      <c r="G11" s="118"/>
      <c r="H11" s="118"/>
      <c r="J11" s="441"/>
      <c r="K11" s="447" t="str">
        <f t="shared" si="2"/>
        <v/>
      </c>
      <c r="O11" s="61">
        <f t="shared" si="3"/>
        <v>13.5</v>
      </c>
      <c r="P11" s="458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527">
        <v>407</v>
      </c>
      <c r="C12" s="3"/>
      <c r="D12" s="5"/>
      <c r="E12" s="244" t="s">
        <v>97</v>
      </c>
      <c r="F12" s="564">
        <f>(F11-E4)/(E6)</f>
        <v>-1.7034551123187456</v>
      </c>
      <c r="G12" s="29"/>
      <c r="H12" s="119"/>
      <c r="J12" s="441"/>
      <c r="K12" s="447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527">
        <v>429</v>
      </c>
      <c r="C13" s="3"/>
      <c r="D13" s="5"/>
      <c r="E13" s="118"/>
      <c r="F13" s="110"/>
      <c r="G13" s="110"/>
      <c r="H13" s="120"/>
      <c r="J13" s="446"/>
      <c r="K13" s="447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527">
        <v>580</v>
      </c>
      <c r="C14" s="3"/>
      <c r="D14" s="5"/>
      <c r="J14" s="446"/>
      <c r="K14" s="447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527"/>
      <c r="C15" s="3"/>
      <c r="D15" s="5"/>
      <c r="E15" s="251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527"/>
      <c r="C16" s="3"/>
      <c r="D16" s="5"/>
      <c r="E16" s="252">
        <f>MIN(B5:B60)</f>
        <v>147</v>
      </c>
      <c r="F16" s="55">
        <f>IF(ISEVEN(ROUNDDOWN(COUNT(B5:B60)/2,0)),AVERAGE(SMALL(B5:B60,ROUNDDOWN(COUNT(B5:B60)/2,0)/2),SMALL(B5:B60,ROUNDDOWN(COUNT(B5:B60)/2,0)/2+1)),SMALL(B5:B60,ROUNDUP(ROUNDDOWN(COUNT(B5:B60)/2,0)/2,0)))</f>
        <v>180</v>
      </c>
      <c r="G16" s="55">
        <f>QUARTILE($B$5:$B$60, 2)</f>
        <v>265</v>
      </c>
      <c r="H16" s="55">
        <f>IF(ISEVEN(ROUNDDOWN(COUNT(B5:B60)/2,0)),AVERAGE(LARGE(B5:B60,ROUNDDOWN(COUNT(B5:B60)/2,0)/2),LARGE(B5:B60,ROUNDDOWN(COUNT(B5:B60)/2,0)/2+1)),LARGE(B5:B60,ROUNDUP(ROUNDDOWN(COUNT(B5:B60)/2,0)/2,0)))</f>
        <v>407</v>
      </c>
      <c r="I16" s="248">
        <f>MAX(B5:B60)</f>
        <v>580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527"/>
      <c r="C17" s="3"/>
      <c r="D17" s="5"/>
      <c r="E17" s="253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527"/>
      <c r="C18" s="3"/>
      <c r="D18" s="5"/>
      <c r="E18" s="254">
        <v>75</v>
      </c>
      <c r="F18" s="59">
        <f xml:space="preserve">  INDEX(B5:B260, $E$26) + (INDEX(B5:B60, 1+ $E$26) -INDEX(B5:B60, $E$26))*E25</f>
        <v>391</v>
      </c>
      <c r="G18" s="247">
        <f>H16-F16</f>
        <v>227</v>
      </c>
      <c r="H18" s="246">
        <f>F16-1.5*G18</f>
        <v>-160.5</v>
      </c>
      <c r="I18" s="246">
        <f>H16+1.5*G18</f>
        <v>747.5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527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527"/>
      <c r="C20" s="3"/>
      <c r="D20" s="5"/>
      <c r="E20" s="255" t="s">
        <v>39</v>
      </c>
      <c r="F20" s="250">
        <v>0.9</v>
      </c>
      <c r="G20" s="220" t="s">
        <v>43</v>
      </c>
      <c r="J20"/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527"/>
      <c r="C21" s="3"/>
      <c r="D21" s="5"/>
      <c r="E21" s="255" t="s">
        <v>41</v>
      </c>
      <c r="F21" s="250">
        <v>0.84</v>
      </c>
      <c r="G21" s="249">
        <f xml:space="preserve"> (F20-F21)/F22</f>
        <v>1.0000000000000009</v>
      </c>
      <c r="J21"/>
      <c r="K21" s="455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527"/>
      <c r="C22" s="3"/>
      <c r="D22" s="5"/>
      <c r="E22" s="255" t="s">
        <v>42</v>
      </c>
      <c r="F22" s="250">
        <v>0.06</v>
      </c>
      <c r="G22" s="94"/>
      <c r="I22" s="528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527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5.75" customHeight="1">
      <c r="B24" s="483"/>
      <c r="C24" s="3"/>
      <c r="D24" s="5"/>
      <c r="E24" s="57">
        <f>E18*B2/100</f>
        <v>7.5</v>
      </c>
      <c r="F24" s="47"/>
      <c r="G24" s="48">
        <f>529.1+1.5*256.3</f>
        <v>913.55000000000007</v>
      </c>
      <c r="H24" s="467"/>
      <c r="O24" s="56"/>
      <c r="P24" s="52"/>
      <c r="Q24" s="29"/>
      <c r="R24" s="5">
        <f t="shared" si="1"/>
        <v>0</v>
      </c>
    </row>
    <row r="25" spans="2:18" ht="15.75">
      <c r="B25" s="527"/>
      <c r="C25" s="3"/>
      <c r="D25" s="5"/>
      <c r="E25" s="58">
        <f>E24 - INT(E24)</f>
        <v>0.5</v>
      </c>
      <c r="F25" s="49"/>
      <c r="G25" s="50"/>
      <c r="H25" s="467"/>
      <c r="O25" s="56"/>
      <c r="P25" s="52"/>
      <c r="Q25" s="29"/>
      <c r="R25" s="5">
        <f t="shared" si="1"/>
        <v>0</v>
      </c>
    </row>
    <row r="26" spans="2:18" ht="16.5" thickBot="1">
      <c r="B26" s="527"/>
      <c r="C26" s="3"/>
      <c r="D26" s="5"/>
      <c r="E26" s="58">
        <f>E24-E25</f>
        <v>7</v>
      </c>
      <c r="F26" s="49"/>
      <c r="G26" s="50"/>
      <c r="H26" s="467"/>
      <c r="O26" s="56"/>
      <c r="P26" s="52"/>
      <c r="Q26" s="29"/>
      <c r="R26" s="6">
        <f t="shared" ref="R26" si="4">O26*P26</f>
        <v>0</v>
      </c>
    </row>
    <row r="27" spans="2:18" ht="15.75" customHeight="1">
      <c r="B27" s="527"/>
      <c r="C27" s="3"/>
      <c r="D27" s="5"/>
      <c r="E27" s="46"/>
      <c r="F27" s="49"/>
      <c r="G27" s="50"/>
      <c r="H27" s="467"/>
    </row>
    <row r="28" spans="2:18" ht="15.75">
      <c r="B28" s="527"/>
      <c r="C28" s="3"/>
      <c r="D28" s="5"/>
      <c r="E28" s="46"/>
      <c r="F28" s="49"/>
      <c r="G28" s="50"/>
      <c r="H28" s="467"/>
    </row>
    <row r="29" spans="2:18" ht="15.75">
      <c r="B29" s="527"/>
      <c r="C29" s="3"/>
      <c r="D29" s="5"/>
      <c r="E29" s="46"/>
      <c r="F29" s="49"/>
      <c r="G29" s="50"/>
      <c r="H29" s="467"/>
    </row>
    <row r="30" spans="2:18" ht="16.5" thickBot="1">
      <c r="B30" s="483"/>
      <c r="D30" s="6"/>
      <c r="E30" s="46"/>
      <c r="F30" s="49"/>
      <c r="G30" s="50"/>
      <c r="H30" s="467"/>
    </row>
    <row r="31" spans="2:18">
      <c r="B31" s="483"/>
      <c r="D31" s="5"/>
      <c r="E31" s="29"/>
      <c r="F31" s="29"/>
      <c r="G31" s="29"/>
      <c r="H31" s="467"/>
    </row>
    <row r="32" spans="2:18">
      <c r="B32" s="483"/>
      <c r="D32" s="5"/>
      <c r="H32" s="468"/>
    </row>
    <row r="33" spans="2:6">
      <c r="B33" s="483"/>
      <c r="D33" s="5"/>
    </row>
    <row r="34" spans="2:6">
      <c r="B34" s="483"/>
      <c r="D34" s="5"/>
    </row>
    <row r="35" spans="2:6" ht="15.75" thickBot="1">
      <c r="B35" s="483"/>
      <c r="D35" s="6"/>
    </row>
    <row r="36" spans="2:6">
      <c r="B36" s="483"/>
    </row>
    <row r="37" spans="2:6">
      <c r="B37" s="483"/>
    </row>
    <row r="38" spans="2:6">
      <c r="B38" s="483"/>
    </row>
    <row r="39" spans="2:6">
      <c r="B39" s="483"/>
    </row>
    <row r="40" spans="2:6">
      <c r="B40" s="483"/>
    </row>
    <row r="41" spans="2:6">
      <c r="B41" s="483"/>
    </row>
    <row r="42" spans="2:6" ht="15.75">
      <c r="B42" s="483"/>
      <c r="E42" s="46"/>
      <c r="F42" s="43"/>
    </row>
    <row r="43" spans="2:6" ht="15.75">
      <c r="B43" s="483"/>
      <c r="E43" s="46"/>
      <c r="F43" s="43"/>
    </row>
    <row r="44" spans="2:6" ht="15.75">
      <c r="B44" s="483"/>
      <c r="E44" s="46"/>
      <c r="F44" s="43"/>
    </row>
    <row r="45" spans="2:6" ht="15.75">
      <c r="B45" s="483"/>
      <c r="E45" s="46"/>
      <c r="F45" s="43"/>
    </row>
    <row r="46" spans="2:6" ht="15.75">
      <c r="B46" s="483"/>
      <c r="E46" s="46"/>
      <c r="F46" s="43"/>
    </row>
    <row r="47" spans="2:6" ht="15.75">
      <c r="B47" s="483"/>
      <c r="E47" s="46"/>
      <c r="F47" s="43"/>
    </row>
    <row r="48" spans="2:6">
      <c r="B48" s="483"/>
    </row>
    <row r="49" spans="2:2">
      <c r="B49" s="483"/>
    </row>
    <row r="50" spans="2:2">
      <c r="B50" s="483"/>
    </row>
    <row r="51" spans="2:2">
      <c r="B51" s="483"/>
    </row>
    <row r="52" spans="2:2">
      <c r="B52" s="483"/>
    </row>
    <row r="53" spans="2:2">
      <c r="B53" s="483"/>
    </row>
    <row r="54" spans="2:2">
      <c r="B54" s="483"/>
    </row>
  </sheetData>
  <sortState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8" t="s">
        <v>36</v>
      </c>
      <c r="L1" s="259" t="s">
        <v>37</v>
      </c>
      <c r="M1" s="260" t="s">
        <v>38</v>
      </c>
      <c r="N1" s="66"/>
      <c r="O1" s="66"/>
      <c r="V1" s="68" t="s">
        <v>124</v>
      </c>
    </row>
    <row r="2" spans="1:24" ht="16.5" thickBot="1">
      <c r="A2" s="66"/>
      <c r="B2" s="486">
        <v>0</v>
      </c>
      <c r="C2" s="486">
        <v>0.28000000000000003</v>
      </c>
      <c r="D2" s="426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1"/>
      <c r="I2" s="68" t="s">
        <v>34</v>
      </c>
      <c r="J2" s="76">
        <v>3</v>
      </c>
      <c r="K2" s="267">
        <f>PERMUT(J3,J2)</f>
        <v>120</v>
      </c>
      <c r="L2" s="268">
        <f>COMBIN(J3,J2)</f>
        <v>20</v>
      </c>
      <c r="M2" s="269">
        <f>FACT(J3)</f>
        <v>720</v>
      </c>
      <c r="N2" s="66"/>
      <c r="O2" s="66"/>
      <c r="Q2" s="417" t="s">
        <v>30</v>
      </c>
      <c r="R2" s="70" t="s">
        <v>154</v>
      </c>
      <c r="S2" s="70" t="s">
        <v>155</v>
      </c>
      <c r="T2" s="100" t="s">
        <v>153</v>
      </c>
      <c r="V2" s="483">
        <v>10</v>
      </c>
      <c r="W2" s="487" t="s">
        <v>32</v>
      </c>
      <c r="X2" s="71">
        <f>AVERAGE(V2:V111)</f>
        <v>3.09</v>
      </c>
    </row>
    <row r="3" spans="1:24" ht="16.5" thickBot="1">
      <c r="A3" s="66"/>
      <c r="B3" s="486">
        <v>1</v>
      </c>
      <c r="C3" s="486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1"/>
      <c r="I3" s="68" t="s">
        <v>35</v>
      </c>
      <c r="J3" s="76">
        <v>6</v>
      </c>
      <c r="K3" s="94"/>
      <c r="L3" s="94"/>
      <c r="M3" s="94"/>
      <c r="N3" s="66"/>
      <c r="O3" s="66"/>
      <c r="Q3" s="418">
        <v>1</v>
      </c>
      <c r="R3" s="419">
        <v>38</v>
      </c>
      <c r="S3" s="420">
        <v>245</v>
      </c>
      <c r="T3" s="425">
        <f>S3*Q3/R3+S4*Q4/R4 + IF(R5 =0,R5=1, S5*Q5/R5)</f>
        <v>-0.36842105263157876</v>
      </c>
      <c r="V3" s="483">
        <v>10</v>
      </c>
      <c r="W3" s="488" t="s">
        <v>33</v>
      </c>
      <c r="X3" s="73">
        <f>_xlfn.STDEV.S(V2:V110)</f>
        <v>1.8537158968576135</v>
      </c>
    </row>
    <row r="4" spans="1:24" ht="16.5" thickBot="1">
      <c r="A4" s="66"/>
      <c r="B4" s="486">
        <v>2</v>
      </c>
      <c r="C4" s="486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1"/>
      <c r="I4" s="67"/>
      <c r="J4" s="76"/>
      <c r="K4" s="95"/>
      <c r="L4" s="95"/>
      <c r="M4" s="95"/>
      <c r="N4" s="66"/>
      <c r="O4" s="66"/>
      <c r="Q4" s="421">
        <v>37</v>
      </c>
      <c r="R4" s="250">
        <v>38</v>
      </c>
      <c r="S4" s="422">
        <v>-7</v>
      </c>
      <c r="T4" s="75"/>
      <c r="V4" s="483">
        <v>9</v>
      </c>
      <c r="W4" s="283"/>
    </row>
    <row r="5" spans="1:24" ht="16.5" thickBot="1">
      <c r="A5" s="66"/>
      <c r="B5" s="486">
        <v>3</v>
      </c>
      <c r="C5" s="486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1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1"/>
      <c r="R5" s="250"/>
      <c r="S5" s="422"/>
      <c r="T5" s="75"/>
      <c r="V5" s="483">
        <v>8</v>
      </c>
    </row>
    <row r="6" spans="1:24" ht="16.5" thickBot="1">
      <c r="A6" s="66"/>
      <c r="B6" s="486">
        <v>5</v>
      </c>
      <c r="C6" s="486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1"/>
      <c r="I6" s="67" t="s">
        <v>40</v>
      </c>
      <c r="J6" s="272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81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6"/>
      <c r="Q6" s="423"/>
      <c r="R6" s="490" t="s">
        <v>168</v>
      </c>
      <c r="S6" s="424">
        <v>1000</v>
      </c>
      <c r="T6" s="489">
        <f>T3*S6</f>
        <v>-368.42105263157873</v>
      </c>
      <c r="V6" s="483">
        <v>7</v>
      </c>
    </row>
    <row r="7" spans="1:24" ht="18" thickBot="1">
      <c r="A7" s="66"/>
      <c r="B7" s="486"/>
      <c r="C7" s="486"/>
      <c r="D7" s="106">
        <f t="shared" si="0"/>
        <v>0</v>
      </c>
      <c r="E7" s="85">
        <f>B7*C7</f>
        <v>0</v>
      </c>
      <c r="F7" s="66"/>
      <c r="G7" s="66">
        <v>4</v>
      </c>
      <c r="H7" s="261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82" t="s">
        <v>167</v>
      </c>
      <c r="O7" s="198" t="s">
        <v>166</v>
      </c>
      <c r="V7" s="483">
        <v>7</v>
      </c>
    </row>
    <row r="8" spans="1:24" ht="16.5" thickBot="1">
      <c r="A8" s="66"/>
      <c r="B8" s="77"/>
      <c r="C8" s="478"/>
      <c r="D8" s="106">
        <f t="shared" si="0"/>
        <v>0</v>
      </c>
      <c r="E8" s="85">
        <f t="shared" si="1"/>
        <v>0</v>
      </c>
      <c r="F8" s="465">
        <f>B2*C2+B3*C3+B4*C4</f>
        <v>0.56000000000000005</v>
      </c>
      <c r="G8" s="66"/>
      <c r="H8" s="261"/>
      <c r="I8" s="67" t="s">
        <v>106</v>
      </c>
      <c r="J8" s="76">
        <v>37</v>
      </c>
      <c r="K8" s="480">
        <f>J5*J6</f>
        <v>31.5</v>
      </c>
      <c r="L8" s="320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83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1"/>
      <c r="I9" s="75"/>
      <c r="J9" s="75"/>
      <c r="K9" s="94"/>
      <c r="L9" s="66"/>
      <c r="M9" s="66"/>
      <c r="N9" s="479"/>
      <c r="O9" s="66"/>
      <c r="T9" s="477"/>
      <c r="V9" s="483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1"/>
      <c r="I10" s="68"/>
      <c r="J10" s="76"/>
      <c r="K10" s="94"/>
      <c r="L10" s="94"/>
      <c r="M10" s="94"/>
      <c r="N10" s="66"/>
      <c r="O10" s="66"/>
      <c r="V10" s="483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17" t="s">
        <v>12</v>
      </c>
      <c r="G11" s="450"/>
      <c r="H11" s="261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83">
        <v>5</v>
      </c>
    </row>
    <row r="12" spans="1:24" ht="16.5" thickBot="1">
      <c r="A12" s="66"/>
      <c r="B12" s="69"/>
      <c r="C12" s="69"/>
      <c r="D12" s="106"/>
      <c r="E12" s="85"/>
      <c r="F12" s="448">
        <f>SUM(F13:F28)</f>
        <v>100</v>
      </c>
      <c r="G12" s="449" t="s">
        <v>163</v>
      </c>
      <c r="H12" s="261"/>
      <c r="I12" s="67" t="s">
        <v>41</v>
      </c>
      <c r="J12" s="76">
        <v>57</v>
      </c>
      <c r="K12" s="265">
        <f xml:space="preserve"> (J11-J12)/J13</f>
        <v>0.25</v>
      </c>
      <c r="L12" s="266">
        <f xml:space="preserve"> _xlfn.NORM.DIST(J11,J12,J13, TRUE)</f>
        <v>0.5987063256829237</v>
      </c>
      <c r="M12" s="266">
        <f>1-L12</f>
        <v>0.4012936743170763</v>
      </c>
      <c r="N12" s="156">
        <f>_xlfn.NORM.DIST(J14,J12, J13, TRUE)-L12</f>
        <v>-6.5499573830301472E-2</v>
      </c>
      <c r="O12" s="66"/>
      <c r="V12" s="483">
        <v>5</v>
      </c>
    </row>
    <row r="13" spans="1:24" ht="15.75">
      <c r="A13" s="66"/>
      <c r="B13" s="94"/>
      <c r="C13" s="94"/>
      <c r="D13" s="106"/>
      <c r="E13" s="443"/>
      <c r="F13" s="483">
        <v>12</v>
      </c>
      <c r="G13" s="484">
        <f>IF(F13="","",F13/F$12)</f>
        <v>0.12</v>
      </c>
      <c r="H13" s="261"/>
      <c r="I13" s="67" t="s">
        <v>42</v>
      </c>
      <c r="J13" s="76">
        <v>12</v>
      </c>
      <c r="K13" s="94"/>
      <c r="L13" s="94"/>
      <c r="M13" s="91"/>
      <c r="N13" s="66"/>
      <c r="O13" s="66"/>
      <c r="V13" s="483">
        <v>5</v>
      </c>
    </row>
    <row r="14" spans="1:24" ht="15.75">
      <c r="A14" s="66"/>
      <c r="B14" s="69"/>
      <c r="C14" s="460"/>
      <c r="D14" s="106"/>
      <c r="E14" s="443"/>
      <c r="F14" s="483">
        <v>33</v>
      </c>
      <c r="G14" s="485">
        <f t="shared" ref="G14:G24" si="2">IF(F14="","",F14/F$12)</f>
        <v>0.33</v>
      </c>
      <c r="H14" s="261"/>
      <c r="I14" s="67" t="s">
        <v>106</v>
      </c>
      <c r="J14" s="76">
        <v>58</v>
      </c>
      <c r="K14" s="94"/>
      <c r="L14" s="94"/>
      <c r="M14" s="91"/>
      <c r="N14" s="66"/>
      <c r="O14" s="66"/>
      <c r="V14" s="483">
        <v>5</v>
      </c>
    </row>
    <row r="15" spans="1:24" ht="16.5" thickBot="1">
      <c r="A15" s="66"/>
      <c r="B15" s="69"/>
      <c r="C15" s="462"/>
      <c r="D15" s="107"/>
      <c r="E15" s="444"/>
      <c r="F15" s="483">
        <v>29</v>
      </c>
      <c r="G15" s="485">
        <f t="shared" si="2"/>
        <v>0.28999999999999998</v>
      </c>
      <c r="H15" s="261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3">
        <v>5</v>
      </c>
    </row>
    <row r="16" spans="1:24" ht="16.5" thickBot="1">
      <c r="A16" s="66"/>
      <c r="B16" s="66"/>
      <c r="C16" s="461"/>
      <c r="D16" s="79"/>
      <c r="E16" s="79"/>
      <c r="F16" s="483">
        <v>11</v>
      </c>
      <c r="G16" s="485">
        <f t="shared" si="2"/>
        <v>0.11</v>
      </c>
      <c r="H16" s="261"/>
      <c r="I16" s="87"/>
      <c r="J16" s="88"/>
      <c r="K16" s="70" t="s">
        <v>44</v>
      </c>
      <c r="L16" s="70" t="s">
        <v>51</v>
      </c>
      <c r="M16" s="492" t="s">
        <v>173</v>
      </c>
      <c r="N16" s="493" t="s">
        <v>172</v>
      </c>
      <c r="O16" s="66"/>
      <c r="V16" s="483">
        <v>5</v>
      </c>
    </row>
    <row r="17" spans="1:22" ht="16.5" thickBot="1">
      <c r="A17" s="66"/>
      <c r="B17" s="66"/>
      <c r="C17" s="75"/>
      <c r="D17" s="79"/>
      <c r="E17" s="79"/>
      <c r="F17" s="463">
        <v>6</v>
      </c>
      <c r="G17" s="445">
        <f t="shared" si="2"/>
        <v>0.06</v>
      </c>
      <c r="H17" s="261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3">
        <v>4</v>
      </c>
    </row>
    <row r="18" spans="1:22" ht="20.25" thickBot="1">
      <c r="C18" s="29"/>
      <c r="D18" s="80"/>
      <c r="E18" s="80"/>
      <c r="F18" s="463">
        <v>2</v>
      </c>
      <c r="G18" s="445">
        <f t="shared" si="2"/>
        <v>0.02</v>
      </c>
      <c r="H18" s="262"/>
      <c r="I18" s="212" t="s">
        <v>169</v>
      </c>
      <c r="J18" s="213">
        <v>1.4</v>
      </c>
      <c r="K18" s="271" t="s">
        <v>43</v>
      </c>
      <c r="M18" s="256"/>
      <c r="O18" s="66"/>
      <c r="V18" s="483">
        <v>4</v>
      </c>
    </row>
    <row r="19" spans="1:22" ht="16.5" thickBot="1">
      <c r="C19" s="29"/>
      <c r="D19" s="80"/>
      <c r="E19" s="80"/>
      <c r="F19" s="464">
        <v>3</v>
      </c>
      <c r="G19" s="445">
        <f t="shared" si="2"/>
        <v>0.03</v>
      </c>
      <c r="H19" s="262"/>
      <c r="I19" s="491" t="s">
        <v>44</v>
      </c>
      <c r="J19" s="97">
        <v>0.11</v>
      </c>
      <c r="K19" s="340">
        <f>_xlfn.NORM.S.INV(J19)</f>
        <v>-1.2265281200366105</v>
      </c>
      <c r="O19" s="66"/>
      <c r="V19" s="483">
        <v>4</v>
      </c>
    </row>
    <row r="20" spans="1:22" ht="16.5" customHeight="1">
      <c r="C20" s="29"/>
      <c r="D20" s="80"/>
      <c r="E20" s="80"/>
      <c r="F20" s="464">
        <v>1</v>
      </c>
      <c r="G20" s="445">
        <f t="shared" si="2"/>
        <v>0.01</v>
      </c>
      <c r="H20" s="262"/>
      <c r="I20" s="67" t="s">
        <v>41</v>
      </c>
      <c r="J20" s="76">
        <v>2.2000000000000002</v>
      </c>
      <c r="K20" s="263" t="s">
        <v>109</v>
      </c>
      <c r="O20" s="66"/>
      <c r="V20" s="483">
        <v>4</v>
      </c>
    </row>
    <row r="21" spans="1:22" ht="16.5" thickBot="1">
      <c r="C21" s="29"/>
      <c r="D21" s="80"/>
      <c r="E21" s="80"/>
      <c r="F21" s="464">
        <v>1</v>
      </c>
      <c r="G21" s="445">
        <f t="shared" si="2"/>
        <v>0.01</v>
      </c>
      <c r="H21" s="262"/>
      <c r="I21" s="67" t="s">
        <v>42</v>
      </c>
      <c r="J21" s="76">
        <v>1.31</v>
      </c>
      <c r="K21" s="264">
        <f>K19*J21+J20</f>
        <v>0.59324816275204029</v>
      </c>
      <c r="O21" s="66"/>
      <c r="V21" s="483">
        <v>4</v>
      </c>
    </row>
    <row r="22" spans="1:22">
      <c r="C22" s="29"/>
      <c r="D22" s="80"/>
      <c r="E22" s="80"/>
      <c r="F22" s="464">
        <v>2</v>
      </c>
      <c r="G22" s="445">
        <f t="shared" si="2"/>
        <v>0.02</v>
      </c>
      <c r="H22" s="262"/>
      <c r="O22" s="66"/>
      <c r="V22" s="483">
        <v>4</v>
      </c>
    </row>
    <row r="23" spans="1:22" ht="15.75" thickBot="1">
      <c r="C23" s="29"/>
      <c r="D23" s="80"/>
      <c r="E23" s="80"/>
      <c r="F23" s="464"/>
      <c r="G23" s="445" t="str">
        <f t="shared" si="2"/>
        <v/>
      </c>
      <c r="H23" s="262"/>
      <c r="J23" s="533"/>
      <c r="K23" s="533"/>
      <c r="O23" s="66"/>
      <c r="V23" s="483">
        <v>4</v>
      </c>
    </row>
    <row r="24" spans="1:22" ht="16.5" thickBot="1">
      <c r="C24" s="29"/>
      <c r="D24" s="80"/>
      <c r="E24" s="80"/>
      <c r="F24" s="464"/>
      <c r="G24" s="445" t="str">
        <f t="shared" si="2"/>
        <v/>
      </c>
      <c r="H24" s="262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3">
        <v>4</v>
      </c>
    </row>
    <row r="25" spans="1:22" ht="16.5" thickBot="1">
      <c r="C25" s="29"/>
      <c r="D25" s="80"/>
      <c r="E25" s="80"/>
      <c r="F25" s="81"/>
      <c r="H25" s="262"/>
      <c r="I25" s="67" t="s">
        <v>41</v>
      </c>
      <c r="J25" s="76">
        <v>0</v>
      </c>
      <c r="K25" s="265">
        <f xml:space="preserve"> (J24-J25)/K27</f>
        <v>2.7306357613906034</v>
      </c>
      <c r="L25" s="266">
        <f xml:space="preserve">  _xlfn.NORM.S.DIST(K25,TRUE)</f>
        <v>0.99683938542026707</v>
      </c>
      <c r="M25" s="96">
        <f>1-L25</f>
        <v>3.1606145797329344E-3</v>
      </c>
      <c r="V25" s="483">
        <v>4</v>
      </c>
    </row>
    <row r="26" spans="1:22" ht="16.5" thickBot="1">
      <c r="C26" s="29"/>
      <c r="D26" s="80"/>
      <c r="E26" s="80"/>
      <c r="F26" s="81"/>
      <c r="H26" s="262"/>
      <c r="I26" s="67" t="s">
        <v>42</v>
      </c>
      <c r="J26" s="76">
        <v>1.88</v>
      </c>
      <c r="K26" s="100" t="s">
        <v>53</v>
      </c>
      <c r="L26" s="94"/>
      <c r="M26" s="91"/>
      <c r="V26" s="483">
        <v>4</v>
      </c>
    </row>
    <row r="27" spans="1:22" ht="18" thickBot="1">
      <c r="C27" s="29"/>
      <c r="D27" s="80"/>
      <c r="E27" s="80"/>
      <c r="F27" s="81"/>
      <c r="H27" s="262"/>
      <c r="I27" s="98" t="s">
        <v>52</v>
      </c>
      <c r="J27" s="99">
        <v>18</v>
      </c>
      <c r="K27" s="130">
        <f>J26/SQRT(J27)</f>
        <v>0.44312024954356982</v>
      </c>
      <c r="V27" s="483">
        <v>4</v>
      </c>
    </row>
    <row r="28" spans="1:22">
      <c r="C28" s="29"/>
      <c r="D28" s="80"/>
      <c r="E28" s="80"/>
      <c r="F28" s="81"/>
      <c r="H28" s="262"/>
      <c r="V28" s="483">
        <v>3</v>
      </c>
    </row>
    <row r="29" spans="1:22">
      <c r="C29" s="29"/>
      <c r="D29" s="80"/>
      <c r="E29" s="80"/>
      <c r="F29" s="81"/>
      <c r="H29" s="262"/>
      <c r="V29" s="483">
        <v>3</v>
      </c>
    </row>
    <row r="30" spans="1:22">
      <c r="C30" s="29"/>
      <c r="D30" s="80"/>
      <c r="E30" s="80"/>
      <c r="F30" s="81"/>
      <c r="V30" s="483">
        <v>3</v>
      </c>
    </row>
    <row r="31" spans="1:22">
      <c r="C31" s="29"/>
      <c r="D31" s="80"/>
      <c r="E31" s="80"/>
      <c r="F31" s="81"/>
      <c r="V31" s="483">
        <v>3</v>
      </c>
    </row>
    <row r="32" spans="1:22">
      <c r="C32" s="29"/>
      <c r="D32" s="80"/>
      <c r="E32" s="80"/>
      <c r="F32" s="81"/>
      <c r="V32" s="483">
        <v>3</v>
      </c>
    </row>
    <row r="33" spans="3:22">
      <c r="C33" s="29"/>
      <c r="D33" s="80"/>
      <c r="E33" s="80"/>
      <c r="F33" s="81"/>
      <c r="V33" s="483">
        <v>3</v>
      </c>
    </row>
    <row r="34" spans="3:22">
      <c r="C34" s="29"/>
      <c r="D34" s="80"/>
      <c r="E34" s="80"/>
      <c r="F34" s="81"/>
      <c r="V34" s="483">
        <v>3</v>
      </c>
    </row>
    <row r="35" spans="3:22">
      <c r="C35" s="29"/>
      <c r="D35" s="80"/>
      <c r="E35" s="80"/>
      <c r="F35" s="81"/>
      <c r="V35" s="483">
        <v>3</v>
      </c>
    </row>
    <row r="36" spans="3:22">
      <c r="C36" s="29"/>
      <c r="D36" s="80"/>
      <c r="E36" s="80"/>
      <c r="F36" s="81"/>
      <c r="V36" s="483">
        <v>3</v>
      </c>
    </row>
    <row r="37" spans="3:22">
      <c r="C37" s="29"/>
      <c r="D37" s="80"/>
      <c r="E37" s="80"/>
      <c r="F37" s="81"/>
      <c r="V37" s="483">
        <v>3</v>
      </c>
    </row>
    <row r="38" spans="3:22">
      <c r="C38" s="29"/>
      <c r="D38" s="80"/>
      <c r="E38" s="80"/>
      <c r="F38" s="81"/>
      <c r="V38" s="483">
        <v>3</v>
      </c>
    </row>
    <row r="39" spans="3:22">
      <c r="C39" s="29"/>
      <c r="D39" s="80"/>
      <c r="E39" s="80"/>
      <c r="F39" s="81"/>
      <c r="V39" s="483">
        <v>3</v>
      </c>
    </row>
    <row r="40" spans="3:22">
      <c r="C40" s="29"/>
      <c r="D40" s="80"/>
      <c r="E40" s="80"/>
      <c r="F40" s="81"/>
      <c r="V40" s="483">
        <v>3</v>
      </c>
    </row>
    <row r="41" spans="3:22">
      <c r="C41" s="29"/>
      <c r="D41" s="80"/>
      <c r="E41" s="80"/>
      <c r="F41" s="81"/>
      <c r="V41" s="483">
        <v>3</v>
      </c>
    </row>
    <row r="42" spans="3:22">
      <c r="C42" s="29"/>
      <c r="D42" s="80"/>
      <c r="E42" s="80"/>
      <c r="F42" s="81"/>
      <c r="V42" s="483">
        <v>3</v>
      </c>
    </row>
    <row r="43" spans="3:22">
      <c r="C43" s="29"/>
      <c r="D43" s="80"/>
      <c r="E43" s="80"/>
      <c r="F43" s="81"/>
      <c r="V43" s="483">
        <v>3</v>
      </c>
    </row>
    <row r="44" spans="3:22">
      <c r="C44" s="29"/>
      <c r="D44" s="80"/>
      <c r="E44" s="80"/>
      <c r="F44" s="81"/>
      <c r="V44" s="483">
        <v>3</v>
      </c>
    </row>
    <row r="45" spans="3:22">
      <c r="C45" s="29"/>
      <c r="D45" s="80"/>
      <c r="E45" s="80"/>
      <c r="F45" s="81"/>
      <c r="V45" s="483">
        <v>3</v>
      </c>
    </row>
    <row r="46" spans="3:22">
      <c r="C46" s="29"/>
      <c r="D46" s="80"/>
      <c r="E46" s="80"/>
      <c r="F46" s="81"/>
      <c r="V46" s="483">
        <v>3</v>
      </c>
    </row>
    <row r="47" spans="3:22">
      <c r="C47" s="29"/>
      <c r="D47" s="80"/>
      <c r="E47" s="80"/>
      <c r="F47" s="81"/>
      <c r="V47" s="483">
        <v>3</v>
      </c>
    </row>
    <row r="48" spans="3:22">
      <c r="C48" s="29"/>
      <c r="D48" s="80"/>
      <c r="E48" s="80"/>
      <c r="F48" s="81"/>
      <c r="V48" s="483">
        <v>3</v>
      </c>
    </row>
    <row r="49" spans="3:22">
      <c r="C49" s="29"/>
      <c r="D49" s="80"/>
      <c r="E49" s="80"/>
      <c r="F49" s="81"/>
      <c r="V49" s="483">
        <v>3</v>
      </c>
    </row>
    <row r="50" spans="3:22">
      <c r="C50" s="29"/>
      <c r="D50" s="80"/>
      <c r="E50" s="80"/>
      <c r="F50" s="81"/>
      <c r="V50" s="483">
        <v>3</v>
      </c>
    </row>
    <row r="51" spans="3:22">
      <c r="C51" s="29"/>
      <c r="D51" s="80"/>
      <c r="E51" s="80"/>
      <c r="F51" s="81"/>
      <c r="V51" s="483">
        <v>3</v>
      </c>
    </row>
    <row r="52" spans="3:22">
      <c r="C52" s="29"/>
      <c r="D52" s="80"/>
      <c r="E52" s="80"/>
      <c r="F52" s="81"/>
      <c r="V52" s="483">
        <v>3</v>
      </c>
    </row>
    <row r="53" spans="3:22">
      <c r="C53" s="29"/>
      <c r="D53" s="80"/>
      <c r="E53" s="80"/>
      <c r="F53" s="81"/>
      <c r="V53" s="483">
        <v>3</v>
      </c>
    </row>
    <row r="54" spans="3:22">
      <c r="C54" s="29"/>
      <c r="D54" s="80"/>
      <c r="E54" s="80"/>
      <c r="F54" s="81"/>
      <c r="V54" s="483">
        <v>3</v>
      </c>
    </row>
    <row r="55" spans="3:22">
      <c r="C55" s="29"/>
      <c r="D55" s="80"/>
      <c r="E55" s="80"/>
      <c r="F55" s="81"/>
      <c r="V55" s="483">
        <v>3</v>
      </c>
    </row>
    <row r="56" spans="3:22">
      <c r="V56" s="483">
        <v>3</v>
      </c>
    </row>
    <row r="57" spans="3:22">
      <c r="V57" s="483">
        <v>2</v>
      </c>
    </row>
    <row r="58" spans="3:22">
      <c r="V58" s="483">
        <v>2</v>
      </c>
    </row>
    <row r="59" spans="3:22">
      <c r="V59" s="483">
        <v>2</v>
      </c>
    </row>
    <row r="60" spans="3:22">
      <c r="V60" s="483">
        <v>2</v>
      </c>
    </row>
    <row r="61" spans="3:22">
      <c r="V61" s="483">
        <v>2</v>
      </c>
    </row>
    <row r="62" spans="3:22">
      <c r="V62" s="483">
        <v>2</v>
      </c>
    </row>
    <row r="63" spans="3:22">
      <c r="V63" s="483">
        <v>2</v>
      </c>
    </row>
    <row r="64" spans="3:22">
      <c r="V64" s="483">
        <v>2</v>
      </c>
    </row>
    <row r="65" spans="22:22">
      <c r="V65" s="483">
        <v>2</v>
      </c>
    </row>
    <row r="66" spans="22:22">
      <c r="V66" s="483">
        <v>2</v>
      </c>
    </row>
    <row r="67" spans="22:22">
      <c r="V67" s="483">
        <v>2</v>
      </c>
    </row>
    <row r="68" spans="22:22">
      <c r="V68" s="483">
        <v>2</v>
      </c>
    </row>
    <row r="69" spans="22:22">
      <c r="V69" s="483">
        <v>2</v>
      </c>
    </row>
    <row r="70" spans="22:22">
      <c r="V70" s="483">
        <v>2</v>
      </c>
    </row>
    <row r="71" spans="22:22">
      <c r="V71" s="483">
        <v>2</v>
      </c>
    </row>
    <row r="72" spans="22:22">
      <c r="V72" s="483">
        <v>2</v>
      </c>
    </row>
    <row r="73" spans="22:22">
      <c r="V73" s="483">
        <v>2</v>
      </c>
    </row>
    <row r="74" spans="22:22">
      <c r="V74" s="483">
        <v>2</v>
      </c>
    </row>
    <row r="75" spans="22:22">
      <c r="V75" s="483">
        <v>2</v>
      </c>
    </row>
    <row r="76" spans="22:22">
      <c r="V76" s="483">
        <v>2</v>
      </c>
    </row>
    <row r="77" spans="22:22">
      <c r="V77" s="483">
        <v>2</v>
      </c>
    </row>
    <row r="78" spans="22:22">
      <c r="V78" s="483">
        <v>2</v>
      </c>
    </row>
    <row r="79" spans="22:22">
      <c r="V79" s="483">
        <v>2</v>
      </c>
    </row>
    <row r="80" spans="22:22">
      <c r="V80" s="483">
        <v>2</v>
      </c>
    </row>
    <row r="81" spans="22:22">
      <c r="V81" s="483">
        <v>2</v>
      </c>
    </row>
    <row r="82" spans="22:22">
      <c r="V82" s="483">
        <v>2</v>
      </c>
    </row>
    <row r="83" spans="22:22">
      <c r="V83" s="483">
        <v>2</v>
      </c>
    </row>
    <row r="84" spans="22:22">
      <c r="V84" s="483">
        <v>2</v>
      </c>
    </row>
    <row r="85" spans="22:22">
      <c r="V85" s="483">
        <v>2</v>
      </c>
    </row>
    <row r="86" spans="22:22">
      <c r="V86" s="483">
        <v>2</v>
      </c>
    </row>
    <row r="87" spans="22:22">
      <c r="V87" s="483">
        <v>2</v>
      </c>
    </row>
    <row r="88" spans="22:22">
      <c r="V88" s="483">
        <v>2</v>
      </c>
    </row>
    <row r="89" spans="22:22">
      <c r="V89" s="483">
        <v>2</v>
      </c>
    </row>
    <row r="90" spans="22:22">
      <c r="V90" s="483">
        <v>1</v>
      </c>
    </row>
    <row r="91" spans="22:22">
      <c r="V91" s="483">
        <v>1</v>
      </c>
    </row>
    <row r="92" spans="22:22">
      <c r="V92" s="483">
        <v>1</v>
      </c>
    </row>
    <row r="93" spans="22:22">
      <c r="V93" s="483">
        <v>1</v>
      </c>
    </row>
    <row r="94" spans="22:22">
      <c r="V94" s="483">
        <v>1</v>
      </c>
    </row>
    <row r="95" spans="22:22">
      <c r="V95" s="483">
        <v>1</v>
      </c>
    </row>
    <row r="96" spans="22:22">
      <c r="V96" s="483">
        <v>1</v>
      </c>
    </row>
    <row r="97" spans="22:22">
      <c r="V97" s="483">
        <v>1</v>
      </c>
    </row>
    <row r="98" spans="22:22">
      <c r="V98" s="483">
        <v>1</v>
      </c>
    </row>
    <row r="99" spans="22:22">
      <c r="V99" s="483">
        <v>1</v>
      </c>
    </row>
    <row r="100" spans="22:22">
      <c r="V100" s="483">
        <v>1</v>
      </c>
    </row>
    <row r="101" spans="22:22">
      <c r="V101" s="483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Q1" zoomScale="110" zoomScaleNormal="110" workbookViewId="0">
      <selection activeCell="W5" sqref="W5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0" t="s">
        <v>31</v>
      </c>
      <c r="C1" s="105"/>
      <c r="D1" s="84"/>
      <c r="E1" s="66"/>
      <c r="F1" s="66"/>
      <c r="K1" s="351" t="s">
        <v>56</v>
      </c>
      <c r="L1" s="352">
        <v>95</v>
      </c>
      <c r="N1" s="302"/>
      <c r="U1" s="336"/>
    </row>
    <row r="2" spans="1:27" ht="16.5" thickBot="1">
      <c r="A2" s="497">
        <v>0</v>
      </c>
      <c r="B2" s="497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8">
        <f>SUM(D2:D6)</f>
        <v>1.3689999999999998</v>
      </c>
      <c r="G2" s="355" t="s">
        <v>41</v>
      </c>
      <c r="H2" s="356">
        <v>0</v>
      </c>
      <c r="I2" s="100" t="s">
        <v>110</v>
      </c>
      <c r="J2" s="124">
        <f>H2</f>
        <v>0</v>
      </c>
      <c r="K2" s="357"/>
      <c r="L2" s="343"/>
      <c r="N2" s="303"/>
      <c r="O2" s="66"/>
      <c r="P2" s="66"/>
      <c r="Q2" s="66"/>
      <c r="R2" s="66"/>
      <c r="U2" s="337"/>
      <c r="X2" s="140"/>
    </row>
    <row r="3" spans="1:27" ht="16.5" thickBot="1">
      <c r="A3" s="497">
        <v>1</v>
      </c>
      <c r="B3" s="497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49">
        <f>SUM(C2:C6)</f>
        <v>0.9738859019999998</v>
      </c>
      <c r="G3" s="358" t="s">
        <v>42</v>
      </c>
      <c r="H3" s="359">
        <v>1.88</v>
      </c>
      <c r="I3" s="100" t="s">
        <v>53</v>
      </c>
      <c r="J3" s="121">
        <f>H3/SQRT(H4)</f>
        <v>0.44312024954356982</v>
      </c>
      <c r="K3" s="29"/>
      <c r="L3" s="313"/>
      <c r="N3" s="303"/>
      <c r="O3" s="291" t="s">
        <v>102</v>
      </c>
      <c r="P3" s="74">
        <v>0.155</v>
      </c>
      <c r="Q3" s="160"/>
      <c r="R3" s="294">
        <f>(P3+P4)/2</f>
        <v>0.26</v>
      </c>
      <c r="U3" s="337"/>
      <c r="V3" s="94"/>
      <c r="W3" s="76">
        <v>0.1</v>
      </c>
      <c r="X3" s="121"/>
      <c r="Y3" s="121"/>
      <c r="Z3" s="126"/>
    </row>
    <row r="4" spans="1:27" ht="18" thickBot="1">
      <c r="A4" s="497">
        <v>2</v>
      </c>
      <c r="B4" s="497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0">
        <f>SQRT(F3)</f>
        <v>0.98685657620547873</v>
      </c>
      <c r="G4" s="360" t="s">
        <v>52</v>
      </c>
      <c r="H4" s="287">
        <v>18</v>
      </c>
      <c r="I4" s="185"/>
      <c r="J4" s="431">
        <f>SQRT(H6*(1-H6)/H4)</f>
        <v>9.7638790105845391E-2</v>
      </c>
      <c r="K4" s="285"/>
      <c r="L4" s="273">
        <f>H6</f>
        <v>0.78</v>
      </c>
      <c r="N4" s="328"/>
      <c r="O4" s="291" t="s">
        <v>103</v>
      </c>
      <c r="P4" s="74">
        <v>0.36499999999999999</v>
      </c>
      <c r="Q4" s="293" t="s">
        <v>119</v>
      </c>
      <c r="R4" s="270">
        <f>(P4-P3)/2</f>
        <v>0.105</v>
      </c>
      <c r="U4" s="337"/>
      <c r="V4" s="339" t="s">
        <v>122</v>
      </c>
      <c r="W4" s="76">
        <v>239</v>
      </c>
      <c r="X4" s="304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8" thickBot="1">
      <c r="A5" s="497">
        <v>3</v>
      </c>
      <c r="B5" s="497">
        <v>6.9000000000000006E-2</v>
      </c>
      <c r="C5" s="106"/>
      <c r="D5" s="85">
        <f t="shared" si="1"/>
        <v>0.20700000000000002</v>
      </c>
      <c r="E5" s="432">
        <f>A2*B2+A3*B3</f>
        <v>7.3999999999999996E-2</v>
      </c>
      <c r="F5" s="218"/>
      <c r="G5" s="360" t="s">
        <v>116</v>
      </c>
      <c r="H5" s="287">
        <v>20000</v>
      </c>
      <c r="I5" s="284" t="s">
        <v>117</v>
      </c>
      <c r="J5" s="286">
        <f>H4*H6*(1-H6)</f>
        <v>3.0888</v>
      </c>
      <c r="K5" s="282" t="s">
        <v>118</v>
      </c>
      <c r="L5" s="182">
        <f>H4/H5</f>
        <v>8.9999999999999998E-4</v>
      </c>
      <c r="N5" s="329"/>
      <c r="O5" s="292" t="s">
        <v>52</v>
      </c>
      <c r="P5" s="74">
        <v>1500</v>
      </c>
      <c r="Q5" s="282" t="s">
        <v>39</v>
      </c>
      <c r="R5" s="295">
        <f>P5*R3</f>
        <v>390</v>
      </c>
      <c r="U5" s="337"/>
      <c r="V5" s="326" t="s">
        <v>125</v>
      </c>
      <c r="W5" s="235">
        <v>2.9</v>
      </c>
      <c r="X5" s="159"/>
      <c r="Z5" s="121">
        <f>_xlfn.CHISQ.INV.RT(W3/ 2,W4)</f>
        <v>276.06241732878874</v>
      </c>
      <c r="AA5" s="2"/>
    </row>
    <row r="6" spans="1:27" ht="20.25" thickBot="1">
      <c r="A6" s="497">
        <v>4</v>
      </c>
      <c r="B6" s="497">
        <v>0.14899999999999999</v>
      </c>
      <c r="C6" s="106"/>
      <c r="D6" s="85">
        <f t="shared" si="1"/>
        <v>0.59599999999999997</v>
      </c>
      <c r="E6" s="283"/>
      <c r="F6" s="218"/>
      <c r="G6" s="360" t="s">
        <v>115</v>
      </c>
      <c r="H6" s="287">
        <v>0.78</v>
      </c>
      <c r="I6" s="168" t="s">
        <v>158</v>
      </c>
      <c r="J6" s="377">
        <f>ROUND(H8/H6, 0)</f>
        <v>2</v>
      </c>
      <c r="K6" s="168" t="s">
        <v>157</v>
      </c>
      <c r="L6" s="124">
        <f>ROUND(10/(H6*(1-H6)),0)</f>
        <v>58</v>
      </c>
      <c r="N6" s="329"/>
      <c r="O6" s="66"/>
      <c r="P6" s="66"/>
      <c r="Q6" s="66"/>
      <c r="R6" s="66"/>
      <c r="U6" s="337"/>
      <c r="V6" s="68"/>
      <c r="W6" s="235"/>
      <c r="X6" s="340">
        <f>(W7-1)*W5^2 / W8^2</f>
        <v>45.992187499999993</v>
      </c>
    </row>
    <row r="7" spans="1:27" ht="20.25" thickBot="1">
      <c r="A7" s="308"/>
      <c r="B7" s="311" t="s">
        <v>124</v>
      </c>
      <c r="C7" s="310"/>
      <c r="D7" s="85"/>
      <c r="E7" s="153" t="s">
        <v>0</v>
      </c>
      <c r="F7" s="66"/>
      <c r="G7" s="358" t="s">
        <v>111</v>
      </c>
      <c r="H7" s="300">
        <v>81</v>
      </c>
      <c r="I7" s="282" t="s">
        <v>42</v>
      </c>
      <c r="J7" s="273">
        <f>H7*SQRT(H4)</f>
        <v>343.65389565666209</v>
      </c>
      <c r="K7" s="29"/>
      <c r="L7" s="313"/>
      <c r="N7" s="329"/>
      <c r="O7" s="178"/>
      <c r="P7" s="144">
        <v>0.56000000000000005</v>
      </c>
      <c r="Q7" s="297" t="s">
        <v>72</v>
      </c>
      <c r="R7" s="298">
        <f>P7*(1-P7)* ((_xlfn.NORM.S.INV(1- (100-L1)/200))/P8)^2</f>
        <v>1051.7060593544802</v>
      </c>
      <c r="U7" s="337"/>
      <c r="V7" s="127" t="s">
        <v>60</v>
      </c>
      <c r="W7" s="235">
        <v>15</v>
      </c>
      <c r="X7" s="538" t="s">
        <v>65</v>
      </c>
      <c r="Y7" s="539"/>
      <c r="Z7" s="540"/>
    </row>
    <row r="8" spans="1:27" ht="18" customHeight="1" thickBot="1">
      <c r="A8" s="279"/>
      <c r="B8" s="309"/>
      <c r="C8" s="310"/>
      <c r="D8" s="85"/>
      <c r="E8" s="155">
        <f>IF(B9="","",AVERAGE(B9:B30))</f>
        <v>0.15580000000000002</v>
      </c>
      <c r="F8" s="66"/>
      <c r="G8" s="358" t="s">
        <v>39</v>
      </c>
      <c r="H8" s="287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29"/>
      <c r="O8" s="325" t="s">
        <v>63</v>
      </c>
      <c r="P8" s="97">
        <v>0.03</v>
      </c>
      <c r="Q8" s="299" t="s">
        <v>121</v>
      </c>
      <c r="R8" s="298">
        <f>0.25* ((_xlfn.NORM.S.INV(1- (100-L$1)/200))/P8)^2</f>
        <v>1067.0718946372567</v>
      </c>
      <c r="U8" s="337"/>
      <c r="V8" s="280" t="s">
        <v>42</v>
      </c>
      <c r="W8" s="74">
        <v>1.6</v>
      </c>
      <c r="X8" s="341" t="s">
        <v>134</v>
      </c>
      <c r="Y8" s="344" t="s">
        <v>133</v>
      </c>
      <c r="Z8" s="346"/>
    </row>
    <row r="9" spans="1:27" ht="16.5" thickBot="1">
      <c r="A9" s="279"/>
      <c r="B9" s="498">
        <v>6.5000000000000002E-2</v>
      </c>
      <c r="C9" s="310"/>
      <c r="D9" s="85"/>
      <c r="E9" s="153" t="s">
        <v>2</v>
      </c>
      <c r="F9" s="66"/>
      <c r="G9" s="361" t="s">
        <v>106</v>
      </c>
      <c r="H9" s="288">
        <v>83.75</v>
      </c>
      <c r="I9" s="276">
        <f>ROUND((H8-H2)/H3,2)</f>
        <v>0.64</v>
      </c>
      <c r="J9" s="277">
        <f xml:space="preserve"> _xlfn.NORM.DIST(H8,H2,H3, TRUE)</f>
        <v>0.74008809504644812</v>
      </c>
      <c r="K9" s="277">
        <f>1-J9</f>
        <v>0.25991190495355188</v>
      </c>
      <c r="L9" s="278">
        <f>_xlfn.NORM.DIST(H9,H2, H3, TRUE)-J9</f>
        <v>0.25991190495355188</v>
      </c>
      <c r="N9" s="329"/>
      <c r="O9" s="94"/>
      <c r="P9" s="76">
        <v>0.01</v>
      </c>
      <c r="Q9" s="157" t="s">
        <v>67</v>
      </c>
      <c r="R9" s="140"/>
      <c r="U9" s="337"/>
      <c r="X9" s="186">
        <f>CHIDIST(X6,W7-1)</f>
        <v>2.8119835991838909E-5</v>
      </c>
      <c r="Y9" s="345">
        <f>1-X9</f>
        <v>0.99997188016400818</v>
      </c>
      <c r="Z9" s="73">
        <f>2*X9</f>
        <v>5.6239671983677817E-5</v>
      </c>
    </row>
    <row r="10" spans="1:27" ht="17.25" thickTop="1" thickBot="1">
      <c r="A10" s="279"/>
      <c r="B10" s="498">
        <v>0.185</v>
      </c>
      <c r="C10" s="310"/>
      <c r="D10" s="85"/>
      <c r="E10" s="347">
        <f>_xlfn.STDEV.S(B9:B30)</f>
        <v>9.4021037834920523E-2</v>
      </c>
      <c r="G10" s="362"/>
      <c r="H10" s="281" t="s">
        <v>112</v>
      </c>
      <c r="I10" s="274" t="s">
        <v>43</v>
      </c>
      <c r="J10" s="274" t="s">
        <v>113</v>
      </c>
      <c r="K10" s="274" t="s">
        <v>114</v>
      </c>
      <c r="L10" s="275" t="s">
        <v>107</v>
      </c>
      <c r="N10" s="329"/>
      <c r="O10" s="306" t="s">
        <v>122</v>
      </c>
      <c r="P10" s="69">
        <v>40</v>
      </c>
      <c r="Q10" s="70" t="s">
        <v>123</v>
      </c>
      <c r="R10" s="111"/>
      <c r="S10" s="111"/>
      <c r="T10" s="29"/>
      <c r="U10" s="337"/>
      <c r="W10" s="91">
        <v>10.8</v>
      </c>
      <c r="X10" s="159"/>
      <c r="Y10" s="94"/>
    </row>
    <row r="11" spans="1:27" ht="16.5" thickBot="1">
      <c r="A11" s="279"/>
      <c r="B11" s="498">
        <v>7.3999999999999996E-2</v>
      </c>
      <c r="C11" s="310"/>
      <c r="D11" s="85"/>
      <c r="I11" s="353">
        <f>ROUND((H8-H2)/H7, 2)</f>
        <v>0.01</v>
      </c>
      <c r="J11" s="354">
        <f xml:space="preserve"> _xlfn.NORM.S.DIST(I11,TRUE)</f>
        <v>0.5039893563146316</v>
      </c>
      <c r="K11" s="354">
        <f>1-J11</f>
        <v>0.4960106436853684</v>
      </c>
      <c r="L11" s="156">
        <f>_xlfn.NORM.DIST(H9,H2, J3, TRUE)-J11</f>
        <v>0.4960106436853684</v>
      </c>
      <c r="N11" s="329"/>
      <c r="O11" s="306" t="s">
        <v>115</v>
      </c>
      <c r="P11" s="69">
        <v>0.2</v>
      </c>
      <c r="Q11" s="304">
        <f>TINV(2*P11, P10)</f>
        <v>0.85069979579045529</v>
      </c>
      <c r="R11" s="167"/>
      <c r="S11" s="111"/>
      <c r="T11" s="111"/>
      <c r="U11" s="337"/>
      <c r="W11" s="91">
        <v>9</v>
      </c>
      <c r="X11" s="139">
        <f>(W7-1)*W11/ W10</f>
        <v>11.666666666666666</v>
      </c>
      <c r="Y11" s="111"/>
    </row>
    <row r="12" spans="1:27" ht="16.5" thickBot="1">
      <c r="A12" s="279"/>
      <c r="B12" s="498">
        <v>0.126</v>
      </c>
      <c r="C12" s="310"/>
      <c r="D12" s="85"/>
      <c r="N12" s="329"/>
      <c r="O12" s="534" t="s">
        <v>126</v>
      </c>
      <c r="P12" s="535"/>
      <c r="Q12" s="121">
        <f>TINV(1-L$1/100, P10)</f>
        <v>2.0210753903062715</v>
      </c>
      <c r="R12" s="75"/>
      <c r="S12" s="29"/>
      <c r="T12" s="111"/>
      <c r="U12" s="337"/>
      <c r="W12" s="132"/>
      <c r="X12" s="29"/>
      <c r="Y12" s="29"/>
    </row>
    <row r="13" spans="1:27" ht="16.5" thickBot="1">
      <c r="A13" s="279"/>
      <c r="B13" s="498">
        <v>6.0999999999999999E-2</v>
      </c>
      <c r="C13" s="310"/>
      <c r="D13" s="85"/>
      <c r="G13" s="128"/>
      <c r="H13" s="144">
        <v>0.84</v>
      </c>
      <c r="I13" s="200"/>
      <c r="J13" s="190"/>
      <c r="K13" s="190"/>
      <c r="L13" s="201" t="s">
        <v>66</v>
      </c>
      <c r="M13" s="301" t="s">
        <v>67</v>
      </c>
      <c r="N13" s="329"/>
      <c r="O13" s="305"/>
      <c r="P13" s="74"/>
      <c r="Q13" s="111"/>
      <c r="R13" s="66"/>
      <c r="U13" s="337"/>
    </row>
    <row r="14" spans="1:27" ht="18" thickBot="1">
      <c r="A14" s="312"/>
      <c r="B14" s="498">
        <v>0.24399999999999999</v>
      </c>
      <c r="C14" s="310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29"/>
      <c r="O14" s="128" t="s">
        <v>32</v>
      </c>
      <c r="P14" s="316">
        <v>4.97</v>
      </c>
      <c r="Q14" s="70" t="s">
        <v>59</v>
      </c>
      <c r="R14" s="160"/>
      <c r="S14" s="160"/>
      <c r="T14" s="29"/>
      <c r="U14" s="337"/>
    </row>
    <row r="15" spans="1:27" ht="16.5" thickBot="1">
      <c r="A15" s="312"/>
      <c r="B15" s="498">
        <v>0.25600000000000001</v>
      </c>
      <c r="C15" s="310"/>
      <c r="D15" s="85"/>
      <c r="G15" s="199"/>
      <c r="H15" s="97"/>
      <c r="I15" s="117">
        <f xml:space="preserve"> ROUND( (H13-H6) / SQRT(H6*(1-H6)/H4), 2)</f>
        <v>0.61</v>
      </c>
      <c r="J15" s="96">
        <f>_xlfn.NORM.S.DIST(I15,TRUE)</f>
        <v>0.72906909621699434</v>
      </c>
      <c r="K15" s="121">
        <f>1-J15</f>
        <v>0.27093090378300566</v>
      </c>
      <c r="L15" s="121">
        <f>2*J15</f>
        <v>1.4581381924339887</v>
      </c>
      <c r="M15" s="149">
        <f>2*K15</f>
        <v>0.54186180756601132</v>
      </c>
      <c r="N15" s="329"/>
      <c r="O15" s="169" t="s">
        <v>125</v>
      </c>
      <c r="P15" s="235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7"/>
    </row>
    <row r="16" spans="1:27" ht="18" customHeight="1" thickBot="1">
      <c r="A16" s="312"/>
      <c r="B16" s="498">
        <v>0.33200000000000002</v>
      </c>
      <c r="C16" s="310"/>
      <c r="D16" s="85"/>
      <c r="N16" s="329"/>
      <c r="O16" s="307" t="s">
        <v>60</v>
      </c>
      <c r="P16" s="235">
        <v>12</v>
      </c>
      <c r="Q16" s="168" t="s">
        <v>72</v>
      </c>
      <c r="R16" s="117"/>
      <c r="S16" s="117"/>
      <c r="T16" s="29"/>
      <c r="U16" s="337"/>
    </row>
    <row r="17" spans="1:21" ht="19.5" customHeight="1" thickBot="1">
      <c r="A17" s="312"/>
      <c r="B17" s="498">
        <v>0.121</v>
      </c>
      <c r="C17" s="310"/>
      <c r="D17" s="85"/>
      <c r="G17" s="94"/>
      <c r="H17" s="91"/>
      <c r="I17" s="70"/>
      <c r="J17" s="111"/>
      <c r="K17" s="111"/>
      <c r="N17" s="329"/>
      <c r="O17" s="331" t="s">
        <v>64</v>
      </c>
      <c r="P17" s="332">
        <v>2</v>
      </c>
      <c r="Q17" s="189">
        <f>((_xlfn.NORM.S.INV(1- (100-L1)/200))*P15/P17)^2</f>
        <v>255.15929851755541</v>
      </c>
      <c r="R17" s="123"/>
      <c r="S17" s="111"/>
      <c r="T17" s="29"/>
      <c r="U17" s="337"/>
    </row>
    <row r="18" spans="1:21" ht="19.5" customHeight="1" thickBot="1">
      <c r="A18" s="312"/>
      <c r="B18" s="498">
        <v>9.4E-2</v>
      </c>
      <c r="C18" s="310"/>
      <c r="D18" s="85"/>
      <c r="G18" s="94"/>
      <c r="H18" s="91"/>
      <c r="I18" s="114">
        <f>-_xlfn.NORM.S.INV( (1-L1/100)/2)</f>
        <v>1.9599639845400536</v>
      </c>
      <c r="J18" s="218"/>
      <c r="K18" s="218"/>
      <c r="N18" s="329"/>
      <c r="O18" s="333"/>
      <c r="P18" s="335"/>
      <c r="Q18" s="177"/>
      <c r="R18" s="177"/>
      <c r="S18" s="334"/>
      <c r="T18" s="334"/>
      <c r="U18" s="337"/>
    </row>
    <row r="19" spans="1:21" ht="17.25" customHeight="1" thickBot="1">
      <c r="A19" s="312"/>
      <c r="B19" s="498"/>
      <c r="C19" s="310"/>
      <c r="D19" s="85"/>
      <c r="G19" s="91"/>
      <c r="H19" s="75"/>
      <c r="I19" s="94"/>
      <c r="J19" s="94"/>
      <c r="K19" s="140" t="s">
        <v>66</v>
      </c>
      <c r="L19" s="162" t="s">
        <v>67</v>
      </c>
      <c r="N19" s="329"/>
      <c r="O19" s="68"/>
      <c r="P19" s="66"/>
      <c r="Q19" s="114"/>
      <c r="R19" s="114"/>
      <c r="U19" s="337"/>
    </row>
    <row r="20" spans="1:21" ht="16.5" thickBot="1">
      <c r="A20" s="312"/>
      <c r="B20" s="498"/>
      <c r="C20" s="310"/>
      <c r="D20" s="85"/>
      <c r="G20" s="433"/>
      <c r="H20" s="434"/>
      <c r="I20" s="70" t="s">
        <v>44</v>
      </c>
      <c r="J20" s="70" t="s">
        <v>51</v>
      </c>
      <c r="K20" s="70" t="s">
        <v>65</v>
      </c>
      <c r="L20" s="70" t="s">
        <v>65</v>
      </c>
      <c r="N20" s="329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7"/>
    </row>
    <row r="21" spans="1:21" ht="21" thickBot="1">
      <c r="A21" s="312"/>
      <c r="B21" s="313"/>
      <c r="C21" s="310"/>
      <c r="D21" s="85"/>
      <c r="G21" s="289" t="s">
        <v>50</v>
      </c>
      <c r="H21" s="290">
        <v>-0.5</v>
      </c>
      <c r="I21" s="121">
        <f>_xlfn.NORM.S.DIST(H21,TRUE)</f>
        <v>0.30853753872598688</v>
      </c>
      <c r="J21" s="121">
        <f>1-I21</f>
        <v>0.69146246127401312</v>
      </c>
      <c r="K21" s="321">
        <f>2*I21</f>
        <v>0.61707507745197376</v>
      </c>
      <c r="L21" s="321">
        <f>2*J21</f>
        <v>1.3829249225480262</v>
      </c>
      <c r="N21" s="329"/>
      <c r="O21" s="68" t="s">
        <v>127</v>
      </c>
      <c r="P21" s="76">
        <v>2.2999999999999998</v>
      </c>
      <c r="Q21" s="70" t="s">
        <v>102</v>
      </c>
      <c r="R21" s="70" t="s">
        <v>103</v>
      </c>
      <c r="U21" s="337"/>
    </row>
    <row r="22" spans="1:21" ht="16.5" thickBot="1">
      <c r="A22" s="312"/>
      <c r="B22" s="313"/>
      <c r="C22" s="310"/>
      <c r="D22" s="85"/>
      <c r="G22" s="92"/>
      <c r="H22" s="536">
        <v>0.05</v>
      </c>
      <c r="I22" s="70" t="s">
        <v>43</v>
      </c>
      <c r="J22" s="70" t="s">
        <v>130</v>
      </c>
      <c r="K22" s="322" t="s">
        <v>131</v>
      </c>
      <c r="L22" s="323" t="s">
        <v>132</v>
      </c>
      <c r="M22" s="324" t="s">
        <v>137</v>
      </c>
      <c r="N22" s="329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7"/>
    </row>
    <row r="23" spans="1:21" ht="16.5" thickBot="1">
      <c r="A23" s="312"/>
      <c r="B23" s="313"/>
      <c r="C23" s="310"/>
      <c r="D23" s="85"/>
      <c r="G23" s="93" t="s">
        <v>44</v>
      </c>
      <c r="H23" s="537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-2.3533634348018233</v>
      </c>
      <c r="L23" s="320">
        <f>TINV(2*H22,H24)</f>
        <v>2.3533634348018233</v>
      </c>
      <c r="M23" s="89">
        <f>TINV(H22,H24)</f>
        <v>3.1824463052837091</v>
      </c>
      <c r="N23" s="329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7"/>
    </row>
    <row r="24" spans="1:21" ht="16.5" customHeight="1" thickBot="1">
      <c r="A24" s="312"/>
      <c r="B24" s="313"/>
      <c r="C24" s="310"/>
      <c r="D24" s="85"/>
      <c r="G24" s="306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29"/>
      <c r="P24" s="8"/>
      <c r="Q24" s="138">
        <f>Q23^2</f>
        <v>4.2781693562156962</v>
      </c>
      <c r="R24" s="138">
        <f>R23^2</f>
        <v>18.779529267638498</v>
      </c>
      <c r="U24" s="337"/>
    </row>
    <row r="25" spans="1:21" ht="16.5" thickBot="1">
      <c r="A25" s="312"/>
      <c r="B25" s="313"/>
      <c r="C25" s="310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29"/>
      <c r="P25" s="8"/>
      <c r="Q25" s="317"/>
      <c r="U25" s="337"/>
    </row>
    <row r="26" spans="1:21" ht="20.25" thickBot="1">
      <c r="A26" s="312"/>
      <c r="B26" s="313"/>
      <c r="C26" s="310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29"/>
      <c r="O26" s="230" t="s">
        <v>68</v>
      </c>
      <c r="P26" s="144">
        <v>18</v>
      </c>
      <c r="Q26" s="113" t="s">
        <v>90</v>
      </c>
      <c r="R26" s="70" t="s">
        <v>65</v>
      </c>
      <c r="S26" s="342"/>
      <c r="T26" s="343"/>
      <c r="U26" s="337"/>
    </row>
    <row r="27" spans="1:21" ht="20.25" thickBot="1">
      <c r="A27" s="312"/>
      <c r="B27" s="313"/>
      <c r="C27" s="310"/>
      <c r="D27" s="85"/>
      <c r="G27" s="90" t="s">
        <v>40</v>
      </c>
      <c r="H27" s="131">
        <v>0.43</v>
      </c>
      <c r="I27" s="124">
        <f>H26*H27</f>
        <v>860</v>
      </c>
      <c r="J27" s="318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29"/>
      <c r="O27" s="327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7"/>
    </row>
    <row r="28" spans="1:21" ht="16.5" thickBot="1">
      <c r="A28" s="312"/>
      <c r="B28" s="313"/>
      <c r="C28" s="310"/>
      <c r="D28" s="85"/>
      <c r="G28" s="90" t="s">
        <v>39</v>
      </c>
      <c r="H28" s="91">
        <v>918</v>
      </c>
      <c r="I28" s="126"/>
      <c r="J28" s="296" t="s">
        <v>120</v>
      </c>
      <c r="K28" s="496"/>
      <c r="L28" s="70" t="s">
        <v>175</v>
      </c>
      <c r="M28" s="191" t="s">
        <v>107</v>
      </c>
      <c r="N28" s="329"/>
      <c r="O28" s="94"/>
      <c r="P28" s="99">
        <v>1.21</v>
      </c>
      <c r="Q28" s="70"/>
      <c r="R28" s="70" t="s">
        <v>136</v>
      </c>
      <c r="S28" s="70" t="s">
        <v>135</v>
      </c>
      <c r="U28" s="337"/>
    </row>
    <row r="29" spans="1:21" ht="16.5" thickBot="1">
      <c r="A29" s="312"/>
      <c r="B29" s="313"/>
      <c r="C29" s="310"/>
      <c r="D29" s="85"/>
      <c r="G29" s="361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4">
        <f>(H28+2)/(H26+4)</f>
        <v>0.45908183632734528</v>
      </c>
      <c r="L29" s="500">
        <f>L27*2</f>
        <v>1.9912070233037573</v>
      </c>
      <c r="M29" s="121">
        <f xml:space="preserve"> M27 - 1 + _xlfn.NORM.S.DIST(ROUND((H29 - I27)/J27,2),TRUE)</f>
        <v>-0.99560351165187866</v>
      </c>
      <c r="N29" s="329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7"/>
    </row>
    <row r="30" spans="1:21" ht="20.25" thickTop="1" thickBot="1">
      <c r="A30" s="314"/>
      <c r="B30" s="315"/>
      <c r="C30" s="310"/>
      <c r="D30" s="85"/>
      <c r="I30" s="128" t="s">
        <v>70</v>
      </c>
      <c r="J30" s="113" t="s">
        <v>57</v>
      </c>
      <c r="K30" s="115" t="s">
        <v>58</v>
      </c>
      <c r="M30" s="256"/>
      <c r="N30" s="329"/>
      <c r="O30" s="145"/>
      <c r="P30" s="123"/>
      <c r="Q30" s="94"/>
      <c r="R30" s="75"/>
      <c r="S30" s="319" t="s">
        <v>66</v>
      </c>
      <c r="T30" s="157" t="s">
        <v>67</v>
      </c>
      <c r="U30" s="337"/>
    </row>
    <row r="31" spans="1:21" ht="20.25" thickBot="1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29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7"/>
    </row>
    <row r="32" spans="1:21" ht="20.25" thickBot="1">
      <c r="I32" s="113" t="s">
        <v>59</v>
      </c>
      <c r="J32" s="159"/>
      <c r="K32" s="159"/>
      <c r="L32" s="495" t="s">
        <v>174</v>
      </c>
      <c r="M32" s="153" t="s">
        <v>103</v>
      </c>
      <c r="N32" s="329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7"/>
    </row>
    <row r="33" spans="9:21" ht="16.5" thickBot="1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2">
        <f>K29-K31*SQRT(K29*(1-K29)/(H26+4))</f>
        <v>0.43726408085427082</v>
      </c>
      <c r="M33" s="89">
        <f>K29+K31*SQRT(K29*(1-K29)/(H26+4))</f>
        <v>0.48089959180041975</v>
      </c>
      <c r="N33" s="330"/>
      <c r="U33" s="337"/>
    </row>
    <row r="34" spans="9:21" ht="16.5" thickBot="1">
      <c r="U34" s="338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110" zoomScaleNormal="110" workbookViewId="0">
      <selection activeCell="R10" sqref="R10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2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4" customWidth="1"/>
    <col min="18" max="18" width="8.7109375" style="29" customWidth="1"/>
    <col min="19" max="19" width="7.7109375" style="29" customWidth="1"/>
    <col min="20" max="20" width="9.42578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9.42578125" style="29" customWidth="1"/>
    <col min="26" max="26" width="9.140625" style="29"/>
    <col min="27" max="27" width="11.85546875" style="29" bestFit="1" customWidth="1"/>
    <col min="28" max="28" width="1.42578125" style="29" customWidth="1"/>
    <col min="29" max="29" width="3.85546875" style="29" customWidth="1"/>
    <col min="30" max="30" width="1.57031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0" t="s">
        <v>3</v>
      </c>
      <c r="F1" s="371" t="s">
        <v>4</v>
      </c>
      <c r="G1" s="541"/>
      <c r="H1" s="542"/>
      <c r="I1" s="195"/>
      <c r="J1" s="150"/>
      <c r="K1" s="99"/>
      <c r="L1" s="94"/>
      <c r="M1" s="94"/>
      <c r="O1" s="75"/>
      <c r="P1" s="75"/>
      <c r="Q1" s="195"/>
      <c r="R1" s="75" t="s">
        <v>159</v>
      </c>
      <c r="S1" s="436">
        <f>SUM(S4:S18)</f>
        <v>576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6" t="s">
        <v>144</v>
      </c>
      <c r="H2" s="376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6"/>
      <c r="R2" s="385" t="s">
        <v>52</v>
      </c>
      <c r="S2" s="32">
        <v>576</v>
      </c>
      <c r="T2" s="132"/>
      <c r="U2" s="395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57"/>
      <c r="B3" s="457"/>
      <c r="C3" s="366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3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6"/>
      <c r="R3" s="520" t="s">
        <v>147</v>
      </c>
      <c r="S3" s="522" t="s">
        <v>150</v>
      </c>
      <c r="T3" s="521" t="s">
        <v>148</v>
      </c>
      <c r="U3" s="395"/>
      <c r="V3" s="403"/>
      <c r="W3" s="404"/>
      <c r="X3" s="3"/>
      <c r="Y3" s="3"/>
      <c r="Z3" s="512" t="s">
        <v>148</v>
      </c>
      <c r="AA3" s="513" t="s">
        <v>147</v>
      </c>
      <c r="AB3" s="3"/>
      <c r="AC3" s="523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>
      <c r="A4" s="504">
        <v>220</v>
      </c>
      <c r="B4" s="504">
        <v>73.3</v>
      </c>
      <c r="C4" s="365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51"/>
      <c r="I4" s="154"/>
      <c r="J4" s="145"/>
      <c r="L4" s="111"/>
      <c r="O4" s="75"/>
      <c r="P4" s="75"/>
      <c r="Q4" s="386">
        <f>IF(S4=0,0, (R4-S4)^2 / S4)</f>
        <v>219.23677420910491</v>
      </c>
      <c r="R4" s="175">
        <f>S4/S$1</f>
        <v>0.38194444444444442</v>
      </c>
      <c r="S4" s="519">
        <v>220</v>
      </c>
      <c r="T4" s="377">
        <f>S$2*R4</f>
        <v>220</v>
      </c>
      <c r="U4" s="395">
        <f>IF(T4=0,0,IF(T4=S4,(S4-V$9)^2/V$9,(S4-T4)^2/T4))</f>
        <v>95.338888888888874</v>
      </c>
      <c r="V4" s="405">
        <f>SUM(Q4:Q15)</f>
        <v>574.0017361111112</v>
      </c>
      <c r="W4" s="406">
        <f>_xlfn.CHISQ.INV.RT((100-K2)/100,COUNT(R4:R25)-1)</f>
        <v>7.7794403397348582</v>
      </c>
      <c r="X4" s="3"/>
      <c r="Y4" s="3"/>
      <c r="Z4" s="510">
        <v>1.6</v>
      </c>
      <c r="AA4" s="511">
        <f>Z4/S$1</f>
        <v>2.7777777777777779E-3</v>
      </c>
      <c r="AB4" s="3"/>
      <c r="AC4" s="525">
        <v>0</v>
      </c>
      <c r="AD4" s="524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6.5" thickBot="1">
      <c r="A5" s="504">
        <v>214</v>
      </c>
      <c r="B5" s="504">
        <v>76.8</v>
      </c>
      <c r="C5" s="365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3"/>
      <c r="I5" s="154"/>
      <c r="J5" s="176"/>
      <c r="K5" s="176"/>
      <c r="L5" s="123"/>
      <c r="O5" s="75"/>
      <c r="P5" s="75"/>
      <c r="Q5" s="386">
        <f t="shared" ref="Q5:Q23" si="2">IF(S5=0,0, (R5-S5)^2 / S5)</f>
        <v>213.25758945794755</v>
      </c>
      <c r="R5" s="175">
        <f t="shared" ref="R5:R8" si="3">S5/S$1</f>
        <v>0.37152777777777779</v>
      </c>
      <c r="S5" s="519">
        <v>214</v>
      </c>
      <c r="T5" s="377">
        <f t="shared" ref="T5:T15" si="4">S$2*R5</f>
        <v>214</v>
      </c>
      <c r="U5" s="395">
        <f t="shared" ref="U5:U17" si="5">IF(T5=0,0,IF(T5=S5,(S5-V$9)^2/V$9,(S5-T5)^2/T5))</f>
        <v>84.734722222222203</v>
      </c>
      <c r="V5" s="3"/>
      <c r="W5" s="3"/>
      <c r="X5" s="3"/>
      <c r="Y5" s="3"/>
      <c r="Z5" s="507">
        <v>25.5</v>
      </c>
      <c r="AA5" s="509">
        <f t="shared" ref="AA5:AA14" si="6">Z5/S$1</f>
        <v>4.4270833333333336E-2</v>
      </c>
      <c r="AB5" s="3"/>
      <c r="AC5" s="525">
        <v>1</v>
      </c>
      <c r="AD5" s="524">
        <f t="shared" ref="AD5:AD14" si="7">AC5*R5</f>
        <v>0.37152777777777779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>
      <c r="A6" s="504">
        <v>99</v>
      </c>
      <c r="B6" s="504">
        <v>69.8</v>
      </c>
      <c r="C6" s="365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1" t="s">
        <v>141</v>
      </c>
      <c r="P6" s="140"/>
      <c r="Q6" s="386">
        <f t="shared" si="2"/>
        <v>98.656548394097229</v>
      </c>
      <c r="R6" s="175">
        <f t="shared" si="3"/>
        <v>0.171875</v>
      </c>
      <c r="S6" s="519">
        <v>99</v>
      </c>
      <c r="T6" s="377">
        <f t="shared" si="4"/>
        <v>99</v>
      </c>
      <c r="U6" s="395">
        <f t="shared" si="5"/>
        <v>2.2781250000000011</v>
      </c>
      <c r="V6" s="407" t="s">
        <v>177</v>
      </c>
      <c r="W6" s="376" t="s">
        <v>146</v>
      </c>
      <c r="X6" s="3"/>
      <c r="Y6" s="3"/>
      <c r="Z6" s="507">
        <v>153.1</v>
      </c>
      <c r="AA6" s="509">
        <f t="shared" si="6"/>
        <v>0.26579861111111108</v>
      </c>
      <c r="AB6" s="3"/>
      <c r="AC6" s="525">
        <v>2</v>
      </c>
      <c r="AD6" s="524">
        <f t="shared" si="7"/>
        <v>0.34375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>
      <c r="A7" s="504">
        <v>35</v>
      </c>
      <c r="B7" s="504">
        <v>73</v>
      </c>
      <c r="C7" s="365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30" t="s">
        <v>76</v>
      </c>
      <c r="K7" s="144">
        <v>190</v>
      </c>
      <c r="L7" s="100" t="s">
        <v>40</v>
      </c>
      <c r="M7" s="70"/>
      <c r="N7" s="70"/>
      <c r="O7" s="220" t="s">
        <v>79</v>
      </c>
      <c r="P7" s="260" t="s">
        <v>2</v>
      </c>
      <c r="Q7" s="386">
        <f t="shared" si="2"/>
        <v>34.878577715084887</v>
      </c>
      <c r="R7" s="175">
        <f t="shared" si="3"/>
        <v>6.0763888888888888E-2</v>
      </c>
      <c r="S7" s="519">
        <v>35</v>
      </c>
      <c r="T7" s="377">
        <f t="shared" si="4"/>
        <v>35</v>
      </c>
      <c r="U7" s="395">
        <f t="shared" si="5"/>
        <v>55.83368055555556</v>
      </c>
      <c r="V7" s="408">
        <f>SUM(U4:U17)</f>
        <v>337.94097222222217</v>
      </c>
      <c r="W7" s="139">
        <f>CHIDIST(V7,COUNT(R4:R19)-1)</f>
        <v>7.0375872786408058E-72</v>
      </c>
      <c r="X7" s="505">
        <f>1-W7</f>
        <v>1</v>
      </c>
      <c r="Y7" s="506">
        <f>2*W7</f>
        <v>1.4075174557281612E-71</v>
      </c>
      <c r="Z7" s="507">
        <v>408.4</v>
      </c>
      <c r="AA7" s="509">
        <f t="shared" si="6"/>
        <v>0.7090277777777777</v>
      </c>
      <c r="AB7" s="3"/>
      <c r="AC7" s="525">
        <v>3</v>
      </c>
      <c r="AD7" s="524">
        <f t="shared" si="7"/>
        <v>0.18229166666666666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>
      <c r="A8" s="504">
        <v>8</v>
      </c>
      <c r="B8" s="504">
        <v>73.8</v>
      </c>
      <c r="C8" s="365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3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6">
        <f t="shared" si="2"/>
        <v>7.9722463348765427</v>
      </c>
      <c r="R8" s="175">
        <f t="shared" si="3"/>
        <v>1.3888888888888888E-2</v>
      </c>
      <c r="S8" s="519">
        <v>8</v>
      </c>
      <c r="T8" s="377">
        <f t="shared" si="4"/>
        <v>8</v>
      </c>
      <c r="U8" s="395">
        <f t="shared" si="5"/>
        <v>99.75555555555556</v>
      </c>
      <c r="V8" s="409" t="s">
        <v>149</v>
      </c>
      <c r="W8" s="366" t="s">
        <v>32</v>
      </c>
      <c r="X8" s="3"/>
      <c r="Y8" s="3"/>
      <c r="Z8" s="507">
        <v>408.4</v>
      </c>
      <c r="AA8" s="509">
        <f t="shared" si="6"/>
        <v>0.7090277777777777</v>
      </c>
      <c r="AB8" s="3"/>
      <c r="AC8" s="525">
        <v>4</v>
      </c>
      <c r="AD8" s="524">
        <f t="shared" si="7"/>
        <v>5.5555555555555552E-2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9.5" thickBot="1">
      <c r="A9" s="504">
        <v>0</v>
      </c>
      <c r="B9" s="504">
        <v>71.3</v>
      </c>
      <c r="C9" s="365">
        <f t="shared" si="0"/>
        <v>-71.3</v>
      </c>
      <c r="D9" s="154">
        <f t="shared" si="1"/>
        <v>71.3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6">
        <f t="shared" si="2"/>
        <v>0</v>
      </c>
      <c r="R9" s="175"/>
      <c r="S9" s="519"/>
      <c r="T9" s="377">
        <f t="shared" si="4"/>
        <v>0</v>
      </c>
      <c r="U9" s="395">
        <f t="shared" si="5"/>
        <v>0</v>
      </c>
      <c r="V9" s="410">
        <f>SUM(S4:S15)/COUNT(S4:S15)</f>
        <v>115.2</v>
      </c>
      <c r="W9" s="526">
        <f>SUM(AD4:AD14)</f>
        <v>0.953125</v>
      </c>
      <c r="X9" s="3"/>
      <c r="Y9" s="3"/>
      <c r="Z9" s="507"/>
      <c r="AA9" s="509">
        <f t="shared" si="6"/>
        <v>0</v>
      </c>
      <c r="AB9" s="3"/>
      <c r="AC9" s="525">
        <v>5</v>
      </c>
      <c r="AD9" s="524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20.25" thickBot="1">
      <c r="A10" s="504">
        <v>0</v>
      </c>
      <c r="B10" s="504">
        <v>71.7</v>
      </c>
      <c r="C10" s="365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503">
        <f>E8+E10</f>
        <v>62.735278275619436</v>
      </c>
      <c r="H10" s="184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6">
        <f t="shared" si="2"/>
        <v>0</v>
      </c>
      <c r="R10" s="175"/>
      <c r="S10" s="519"/>
      <c r="T10" s="377">
        <f t="shared" si="4"/>
        <v>0</v>
      </c>
      <c r="U10" s="395">
        <f t="shared" si="5"/>
        <v>0</v>
      </c>
      <c r="V10" s="3"/>
      <c r="W10" s="3"/>
      <c r="X10" s="3"/>
      <c r="Y10" s="3"/>
      <c r="Z10" s="507"/>
      <c r="AA10" s="509">
        <f t="shared" si="6"/>
        <v>0</v>
      </c>
      <c r="AB10" s="3"/>
      <c r="AC10" s="525">
        <v>6</v>
      </c>
      <c r="AD10" s="524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20.25" thickBot="1">
      <c r="A11" s="504">
        <v>1</v>
      </c>
      <c r="B11" s="504">
        <v>69</v>
      </c>
      <c r="C11" s="365">
        <f t="shared" si="0"/>
        <v>-68</v>
      </c>
      <c r="D11" s="154">
        <f t="shared" si="1"/>
        <v>67.014492753623188</v>
      </c>
      <c r="E11" s="167"/>
      <c r="F11" s="123"/>
      <c r="G11" s="380"/>
      <c r="H11" s="381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6">
        <f t="shared" si="2"/>
        <v>0</v>
      </c>
      <c r="R11" s="175"/>
      <c r="S11" s="519"/>
      <c r="T11" s="377">
        <f t="shared" si="4"/>
        <v>0</v>
      </c>
      <c r="U11" s="395">
        <f t="shared" si="5"/>
        <v>0</v>
      </c>
      <c r="V11" s="111"/>
      <c r="W11" s="111"/>
      <c r="X11" s="514" t="s">
        <v>160</v>
      </c>
      <c r="Y11" s="517"/>
      <c r="Z11" s="507"/>
      <c r="AA11" s="509">
        <f t="shared" si="6"/>
        <v>0</v>
      </c>
      <c r="AB11" s="3"/>
      <c r="AC11" s="525">
        <v>7</v>
      </c>
      <c r="AD11" s="524">
        <f t="shared" si="7"/>
        <v>0</v>
      </c>
      <c r="AF11" s="133"/>
      <c r="AG11" s="134">
        <f t="shared" si="8"/>
        <v>-68</v>
      </c>
      <c r="AH11" s="134">
        <f t="shared" si="9"/>
        <v>4595.1451562499997</v>
      </c>
    </row>
    <row r="12" spans="1:34" ht="20.25" thickBot="1">
      <c r="A12" s="504"/>
      <c r="B12" s="504"/>
      <c r="C12" s="365">
        <f t="shared" si="0"/>
        <v>0</v>
      </c>
      <c r="D12" s="154">
        <f t="shared" si="1"/>
        <v>0</v>
      </c>
      <c r="E12" s="369" t="s">
        <v>54</v>
      </c>
      <c r="F12" s="228">
        <f>E$5^2/A$1</f>
        <v>1136.9799107142858</v>
      </c>
      <c r="G12" s="382">
        <f xml:space="preserve"> E3-G3 -H14</f>
        <v>5.6075708179702701</v>
      </c>
      <c r="H12" s="238">
        <f>E3-G3+H14</f>
        <v>136.65227833425371</v>
      </c>
      <c r="I12" s="154"/>
      <c r="J12" s="221"/>
      <c r="L12" s="180" t="s">
        <v>78</v>
      </c>
      <c r="M12" s="219" t="s">
        <v>80</v>
      </c>
      <c r="N12" s="543"/>
      <c r="O12" s="544"/>
      <c r="P12" s="70" t="s">
        <v>176</v>
      </c>
      <c r="Q12" s="386">
        <f t="shared" si="2"/>
        <v>0</v>
      </c>
      <c r="R12" s="175"/>
      <c r="S12" s="175"/>
      <c r="T12" s="377">
        <f t="shared" si="4"/>
        <v>0</v>
      </c>
      <c r="U12" s="395">
        <f t="shared" si="5"/>
        <v>0</v>
      </c>
      <c r="V12" s="411" t="s">
        <v>52</v>
      </c>
      <c r="W12" s="412">
        <v>240</v>
      </c>
      <c r="X12" s="515">
        <f>W12*W13</f>
        <v>24.240000000000002</v>
      </c>
      <c r="Y12" s="516">
        <f>( (W14-X12)^2)/X12 + ((W12-W14-X14)^2)/X14</f>
        <v>0.64875898045866787</v>
      </c>
      <c r="Z12" s="507"/>
      <c r="AA12" s="509">
        <f t="shared" si="6"/>
        <v>0</v>
      </c>
      <c r="AB12" s="3"/>
      <c r="AC12" s="525">
        <v>8</v>
      </c>
      <c r="AD12" s="524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20.25" thickBot="1">
      <c r="A13" s="504"/>
      <c r="B13" s="504"/>
      <c r="C13" s="365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3">
        <f xml:space="preserve"> _xlfn.NORM.S.INV(1- (100-K2)/200)</f>
        <v>1.6448536269514715</v>
      </c>
      <c r="N13" s="186">
        <f>M8-N8-L13</f>
        <v>-8.1798125571749508E-2</v>
      </c>
      <c r="O13" s="187">
        <f>M8-N8+L13</f>
        <v>1.1375590360481885E-2</v>
      </c>
      <c r="P13" s="435">
        <f>2*M11</f>
        <v>0.21410081465694997</v>
      </c>
      <c r="Q13" s="386">
        <f t="shared" si="2"/>
        <v>0</v>
      </c>
      <c r="R13" s="123"/>
      <c r="S13" s="123"/>
      <c r="T13" s="377">
        <f t="shared" si="4"/>
        <v>0</v>
      </c>
      <c r="U13" s="395">
        <f t="shared" si="5"/>
        <v>0</v>
      </c>
      <c r="V13" s="411" t="s">
        <v>115</v>
      </c>
      <c r="W13" s="437">
        <v>0.10100000000000001</v>
      </c>
      <c r="X13" s="439" t="s">
        <v>161</v>
      </c>
      <c r="Y13" s="3"/>
      <c r="Z13" s="507"/>
      <c r="AA13" s="509">
        <f t="shared" si="6"/>
        <v>0</v>
      </c>
      <c r="AB13" s="3"/>
      <c r="AC13" s="525">
        <v>9</v>
      </c>
      <c r="AD13" s="524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20.25" thickBot="1">
      <c r="A14" s="504"/>
      <c r="B14" s="504"/>
      <c r="C14" s="365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1" t="s">
        <v>82</v>
      </c>
      <c r="K14" s="364">
        <v>0.14000000000000001</v>
      </c>
      <c r="L14" s="70" t="s">
        <v>79</v>
      </c>
      <c r="M14" s="220"/>
      <c r="N14" s="94"/>
      <c r="O14" s="123"/>
      <c r="P14" s="123"/>
      <c r="Q14" s="386">
        <f t="shared" si="2"/>
        <v>0</v>
      </c>
      <c r="R14" s="123"/>
      <c r="S14" s="123"/>
      <c r="T14" s="377">
        <f t="shared" si="4"/>
        <v>0</v>
      </c>
      <c r="U14" s="395">
        <f t="shared" si="5"/>
        <v>0</v>
      </c>
      <c r="V14" s="413" t="s">
        <v>74</v>
      </c>
      <c r="W14" s="414">
        <v>28</v>
      </c>
      <c r="X14" s="438">
        <f>W12-X12</f>
        <v>215.76</v>
      </c>
      <c r="Y14" s="3"/>
      <c r="Z14" s="508"/>
      <c r="AA14" s="509">
        <f t="shared" si="6"/>
        <v>0</v>
      </c>
      <c r="AB14" s="3"/>
      <c r="AC14" s="525">
        <v>10</v>
      </c>
      <c r="AD14" s="524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8" thickBot="1">
      <c r="A15" s="504"/>
      <c r="B15" s="504"/>
      <c r="C15" s="365">
        <f t="shared" si="0"/>
        <v>0</v>
      </c>
      <c r="D15" s="378">
        <f t="shared" si="1"/>
        <v>0</v>
      </c>
      <c r="E15" s="211"/>
      <c r="F15" s="211"/>
      <c r="G15" s="545" t="s">
        <v>95</v>
      </c>
      <c r="H15" s="546"/>
      <c r="I15" s="154"/>
      <c r="J15" s="127"/>
      <c r="L15" s="138">
        <f xml:space="preserve"> (M8-N8-K14) /SQRT(M8*(1-M8)/K8 + N8*(1-N8)/K11)</f>
        <v>-6.1862272234265658</v>
      </c>
      <c r="M15" s="138"/>
      <c r="N15" s="218"/>
      <c r="O15" s="75"/>
      <c r="P15" s="75"/>
      <c r="Q15" s="386">
        <f t="shared" si="2"/>
        <v>0</v>
      </c>
      <c r="R15" s="391"/>
      <c r="S15" s="391"/>
      <c r="T15" s="377">
        <f t="shared" si="4"/>
        <v>0</v>
      </c>
      <c r="U15" s="395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20.25" thickBot="1">
      <c r="A16" s="504"/>
      <c r="B16" s="504"/>
      <c r="C16" s="365">
        <f t="shared" si="0"/>
        <v>0</v>
      </c>
      <c r="D16" s="378">
        <f t="shared" si="1"/>
        <v>0</v>
      </c>
      <c r="E16" s="379"/>
      <c r="F16" s="379"/>
      <c r="G16" s="191" t="s">
        <v>73</v>
      </c>
      <c r="H16" s="158" t="s">
        <v>89</v>
      </c>
      <c r="I16" s="154"/>
      <c r="K16" s="91">
        <v>0.223</v>
      </c>
      <c r="L16" s="188" t="s">
        <v>68</v>
      </c>
      <c r="M16" s="188" t="s">
        <v>140</v>
      </c>
      <c r="N16" s="222"/>
      <c r="O16" s="223"/>
      <c r="P16" s="223"/>
      <c r="Q16" s="386">
        <f t="shared" si="2"/>
        <v>0</v>
      </c>
      <c r="R16" s="392"/>
      <c r="S16" s="392"/>
      <c r="T16" s="377"/>
      <c r="U16" s="395">
        <f t="shared" si="5"/>
        <v>0</v>
      </c>
      <c r="V16" s="223"/>
      <c r="W16" s="376" t="s">
        <v>146</v>
      </c>
      <c r="X16" s="121">
        <f>CHIDIST( (W14-X12)^2 / X12 + (W12-W14-X14)^2 / X14,1)</f>
        <v>0.42055672611606526</v>
      </c>
      <c r="Y16" s="223"/>
      <c r="Z16" s="3"/>
      <c r="AA16" s="3"/>
      <c r="AB16" s="3"/>
      <c r="AC16" s="3"/>
      <c r="AD16" s="224"/>
      <c r="AG16" s="134">
        <f t="shared" si="8"/>
        <v>0</v>
      </c>
      <c r="AH16" s="134">
        <f t="shared" si="10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9">
        <f>(K16*(1-K16) + K17*(1-K17)) * (M13/K18)^2</f>
        <v>556.36457397086269</v>
      </c>
      <c r="M17" s="189">
        <f xml:space="preserve"> 0.5* (M13/K18)^2</f>
        <v>845.48232940481591</v>
      </c>
      <c r="N17" s="223"/>
      <c r="O17" s="223"/>
      <c r="P17" s="223"/>
      <c r="Q17" s="386">
        <f t="shared" si="2"/>
        <v>0</v>
      </c>
      <c r="R17" s="392"/>
      <c r="S17" s="392"/>
      <c r="T17" s="377"/>
      <c r="U17" s="395">
        <f t="shared" si="5"/>
        <v>0</v>
      </c>
      <c r="V17" s="223"/>
      <c r="W17" s="376" t="s">
        <v>151</v>
      </c>
      <c r="X17" s="138">
        <f>1-_xlfn.NORM.S.DIST(X20,TRUE)</f>
        <v>0.21027836305803249</v>
      </c>
      <c r="Y17" s="223"/>
      <c r="Z17" s="223"/>
      <c r="AA17" s="3"/>
      <c r="AB17" s="3"/>
      <c r="AC17" s="3"/>
      <c r="AD17" s="223"/>
      <c r="AG17" s="134">
        <f t="shared" si="8"/>
        <v>0</v>
      </c>
      <c r="AH17" s="134">
        <f t="shared" si="10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5"/>
      <c r="O18" s="226"/>
      <c r="P18" s="226"/>
      <c r="Q18" s="386">
        <f t="shared" si="2"/>
        <v>0</v>
      </c>
      <c r="R18" s="393"/>
      <c r="S18" s="393"/>
      <c r="T18" s="226"/>
      <c r="U18" s="396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8"/>
        <v>0</v>
      </c>
      <c r="AH18" s="134">
        <f t="shared" si="10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6">
        <f t="shared" si="2"/>
        <v>0</v>
      </c>
      <c r="R19" s="394"/>
      <c r="S19" s="394"/>
      <c r="T19" s="222"/>
      <c r="U19" s="397"/>
      <c r="V19" s="222"/>
      <c r="W19" s="222"/>
      <c r="X19" s="415"/>
      <c r="Y19" s="222"/>
      <c r="Z19" s="222"/>
      <c r="AA19" s="3"/>
      <c r="AB19" s="3"/>
      <c r="AC19" s="3"/>
      <c r="AD19" s="222"/>
      <c r="AG19" s="134">
        <f t="shared" si="8"/>
        <v>0</v>
      </c>
      <c r="AH19" s="134">
        <f t="shared" si="10"/>
        <v>0</v>
      </c>
    </row>
    <row r="20" spans="1:34" ht="20.25" thickBot="1">
      <c r="A20" s="175"/>
      <c r="B20" s="175"/>
      <c r="C20" s="175"/>
      <c r="D20" s="154"/>
      <c r="E20" s="146"/>
      <c r="F20" s="452">
        <v>1.21</v>
      </c>
      <c r="G20" s="548"/>
      <c r="H20" s="549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6">
        <f t="shared" si="2"/>
        <v>0</v>
      </c>
      <c r="R20" s="319"/>
      <c r="S20" s="319"/>
      <c r="T20" s="157"/>
      <c r="U20" s="398"/>
      <c r="V20" s="157"/>
      <c r="W20" s="518" t="s">
        <v>178</v>
      </c>
      <c r="X20" s="130">
        <f>(W14/W12-W13)/SQRT(W13*(1-W13)/W12)</f>
        <v>0.80545575946706616</v>
      </c>
      <c r="Y20" s="416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53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6">
        <f t="shared" si="2"/>
        <v>0</v>
      </c>
      <c r="R21" s="94"/>
      <c r="S21" s="94"/>
      <c r="T21" s="94"/>
      <c r="U21" s="399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47" t="s">
        <v>96</v>
      </c>
      <c r="H22" s="547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6">
        <f t="shared" si="2"/>
        <v>0</v>
      </c>
      <c r="R22" s="111"/>
      <c r="S22" s="111"/>
      <c r="T22" s="111"/>
      <c r="U22" s="400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>
      <c r="A23" s="175"/>
      <c r="B23" s="175"/>
      <c r="C23" s="175"/>
      <c r="D23" s="154"/>
      <c r="E23" s="146"/>
      <c r="F23" s="452">
        <f>F3</f>
        <v>72.337500000000006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6">
        <f t="shared" si="2"/>
        <v>0</v>
      </c>
      <c r="R23" s="391"/>
      <c r="S23" s="391"/>
      <c r="T23" s="75"/>
      <c r="U23" s="401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53">
        <f>F5</f>
        <v>2.4634108177774277</v>
      </c>
      <c r="G24" s="192">
        <f xml:space="preserve"> IF(F19=F22,F19-1,(I19+I20)^2/(I19^2/(F19-1)+I20^2/(F22-1)))</f>
        <v>10.795191609867645</v>
      </c>
      <c r="H24" s="149">
        <f>TINV(1-K2/100, G24)</f>
        <v>1.812461122811676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7"/>
      <c r="R24" s="157"/>
      <c r="S24" s="157"/>
      <c r="T24" s="157"/>
      <c r="U24" s="398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88"/>
      <c r="R25" s="94"/>
      <c r="S25" s="94"/>
      <c r="T25" s="94"/>
      <c r="U25" s="399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89"/>
      <c r="R26" s="111"/>
      <c r="S26" s="111"/>
      <c r="T26" s="111"/>
      <c r="U26" s="400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2">
        <f>MIN(C4:C28)</f>
        <v>-71.7</v>
      </c>
      <c r="L27" s="373">
        <f>QUARTILE(C4:C27, 1)</f>
        <v>-65.8</v>
      </c>
      <c r="M27" s="373">
        <f>QUARTILE(C4:C15, 2)</f>
        <v>0</v>
      </c>
      <c r="N27" s="373">
        <f>QUARTILE(C4:C15, 3)</f>
        <v>7.3000000000000007</v>
      </c>
      <c r="O27" s="374">
        <f>MAX(C4:C24)</f>
        <v>146.69999999999999</v>
      </c>
      <c r="P27" s="75"/>
      <c r="Q27" s="390"/>
      <c r="R27" s="75"/>
      <c r="S27" s="75"/>
      <c r="T27" s="75"/>
      <c r="U27" s="402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9">
        <f xml:space="preserve">  F20- F23 + H26</f>
        <v>-69.356377065889944</v>
      </c>
      <c r="I28" s="196"/>
      <c r="J28" s="94"/>
      <c r="L28" s="111"/>
      <c r="M28" s="94"/>
      <c r="N28" s="75"/>
      <c r="O28" s="319" t="s">
        <v>66</v>
      </c>
      <c r="P28" s="157" t="s">
        <v>67</v>
      </c>
      <c r="Q28" s="383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20.25" thickBot="1">
      <c r="A29" s="175"/>
      <c r="B29" s="175"/>
      <c r="C29" s="175"/>
      <c r="D29" s="154"/>
      <c r="E29" s="367" t="s">
        <v>133</v>
      </c>
      <c r="F29" s="368" t="s">
        <v>134</v>
      </c>
      <c r="G29" s="375" t="s">
        <v>145</v>
      </c>
      <c r="H29" s="157"/>
      <c r="I29" s="196"/>
      <c r="J29" s="230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3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20.2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7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502">
        <f>2*M30</f>
        <v>4.5120265306241025E-2</v>
      </c>
      <c r="P30" s="501">
        <f>2*N30</f>
        <v>1.954879734693759</v>
      </c>
      <c r="Q30" s="383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6"/>
      <c r="J31" s="94"/>
      <c r="K31" s="499">
        <v>1.06</v>
      </c>
      <c r="L31" s="70"/>
      <c r="O31" s="75"/>
      <c r="P31" s="75"/>
      <c r="Q31" s="383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6"/>
      <c r="J32" s="177"/>
      <c r="K32" s="97">
        <v>0</v>
      </c>
      <c r="L32" s="121">
        <f>TINV((100-K2)/100, K29-1)</f>
        <v>1.7530503556925723</v>
      </c>
      <c r="O32" s="75"/>
      <c r="P32" s="75"/>
      <c r="Q32" s="383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>
      <c r="A33" s="175"/>
      <c r="B33" s="175"/>
      <c r="C33" s="175"/>
      <c r="D33" s="154"/>
      <c r="E33" s="46"/>
      <c r="F33" s="43"/>
      <c r="I33" s="196"/>
      <c r="J33" s="175"/>
      <c r="K33" s="175"/>
      <c r="L33" s="377"/>
      <c r="AG33" s="134">
        <f t="shared" si="8"/>
        <v>0</v>
      </c>
      <c r="AH33" s="134">
        <f t="shared" si="10"/>
        <v>0</v>
      </c>
    </row>
    <row r="34" spans="1:34">
      <c r="A34" s="175"/>
      <c r="B34" s="175"/>
      <c r="C34" s="175"/>
      <c r="D34" s="154"/>
      <c r="I34" s="196"/>
      <c r="J34" s="175"/>
      <c r="K34" s="175"/>
      <c r="L34" s="377"/>
      <c r="AG34" s="134">
        <f t="shared" si="8"/>
        <v>0</v>
      </c>
      <c r="AH34" s="134">
        <f t="shared" si="10"/>
        <v>0</v>
      </c>
    </row>
    <row r="35" spans="1:34">
      <c r="A35" s="243"/>
      <c r="B35" s="243"/>
      <c r="C35" s="243"/>
      <c r="D35" s="154"/>
      <c r="I35" s="196"/>
      <c r="L35" s="377"/>
      <c r="AG35" s="134">
        <f t="shared" si="8"/>
        <v>0</v>
      </c>
      <c r="AH35" s="134">
        <f t="shared" si="10"/>
        <v>0</v>
      </c>
    </row>
    <row r="36" spans="1:34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219075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85725</xdr:colOff>
                <xdr:row>5</xdr:row>
                <xdr:rowOff>9525</xdr:rowOff>
              </from>
              <to>
                <xdr:col>21</xdr:col>
                <xdr:colOff>228600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428625</xdr:colOff>
                <xdr:row>10</xdr:row>
                <xdr:rowOff>219075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28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29"/>
      <c r="L1" s="429"/>
    </row>
    <row r="2" spans="1:13" ht="16.5" thickBot="1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29"/>
      <c r="L2" s="429"/>
    </row>
    <row r="3" spans="1:13" ht="18.75" customHeight="1" thickBot="1">
      <c r="A3" s="457"/>
      <c r="B3" s="457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0"/>
      <c r="L3" s="430"/>
      <c r="M3" s="30"/>
    </row>
    <row r="4" spans="1:13" ht="16.5" thickBot="1">
      <c r="A4" s="475">
        <v>-5</v>
      </c>
      <c r="B4" s="475">
        <v>-10</v>
      </c>
      <c r="C4" s="207">
        <f>A4*B4</f>
        <v>50</v>
      </c>
      <c r="D4" s="557" t="s">
        <v>48</v>
      </c>
      <c r="E4" s="558"/>
      <c r="G4" s="94"/>
      <c r="H4" s="204"/>
      <c r="I4" s="30"/>
      <c r="J4" s="30"/>
      <c r="K4" s="430">
        <f>IF( A4="",0, A4*E$6+D$6)</f>
        <v>-11.036363636363637</v>
      </c>
      <c r="L4" s="430">
        <f>(K4-B4)^2</f>
        <v>1.0740495867768609</v>
      </c>
      <c r="M4" s="30"/>
    </row>
    <row r="5" spans="1:13" ht="16.5" thickBot="1">
      <c r="A5" s="475">
        <v>-3</v>
      </c>
      <c r="B5" s="475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0">
        <f t="shared" ref="K5:K18" si="1">IF( A5="",0, A5*E$6+D$6)</f>
        <v>-6.8424242424242427</v>
      </c>
      <c r="L5" s="430">
        <f t="shared" ref="L5:L18" si="2">(K5-B5)^2</f>
        <v>1.3399816345270883</v>
      </c>
      <c r="M5" s="30"/>
    </row>
    <row r="6" spans="1:13" ht="16.5" thickBot="1">
      <c r="A6" s="475">
        <v>4</v>
      </c>
      <c r="B6" s="475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0">
        <f t="shared" si="1"/>
        <v>7.8363636363636369</v>
      </c>
      <c r="L6" s="430">
        <f t="shared" si="2"/>
        <v>1.3540495867768583</v>
      </c>
      <c r="M6" s="30"/>
    </row>
    <row r="7" spans="1:13" ht="16.5" thickBot="1">
      <c r="A7" s="475">
        <v>1</v>
      </c>
      <c r="B7" s="475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0">
        <f t="shared" si="1"/>
        <v>1.5454545454545456</v>
      </c>
      <c r="L7" s="430">
        <f t="shared" si="2"/>
        <v>0.29752066115702497</v>
      </c>
      <c r="M7" s="204"/>
    </row>
    <row r="8" spans="1:13" ht="16.5" thickBot="1">
      <c r="A8" s="475">
        <v>-1</v>
      </c>
      <c r="B8" s="475">
        <v>-2</v>
      </c>
      <c r="C8" s="207">
        <f t="shared" si="0"/>
        <v>2</v>
      </c>
      <c r="D8" s="30"/>
      <c r="E8" s="30"/>
      <c r="F8" s="30"/>
      <c r="I8" s="30"/>
      <c r="J8" s="132"/>
      <c r="K8" s="430">
        <f t="shared" si="1"/>
        <v>-2.6484848484848484</v>
      </c>
      <c r="L8" s="430">
        <f t="shared" si="2"/>
        <v>0.42053259871441684</v>
      </c>
      <c r="M8" s="132"/>
    </row>
    <row r="9" spans="1:13" ht="16.5" thickBot="1">
      <c r="A9" s="475">
        <v>-2</v>
      </c>
      <c r="B9" s="475">
        <v>-6</v>
      </c>
      <c r="C9" s="427">
        <f t="shared" si="0"/>
        <v>12</v>
      </c>
      <c r="D9" s="553" t="s">
        <v>156</v>
      </c>
      <c r="E9" s="554"/>
      <c r="F9" s="70" t="s">
        <v>162</v>
      </c>
      <c r="G9" s="218"/>
      <c r="I9" s="30"/>
      <c r="J9" s="132"/>
      <c r="K9" s="430">
        <f t="shared" si="1"/>
        <v>-4.745454545454546</v>
      </c>
      <c r="L9" s="430">
        <f t="shared" si="2"/>
        <v>1.5738842975206597</v>
      </c>
      <c r="M9" s="132"/>
    </row>
    <row r="10" spans="1:13" ht="16.5" thickBot="1">
      <c r="A10" s="475">
        <v>0</v>
      </c>
      <c r="B10" s="475">
        <v>-1</v>
      </c>
      <c r="C10" s="427">
        <f t="shared" si="0"/>
        <v>0</v>
      </c>
      <c r="D10" s="559">
        <f>SUM(L4:L17)</f>
        <v>7.6242424242424223</v>
      </c>
      <c r="E10" s="560"/>
      <c r="F10" s="117">
        <f>VLOOKUP(E7,A4:B20,2,FALSE)-F7</f>
        <v>1.1636363636363631</v>
      </c>
      <c r="G10" s="29"/>
      <c r="I10" s="30"/>
      <c r="J10" s="132"/>
      <c r="K10" s="430">
        <f t="shared" si="1"/>
        <v>-0.55151515151515151</v>
      </c>
      <c r="L10" s="430">
        <f t="shared" si="2"/>
        <v>0.2011386593204775</v>
      </c>
      <c r="M10" s="132"/>
    </row>
    <row r="11" spans="1:13" ht="16.5" thickBot="1">
      <c r="A11" s="475">
        <v>2</v>
      </c>
      <c r="B11" s="475">
        <v>3</v>
      </c>
      <c r="C11" s="207">
        <f t="shared" si="0"/>
        <v>6</v>
      </c>
      <c r="D11" s="214"/>
      <c r="E11" s="214"/>
      <c r="I11" s="30"/>
      <c r="J11" s="132"/>
      <c r="K11" s="430">
        <f t="shared" si="1"/>
        <v>3.6424242424242426</v>
      </c>
      <c r="L11" s="430">
        <f t="shared" si="2"/>
        <v>0.41270890725436199</v>
      </c>
      <c r="M11" s="132"/>
    </row>
    <row r="12" spans="1:13" ht="16.5" thickBot="1">
      <c r="A12" s="475">
        <v>3</v>
      </c>
      <c r="B12" s="475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0">
        <f t="shared" si="1"/>
        <v>5.7393939393939393</v>
      </c>
      <c r="L12" s="430">
        <f t="shared" si="2"/>
        <v>6.7915518824609805E-2</v>
      </c>
      <c r="M12" s="132"/>
    </row>
    <row r="13" spans="1:13" ht="16.5" thickBot="1">
      <c r="A13" s="475">
        <v>-4</v>
      </c>
      <c r="B13" s="475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0">
        <f t="shared" si="1"/>
        <v>-8.9393939393939394</v>
      </c>
      <c r="L13" s="430">
        <f t="shared" si="2"/>
        <v>0.88246097337006435</v>
      </c>
      <c r="M13" s="132"/>
    </row>
    <row r="14" spans="1:13" ht="16.5" thickBot="1">
      <c r="A14" s="474"/>
      <c r="B14" s="474"/>
      <c r="C14" s="207">
        <f t="shared" si="0"/>
        <v>0</v>
      </c>
      <c r="D14" s="30"/>
      <c r="E14" s="76"/>
      <c r="I14" s="30"/>
      <c r="J14" s="30"/>
      <c r="K14" s="430">
        <f t="shared" si="1"/>
        <v>0</v>
      </c>
      <c r="L14" s="430">
        <f t="shared" si="2"/>
        <v>0</v>
      </c>
      <c r="M14" s="30"/>
    </row>
    <row r="15" spans="1:13" ht="16.5" thickBot="1">
      <c r="A15" s="474"/>
      <c r="B15" s="474"/>
      <c r="C15" s="207">
        <f t="shared" si="0"/>
        <v>0</v>
      </c>
      <c r="D15" s="561" t="s">
        <v>48</v>
      </c>
      <c r="E15" s="562"/>
      <c r="I15" s="30"/>
      <c r="J15" s="30"/>
      <c r="K15" s="430">
        <f t="shared" si="1"/>
        <v>0</v>
      </c>
      <c r="L15" s="430">
        <f t="shared" si="2"/>
        <v>0</v>
      </c>
      <c r="M15" s="30"/>
    </row>
    <row r="16" spans="1:13" ht="16.5" thickBot="1">
      <c r="A16" s="474"/>
      <c r="B16" s="474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0">
        <f t="shared" si="1"/>
        <v>0</v>
      </c>
      <c r="L16" s="430">
        <f t="shared" si="2"/>
        <v>0</v>
      </c>
      <c r="M16" s="30"/>
    </row>
    <row r="17" spans="1:13" ht="16.5" thickBot="1">
      <c r="A17" s="474"/>
      <c r="B17" s="474"/>
      <c r="C17" s="207">
        <f t="shared" si="0"/>
        <v>0</v>
      </c>
      <c r="D17" s="440">
        <v>2.097</v>
      </c>
      <c r="E17" s="440">
        <v>-0.20599999999999999</v>
      </c>
      <c r="F17" s="117">
        <f xml:space="preserve"> D17+E17*E18</f>
        <v>1.4790000000000001</v>
      </c>
      <c r="I17" s="30"/>
      <c r="J17" s="30"/>
      <c r="K17" s="430">
        <f t="shared" si="1"/>
        <v>0</v>
      </c>
      <c r="L17" s="430">
        <f t="shared" si="2"/>
        <v>0</v>
      </c>
      <c r="M17" s="30"/>
    </row>
    <row r="18" spans="1:13" ht="16.5" thickBot="1">
      <c r="A18" s="474"/>
      <c r="B18" s="474"/>
      <c r="C18" s="207">
        <f t="shared" si="0"/>
        <v>0</v>
      </c>
      <c r="D18" s="101" t="s">
        <v>94</v>
      </c>
      <c r="E18" s="213">
        <v>3</v>
      </c>
      <c r="F18" s="121"/>
      <c r="K18" s="430">
        <f t="shared" si="1"/>
        <v>0</v>
      </c>
      <c r="L18" s="476">
        <f t="shared" si="2"/>
        <v>0</v>
      </c>
    </row>
    <row r="19" spans="1:13" ht="15.75" thickBot="1">
      <c r="C19" s="207">
        <f t="shared" si="0"/>
        <v>0</v>
      </c>
      <c r="K19" s="469">
        <f>IF(A4="",0,D$21*A4+E$21)</f>
        <v>-11.0365</v>
      </c>
      <c r="L19" s="469">
        <f>(B4-K19)^2</f>
        <v>1.0743322500000003</v>
      </c>
    </row>
    <row r="20" spans="1:13" ht="18" customHeight="1" thickBot="1">
      <c r="C20" s="427">
        <f t="shared" si="0"/>
        <v>0</v>
      </c>
      <c r="D20" s="551" t="s">
        <v>165</v>
      </c>
      <c r="E20" s="552"/>
      <c r="F20" s="550"/>
      <c r="G20" s="550"/>
      <c r="K20" s="469">
        <f t="shared" ref="K20:K30" si="3">IF(A5="",0,D$21*A5+E$21)</f>
        <v>-6.8425000000000002</v>
      </c>
      <c r="L20" s="469">
        <f t="shared" ref="L20:L30" si="4">(B5-K20)^2</f>
        <v>1.3398062499999994</v>
      </c>
    </row>
    <row r="21" spans="1:13" ht="18" customHeight="1" thickBot="1">
      <c r="C21" s="427">
        <f t="shared" si="0"/>
        <v>0</v>
      </c>
      <c r="D21" s="423">
        <v>2.097</v>
      </c>
      <c r="E21" s="424">
        <v>-0.55149999999999999</v>
      </c>
      <c r="F21" s="470"/>
      <c r="G21" s="470"/>
      <c r="K21" s="469">
        <f t="shared" si="3"/>
        <v>7.8365</v>
      </c>
      <c r="L21" s="469">
        <f t="shared" si="4"/>
        <v>1.35373225</v>
      </c>
    </row>
    <row r="22" spans="1:13" ht="18" customHeight="1">
      <c r="C22" s="427">
        <f t="shared" si="0"/>
        <v>0</v>
      </c>
      <c r="D22" s="553" t="s">
        <v>156</v>
      </c>
      <c r="E22" s="554"/>
      <c r="F22" s="471"/>
      <c r="G22" s="471"/>
      <c r="K22" s="469">
        <f t="shared" si="3"/>
        <v>1.5455000000000001</v>
      </c>
      <c r="L22" s="469">
        <f t="shared" si="4"/>
        <v>0.29757025000000009</v>
      </c>
    </row>
    <row r="23" spans="1:13" ht="18" customHeight="1" thickBot="1">
      <c r="C23" s="427">
        <f t="shared" si="0"/>
        <v>0</v>
      </c>
      <c r="D23" s="555">
        <f>SUM(L19:L30)</f>
        <v>7.624242500000002</v>
      </c>
      <c r="E23" s="556"/>
      <c r="F23" s="472"/>
      <c r="G23" s="473"/>
      <c r="K23" s="469">
        <f t="shared" si="3"/>
        <v>-2.6484999999999999</v>
      </c>
      <c r="L23" s="469">
        <f t="shared" si="4"/>
        <v>0.42055224999999979</v>
      </c>
    </row>
    <row r="24" spans="1:13">
      <c r="C24" s="207">
        <f t="shared" si="0"/>
        <v>0</v>
      </c>
      <c r="K24" s="469">
        <f t="shared" si="3"/>
        <v>-4.7454999999999998</v>
      </c>
      <c r="L24" s="469">
        <f t="shared" si="4"/>
        <v>1.5737702500000004</v>
      </c>
    </row>
    <row r="25" spans="1:13">
      <c r="C25" s="207">
        <f t="shared" si="0"/>
        <v>0</v>
      </c>
      <c r="K25" s="469">
        <f t="shared" si="3"/>
        <v>-0.55149999999999999</v>
      </c>
      <c r="L25" s="469">
        <f t="shared" si="4"/>
        <v>0.20115225</v>
      </c>
    </row>
    <row r="26" spans="1:13">
      <c r="C26" s="207">
        <f t="shared" si="0"/>
        <v>0</v>
      </c>
      <c r="K26" s="469">
        <f t="shared" si="3"/>
        <v>3.6425000000000001</v>
      </c>
      <c r="L26" s="469">
        <f t="shared" si="4"/>
        <v>0.4128062500000001</v>
      </c>
    </row>
    <row r="27" spans="1:13">
      <c r="C27" s="207">
        <f t="shared" si="0"/>
        <v>0</v>
      </c>
      <c r="K27" s="469">
        <f t="shared" si="3"/>
        <v>5.7395000000000005</v>
      </c>
      <c r="L27" s="469">
        <f t="shared" si="4"/>
        <v>6.7860249999999747E-2</v>
      </c>
    </row>
    <row r="28" spans="1:13">
      <c r="C28" s="207">
        <f t="shared" si="0"/>
        <v>0</v>
      </c>
      <c r="K28" s="469">
        <f t="shared" si="3"/>
        <v>-8.9395000000000007</v>
      </c>
      <c r="L28" s="469">
        <f t="shared" si="4"/>
        <v>0.88266025000000126</v>
      </c>
    </row>
    <row r="29" spans="1:13">
      <c r="C29" s="207">
        <f t="shared" si="0"/>
        <v>0</v>
      </c>
      <c r="K29" s="469">
        <f t="shared" si="3"/>
        <v>0</v>
      </c>
      <c r="L29" s="469">
        <f t="shared" si="4"/>
        <v>0</v>
      </c>
    </row>
    <row r="30" spans="1:13">
      <c r="C30" s="207">
        <f t="shared" si="0"/>
        <v>0</v>
      </c>
      <c r="K30" s="469">
        <f t="shared" si="3"/>
        <v>0</v>
      </c>
      <c r="L30" s="469">
        <f t="shared" si="4"/>
        <v>0</v>
      </c>
    </row>
    <row r="31" spans="1:13">
      <c r="C31" s="207">
        <f t="shared" si="0"/>
        <v>0</v>
      </c>
      <c r="K31" s="469"/>
      <c r="L31" s="469"/>
    </row>
    <row r="32" spans="1:13">
      <c r="C32" s="207">
        <f t="shared" si="0"/>
        <v>0</v>
      </c>
      <c r="K32" s="469"/>
      <c r="L32" s="469"/>
    </row>
    <row r="33" spans="3:12" ht="15.75" thickBot="1">
      <c r="C33" s="217">
        <f t="shared" si="0"/>
        <v>0</v>
      </c>
      <c r="K33" s="429"/>
      <c r="L33" s="429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63" t="s">
        <v>13</v>
      </c>
      <c r="L20" s="563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2018-02-12T14:54:54Z</dcterms:modified>
</cp:coreProperties>
</file>