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3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fredmath\Statistic\excel\"/>
    </mc:Choice>
  </mc:AlternateContent>
  <xr:revisionPtr revIDLastSave="0" documentId="13_ncr:1_{387AD107-4300-4D2F-9E2C-0287B6618B2C}" xr6:coauthVersionLast="45" xr6:coauthVersionMax="45" xr10:uidLastSave="{00000000-0000-0000-0000-000000000000}"/>
  <bookViews>
    <workbookView xWindow="234" yWindow="48" windowWidth="9504" windowHeight="11712" activeTab="4" xr2:uid="{00000000-000D-0000-FFFF-FFFF00000000}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H16" i="1"/>
  <c r="G18" i="1" l="1"/>
  <c r="I18" i="1" s="1"/>
  <c r="G16" i="1"/>
  <c r="AD9" i="9" l="1"/>
  <c r="AD10" i="9"/>
  <c r="AD11" i="9"/>
  <c r="AD12" i="9"/>
  <c r="AD13" i="9"/>
  <c r="AD14" i="9"/>
  <c r="D16" i="9" l="1"/>
  <c r="C16" i="9"/>
  <c r="L32" i="9" l="1"/>
  <c r="L30" i="9"/>
  <c r="M30" i="9" s="1"/>
  <c r="N30" i="9" s="1"/>
  <c r="P30" i="9" s="1"/>
  <c r="O30" i="9" l="1"/>
  <c r="D5" i="11"/>
  <c r="D6" i="11"/>
  <c r="L6" i="11"/>
  <c r="K29" i="11"/>
  <c r="I15" i="11" l="1"/>
  <c r="M17" i="6" l="1"/>
  <c r="N17" i="6" l="1"/>
  <c r="X3" i="6"/>
  <c r="X2" i="6"/>
  <c r="N8" i="6" l="1"/>
  <c r="K16" i="10" l="1"/>
  <c r="L16" i="10" s="1"/>
  <c r="K17" i="10"/>
  <c r="L17" i="10" s="1"/>
  <c r="K18" i="10"/>
  <c r="L18" i="10" s="1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G8" i="1" l="1"/>
  <c r="H8" i="1" s="1"/>
  <c r="E8" i="1"/>
  <c r="F8" i="1" s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R5" i="9" l="1"/>
  <c r="AD5" i="9" s="1"/>
  <c r="R4" i="9"/>
  <c r="AD4" i="9" s="1"/>
  <c r="R6" i="9"/>
  <c r="AD6" i="9" s="1"/>
  <c r="R7" i="9"/>
  <c r="AD7" i="9" s="1"/>
  <c r="R8" i="9"/>
  <c r="AD8" i="9" s="1"/>
  <c r="AA5" i="9"/>
  <c r="AA9" i="9"/>
  <c r="AA13" i="9"/>
  <c r="AA6" i="9"/>
  <c r="AA10" i="9"/>
  <c r="AA14" i="9"/>
  <c r="AA7" i="9"/>
  <c r="AA11" i="9"/>
  <c r="AA4" i="9"/>
  <c r="AA8" i="9"/>
  <c r="AA12" i="9"/>
  <c r="C10" i="9"/>
  <c r="C11" i="9"/>
  <c r="C12" i="9"/>
  <c r="C13" i="9"/>
  <c r="C14" i="9"/>
  <c r="C15" i="9"/>
  <c r="W9" i="9" l="1"/>
  <c r="J6" i="11"/>
  <c r="J5" i="11" l="1"/>
  <c r="G12" i="10" l="1"/>
  <c r="T3" i="6" l="1"/>
  <c r="T6" i="6" s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Y12" i="9" l="1"/>
  <c r="U7" i="9"/>
  <c r="U6" i="9"/>
  <c r="Q5" i="9"/>
  <c r="V4" i="9" s="1"/>
  <c r="W4" i="9"/>
  <c r="D17" i="9"/>
  <c r="AG12" i="9" l="1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L15" i="11"/>
  <c r="K15" i="11"/>
  <c r="M15" i="11" s="1"/>
  <c r="C4" i="11" l="1"/>
  <c r="C5" i="11"/>
  <c r="H2" i="11"/>
  <c r="J2" i="11" s="1"/>
  <c r="C6" i="11"/>
  <c r="C3" i="11"/>
  <c r="C2" i="11"/>
  <c r="F3" i="11" l="1"/>
  <c r="F4" i="11" s="1"/>
  <c r="H3" i="11" s="1"/>
  <c r="J3" i="11" s="1"/>
  <c r="I9" i="11"/>
  <c r="K17" i="6"/>
  <c r="J9" i="11" l="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E16" i="1"/>
  <c r="G10" i="1" l="1"/>
  <c r="G24" i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P8" i="9" l="1"/>
  <c r="F31" i="9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K15" i="10" l="1"/>
  <c r="L15" i="10" s="1"/>
  <c r="K14" i="10"/>
  <c r="L14" i="10" s="1"/>
  <c r="K5" i="10"/>
  <c r="L5" i="10" s="1"/>
  <c r="K4" i="10"/>
  <c r="L4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F7" i="10"/>
  <c r="F10" i="10" s="1"/>
  <c r="O11" i="9"/>
  <c r="P13" i="9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l="1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D10" i="5" s="1"/>
  <c r="C8" i="5"/>
  <c r="D8" i="5" s="1"/>
  <c r="C9" i="5"/>
  <c r="C7" i="5"/>
  <c r="C6" i="5"/>
  <c r="D6" i="5" s="1"/>
  <c r="C5" i="5"/>
  <c r="D5" i="5" s="1"/>
  <c r="C4" i="5"/>
  <c r="D4" i="5" s="1"/>
  <c r="C13" i="5"/>
  <c r="D13" i="5" s="1"/>
  <c r="C12" i="5"/>
  <c r="D12" i="5" s="1"/>
  <c r="H18" i="1"/>
  <c r="D7" i="5"/>
  <c r="D9" i="5"/>
  <c r="D11" i="5"/>
  <c r="E1" i="4" l="1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<sst xmlns="http://schemas.openxmlformats.org/spreadsheetml/2006/main" count="373" uniqueCount="179">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</sst>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4" fillId="0" borderId="0"/>
    <xf numFmtId="0" fontId="75" fillId="0" borderId="0"/>
    <xf numFmtId="0" fontId="76" fillId="0" borderId="0"/>
    <xf numFmtId="0" fontId="78" fillId="0" borderId="0"/>
    <xf numFmtId="0" fontId="79" fillId="0" borderId="0"/>
  </cellStyleXfs>
  <cellXfs count="5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6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59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3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59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0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69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164" fontId="72" fillId="0" borderId="0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1" fillId="0" borderId="4" xfId="0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2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2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10" fontId="72" fillId="0" borderId="0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 wrapText="1"/>
    </xf>
    <xf numFmtId="164" fontId="72" fillId="0" borderId="8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4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165" fontId="23" fillId="0" borderId="18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0" fontId="77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4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0" fontId="74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4" fillId="0" borderId="6" xfId="1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9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165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164" fontId="24" fillId="0" borderId="6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39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4" fontId="2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2" fillId="0" borderId="7" xfId="0" applyFont="1" applyBorder="1" applyAlignment="1">
      <alignment horizontal="center" vertical="center"/>
    </xf>
    <xf numFmtId="0" fontId="74" fillId="0" borderId="0" xfId="1" applyNumberFormat="1" applyFont="1" applyBorder="1"/>
    <xf numFmtId="0" fontId="23" fillId="0" borderId="49" xfId="0" applyFont="1" applyBorder="1" applyAlignment="1">
      <alignment horizontal="center" vertical="center" wrapText="1"/>
    </xf>
    <xf numFmtId="0" fontId="68" fillId="0" borderId="5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82" fillId="15" borderId="0" xfId="0" applyFont="1" applyFill="1" applyBorder="1"/>
    <xf numFmtId="0" fontId="0" fillId="0" borderId="0" xfId="0" applyAlignment="1">
      <alignment horizontal="center" vertical="center" wrapText="1"/>
    </xf>
    <xf numFmtId="164" fontId="25" fillId="0" borderId="9" xfId="0" applyNumberFormat="1" applyFont="1" applyBorder="1" applyAlignment="1">
      <alignment horizontal="center" vertical="center" wrapText="1"/>
    </xf>
    <xf numFmtId="0" fontId="74" fillId="0" borderId="6" xfId="1" applyNumberFormat="1" applyFont="1" applyBorder="1"/>
    <xf numFmtId="2" fontId="83" fillId="0" borderId="0" xfId="0" applyNumberFormat="1" applyFont="1"/>
    <xf numFmtId="2" fontId="9" fillId="0" borderId="0" xfId="0" applyNumberFormat="1" applyFont="1" applyBorder="1"/>
    <xf numFmtId="0" fontId="79" fillId="0" borderId="6" xfId="5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74" fillId="0" borderId="6" xfId="1" applyNumberFormat="1" applyFont="1" applyBorder="1"/>
    <xf numFmtId="0" fontId="74" fillId="0" borderId="6" xfId="1" applyNumberFormat="1" applyFont="1" applyBorder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816932</c:v>
                </c:pt>
                <c:pt idx="1">
                  <c:v>951545</c:v>
                </c:pt>
                <c:pt idx="2">
                  <c:v>991305</c:v>
                </c:pt>
                <c:pt idx="3">
                  <c:v>856472</c:v>
                </c:pt>
                <c:pt idx="4">
                  <c:v>852244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133</c:v>
                </c:pt>
                <c:pt idx="1">
                  <c:v>137</c:v>
                </c:pt>
                <c:pt idx="2">
                  <c:v>138</c:v>
                </c:pt>
                <c:pt idx="3">
                  <c:v>140</c:v>
                </c:pt>
                <c:pt idx="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5824"/>
        <c:axId val="283062352"/>
      </c:scatterChart>
      <c:valAx>
        <c:axId val="2830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62352"/>
        <c:crosses val="autoZero"/>
        <c:crossBetween val="midCat"/>
      </c:valAx>
      <c:valAx>
        <c:axId val="2830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729096"/>
        <c:axId val="282729480"/>
      </c:barChart>
      <c:catAx>
        <c:axId val="28272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480"/>
        <c:crosses val="autoZero"/>
        <c:auto val="1"/>
        <c:lblAlgn val="ctr"/>
        <c:lblOffset val="100"/>
        <c:noMultiLvlLbl val="0"/>
      </c:catAx>
      <c:valAx>
        <c:axId val="2827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13504"/>
        <c:axId val="282313888"/>
      </c:lineChart>
      <c:catAx>
        <c:axId val="28231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3888"/>
        <c:crosses val="autoZero"/>
        <c:auto val="1"/>
        <c:lblAlgn val="ctr"/>
        <c:lblOffset val="100"/>
        <c:noMultiLvlLbl val="0"/>
      </c:catAx>
      <c:valAx>
        <c:axId val="282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07480"/>
        <c:axId val="282307864"/>
      </c:lineChart>
      <c:catAx>
        <c:axId val="28230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864"/>
        <c:crosses val="autoZero"/>
        <c:auto val="1"/>
        <c:lblAlgn val="ctr"/>
        <c:lblOffset val="100"/>
        <c:noMultiLvlLbl val="0"/>
      </c:catAx>
      <c:valAx>
        <c:axId val="282307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89264"/>
        <c:axId val="283371096"/>
      </c:barChart>
      <c:catAx>
        <c:axId val="28248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1096"/>
        <c:crosses val="autoZero"/>
        <c:auto val="1"/>
        <c:lblAlgn val="ctr"/>
        <c:lblOffset val="100"/>
        <c:noMultiLvlLbl val="0"/>
      </c:catAx>
      <c:valAx>
        <c:axId val="28337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125730</xdr:colOff>
          <xdr:row>3</xdr:row>
          <xdr:rowOff>0</xdr:rowOff>
        </xdr:from>
        <xdr:to>
          <xdr:col>8</xdr:col>
          <xdr:colOff>506730</xdr:colOff>
          <xdr:row>4</xdr:row>
          <xdr:rowOff>30480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125730</xdr:colOff>
          <xdr:row>3</xdr:row>
          <xdr:rowOff>0</xdr:rowOff>
        </xdr:from>
        <xdr:to>
          <xdr:col>10</xdr:col>
          <xdr:colOff>495300</xdr:colOff>
          <xdr:row>4</xdr:row>
          <xdr:rowOff>30480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11430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87630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11430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</xdr:colOff>
          <xdr:row>6</xdr:row>
          <xdr:rowOff>49530</xdr:rowOff>
        </xdr:from>
        <xdr:to>
          <xdr:col>14</xdr:col>
          <xdr:colOff>487680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125730</xdr:colOff>
          <xdr:row>13</xdr:row>
          <xdr:rowOff>11430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13</xdr:row>
          <xdr:rowOff>0</xdr:rowOff>
        </xdr:from>
        <xdr:to>
          <xdr:col>18</xdr:col>
          <xdr:colOff>457200</xdr:colOff>
          <xdr:row>13</xdr:row>
          <xdr:rowOff>201930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11430</xdr:rowOff>
        </xdr:from>
        <xdr:to>
          <xdr:col>17</xdr:col>
          <xdr:colOff>506730</xdr:colOff>
          <xdr:row>18</xdr:row>
          <xdr:rowOff>201930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163830</xdr:colOff>
          <xdr:row>18</xdr:row>
          <xdr:rowOff>11430</xdr:rowOff>
        </xdr:from>
        <xdr:to>
          <xdr:col>16</xdr:col>
          <xdr:colOff>476250</xdr:colOff>
          <xdr:row>18</xdr:row>
          <xdr:rowOff>201930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30480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163830</xdr:colOff>
          <xdr:row>21</xdr:row>
          <xdr:rowOff>30480</xdr:rowOff>
        </xdr:from>
        <xdr:to>
          <xdr:col>6</xdr:col>
          <xdr:colOff>316230</xdr:colOff>
          <xdr:row>21</xdr:row>
          <xdr:rowOff>182880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11430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125730</xdr:colOff>
          <xdr:row>31</xdr:row>
          <xdr:rowOff>11430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31</xdr:row>
          <xdr:rowOff>19050</xdr:rowOff>
        </xdr:from>
        <xdr:to>
          <xdr:col>10</xdr:col>
          <xdr:colOff>457200</xdr:colOff>
          <xdr:row>31</xdr:row>
          <xdr:rowOff>220980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259080</xdr:colOff>
          <xdr:row>27</xdr:row>
          <xdr:rowOff>201930</xdr:rowOff>
        </xdr:from>
        <xdr:to>
          <xdr:col>14</xdr:col>
          <xdr:colOff>438150</xdr:colOff>
          <xdr:row>28</xdr:row>
          <xdr:rowOff>182880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11430</xdr:rowOff>
        </xdr:from>
        <xdr:to>
          <xdr:col>14</xdr:col>
          <xdr:colOff>354330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163830</xdr:colOff>
          <xdr:row>8</xdr:row>
          <xdr:rowOff>30480</xdr:rowOff>
        </xdr:from>
        <xdr:to>
          <xdr:col>14</xdr:col>
          <xdr:colOff>316230</xdr:colOff>
          <xdr:row>8</xdr:row>
          <xdr:rowOff>182880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30480</xdr:rowOff>
        </xdr:from>
        <xdr:to>
          <xdr:col>23</xdr:col>
          <xdr:colOff>373380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163830</xdr:colOff>
          <xdr:row>2</xdr:row>
          <xdr:rowOff>30480</xdr:rowOff>
        </xdr:from>
        <xdr:to>
          <xdr:col>21</xdr:col>
          <xdr:colOff>316230</xdr:colOff>
          <xdr:row>2</xdr:row>
          <xdr:rowOff>182880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11430</xdr:rowOff>
        </xdr:from>
        <xdr:to>
          <xdr:col>24</xdr:col>
          <xdr:colOff>506730</xdr:colOff>
          <xdr:row>2</xdr:row>
          <xdr:rowOff>201930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163830</xdr:colOff>
          <xdr:row>2</xdr:row>
          <xdr:rowOff>11430</xdr:rowOff>
        </xdr:from>
        <xdr:to>
          <xdr:col>23</xdr:col>
          <xdr:colOff>476250</xdr:colOff>
          <xdr:row>2</xdr:row>
          <xdr:rowOff>201930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11430</xdr:rowOff>
        </xdr:from>
        <xdr:to>
          <xdr:col>25</xdr:col>
          <xdr:colOff>506730</xdr:colOff>
          <xdr:row>2</xdr:row>
          <xdr:rowOff>201930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125730</xdr:colOff>
          <xdr:row>25</xdr:row>
          <xdr:rowOff>30480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125730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163830</xdr:colOff>
          <xdr:row>27</xdr:row>
          <xdr:rowOff>0</xdr:rowOff>
        </xdr:from>
        <xdr:to>
          <xdr:col>16</xdr:col>
          <xdr:colOff>381000</xdr:colOff>
          <xdr:row>27</xdr:row>
          <xdr:rowOff>201930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163830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201930</xdr:rowOff>
        </xdr:from>
        <xdr:to>
          <xdr:col>21</xdr:col>
          <xdr:colOff>411480</xdr:colOff>
          <xdr:row>11</xdr:row>
          <xdr:rowOff>11430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30480</xdr:rowOff>
        </xdr:from>
        <xdr:to>
          <xdr:col>23</xdr:col>
          <xdr:colOff>373380</xdr:colOff>
          <xdr:row>10</xdr:row>
          <xdr:rowOff>11430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11430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506730</xdr:colOff>
          <xdr:row>11</xdr:row>
          <xdr:rowOff>30480</xdr:rowOff>
        </xdr:from>
        <xdr:to>
          <xdr:col>14</xdr:col>
          <xdr:colOff>125730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49530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11430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6</xdr:row>
          <xdr:rowOff>49530</xdr:rowOff>
        </xdr:from>
        <xdr:to>
          <xdr:col>13</xdr:col>
          <xdr:colOff>411480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220980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220980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19</xdr:row>
          <xdr:rowOff>11430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259080</xdr:colOff>
          <xdr:row>22</xdr:row>
          <xdr:rowOff>11430</xdr:rowOff>
        </xdr:from>
        <xdr:to>
          <xdr:col>4</xdr:col>
          <xdr:colOff>449580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506730</xdr:colOff>
          <xdr:row>10</xdr:row>
          <xdr:rowOff>11430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201930</xdr:rowOff>
        </xdr:from>
        <xdr:to>
          <xdr:col>4</xdr:col>
          <xdr:colOff>419100</xdr:colOff>
          <xdr:row>6</xdr:row>
          <xdr:rowOff>220980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468630</xdr:colOff>
          <xdr:row>6</xdr:row>
          <xdr:rowOff>201930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6</xdr:row>
          <xdr:rowOff>0</xdr:rowOff>
        </xdr:from>
        <xdr:to>
          <xdr:col>6</xdr:col>
          <xdr:colOff>373380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544830</xdr:colOff>
          <xdr:row>8</xdr:row>
          <xdr:rowOff>11430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220980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11430</xdr:rowOff>
        </xdr:from>
        <xdr:to>
          <xdr:col>9</xdr:col>
          <xdr:colOff>468630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544830</xdr:colOff>
          <xdr:row>22</xdr:row>
          <xdr:rowOff>11430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240030</xdr:colOff>
          <xdr:row>2</xdr:row>
          <xdr:rowOff>68580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430530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87630</xdr:colOff>
          <xdr:row>5</xdr:row>
          <xdr:rowOff>11430</xdr:rowOff>
        </xdr:from>
        <xdr:to>
          <xdr:col>21</xdr:col>
          <xdr:colOff>228600</xdr:colOff>
          <xdr:row>6</xdr:row>
          <xdr:rowOff>11430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30</xdr:row>
          <xdr:rowOff>201930</xdr:rowOff>
        </xdr:from>
        <xdr:to>
          <xdr:col>9</xdr:col>
          <xdr:colOff>438150</xdr:colOff>
          <xdr:row>31</xdr:row>
          <xdr:rowOff>182880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11430</xdr:rowOff>
        </xdr:from>
        <xdr:to>
          <xdr:col>9</xdr:col>
          <xdr:colOff>354330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163830</xdr:colOff>
          <xdr:row>30</xdr:row>
          <xdr:rowOff>0</xdr:rowOff>
        </xdr:from>
        <xdr:to>
          <xdr:col>11</xdr:col>
          <xdr:colOff>381000</xdr:colOff>
          <xdr:row>30</xdr:row>
          <xdr:rowOff>201930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10</xdr:row>
          <xdr:rowOff>19050</xdr:rowOff>
        </xdr:from>
        <xdr:to>
          <xdr:col>24</xdr:col>
          <xdr:colOff>430530</xdr:colOff>
          <xdr:row>10</xdr:row>
          <xdr:rowOff>220980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201930</xdr:colOff>
          <xdr:row>4</xdr:row>
          <xdr:rowOff>11430</xdr:rowOff>
        </xdr:from>
        <xdr:to>
          <xdr:col>5</xdr:col>
          <xdr:colOff>449580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201930</xdr:colOff>
          <xdr:row>15</xdr:row>
          <xdr:rowOff>11430</xdr:rowOff>
        </xdr:from>
        <xdr:to>
          <xdr:col>5</xdr:col>
          <xdr:colOff>449580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4"/>
  <sheetViews>
    <sheetView topLeftCell="D1" zoomScale="110" zoomScaleNormal="110" workbookViewId="0">
      <selection activeCell="I16" sqref="I16"/>
    </sheetView>
  </sheetViews>
  <sheetFormatPr defaultRowHeight="14.4"/>
  <cols>
    <col min="1" max="1" width="3.41796875" customWidth="1"/>
    <col min="2" max="3" width="7.26171875" customWidth="1"/>
    <col min="4" max="4" width="1" customWidth="1"/>
    <col min="5" max="5" width="11.578125" customWidth="1"/>
    <col min="6" max="6" width="9.578125" customWidth="1"/>
    <col min="7" max="7" width="11.41796875" customWidth="1"/>
    <col min="8" max="8" width="10.26171875" customWidth="1"/>
    <col min="9" max="9" width="6.83984375" customWidth="1"/>
    <col min="10" max="10" width="7.26171875" style="109" customWidth="1"/>
    <col min="11" max="11" width="8.83984375" style="109" customWidth="1"/>
    <col min="12" max="12" width="6" customWidth="1"/>
    <col min="13" max="14" width="6.15625" customWidth="1"/>
    <col min="15" max="16" width="6.68359375" customWidth="1"/>
    <col min="17" max="18" width="1.26171875" customWidth="1"/>
  </cols>
  <sheetData>
    <row r="1" spans="2:20" ht="14.7" thickBot="1">
      <c r="I1" s="12"/>
      <c r="J1" s="108"/>
      <c r="K1" s="108"/>
      <c r="L1" s="12"/>
      <c r="M1" s="12"/>
      <c r="N1" s="8"/>
    </row>
    <row r="2" spans="2:20" ht="15.9" thickBot="1">
      <c r="B2" s="23">
        <f>COUNT(B5:B60)</f>
        <v>13</v>
      </c>
      <c r="E2" s="527" t="s">
        <v>3</v>
      </c>
      <c r="F2" s="528"/>
      <c r="G2" s="529" t="s">
        <v>4</v>
      </c>
      <c r="H2" s="530"/>
      <c r="I2" s="12"/>
      <c r="J2" s="108"/>
      <c r="K2" s="108"/>
      <c r="L2" s="12"/>
      <c r="M2" s="12"/>
      <c r="N2" s="8"/>
      <c r="O2" s="62"/>
    </row>
    <row r="3" spans="2:20" ht="17.100000000000001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5.9" thickBot="1">
      <c r="B4" s="454"/>
      <c r="C4" s="454"/>
      <c r="D4" s="5"/>
      <c r="E4" s="20">
        <f>IF(B5="","",AVERAGE(B5:B60))</f>
        <v>0.6074615384615385</v>
      </c>
      <c r="F4" s="19">
        <f>MEDIAN(B5:B60)</f>
        <v>0.60899999999999999</v>
      </c>
      <c r="G4" s="20">
        <f>IF(C5="","",AVERAGE(C5:C60))</f>
        <v>70.333333333333329</v>
      </c>
      <c r="H4" s="19">
        <f>MEDIAN(C5:C60)</f>
        <v>67</v>
      </c>
      <c r="J4" s="415" t="s">
        <v>12</v>
      </c>
      <c r="K4" s="448"/>
      <c r="L4" s="23"/>
      <c r="M4" s="17" t="s">
        <v>7</v>
      </c>
      <c r="N4" s="17" t="s">
        <v>8</v>
      </c>
      <c r="O4" s="457"/>
      <c r="P4" s="457"/>
      <c r="R4" s="5">
        <f>SUM(R5:R20)</f>
        <v>175</v>
      </c>
      <c r="S4" s="51">
        <f>IF(O5="","",SUM(R5:R26)/SUM(P5:P26))</f>
        <v>4.6052631578947372</v>
      </c>
      <c r="T4" s="11"/>
    </row>
    <row r="5" spans="2:20" ht="15.9" thickBot="1">
      <c r="B5" s="523">
        <v>0.6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52">
        <f>SUM(J6:J16)</f>
        <v>87.95</v>
      </c>
      <c r="K5" s="447" t="s">
        <v>163</v>
      </c>
      <c r="M5">
        <v>1</v>
      </c>
      <c r="N5">
        <v>2</v>
      </c>
      <c r="O5" s="61">
        <f>SUM(M5:N5)/2</f>
        <v>1.5</v>
      </c>
      <c r="P5" s="456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5.6" thickBot="1">
      <c r="B6" s="523">
        <v>0.60799999999999998</v>
      </c>
      <c r="C6" s="3">
        <v>65</v>
      </c>
      <c r="D6" s="5"/>
      <c r="E6" s="20">
        <f>_xlfn.STDEV.S(B5:B60)</f>
        <v>4.1756313817071381E-3</v>
      </c>
      <c r="F6" s="21">
        <f>E6^2</f>
        <v>1.7435897435897461E-5</v>
      </c>
      <c r="G6" s="20">
        <f>_xlfn.STDEV.S(C5:C60)</f>
        <v>7.5718777944003657</v>
      </c>
      <c r="H6" s="21">
        <f>G6^2</f>
        <v>57.33333333333335</v>
      </c>
      <c r="J6" s="440">
        <f>0.15*100</f>
        <v>15</v>
      </c>
      <c r="K6" s="445">
        <f>IF(J6="","",J6/J$5)</f>
        <v>0.17055144968732233</v>
      </c>
      <c r="M6">
        <v>3</v>
      </c>
      <c r="O6" s="61">
        <f>O5+M$6-M$5</f>
        <v>3.5</v>
      </c>
      <c r="P6" s="456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6">
      <c r="B7" s="523">
        <v>0.61</v>
      </c>
      <c r="C7" s="3">
        <v>67</v>
      </c>
      <c r="D7" s="5"/>
      <c r="E7" s="10" t="s">
        <v>164</v>
      </c>
      <c r="F7" s="14" t="s">
        <v>9</v>
      </c>
      <c r="G7" s="10" t="s">
        <v>164</v>
      </c>
      <c r="H7" s="14" t="s">
        <v>9</v>
      </c>
      <c r="J7" s="439">
        <f>0.2*89</f>
        <v>17.8</v>
      </c>
      <c r="K7" s="445">
        <f t="shared" ref="K7:K14" si="2">IF(J7="","",J7/J$5)</f>
        <v>0.20238772029562252</v>
      </c>
      <c r="O7" s="61">
        <f t="shared" ref="O7:O18" si="3">O6+M$6-M$5</f>
        <v>5.5</v>
      </c>
      <c r="P7" s="456">
        <v>8</v>
      </c>
      <c r="Q7" s="12">
        <f t="shared" si="0"/>
        <v>242</v>
      </c>
      <c r="R7" s="5">
        <f t="shared" si="1"/>
        <v>44</v>
      </c>
    </row>
    <row r="8" spans="2:20" ht="15.6" thickBot="1">
      <c r="B8" s="523">
        <v>0.61199999999999999</v>
      </c>
      <c r="C8" s="3"/>
      <c r="D8" s="5"/>
      <c r="E8" s="464">
        <f>_xlfn.STDEV.P(B5:B60)</f>
        <v>4.0118168647400951E-3</v>
      </c>
      <c r="F8" s="21">
        <f>E8^2</f>
        <v>1.6094674556213047E-5</v>
      </c>
      <c r="G8" s="464">
        <f>_xlfn.STDEV.P(C5:C60)</f>
        <v>6.1824123303304699</v>
      </c>
      <c r="H8" s="21">
        <f>G8^2</f>
        <v>38.222222222222229</v>
      </c>
      <c r="I8" s="7"/>
      <c r="J8" s="439">
        <f>0.5*86</f>
        <v>43</v>
      </c>
      <c r="K8" s="445">
        <f t="shared" si="2"/>
        <v>0.48891415577032404</v>
      </c>
      <c r="L8" s="7"/>
      <c r="M8" s="7"/>
      <c r="O8" s="61">
        <f t="shared" si="3"/>
        <v>7.5</v>
      </c>
      <c r="P8" s="456">
        <v>5</v>
      </c>
      <c r="Q8" s="12">
        <f t="shared" si="0"/>
        <v>281.25</v>
      </c>
      <c r="R8" s="5">
        <f t="shared" si="1"/>
        <v>37.5</v>
      </c>
    </row>
    <row r="9" spans="2:20" ht="15.3">
      <c r="B9" s="523">
        <v>0.61</v>
      </c>
      <c r="C9" s="3"/>
      <c r="D9" s="5"/>
      <c r="E9" s="9" t="s">
        <v>24</v>
      </c>
      <c r="G9" s="10" t="s">
        <v>24</v>
      </c>
      <c r="H9" s="24"/>
      <c r="J9" s="439">
        <f>0.15*81</f>
        <v>12.15</v>
      </c>
      <c r="K9" s="445">
        <f t="shared" si="2"/>
        <v>0.1381466742467311</v>
      </c>
      <c r="O9" s="61">
        <f t="shared" si="3"/>
        <v>9.5</v>
      </c>
      <c r="P9" s="456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5.6" thickBot="1">
      <c r="B10" s="523">
        <v>0.60699999999999998</v>
      </c>
      <c r="C10" s="3"/>
      <c r="D10" s="5"/>
      <c r="E10" s="64">
        <f>E6/E4</f>
        <v>6.8739024898306685E-3</v>
      </c>
      <c r="G10" s="65">
        <f>G6/G4</f>
        <v>0.10765703025213791</v>
      </c>
      <c r="H10" s="22"/>
      <c r="J10" s="439"/>
      <c r="K10" s="445" t="str">
        <f t="shared" si="2"/>
        <v/>
      </c>
      <c r="O10" s="61">
        <f t="shared" si="3"/>
        <v>11.5</v>
      </c>
      <c r="P10" s="456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3">
      <c r="B11" s="523">
        <v>0.60899999999999999</v>
      </c>
      <c r="C11" s="3"/>
      <c r="D11" s="5"/>
      <c r="E11" s="256" t="s">
        <v>108</v>
      </c>
      <c r="F11" s="244">
        <v>49.1</v>
      </c>
      <c r="G11" s="118"/>
      <c r="H11" s="118"/>
      <c r="J11" s="439"/>
      <c r="K11" s="445" t="str">
        <f t="shared" si="2"/>
        <v/>
      </c>
      <c r="O11" s="61">
        <f t="shared" si="3"/>
        <v>13.5</v>
      </c>
      <c r="P11" s="456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6">
      <c r="B12" s="523">
        <v>0.59899999999999998</v>
      </c>
      <c r="C12" s="3"/>
      <c r="D12" s="5"/>
      <c r="E12" s="243" t="s">
        <v>97</v>
      </c>
      <c r="F12" s="525">
        <f>(F11-E4)/(E6)</f>
        <v>11613.22301436318</v>
      </c>
      <c r="G12" s="29"/>
      <c r="H12" s="119"/>
      <c r="J12" s="439"/>
      <c r="K12" s="445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3">
      <c r="B13" s="523">
        <v>0.60499999999999998</v>
      </c>
      <c r="C13" s="3"/>
      <c r="D13" s="5"/>
      <c r="E13" s="118"/>
      <c r="F13" s="110"/>
      <c r="G13" s="110"/>
      <c r="H13" s="120"/>
      <c r="J13" s="444"/>
      <c r="K13" s="445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5.6" thickBot="1">
      <c r="B14" s="523">
        <v>0.61</v>
      </c>
      <c r="C14" s="3"/>
      <c r="D14" s="5"/>
      <c r="J14" s="444"/>
      <c r="K14" s="445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4.7" thickBot="1">
      <c r="B15" s="523">
        <v>0.60499999999999998</v>
      </c>
      <c r="C15" s="3"/>
      <c r="D15" s="5"/>
      <c r="E15" s="250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4.7" thickBot="1">
      <c r="B16" s="523">
        <v>0.61199999999999999</v>
      </c>
      <c r="C16" s="3"/>
      <c r="D16" s="5"/>
      <c r="E16" s="251">
        <f>MIN(B5:B60)</f>
        <v>0.59899999999999998</v>
      </c>
      <c r="F16" s="55">
        <f>IF(ISEVEN(ROUNDDOWN(COUNT(B5:B60)/2,0)),AVERAGE(SMALL(B5:B60,ROUNDDOWN(COUNT(B5:B60)/2,0)/2),SMALL(B5:B60,ROUNDDOWN(COUNT(B5:B60)/2,0)/2+1)),SMALL(B5:B60,ROUNDUP(ROUNDDOWN(COUNT(B5:B60)/2,0)/2,0)))</f>
        <v>0.60499999999999998</v>
      </c>
      <c r="G16" s="55">
        <f>QUARTILE($B$5:$B$60, 2)</f>
        <v>0.60899999999999999</v>
      </c>
      <c r="H16" s="55">
        <f>IF(ISEVEN(ROUNDDOWN(COUNT(B5:B60)/2,0)),AVERAGE(LARGE(B5:B60,ROUNDDOWN(COUNT(B5:B60)/2,0)/2),LARGE(B5:B60,ROUNDDOWN(COUNT(B5:B60)/2,0)/2+1)),LARGE(B5:B60,ROUNDUP(ROUNDDOWN(COUNT(B5:B60)/2,0)/2,0)))</f>
        <v>0.61</v>
      </c>
      <c r="I16" s="247">
        <f>MAX(B5:B60)</f>
        <v>0.61199999999999999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4.7" thickBot="1">
      <c r="B17" s="523">
        <v>0.61</v>
      </c>
      <c r="C17" s="3"/>
      <c r="D17" s="5"/>
      <c r="E17" s="252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5.9" thickBot="1">
      <c r="B18" s="523"/>
      <c r="C18" s="3"/>
      <c r="D18" s="5"/>
      <c r="E18" s="253">
        <v>75</v>
      </c>
      <c r="F18" s="59">
        <f xml:space="preserve">  INDEX(B5:B260, $E$26) + (INDEX(B5:B60, 1+ $E$26) -INDEX(B5:B60, $E$26))*E25</f>
        <v>0.60875000000000001</v>
      </c>
      <c r="G18" s="246">
        <f>H16-F16</f>
        <v>5.0000000000000044E-3</v>
      </c>
      <c r="H18" s="245">
        <f>F16-1.5*G18</f>
        <v>0.59749999999999992</v>
      </c>
      <c r="I18" s="245">
        <f>H16+1.5*G18</f>
        <v>0.61749999999999994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4.7" thickBot="1">
      <c r="B19" s="523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5.6" thickBot="1">
      <c r="B20" s="523"/>
      <c r="C20" s="3"/>
      <c r="D20" s="5"/>
      <c r="E20" s="254" t="s">
        <v>39</v>
      </c>
      <c r="F20" s="249">
        <v>0.9</v>
      </c>
      <c r="G20" s="219" t="s">
        <v>43</v>
      </c>
      <c r="J20"/>
      <c r="O20" s="61"/>
      <c r="P20" s="52"/>
      <c r="Q20" s="12">
        <f t="shared" si="0"/>
        <v>0</v>
      </c>
      <c r="R20" s="5">
        <f t="shared" si="1"/>
        <v>0</v>
      </c>
    </row>
    <row r="21" spans="2:18" ht="15.3">
      <c r="B21" s="523"/>
      <c r="C21" s="3"/>
      <c r="D21" s="5"/>
      <c r="E21" s="254" t="s">
        <v>41</v>
      </c>
      <c r="F21" s="249">
        <v>0.84</v>
      </c>
      <c r="G21" s="248">
        <f xml:space="preserve"> (F20-F21)/F22</f>
        <v>1.0000000000000009</v>
      </c>
      <c r="J21"/>
      <c r="K21" s="453"/>
      <c r="O21" s="61"/>
      <c r="P21" s="52"/>
      <c r="Q21" s="12">
        <f t="shared" si="0"/>
        <v>0</v>
      </c>
      <c r="R21" s="5">
        <f t="shared" si="1"/>
        <v>0</v>
      </c>
    </row>
    <row r="22" spans="2:18" ht="15.3">
      <c r="B22" s="523"/>
      <c r="C22" s="3"/>
      <c r="D22" s="5"/>
      <c r="E22" s="254" t="s">
        <v>42</v>
      </c>
      <c r="F22" s="249">
        <v>0.06</v>
      </c>
      <c r="G22" s="94"/>
      <c r="I22" s="524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52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5.75" customHeight="1">
      <c r="B24" s="480"/>
      <c r="C24" s="3"/>
      <c r="D24" s="5"/>
      <c r="E24" s="57">
        <f>E18*B2/100</f>
        <v>9.75</v>
      </c>
      <c r="F24" s="47"/>
      <c r="G24" s="48">
        <f>529.1+1.5*256.3</f>
        <v>913.55000000000007</v>
      </c>
      <c r="H24" s="465"/>
      <c r="O24" s="56"/>
      <c r="P24" s="52"/>
      <c r="Q24" s="29"/>
      <c r="R24" s="5">
        <f t="shared" si="1"/>
        <v>0</v>
      </c>
    </row>
    <row r="25" spans="2:18" ht="15.3">
      <c r="B25" s="523"/>
      <c r="C25" s="3"/>
      <c r="D25" s="5"/>
      <c r="E25" s="58">
        <f>E24 - INT(E24)</f>
        <v>0.75</v>
      </c>
      <c r="F25" s="49"/>
      <c r="G25" s="50"/>
      <c r="H25" s="465"/>
      <c r="O25" s="56"/>
      <c r="P25" s="52"/>
      <c r="Q25" s="29"/>
      <c r="R25" s="5">
        <f t="shared" si="1"/>
        <v>0</v>
      </c>
    </row>
    <row r="26" spans="2:18" ht="15.6" thickBot="1">
      <c r="B26" s="523"/>
      <c r="C26" s="3"/>
      <c r="D26" s="5"/>
      <c r="E26" s="58">
        <f>E24-E25</f>
        <v>9</v>
      </c>
      <c r="F26" s="49"/>
      <c r="G26" s="50"/>
      <c r="H26" s="465"/>
      <c r="O26" s="56"/>
      <c r="P26" s="52"/>
      <c r="Q26" s="29"/>
      <c r="R26" s="6">
        <f t="shared" ref="R26" si="4">O26*P26</f>
        <v>0</v>
      </c>
    </row>
    <row r="27" spans="2:18" ht="15.75" customHeight="1">
      <c r="B27" s="523"/>
      <c r="C27" s="3"/>
      <c r="D27" s="5"/>
      <c r="E27" s="46"/>
      <c r="F27" s="49"/>
      <c r="G27" s="50"/>
      <c r="H27" s="465"/>
    </row>
    <row r="28" spans="2:18" ht="15.3">
      <c r="B28" s="523"/>
      <c r="C28" s="3"/>
      <c r="D28" s="5"/>
      <c r="E28" s="46"/>
      <c r="F28" s="49"/>
      <c r="G28" s="50"/>
      <c r="H28" s="465"/>
    </row>
    <row r="29" spans="2:18" ht="15.3">
      <c r="B29" s="523"/>
      <c r="C29" s="3"/>
      <c r="D29" s="5"/>
      <c r="E29" s="46"/>
      <c r="F29" s="49"/>
      <c r="G29" s="50"/>
      <c r="H29" s="465"/>
    </row>
    <row r="30" spans="2:18" ht="15.6" thickBot="1">
      <c r="B30" s="480"/>
      <c r="D30" s="6"/>
      <c r="E30" s="46"/>
      <c r="F30" s="49"/>
      <c r="G30" s="50"/>
      <c r="H30" s="465"/>
    </row>
    <row r="31" spans="2:18">
      <c r="B31" s="480"/>
      <c r="D31" s="5"/>
      <c r="E31" s="29"/>
      <c r="F31" s="29"/>
      <c r="G31" s="29"/>
      <c r="H31" s="465"/>
    </row>
    <row r="32" spans="2:18">
      <c r="B32" s="480"/>
      <c r="D32" s="5"/>
      <c r="H32" s="466"/>
    </row>
    <row r="33" spans="2:6">
      <c r="B33" s="480"/>
      <c r="D33" s="5"/>
    </row>
    <row r="34" spans="2:6">
      <c r="B34" s="480"/>
      <c r="D34" s="5"/>
    </row>
    <row r="35" spans="2:6" ht="14.7" thickBot="1">
      <c r="B35" s="480"/>
      <c r="D35" s="6"/>
    </row>
    <row r="36" spans="2:6">
      <c r="B36" s="480"/>
    </row>
    <row r="37" spans="2:6">
      <c r="B37" s="480"/>
    </row>
    <row r="38" spans="2:6">
      <c r="B38" s="480"/>
    </row>
    <row r="39" spans="2:6">
      <c r="B39" s="480"/>
    </row>
    <row r="40" spans="2:6">
      <c r="B40" s="480"/>
    </row>
    <row r="41" spans="2:6">
      <c r="B41" s="480"/>
    </row>
    <row r="42" spans="2:6" ht="15.3">
      <c r="B42" s="480"/>
      <c r="E42" s="46"/>
      <c r="F42" s="43"/>
    </row>
    <row r="43" spans="2:6" ht="15.3">
      <c r="B43" s="480"/>
      <c r="E43" s="46"/>
      <c r="F43" s="43"/>
    </row>
    <row r="44" spans="2:6" ht="15.3">
      <c r="B44" s="480"/>
      <c r="E44" s="46"/>
      <c r="F44" s="43"/>
    </row>
    <row r="45" spans="2:6" ht="15.3">
      <c r="B45" s="480"/>
      <c r="E45" s="46"/>
      <c r="F45" s="43"/>
    </row>
    <row r="46" spans="2:6" ht="15.3">
      <c r="B46" s="480"/>
      <c r="E46" s="46"/>
      <c r="F46" s="43"/>
    </row>
    <row r="47" spans="2:6" ht="15.3">
      <c r="B47" s="480"/>
      <c r="E47" s="46"/>
      <c r="F47" s="43"/>
    </row>
    <row r="48" spans="2:6">
      <c r="B48" s="480"/>
    </row>
    <row r="49" spans="2:2">
      <c r="B49" s="480"/>
    </row>
    <row r="50" spans="2:2">
      <c r="B50" s="480"/>
    </row>
    <row r="51" spans="2:2">
      <c r="B51" s="480"/>
    </row>
    <row r="52" spans="2:2">
      <c r="B52" s="480"/>
    </row>
    <row r="53" spans="2:2">
      <c r="B53" s="480"/>
    </row>
    <row r="54" spans="2:2">
      <c r="B54" s="480"/>
    </row>
  </sheetData>
  <sortState xmlns:xlrd2="http://schemas.microsoft.com/office/spreadsheetml/2017/richdata2"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topLeftCell="G1" zoomScaleNormal="100" workbookViewId="0">
      <selection activeCell="J28" sqref="J28"/>
    </sheetView>
  </sheetViews>
  <sheetFormatPr defaultRowHeight="14.4"/>
  <cols>
    <col min="1" max="1" width="1.26171875" customWidth="1"/>
    <col min="2" max="2" width="6.15625" customWidth="1"/>
    <col min="3" max="3" width="11.578125" bestFit="1" customWidth="1"/>
    <col min="4" max="4" width="0.578125" style="82" customWidth="1"/>
    <col min="5" max="5" width="0.578125" style="83" customWidth="1"/>
    <col min="6" max="6" width="10" customWidth="1"/>
    <col min="7" max="7" width="8.83984375" customWidth="1"/>
    <col min="8" max="8" width="0.26171875" customWidth="1"/>
    <col min="9" max="9" width="5.68359375" customWidth="1"/>
    <col min="10" max="10" width="8.68359375" customWidth="1"/>
    <col min="11" max="13" width="12.26171875" customWidth="1"/>
    <col min="14" max="15" width="10.41796875" customWidth="1"/>
    <col min="16" max="16" width="1.83984375" customWidth="1"/>
    <col min="17" max="17" width="6.578125" customWidth="1"/>
    <col min="18" max="18" width="8.578125" customWidth="1"/>
    <col min="19" max="19" width="8.15625" customWidth="1"/>
    <col min="20" max="20" width="9.68359375" customWidth="1"/>
    <col min="21" max="21" width="4.83984375" customWidth="1"/>
  </cols>
  <sheetData>
    <row r="1" spans="1:24" ht="15.3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7" t="s">
        <v>36</v>
      </c>
      <c r="L1" s="258" t="s">
        <v>37</v>
      </c>
      <c r="M1" s="259" t="s">
        <v>38</v>
      </c>
      <c r="N1" s="66"/>
      <c r="O1" s="66"/>
      <c r="V1" s="68" t="s">
        <v>124</v>
      </c>
    </row>
    <row r="2" spans="1:24" ht="15.6" thickBot="1">
      <c r="A2" s="66"/>
      <c r="B2" s="483">
        <v>0</v>
      </c>
      <c r="C2" s="483">
        <v>0.28000000000000003</v>
      </c>
      <c r="D2" s="424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0"/>
      <c r="I2" s="68" t="s">
        <v>34</v>
      </c>
      <c r="J2" s="76">
        <v>3</v>
      </c>
      <c r="K2" s="266">
        <f>PERMUT(J3,J2)</f>
        <v>120</v>
      </c>
      <c r="L2" s="267">
        <f>COMBIN(J3,J2)</f>
        <v>20</v>
      </c>
      <c r="M2" s="268">
        <f>FACT(J3)</f>
        <v>720</v>
      </c>
      <c r="N2" s="66"/>
      <c r="O2" s="66"/>
      <c r="Q2" s="415" t="s">
        <v>30</v>
      </c>
      <c r="R2" s="70" t="s">
        <v>154</v>
      </c>
      <c r="S2" s="70" t="s">
        <v>155</v>
      </c>
      <c r="T2" s="100" t="s">
        <v>153</v>
      </c>
      <c r="V2" s="480">
        <v>10</v>
      </c>
      <c r="W2" s="484" t="s">
        <v>32</v>
      </c>
      <c r="X2" s="71">
        <f>AVERAGE(V2:V111)</f>
        <v>3.09</v>
      </c>
    </row>
    <row r="3" spans="1:24" ht="15.6" thickBot="1">
      <c r="A3" s="66"/>
      <c r="B3" s="483">
        <v>1</v>
      </c>
      <c r="C3" s="483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0"/>
      <c r="I3" s="68" t="s">
        <v>35</v>
      </c>
      <c r="J3" s="76">
        <v>6</v>
      </c>
      <c r="K3" s="94"/>
      <c r="L3" s="94"/>
      <c r="M3" s="94"/>
      <c r="N3" s="66"/>
      <c r="O3" s="66"/>
      <c r="Q3" s="416">
        <v>1</v>
      </c>
      <c r="R3" s="417">
        <v>38</v>
      </c>
      <c r="S3" s="418">
        <v>245</v>
      </c>
      <c r="T3" s="423">
        <f>S3*Q3/R3+S4*Q4/R4 + IF(R5 =0,R5=1, S5*Q5/R5)</f>
        <v>-0.36842105263157876</v>
      </c>
      <c r="V3" s="480">
        <v>10</v>
      </c>
      <c r="W3" s="485" t="s">
        <v>33</v>
      </c>
      <c r="X3" s="73">
        <f>_xlfn.STDEV.S(V2:V110)</f>
        <v>1.8537158968576135</v>
      </c>
    </row>
    <row r="4" spans="1:24" ht="15.6" thickBot="1">
      <c r="A4" s="66"/>
      <c r="B4" s="483">
        <v>2</v>
      </c>
      <c r="C4" s="483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0"/>
      <c r="I4" s="67"/>
      <c r="J4" s="76"/>
      <c r="K4" s="95"/>
      <c r="L4" s="95"/>
      <c r="M4" s="95"/>
      <c r="N4" s="66"/>
      <c r="O4" s="66"/>
      <c r="Q4" s="419">
        <v>37</v>
      </c>
      <c r="R4" s="249">
        <v>38</v>
      </c>
      <c r="S4" s="420">
        <v>-7</v>
      </c>
      <c r="T4" s="75"/>
      <c r="V4" s="480">
        <v>9</v>
      </c>
      <c r="W4" s="282"/>
    </row>
    <row r="5" spans="1:24" ht="15.6" thickBot="1">
      <c r="A5" s="66"/>
      <c r="B5" s="483">
        <v>3</v>
      </c>
      <c r="C5" s="483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0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7" t="s">
        <v>105</v>
      </c>
      <c r="O5" s="197" t="s">
        <v>107</v>
      </c>
      <c r="Q5" s="419"/>
      <c r="R5" s="249"/>
      <c r="S5" s="420"/>
      <c r="T5" s="75"/>
      <c r="V5" s="480">
        <v>8</v>
      </c>
    </row>
    <row r="6" spans="1:24" ht="15.6" thickBot="1">
      <c r="A6" s="66"/>
      <c r="B6" s="483">
        <v>5</v>
      </c>
      <c r="C6" s="483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0"/>
      <c r="I6" s="67" t="s">
        <v>40</v>
      </c>
      <c r="J6" s="271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78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5"/>
      <c r="Q6" s="421"/>
      <c r="R6" s="487" t="s">
        <v>168</v>
      </c>
      <c r="S6" s="422">
        <v>1000</v>
      </c>
      <c r="T6" s="486">
        <f>T3*S6</f>
        <v>-368.42105263157873</v>
      </c>
      <c r="V6" s="480">
        <v>7</v>
      </c>
    </row>
    <row r="7" spans="1:24" ht="16.2" thickBot="1">
      <c r="A7" s="66"/>
      <c r="B7" s="483"/>
      <c r="C7" s="483"/>
      <c r="D7" s="106">
        <f t="shared" si="0"/>
        <v>0</v>
      </c>
      <c r="E7" s="85">
        <f>B7*C7</f>
        <v>0</v>
      </c>
      <c r="F7" s="66"/>
      <c r="G7" s="66">
        <v>4</v>
      </c>
      <c r="H7" s="260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79" t="s">
        <v>167</v>
      </c>
      <c r="O7" s="197" t="s">
        <v>166</v>
      </c>
      <c r="V7" s="480">
        <v>7</v>
      </c>
    </row>
    <row r="8" spans="1:24" ht="15.6" thickBot="1">
      <c r="A8" s="66"/>
      <c r="B8" s="77"/>
      <c r="C8" s="475"/>
      <c r="D8" s="106">
        <f t="shared" si="0"/>
        <v>0</v>
      </c>
      <c r="E8" s="85">
        <f t="shared" si="1"/>
        <v>0</v>
      </c>
      <c r="F8" s="463">
        <f>B2*C2+B3*C3+B4*C4</f>
        <v>0.56000000000000005</v>
      </c>
      <c r="G8" s="66"/>
      <c r="H8" s="260"/>
      <c r="I8" s="67" t="s">
        <v>106</v>
      </c>
      <c r="J8" s="76">
        <v>37</v>
      </c>
      <c r="K8" s="477">
        <f>J5*J6</f>
        <v>31.5</v>
      </c>
      <c r="L8" s="319">
        <f>SQRT(J5*J6*(1-J6))</f>
        <v>3.4139420030223127</v>
      </c>
      <c r="M8" s="117">
        <f>ROUND((J7 - K8)/L8, 2)</f>
        <v>1.03</v>
      </c>
      <c r="N8" s="188">
        <f>J7/J6</f>
        <v>55.555555555555557</v>
      </c>
      <c r="O8" s="121">
        <f>1-L6</f>
        <v>0.11948042418906502</v>
      </c>
      <c r="V8" s="480">
        <v>7</v>
      </c>
    </row>
    <row r="9" spans="1:24" ht="15.3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0"/>
      <c r="I9" s="75"/>
      <c r="J9" s="75"/>
      <c r="K9" s="94"/>
      <c r="L9" s="66"/>
      <c r="M9" s="66"/>
      <c r="N9" s="476"/>
      <c r="O9" s="66"/>
      <c r="T9" s="474"/>
      <c r="V9" s="480">
        <v>6</v>
      </c>
    </row>
    <row r="10" spans="1:24" ht="15.6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0"/>
      <c r="I10" s="68"/>
      <c r="J10" s="76"/>
      <c r="K10" s="94"/>
      <c r="L10" s="94"/>
      <c r="M10" s="94"/>
      <c r="N10" s="66"/>
      <c r="O10" s="66"/>
      <c r="V10" s="480">
        <v>6</v>
      </c>
    </row>
    <row r="11" spans="1:24" ht="15.6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15" t="s">
        <v>12</v>
      </c>
      <c r="G11" s="448"/>
      <c r="H11" s="260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7" t="s">
        <v>107</v>
      </c>
      <c r="O11" s="66"/>
      <c r="V11" s="480">
        <v>5</v>
      </c>
    </row>
    <row r="12" spans="1:24" ht="15.6" thickBot="1">
      <c r="A12" s="66"/>
      <c r="B12" s="69"/>
      <c r="C12" s="69"/>
      <c r="D12" s="106"/>
      <c r="E12" s="85"/>
      <c r="F12" s="446">
        <f>SUM(F13:F28)</f>
        <v>100</v>
      </c>
      <c r="G12" s="447" t="s">
        <v>163</v>
      </c>
      <c r="H12" s="260"/>
      <c r="I12" s="67" t="s">
        <v>41</v>
      </c>
      <c r="J12" s="76">
        <v>57</v>
      </c>
      <c r="K12" s="264">
        <f xml:space="preserve"> (J11-J12)/J13</f>
        <v>0.25</v>
      </c>
      <c r="L12" s="265">
        <f xml:space="preserve"> _xlfn.NORM.DIST(J11,J12,J13, TRUE)</f>
        <v>0.5987063256829237</v>
      </c>
      <c r="M12" s="265">
        <f>1-L12</f>
        <v>0.4012936743170763</v>
      </c>
      <c r="N12" s="156">
        <f>_xlfn.NORM.DIST(J14,J12, J13, TRUE)-L12</f>
        <v>-6.5499573830301472E-2</v>
      </c>
      <c r="O12" s="66"/>
      <c r="V12" s="480">
        <v>5</v>
      </c>
    </row>
    <row r="13" spans="1:24" ht="15.3">
      <c r="A13" s="66"/>
      <c r="B13" s="94"/>
      <c r="C13" s="94"/>
      <c r="D13" s="106"/>
      <c r="E13" s="441"/>
      <c r="F13" s="480">
        <v>12</v>
      </c>
      <c r="G13" s="481">
        <f>IF(F13="","",F13/F$12)</f>
        <v>0.12</v>
      </c>
      <c r="H13" s="260"/>
      <c r="I13" s="67" t="s">
        <v>42</v>
      </c>
      <c r="J13" s="76">
        <v>12</v>
      </c>
      <c r="K13" s="94"/>
      <c r="L13" s="94"/>
      <c r="M13" s="91"/>
      <c r="N13" s="66"/>
      <c r="O13" s="66"/>
      <c r="V13" s="480">
        <v>5</v>
      </c>
    </row>
    <row r="14" spans="1:24" ht="15.3">
      <c r="A14" s="66"/>
      <c r="B14" s="69"/>
      <c r="C14" s="458"/>
      <c r="D14" s="106"/>
      <c r="E14" s="441"/>
      <c r="F14" s="480">
        <v>33</v>
      </c>
      <c r="G14" s="482">
        <f t="shared" ref="G14:G24" si="2">IF(F14="","",F14/F$12)</f>
        <v>0.33</v>
      </c>
      <c r="H14" s="260"/>
      <c r="I14" s="67" t="s">
        <v>106</v>
      </c>
      <c r="J14" s="76">
        <v>58</v>
      </c>
      <c r="K14" s="94"/>
      <c r="L14" s="94"/>
      <c r="M14" s="91"/>
      <c r="N14" s="66"/>
      <c r="O14" s="66"/>
      <c r="V14" s="480">
        <v>5</v>
      </c>
    </row>
    <row r="15" spans="1:24" ht="15.6" thickBot="1">
      <c r="A15" s="66"/>
      <c r="B15" s="69"/>
      <c r="C15" s="460"/>
      <c r="D15" s="107"/>
      <c r="E15" s="442"/>
      <c r="F15" s="480">
        <v>29</v>
      </c>
      <c r="G15" s="482">
        <f t="shared" si="2"/>
        <v>0.28999999999999998</v>
      </c>
      <c r="H15" s="260"/>
      <c r="I15" s="67"/>
      <c r="J15" s="76"/>
      <c r="K15" s="157" t="s">
        <v>152</v>
      </c>
      <c r="L15" s="157" t="s">
        <v>67</v>
      </c>
      <c r="M15" s="157" t="s">
        <v>170</v>
      </c>
      <c r="N15" s="162" t="s">
        <v>171</v>
      </c>
      <c r="O15" s="66"/>
      <c r="V15" s="480">
        <v>5</v>
      </c>
    </row>
    <row r="16" spans="1:24" ht="15.3" thickBot="1">
      <c r="A16" s="66"/>
      <c r="B16" s="66"/>
      <c r="C16" s="459"/>
      <c r="D16" s="79"/>
      <c r="E16" s="79"/>
      <c r="F16" s="480">
        <v>11</v>
      </c>
      <c r="G16" s="482">
        <f t="shared" si="2"/>
        <v>0.11</v>
      </c>
      <c r="H16" s="260"/>
      <c r="I16" s="87"/>
      <c r="J16" s="88"/>
      <c r="K16" s="70" t="s">
        <v>44</v>
      </c>
      <c r="L16" s="70" t="s">
        <v>51</v>
      </c>
      <c r="M16" s="489" t="s">
        <v>173</v>
      </c>
      <c r="N16" s="490" t="s">
        <v>172</v>
      </c>
      <c r="O16" s="66"/>
      <c r="V16" s="480">
        <v>5</v>
      </c>
    </row>
    <row r="17" spans="1:22" ht="15.6" thickBot="1">
      <c r="A17" s="66"/>
      <c r="B17" s="66"/>
      <c r="C17" s="75"/>
      <c r="D17" s="79"/>
      <c r="E17" s="79"/>
      <c r="F17" s="461">
        <v>6</v>
      </c>
      <c r="G17" s="443">
        <f t="shared" si="2"/>
        <v>0.06</v>
      </c>
      <c r="H17" s="260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80">
        <v>4</v>
      </c>
    </row>
    <row r="18" spans="1:22" ht="17.7" thickBot="1">
      <c r="C18" s="29"/>
      <c r="D18" s="80"/>
      <c r="E18" s="80"/>
      <c r="F18" s="461">
        <v>2</v>
      </c>
      <c r="G18" s="443">
        <f t="shared" si="2"/>
        <v>0.02</v>
      </c>
      <c r="H18" s="261"/>
      <c r="I18" s="211" t="s">
        <v>169</v>
      </c>
      <c r="J18" s="212">
        <v>1.4</v>
      </c>
      <c r="K18" s="270" t="s">
        <v>43</v>
      </c>
      <c r="M18" s="255"/>
      <c r="O18" s="66"/>
      <c r="V18" s="480">
        <v>4</v>
      </c>
    </row>
    <row r="19" spans="1:22" ht="15.6" thickBot="1">
      <c r="C19" s="29"/>
      <c r="D19" s="80"/>
      <c r="E19" s="80"/>
      <c r="F19" s="462">
        <v>3</v>
      </c>
      <c r="G19" s="443">
        <f t="shared" si="2"/>
        <v>0.03</v>
      </c>
      <c r="H19" s="261"/>
      <c r="I19" s="488" t="s">
        <v>44</v>
      </c>
      <c r="J19" s="97">
        <v>0.11</v>
      </c>
      <c r="K19" s="339">
        <f>_xlfn.NORM.S.INV(J19)</f>
        <v>-1.2265281200366105</v>
      </c>
      <c r="O19" s="66"/>
      <c r="V19" s="480">
        <v>4</v>
      </c>
    </row>
    <row r="20" spans="1:22" ht="16.5" customHeight="1">
      <c r="C20" s="29"/>
      <c r="D20" s="80"/>
      <c r="E20" s="80"/>
      <c r="F20" s="462">
        <v>1</v>
      </c>
      <c r="G20" s="443">
        <f t="shared" si="2"/>
        <v>0.01</v>
      </c>
      <c r="H20" s="261"/>
      <c r="I20" s="67" t="s">
        <v>41</v>
      </c>
      <c r="J20" s="76">
        <v>2.2000000000000002</v>
      </c>
      <c r="K20" s="262" t="s">
        <v>109</v>
      </c>
      <c r="O20" s="66"/>
      <c r="V20" s="480">
        <v>4</v>
      </c>
    </row>
    <row r="21" spans="1:22" ht="15.6" thickBot="1">
      <c r="C21" s="29"/>
      <c r="D21" s="80"/>
      <c r="E21" s="80"/>
      <c r="F21" s="462">
        <v>1</v>
      </c>
      <c r="G21" s="443">
        <f t="shared" si="2"/>
        <v>0.01</v>
      </c>
      <c r="H21" s="261"/>
      <c r="I21" s="67" t="s">
        <v>42</v>
      </c>
      <c r="J21" s="76">
        <v>1.31</v>
      </c>
      <c r="K21" s="263">
        <f>K19*J21+J20</f>
        <v>0.59324816275204029</v>
      </c>
      <c r="O21" s="66"/>
      <c r="V21" s="480">
        <v>4</v>
      </c>
    </row>
    <row r="22" spans="1:22">
      <c r="C22" s="29"/>
      <c r="D22" s="80"/>
      <c r="E22" s="80"/>
      <c r="F22" s="462">
        <v>2</v>
      </c>
      <c r="G22" s="443">
        <f t="shared" si="2"/>
        <v>0.02</v>
      </c>
      <c r="H22" s="261"/>
      <c r="O22" s="66"/>
      <c r="V22" s="480">
        <v>4</v>
      </c>
    </row>
    <row r="23" spans="1:22" ht="14.7" thickBot="1">
      <c r="C23" s="29"/>
      <c r="D23" s="80"/>
      <c r="E23" s="80"/>
      <c r="F23" s="462"/>
      <c r="G23" s="443" t="str">
        <f t="shared" si="2"/>
        <v/>
      </c>
      <c r="H23" s="261"/>
      <c r="J23" s="531"/>
      <c r="K23" s="531"/>
      <c r="O23" s="66"/>
      <c r="V23" s="480">
        <v>4</v>
      </c>
    </row>
    <row r="24" spans="1:22" ht="15.6" thickBot="1">
      <c r="C24" s="29"/>
      <c r="D24" s="80"/>
      <c r="E24" s="80"/>
      <c r="F24" s="462"/>
      <c r="G24" s="443" t="str">
        <f t="shared" si="2"/>
        <v/>
      </c>
      <c r="H24" s="261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80">
        <v>4</v>
      </c>
    </row>
    <row r="25" spans="1:22" ht="15.6" thickBot="1">
      <c r="C25" s="29"/>
      <c r="D25" s="80"/>
      <c r="E25" s="80"/>
      <c r="F25" s="81"/>
      <c r="H25" s="261"/>
      <c r="I25" s="67" t="s">
        <v>41</v>
      </c>
      <c r="J25" s="76">
        <v>0</v>
      </c>
      <c r="K25" s="264">
        <f xml:space="preserve"> (J24-J25)/K27</f>
        <v>2.7306357613906034</v>
      </c>
      <c r="L25" s="265">
        <f xml:space="preserve">  _xlfn.NORM.S.DIST(K25,TRUE)</f>
        <v>0.99683938542026707</v>
      </c>
      <c r="M25" s="96">
        <f>1-L25</f>
        <v>3.1606145797329344E-3</v>
      </c>
      <c r="V25" s="480">
        <v>4</v>
      </c>
    </row>
    <row r="26" spans="1:22" ht="15.6" thickBot="1">
      <c r="C26" s="29"/>
      <c r="D26" s="80"/>
      <c r="E26" s="80"/>
      <c r="F26" s="81"/>
      <c r="H26" s="261"/>
      <c r="I26" s="67" t="s">
        <v>42</v>
      </c>
      <c r="J26" s="76">
        <v>1.88</v>
      </c>
      <c r="K26" s="100" t="s">
        <v>53</v>
      </c>
      <c r="L26" s="94"/>
      <c r="M26" s="91"/>
      <c r="V26" s="480">
        <v>4</v>
      </c>
    </row>
    <row r="27" spans="1:22" ht="16.5" thickBot="1">
      <c r="C27" s="29"/>
      <c r="D27" s="80"/>
      <c r="E27" s="80"/>
      <c r="F27" s="81"/>
      <c r="H27" s="261"/>
      <c r="I27" s="98" t="s">
        <v>52</v>
      </c>
      <c r="J27" s="99">
        <v>18</v>
      </c>
      <c r="K27" s="130">
        <f>J26/SQRT(J27)</f>
        <v>0.44312024954356982</v>
      </c>
      <c r="V27" s="480">
        <v>4</v>
      </c>
    </row>
    <row r="28" spans="1:22">
      <c r="C28" s="29"/>
      <c r="D28" s="80"/>
      <c r="E28" s="80"/>
      <c r="F28" s="81"/>
      <c r="H28" s="261"/>
      <c r="V28" s="480">
        <v>3</v>
      </c>
    </row>
    <row r="29" spans="1:22">
      <c r="C29" s="29"/>
      <c r="D29" s="80"/>
      <c r="E29" s="80"/>
      <c r="F29" s="81"/>
      <c r="H29" s="261"/>
      <c r="V29" s="480">
        <v>3</v>
      </c>
    </row>
    <row r="30" spans="1:22">
      <c r="C30" s="29"/>
      <c r="D30" s="80"/>
      <c r="E30" s="80"/>
      <c r="F30" s="81"/>
      <c r="V30" s="480">
        <v>3</v>
      </c>
    </row>
    <row r="31" spans="1:22">
      <c r="C31" s="29"/>
      <c r="D31" s="80"/>
      <c r="E31" s="80"/>
      <c r="F31" s="81"/>
      <c r="V31" s="480">
        <v>3</v>
      </c>
    </row>
    <row r="32" spans="1:22">
      <c r="C32" s="29"/>
      <c r="D32" s="80"/>
      <c r="E32" s="80"/>
      <c r="F32" s="81"/>
      <c r="V32" s="480">
        <v>3</v>
      </c>
    </row>
    <row r="33" spans="3:22">
      <c r="C33" s="29"/>
      <c r="D33" s="80"/>
      <c r="E33" s="80"/>
      <c r="F33" s="81"/>
      <c r="V33" s="480">
        <v>3</v>
      </c>
    </row>
    <row r="34" spans="3:22">
      <c r="C34" s="29"/>
      <c r="D34" s="80"/>
      <c r="E34" s="80"/>
      <c r="F34" s="81"/>
      <c r="V34" s="480">
        <v>3</v>
      </c>
    </row>
    <row r="35" spans="3:22">
      <c r="C35" s="29"/>
      <c r="D35" s="80"/>
      <c r="E35" s="80"/>
      <c r="F35" s="81"/>
      <c r="V35" s="480">
        <v>3</v>
      </c>
    </row>
    <row r="36" spans="3:22">
      <c r="C36" s="29"/>
      <c r="D36" s="80"/>
      <c r="E36" s="80"/>
      <c r="F36" s="81"/>
      <c r="V36" s="480">
        <v>3</v>
      </c>
    </row>
    <row r="37" spans="3:22">
      <c r="C37" s="29"/>
      <c r="D37" s="80"/>
      <c r="E37" s="80"/>
      <c r="F37" s="81"/>
      <c r="V37" s="480">
        <v>3</v>
      </c>
    </row>
    <row r="38" spans="3:22">
      <c r="C38" s="29"/>
      <c r="D38" s="80"/>
      <c r="E38" s="80"/>
      <c r="F38" s="81"/>
      <c r="V38" s="480">
        <v>3</v>
      </c>
    </row>
    <row r="39" spans="3:22">
      <c r="C39" s="29"/>
      <c r="D39" s="80"/>
      <c r="E39" s="80"/>
      <c r="F39" s="81"/>
      <c r="V39" s="480">
        <v>3</v>
      </c>
    </row>
    <row r="40" spans="3:22">
      <c r="C40" s="29"/>
      <c r="D40" s="80"/>
      <c r="E40" s="80"/>
      <c r="F40" s="81"/>
      <c r="V40" s="480">
        <v>3</v>
      </c>
    </row>
    <row r="41" spans="3:22">
      <c r="C41" s="29"/>
      <c r="D41" s="80"/>
      <c r="E41" s="80"/>
      <c r="F41" s="81"/>
      <c r="V41" s="480">
        <v>3</v>
      </c>
    </row>
    <row r="42" spans="3:22">
      <c r="C42" s="29"/>
      <c r="D42" s="80"/>
      <c r="E42" s="80"/>
      <c r="F42" s="81"/>
      <c r="V42" s="480">
        <v>3</v>
      </c>
    </row>
    <row r="43" spans="3:22">
      <c r="C43" s="29"/>
      <c r="D43" s="80"/>
      <c r="E43" s="80"/>
      <c r="F43" s="81"/>
      <c r="V43" s="480">
        <v>3</v>
      </c>
    </row>
    <row r="44" spans="3:22">
      <c r="C44" s="29"/>
      <c r="D44" s="80"/>
      <c r="E44" s="80"/>
      <c r="F44" s="81"/>
      <c r="V44" s="480">
        <v>3</v>
      </c>
    </row>
    <row r="45" spans="3:22">
      <c r="C45" s="29"/>
      <c r="D45" s="80"/>
      <c r="E45" s="80"/>
      <c r="F45" s="81"/>
      <c r="V45" s="480">
        <v>3</v>
      </c>
    </row>
    <row r="46" spans="3:22">
      <c r="C46" s="29"/>
      <c r="D46" s="80"/>
      <c r="E46" s="80"/>
      <c r="F46" s="81"/>
      <c r="V46" s="480">
        <v>3</v>
      </c>
    </row>
    <row r="47" spans="3:22">
      <c r="C47" s="29"/>
      <c r="D47" s="80"/>
      <c r="E47" s="80"/>
      <c r="F47" s="81"/>
      <c r="V47" s="480">
        <v>3</v>
      </c>
    </row>
    <row r="48" spans="3:22">
      <c r="C48" s="29"/>
      <c r="D48" s="80"/>
      <c r="E48" s="80"/>
      <c r="F48" s="81"/>
      <c r="V48" s="480">
        <v>3</v>
      </c>
    </row>
    <row r="49" spans="3:22">
      <c r="C49" s="29"/>
      <c r="D49" s="80"/>
      <c r="E49" s="80"/>
      <c r="F49" s="81"/>
      <c r="V49" s="480">
        <v>3</v>
      </c>
    </row>
    <row r="50" spans="3:22">
      <c r="C50" s="29"/>
      <c r="D50" s="80"/>
      <c r="E50" s="80"/>
      <c r="F50" s="81"/>
      <c r="V50" s="480">
        <v>3</v>
      </c>
    </row>
    <row r="51" spans="3:22">
      <c r="C51" s="29"/>
      <c r="D51" s="80"/>
      <c r="E51" s="80"/>
      <c r="F51" s="81"/>
      <c r="V51" s="480">
        <v>3</v>
      </c>
    </row>
    <row r="52" spans="3:22">
      <c r="C52" s="29"/>
      <c r="D52" s="80"/>
      <c r="E52" s="80"/>
      <c r="F52" s="81"/>
      <c r="V52" s="480">
        <v>3</v>
      </c>
    </row>
    <row r="53" spans="3:22">
      <c r="C53" s="29"/>
      <c r="D53" s="80"/>
      <c r="E53" s="80"/>
      <c r="F53" s="81"/>
      <c r="V53" s="480">
        <v>3</v>
      </c>
    </row>
    <row r="54" spans="3:22">
      <c r="C54" s="29"/>
      <c r="D54" s="80"/>
      <c r="E54" s="80"/>
      <c r="F54" s="81"/>
      <c r="V54" s="480">
        <v>3</v>
      </c>
    </row>
    <row r="55" spans="3:22">
      <c r="C55" s="29"/>
      <c r="D55" s="80"/>
      <c r="E55" s="80"/>
      <c r="F55" s="81"/>
      <c r="V55" s="480">
        <v>3</v>
      </c>
    </row>
    <row r="56" spans="3:22">
      <c r="V56" s="480">
        <v>3</v>
      </c>
    </row>
    <row r="57" spans="3:22">
      <c r="V57" s="480">
        <v>2</v>
      </c>
    </row>
    <row r="58" spans="3:22">
      <c r="V58" s="480">
        <v>2</v>
      </c>
    </row>
    <row r="59" spans="3:22">
      <c r="V59" s="480">
        <v>2</v>
      </c>
    </row>
    <row r="60" spans="3:22">
      <c r="V60" s="480">
        <v>2</v>
      </c>
    </row>
    <row r="61" spans="3:22">
      <c r="V61" s="480">
        <v>2</v>
      </c>
    </row>
    <row r="62" spans="3:22">
      <c r="V62" s="480">
        <v>2</v>
      </c>
    </row>
    <row r="63" spans="3:22">
      <c r="V63" s="480">
        <v>2</v>
      </c>
    </row>
    <row r="64" spans="3:22">
      <c r="V64" s="480">
        <v>2</v>
      </c>
    </row>
    <row r="65" spans="22:22">
      <c r="V65" s="480">
        <v>2</v>
      </c>
    </row>
    <row r="66" spans="22:22">
      <c r="V66" s="480">
        <v>2</v>
      </c>
    </row>
    <row r="67" spans="22:22">
      <c r="V67" s="480">
        <v>2</v>
      </c>
    </row>
    <row r="68" spans="22:22">
      <c r="V68" s="480">
        <v>2</v>
      </c>
    </row>
    <row r="69" spans="22:22">
      <c r="V69" s="480">
        <v>2</v>
      </c>
    </row>
    <row r="70" spans="22:22">
      <c r="V70" s="480">
        <v>2</v>
      </c>
    </row>
    <row r="71" spans="22:22">
      <c r="V71" s="480">
        <v>2</v>
      </c>
    </row>
    <row r="72" spans="22:22">
      <c r="V72" s="480">
        <v>2</v>
      </c>
    </row>
    <row r="73" spans="22:22">
      <c r="V73" s="480">
        <v>2</v>
      </c>
    </row>
    <row r="74" spans="22:22">
      <c r="V74" s="480">
        <v>2</v>
      </c>
    </row>
    <row r="75" spans="22:22">
      <c r="V75" s="480">
        <v>2</v>
      </c>
    </row>
    <row r="76" spans="22:22">
      <c r="V76" s="480">
        <v>2</v>
      </c>
    </row>
    <row r="77" spans="22:22">
      <c r="V77" s="480">
        <v>2</v>
      </c>
    </row>
    <row r="78" spans="22:22">
      <c r="V78" s="480">
        <v>2</v>
      </c>
    </row>
    <row r="79" spans="22:22">
      <c r="V79" s="480">
        <v>2</v>
      </c>
    </row>
    <row r="80" spans="22:22">
      <c r="V80" s="480">
        <v>2</v>
      </c>
    </row>
    <row r="81" spans="22:22">
      <c r="V81" s="480">
        <v>2</v>
      </c>
    </row>
    <row r="82" spans="22:22">
      <c r="V82" s="480">
        <v>2</v>
      </c>
    </row>
    <row r="83" spans="22:22">
      <c r="V83" s="480">
        <v>2</v>
      </c>
    </row>
    <row r="84" spans="22:22">
      <c r="V84" s="480">
        <v>2</v>
      </c>
    </row>
    <row r="85" spans="22:22">
      <c r="V85" s="480">
        <v>2</v>
      </c>
    </row>
    <row r="86" spans="22:22">
      <c r="V86" s="480">
        <v>2</v>
      </c>
    </row>
    <row r="87" spans="22:22">
      <c r="V87" s="480">
        <v>2</v>
      </c>
    </row>
    <row r="88" spans="22:22">
      <c r="V88" s="480">
        <v>2</v>
      </c>
    </row>
    <row r="89" spans="22:22">
      <c r="V89" s="480">
        <v>2</v>
      </c>
    </row>
    <row r="90" spans="22:22">
      <c r="V90" s="480">
        <v>1</v>
      </c>
    </row>
    <row r="91" spans="22:22">
      <c r="V91" s="480">
        <v>1</v>
      </c>
    </row>
    <row r="92" spans="22:22">
      <c r="V92" s="480">
        <v>1</v>
      </c>
    </row>
    <row r="93" spans="22:22">
      <c r="V93" s="480">
        <v>1</v>
      </c>
    </row>
    <row r="94" spans="22:22">
      <c r="V94" s="480">
        <v>1</v>
      </c>
    </row>
    <row r="95" spans="22:22">
      <c r="V95" s="480">
        <v>1</v>
      </c>
    </row>
    <row r="96" spans="22:22">
      <c r="V96" s="480">
        <v>1</v>
      </c>
    </row>
    <row r="97" spans="22:22">
      <c r="V97" s="480">
        <v>1</v>
      </c>
    </row>
    <row r="98" spans="22:22">
      <c r="V98" s="480">
        <v>1</v>
      </c>
    </row>
    <row r="99" spans="22:22">
      <c r="V99" s="480">
        <v>1</v>
      </c>
    </row>
    <row r="100" spans="22:22">
      <c r="V100" s="480">
        <v>1</v>
      </c>
    </row>
    <row r="101" spans="22:22">
      <c r="V101" s="480">
        <v>1</v>
      </c>
    </row>
  </sheetData>
  <sortState xmlns:xlrd2="http://schemas.microsoft.com/office/spreadsheetml/2017/richdata2"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zoomScale="110" zoomScaleNormal="110" workbookViewId="0">
      <selection activeCell="A6" sqref="A6"/>
    </sheetView>
  </sheetViews>
  <sheetFormatPr defaultRowHeight="15.3"/>
  <cols>
    <col min="1" max="1" width="6.26171875" customWidth="1"/>
    <col min="2" max="2" width="8.83984375" customWidth="1"/>
    <col min="3" max="3" width="1.15625" customWidth="1"/>
    <col min="4" max="4" width="0.83984375" customWidth="1"/>
    <col min="5" max="5" width="9.41796875" customWidth="1"/>
    <col min="6" max="6" width="9.68359375" customWidth="1"/>
    <col min="7" max="7" width="6.83984375" customWidth="1"/>
    <col min="8" max="8" width="8.68359375" customWidth="1"/>
    <col min="10" max="10" width="10.83984375" customWidth="1"/>
    <col min="11" max="11" width="11.578125" customWidth="1"/>
    <col min="12" max="12" width="10.68359375" customWidth="1"/>
    <col min="13" max="13" width="10.41796875" customWidth="1"/>
    <col min="14" max="14" width="0.68359375" customWidth="1"/>
    <col min="15" max="15" width="8.68359375" customWidth="1"/>
    <col min="16" max="16" width="8.26171875" customWidth="1"/>
    <col min="17" max="18" width="10" customWidth="1"/>
    <col min="19" max="19" width="9.83984375" customWidth="1"/>
    <col min="20" max="20" width="10.15625" customWidth="1"/>
    <col min="21" max="21" width="0.68359375" customWidth="1"/>
    <col min="22" max="22" width="6.68359375" style="30" customWidth="1"/>
    <col min="23" max="23" width="8" style="30" customWidth="1"/>
    <col min="24" max="24" width="9.83984375" customWidth="1"/>
    <col min="25" max="25" width="10.15625" customWidth="1"/>
    <col min="26" max="26" width="10.41796875" customWidth="1"/>
    <col min="27" max="27" width="4.15625" customWidth="1"/>
  </cols>
  <sheetData>
    <row r="1" spans="1:27" ht="21.75" customHeight="1" thickBot="1">
      <c r="A1" s="70" t="s">
        <v>30</v>
      </c>
      <c r="B1" s="219" t="s">
        <v>31</v>
      </c>
      <c r="C1" s="105"/>
      <c r="D1" s="84"/>
      <c r="E1" s="66"/>
      <c r="F1" s="66"/>
      <c r="K1" s="350" t="s">
        <v>56</v>
      </c>
      <c r="L1" s="351">
        <v>95</v>
      </c>
      <c r="N1" s="301"/>
      <c r="U1" s="335"/>
    </row>
    <row r="2" spans="1:27" ht="15.6" thickBot="1">
      <c r="A2" s="526">
        <v>0</v>
      </c>
      <c r="B2" s="526">
        <v>0.38600000000000001</v>
      </c>
      <c r="C2" s="106">
        <f>(A2-$F$2)^2 *B2</f>
        <v>0.50782507399999999</v>
      </c>
      <c r="D2" s="85">
        <f>A2*B2</f>
        <v>0</v>
      </c>
      <c r="E2" s="102" t="s">
        <v>32</v>
      </c>
      <c r="F2" s="347">
        <f>SUM(D2:D6)</f>
        <v>1.147</v>
      </c>
      <c r="G2" s="354" t="s">
        <v>41</v>
      </c>
      <c r="H2" s="355">
        <f>F2</f>
        <v>1.147</v>
      </c>
      <c r="I2" s="100" t="s">
        <v>110</v>
      </c>
      <c r="J2" s="124">
        <f>H2</f>
        <v>1.147</v>
      </c>
      <c r="K2" s="356"/>
      <c r="L2" s="342"/>
      <c r="N2" s="302"/>
      <c r="O2" s="66"/>
      <c r="P2" s="66"/>
      <c r="Q2" s="66"/>
      <c r="R2" s="66"/>
      <c r="U2" s="336"/>
      <c r="X2" s="140"/>
    </row>
    <row r="3" spans="1:27" ht="15.6" thickBot="1">
      <c r="A3" s="526">
        <v>1</v>
      </c>
      <c r="B3" s="526">
        <v>0.307</v>
      </c>
      <c r="C3" s="106">
        <f t="shared" ref="C3:C6" si="0">(A3-$F$2)^2 *B3</f>
        <v>6.6339630000000023E-3</v>
      </c>
      <c r="D3" s="85">
        <f t="shared" ref="D3:D6" si="1">A3*B3</f>
        <v>0.307</v>
      </c>
      <c r="E3" s="103" t="s">
        <v>9</v>
      </c>
      <c r="F3" s="348">
        <f>SUM(C2:C6)</f>
        <v>1.4933909999999999</v>
      </c>
      <c r="G3" s="357" t="s">
        <v>42</v>
      </c>
      <c r="H3" s="458">
        <f>F4</f>
        <v>1.2220437799031587</v>
      </c>
      <c r="I3" s="100" t="s">
        <v>53</v>
      </c>
      <c r="J3" s="121">
        <f>H3/SQRT(H4)</f>
        <v>0.54651459266885083</v>
      </c>
      <c r="K3" s="29"/>
      <c r="L3" s="312"/>
      <c r="N3" s="302"/>
      <c r="O3" s="290" t="s">
        <v>102</v>
      </c>
      <c r="P3" s="74">
        <v>0.155</v>
      </c>
      <c r="Q3" s="160"/>
      <c r="R3" s="293">
        <f>(P3+P4)/2</f>
        <v>0.26</v>
      </c>
      <c r="U3" s="336"/>
      <c r="V3" s="94"/>
      <c r="W3" s="76">
        <v>0.1</v>
      </c>
      <c r="X3" s="121"/>
      <c r="Y3" s="121"/>
      <c r="Z3" s="126"/>
    </row>
    <row r="4" spans="1:27" ht="16.5" thickBot="1">
      <c r="A4" s="526">
        <v>2</v>
      </c>
      <c r="B4" s="526">
        <v>0.153</v>
      </c>
      <c r="C4" s="106">
        <f t="shared" si="0"/>
        <v>0.111324177</v>
      </c>
      <c r="D4" s="85">
        <f t="shared" si="1"/>
        <v>0.30599999999999999</v>
      </c>
      <c r="E4" s="104" t="s">
        <v>33</v>
      </c>
      <c r="F4" s="349">
        <f>SQRT(F3)</f>
        <v>1.2220437799031587</v>
      </c>
      <c r="G4" s="358" t="s">
        <v>52</v>
      </c>
      <c r="H4" s="286">
        <v>5</v>
      </c>
      <c r="I4" s="184"/>
      <c r="J4" s="429">
        <f>SQRT(H6*(1-H6)/H4)</f>
        <v>0.18525657883055058</v>
      </c>
      <c r="K4" s="284"/>
      <c r="L4" s="272">
        <f>H6</f>
        <v>0.78</v>
      </c>
      <c r="N4" s="327"/>
      <c r="O4" s="290" t="s">
        <v>103</v>
      </c>
      <c r="P4" s="74">
        <v>0.36499999999999999</v>
      </c>
      <c r="Q4" s="292" t="s">
        <v>119</v>
      </c>
      <c r="R4" s="269">
        <f>(P4-P3)/2</f>
        <v>0.105</v>
      </c>
      <c r="U4" s="336"/>
      <c r="V4" s="338" t="s">
        <v>122</v>
      </c>
      <c r="W4" s="76">
        <v>239</v>
      </c>
      <c r="X4" s="303">
        <f>_xlfn.CHISQ.INV(W3,W4)</f>
        <v>211.44423601108178</v>
      </c>
      <c r="Y4" s="121">
        <f>_xlfn.CHISQ.INV.RT(W3,W4)</f>
        <v>267.41211401110633</v>
      </c>
      <c r="Z4" s="121">
        <f>_xlfn.CHISQ.INV.RT(1-W3 / 2,W4)</f>
        <v>204.21060815427191</v>
      </c>
      <c r="AA4" s="1"/>
    </row>
    <row r="5" spans="1:27" ht="16.5" thickBot="1">
      <c r="A5" s="526">
        <v>3</v>
      </c>
      <c r="B5" s="526">
        <v>8.2000000000000003E-2</v>
      </c>
      <c r="C5" s="106">
        <f t="shared" si="0"/>
        <v>0.28155593800000001</v>
      </c>
      <c r="D5" s="85">
        <f t="shared" si="1"/>
        <v>0.246</v>
      </c>
      <c r="E5" s="430">
        <f>A2*B2+A3*B3</f>
        <v>0.307</v>
      </c>
      <c r="F5" s="217"/>
      <c r="G5" s="358" t="s">
        <v>116</v>
      </c>
      <c r="H5" s="286">
        <v>20000</v>
      </c>
      <c r="I5" s="283" t="s">
        <v>117</v>
      </c>
      <c r="J5" s="285">
        <f>H4*H6*(1-H6)</f>
        <v>0.85799999999999998</v>
      </c>
      <c r="K5" s="281" t="s">
        <v>118</v>
      </c>
      <c r="L5" s="181">
        <f>H4/H5</f>
        <v>2.5000000000000001E-4</v>
      </c>
      <c r="N5" s="328"/>
      <c r="O5" s="291" t="s">
        <v>52</v>
      </c>
      <c r="P5" s="74">
        <v>1500</v>
      </c>
      <c r="Q5" s="281" t="s">
        <v>39</v>
      </c>
      <c r="R5" s="294">
        <f>P5*R3</f>
        <v>390</v>
      </c>
      <c r="U5" s="336"/>
      <c r="V5" s="325" t="s">
        <v>125</v>
      </c>
      <c r="W5" s="234">
        <v>2.9</v>
      </c>
      <c r="X5" s="159"/>
      <c r="Z5" s="121">
        <f>_xlfn.CHISQ.INV.RT(W3/ 2,W4)</f>
        <v>276.06241732878874</v>
      </c>
      <c r="AA5" s="2"/>
    </row>
    <row r="6" spans="1:27" ht="17.7" thickBot="1">
      <c r="A6" s="526">
        <v>4</v>
      </c>
      <c r="B6" s="526">
        <v>7.1999999999999995E-2</v>
      </c>
      <c r="C6" s="106">
        <f t="shared" si="0"/>
        <v>0.58605184799999988</v>
      </c>
      <c r="D6" s="85">
        <f t="shared" si="1"/>
        <v>0.28799999999999998</v>
      </c>
      <c r="E6" s="282"/>
      <c r="F6" s="217"/>
      <c r="G6" s="358" t="s">
        <v>115</v>
      </c>
      <c r="H6" s="286">
        <v>0.78</v>
      </c>
      <c r="I6" s="168" t="s">
        <v>158</v>
      </c>
      <c r="J6" s="375">
        <f>ROUND(H8/H6, 0)</f>
        <v>2</v>
      </c>
      <c r="K6" s="168" t="s">
        <v>157</v>
      </c>
      <c r="L6" s="124">
        <f>ROUND(10/(H6*(1-H6)),0)</f>
        <v>58</v>
      </c>
      <c r="N6" s="328"/>
      <c r="O6" s="66"/>
      <c r="P6" s="66"/>
      <c r="Q6" s="66"/>
      <c r="R6" s="66"/>
      <c r="U6" s="336"/>
      <c r="V6" s="68"/>
      <c r="W6" s="234"/>
      <c r="X6" s="339">
        <f>(W7-1)*W5^2 / W8^2</f>
        <v>45.992187499999993</v>
      </c>
    </row>
    <row r="7" spans="1:27" ht="17.7" thickBot="1">
      <c r="A7" s="307"/>
      <c r="B7" s="310" t="s">
        <v>124</v>
      </c>
      <c r="C7" s="309"/>
      <c r="D7" s="85"/>
      <c r="E7" s="153" t="s">
        <v>0</v>
      </c>
      <c r="F7" s="66"/>
      <c r="G7" s="357" t="s">
        <v>111</v>
      </c>
      <c r="H7" s="299">
        <v>81</v>
      </c>
      <c r="I7" s="281" t="s">
        <v>42</v>
      </c>
      <c r="J7" s="272">
        <f>H7*SQRT(H4)</f>
        <v>181.12150617748298</v>
      </c>
      <c r="K7" s="29"/>
      <c r="L7" s="312"/>
      <c r="N7" s="328"/>
      <c r="O7" s="178"/>
      <c r="P7" s="144">
        <v>0.56000000000000005</v>
      </c>
      <c r="Q7" s="296" t="s">
        <v>72</v>
      </c>
      <c r="R7" s="297">
        <f>P7*(1-P7)* ((_xlfn.NORM.S.INV(1- (100-L1)/200))/P8)^2</f>
        <v>1051.7060593544802</v>
      </c>
      <c r="U7" s="336"/>
      <c r="V7" s="127" t="s">
        <v>60</v>
      </c>
      <c r="W7" s="234">
        <v>15</v>
      </c>
      <c r="X7" s="536" t="s">
        <v>65</v>
      </c>
      <c r="Y7" s="537"/>
      <c r="Z7" s="538"/>
    </row>
    <row r="8" spans="1:27" ht="18" customHeight="1" thickBot="1">
      <c r="A8" s="278"/>
      <c r="B8" s="308"/>
      <c r="C8" s="309"/>
      <c r="D8" s="85"/>
      <c r="E8" s="155">
        <f>IF(B9="","",AVERAGE(B9:B30))</f>
        <v>0.2</v>
      </c>
      <c r="F8" s="66"/>
      <c r="G8" s="357" t="s">
        <v>39</v>
      </c>
      <c r="H8" s="286">
        <v>1.21</v>
      </c>
      <c r="I8" s="70" t="s">
        <v>43</v>
      </c>
      <c r="J8" s="70" t="s">
        <v>44</v>
      </c>
      <c r="K8" s="70" t="s">
        <v>51</v>
      </c>
      <c r="L8" s="197" t="s">
        <v>107</v>
      </c>
      <c r="N8" s="328"/>
      <c r="O8" s="324" t="s">
        <v>63</v>
      </c>
      <c r="P8" s="97">
        <v>0.03</v>
      </c>
      <c r="Q8" s="298" t="s">
        <v>121</v>
      </c>
      <c r="R8" s="297">
        <f>0.25* ((_xlfn.NORM.S.INV(1- (100-L$1)/200))/P8)^2</f>
        <v>1067.0718946372567</v>
      </c>
      <c r="U8" s="336"/>
      <c r="V8" s="279" t="s">
        <v>42</v>
      </c>
      <c r="W8" s="74">
        <v>1.6</v>
      </c>
      <c r="X8" s="340" t="s">
        <v>134</v>
      </c>
      <c r="Y8" s="343" t="s">
        <v>133</v>
      </c>
      <c r="Z8" s="345"/>
    </row>
    <row r="9" spans="1:27" ht="15.6" thickBot="1">
      <c r="A9" s="278"/>
      <c r="B9" s="526">
        <v>5.6000000000000001E-2</v>
      </c>
      <c r="C9" s="309"/>
      <c r="D9" s="85"/>
      <c r="E9" s="153" t="s">
        <v>2</v>
      </c>
      <c r="F9" s="66"/>
      <c r="G9" s="359" t="s">
        <v>106</v>
      </c>
      <c r="H9" s="287">
        <v>83.75</v>
      </c>
      <c r="I9" s="275">
        <f>ROUND((H8-H2)/H3,2)</f>
        <v>0.05</v>
      </c>
      <c r="J9" s="276">
        <f xml:space="preserve"> _xlfn.NORM.DIST(H8,H2,H3, TRUE)</f>
        <v>0.52055755747088472</v>
      </c>
      <c r="K9" s="276">
        <f>1-J9</f>
        <v>0.47944244252911528</v>
      </c>
      <c r="L9" s="277">
        <f>_xlfn.NORM.DIST(H9,H2, H3, TRUE)-J9</f>
        <v>0.47944244252911528</v>
      </c>
      <c r="N9" s="328"/>
      <c r="O9" s="94"/>
      <c r="P9" s="76">
        <v>0.01</v>
      </c>
      <c r="Q9" s="157" t="s">
        <v>67</v>
      </c>
      <c r="R9" s="140"/>
      <c r="U9" s="336"/>
      <c r="X9" s="185">
        <f>CHIDIST(X6,W7-1)</f>
        <v>2.8119835991838909E-5</v>
      </c>
      <c r="Y9" s="344">
        <f>1-X9</f>
        <v>0.99997188016400818</v>
      </c>
      <c r="Z9" s="73">
        <f>2*X9</f>
        <v>5.6239671983677817E-5</v>
      </c>
    </row>
    <row r="10" spans="1:27" ht="15.9" thickTop="1" thickBot="1">
      <c r="A10" s="278"/>
      <c r="B10" s="526">
        <v>0.108</v>
      </c>
      <c r="C10" s="309"/>
      <c r="D10" s="85"/>
      <c r="E10" s="346">
        <f>_xlfn.STDEV.S(B9:B30)</f>
        <v>0.15598878164791208</v>
      </c>
      <c r="G10" s="360"/>
      <c r="H10" s="280" t="s">
        <v>112</v>
      </c>
      <c r="I10" s="273" t="s">
        <v>43</v>
      </c>
      <c r="J10" s="273" t="s">
        <v>113</v>
      </c>
      <c r="K10" s="273" t="s">
        <v>114</v>
      </c>
      <c r="L10" s="274" t="s">
        <v>107</v>
      </c>
      <c r="N10" s="328"/>
      <c r="O10" s="305" t="s">
        <v>122</v>
      </c>
      <c r="P10" s="69">
        <v>40</v>
      </c>
      <c r="Q10" s="70" t="s">
        <v>123</v>
      </c>
      <c r="R10" s="111"/>
      <c r="S10" s="111"/>
      <c r="T10" s="29"/>
      <c r="U10" s="336"/>
      <c r="W10" s="91">
        <v>10.8</v>
      </c>
      <c r="X10" s="159"/>
      <c r="Y10" s="94"/>
    </row>
    <row r="11" spans="1:27" ht="15.6" thickBot="1">
      <c r="A11" s="278"/>
      <c r="B11" s="526">
        <v>0.115</v>
      </c>
      <c r="C11" s="309"/>
      <c r="D11" s="85"/>
      <c r="I11" s="352">
        <f>ROUND((H8-H2)/H7, 2)</f>
        <v>0</v>
      </c>
      <c r="J11" s="353">
        <f xml:space="preserve"> _xlfn.NORM.S.DIST(I11,TRUE)</f>
        <v>0.5</v>
      </c>
      <c r="K11" s="353">
        <f>1-J11</f>
        <v>0.5</v>
      </c>
      <c r="L11" s="156">
        <f>_xlfn.NORM.DIST(H9,H2, J3, TRUE)-J11</f>
        <v>0.5</v>
      </c>
      <c r="N11" s="328"/>
      <c r="O11" s="305" t="s">
        <v>115</v>
      </c>
      <c r="P11" s="69">
        <v>0.2</v>
      </c>
      <c r="Q11" s="303">
        <f>TINV(2*P11, P10)</f>
        <v>0.85069979579045529</v>
      </c>
      <c r="R11" s="167"/>
      <c r="S11" s="111"/>
      <c r="T11" s="111"/>
      <c r="U11" s="336"/>
      <c r="W11" s="91">
        <v>9</v>
      </c>
      <c r="X11" s="139">
        <f>(W7-1)*W11/ W10</f>
        <v>11.666666666666666</v>
      </c>
      <c r="Y11" s="111"/>
    </row>
    <row r="12" spans="1:27" ht="15.6" thickBot="1">
      <c r="A12" s="278"/>
      <c r="B12" s="526">
        <v>0.29199999999999998</v>
      </c>
      <c r="C12" s="309"/>
      <c r="D12" s="85"/>
      <c r="N12" s="328"/>
      <c r="O12" s="532" t="s">
        <v>126</v>
      </c>
      <c r="P12" s="533"/>
      <c r="Q12" s="121">
        <f>TINV(1-L$1/100, P10)</f>
        <v>2.0210753903062715</v>
      </c>
      <c r="R12" s="75"/>
      <c r="S12" s="29"/>
      <c r="T12" s="111"/>
      <c r="U12" s="336"/>
      <c r="W12" s="132"/>
      <c r="X12" s="29"/>
      <c r="Y12" s="29"/>
    </row>
    <row r="13" spans="1:27" ht="15.6" thickBot="1">
      <c r="A13" s="278"/>
      <c r="B13" s="526">
        <v>0.42899999999999999</v>
      </c>
      <c r="C13" s="309"/>
      <c r="D13" s="85"/>
      <c r="G13" s="128"/>
      <c r="H13" s="144">
        <v>0.84</v>
      </c>
      <c r="I13" s="199"/>
      <c r="J13" s="189"/>
      <c r="K13" s="189"/>
      <c r="L13" s="200" t="s">
        <v>66</v>
      </c>
      <c r="M13" s="300" t="s">
        <v>67</v>
      </c>
      <c r="N13" s="328"/>
      <c r="O13" s="304"/>
      <c r="P13" s="74"/>
      <c r="Q13" s="111"/>
      <c r="R13" s="66"/>
      <c r="U13" s="336"/>
    </row>
    <row r="14" spans="1:27" ht="16.5" thickBot="1">
      <c r="A14" s="311"/>
      <c r="B14" s="494"/>
      <c r="C14" s="309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8" t="s">
        <v>65</v>
      </c>
      <c r="N14" s="328"/>
      <c r="O14" s="128" t="s">
        <v>32</v>
      </c>
      <c r="P14" s="315">
        <v>4.97</v>
      </c>
      <c r="Q14" s="70" t="s">
        <v>59</v>
      </c>
      <c r="R14" s="160"/>
      <c r="S14" s="160"/>
      <c r="T14" s="29"/>
      <c r="U14" s="336"/>
    </row>
    <row r="15" spans="1:27" ht="15.6" thickBot="1">
      <c r="A15" s="311"/>
      <c r="B15" s="494"/>
      <c r="C15" s="309"/>
      <c r="D15" s="85"/>
      <c r="G15" s="198"/>
      <c r="H15" s="97"/>
      <c r="I15" s="117">
        <f xml:space="preserve"> ROUND( (H13-H6) / SQRT(H6*(1-H6)/H4), 2)</f>
        <v>0.32</v>
      </c>
      <c r="J15" s="96">
        <f>_xlfn.NORM.S.DIST(I15,TRUE)</f>
        <v>0.62551583472332006</v>
      </c>
      <c r="K15" s="121">
        <f>1-J15</f>
        <v>0.37448416527667994</v>
      </c>
      <c r="L15" s="121">
        <f>2*J15</f>
        <v>1.2510316694466401</v>
      </c>
      <c r="M15" s="149">
        <f>2*K15</f>
        <v>0.74896833055335987</v>
      </c>
      <c r="N15" s="328"/>
      <c r="O15" s="169" t="s">
        <v>125</v>
      </c>
      <c r="P15" s="234">
        <v>16.3</v>
      </c>
      <c r="Q15" s="121">
        <f xml:space="preserve"> TINV(1-L$1/100, P16 -1 )* P15 / SQRT(P16)</f>
        <v>10.356525903489425</v>
      </c>
      <c r="R15" s="117">
        <f>P14-Q15</f>
        <v>-5.3865259034894253</v>
      </c>
      <c r="S15" s="117">
        <f>P14+Q15</f>
        <v>15.326525903489426</v>
      </c>
      <c r="T15" s="123"/>
      <c r="U15" s="336"/>
    </row>
    <row r="16" spans="1:27" ht="18" customHeight="1" thickBot="1">
      <c r="A16" s="311"/>
      <c r="B16" s="494"/>
      <c r="C16" s="309"/>
      <c r="D16" s="85"/>
      <c r="N16" s="328"/>
      <c r="O16" s="306" t="s">
        <v>60</v>
      </c>
      <c r="P16" s="234">
        <v>12</v>
      </c>
      <c r="Q16" s="168" t="s">
        <v>72</v>
      </c>
      <c r="R16" s="117"/>
      <c r="S16" s="117"/>
      <c r="T16" s="29"/>
      <c r="U16" s="336"/>
    </row>
    <row r="17" spans="1:21" ht="19.5" customHeight="1" thickBot="1">
      <c r="A17" s="311"/>
      <c r="B17" s="494"/>
      <c r="C17" s="309"/>
      <c r="D17" s="85"/>
      <c r="G17" s="94"/>
      <c r="H17" s="91"/>
      <c r="I17" s="70"/>
      <c r="J17" s="111"/>
      <c r="K17" s="111"/>
      <c r="N17" s="328"/>
      <c r="O17" s="330" t="s">
        <v>64</v>
      </c>
      <c r="P17" s="331">
        <v>2</v>
      </c>
      <c r="Q17" s="188">
        <f>((_xlfn.NORM.S.INV(1- (100-L1)/200))*P15/P17)^2</f>
        <v>255.15929851755541</v>
      </c>
      <c r="R17" s="123"/>
      <c r="S17" s="111"/>
      <c r="T17" s="29"/>
      <c r="U17" s="336"/>
    </row>
    <row r="18" spans="1:21" ht="19.5" customHeight="1" thickBot="1">
      <c r="A18" s="311"/>
      <c r="B18" s="494"/>
      <c r="C18" s="309"/>
      <c r="D18" s="85"/>
      <c r="G18" s="94"/>
      <c r="H18" s="91"/>
      <c r="I18" s="114">
        <f>-_xlfn.NORM.S.INV( (1-L1/100)/2)</f>
        <v>1.9599639845400536</v>
      </c>
      <c r="J18" s="217"/>
      <c r="K18" s="217"/>
      <c r="N18" s="328"/>
      <c r="O18" s="332"/>
      <c r="P18" s="334"/>
      <c r="Q18" s="177"/>
      <c r="R18" s="177"/>
      <c r="S18" s="333"/>
      <c r="T18" s="333"/>
      <c r="U18" s="336"/>
    </row>
    <row r="19" spans="1:21" ht="17.25" customHeight="1" thickBot="1">
      <c r="A19" s="311"/>
      <c r="B19" s="494"/>
      <c r="C19" s="309"/>
      <c r="D19" s="85"/>
      <c r="G19" s="91"/>
      <c r="H19" s="75"/>
      <c r="I19" s="94"/>
      <c r="J19" s="94"/>
      <c r="K19" s="140" t="s">
        <v>66</v>
      </c>
      <c r="L19" s="162" t="s">
        <v>67</v>
      </c>
      <c r="N19" s="328"/>
      <c r="O19" s="68"/>
      <c r="P19" s="66"/>
      <c r="Q19" s="114"/>
      <c r="R19" s="114"/>
      <c r="U19" s="336"/>
    </row>
    <row r="20" spans="1:21" ht="15.6" thickBot="1">
      <c r="A20" s="311"/>
      <c r="B20" s="494"/>
      <c r="C20" s="309"/>
      <c r="D20" s="85"/>
      <c r="G20" s="431"/>
      <c r="H20" s="432"/>
      <c r="I20" s="70" t="s">
        <v>44</v>
      </c>
      <c r="J20" s="70" t="s">
        <v>51</v>
      </c>
      <c r="K20" s="70" t="s">
        <v>65</v>
      </c>
      <c r="L20" s="70" t="s">
        <v>65</v>
      </c>
      <c r="N20" s="328"/>
      <c r="O20" s="127" t="s">
        <v>60</v>
      </c>
      <c r="P20" s="234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36"/>
    </row>
    <row r="21" spans="1:21" ht="20.100000000000001" thickBot="1">
      <c r="A21" s="311"/>
      <c r="B21" s="312"/>
      <c r="C21" s="309"/>
      <c r="D21" s="85"/>
      <c r="G21" s="288" t="s">
        <v>50</v>
      </c>
      <c r="H21" s="289">
        <v>-0.5</v>
      </c>
      <c r="I21" s="121">
        <f>_xlfn.NORM.S.DIST(H21,TRUE)</f>
        <v>0.30853753872598688</v>
      </c>
      <c r="J21" s="121">
        <f>1-I21</f>
        <v>0.69146246127401312</v>
      </c>
      <c r="K21" s="320">
        <f>2*I21</f>
        <v>0.61707507745197376</v>
      </c>
      <c r="L21" s="320">
        <f>2*J21</f>
        <v>1.3829249225480262</v>
      </c>
      <c r="N21" s="328"/>
      <c r="O21" s="68" t="s">
        <v>127</v>
      </c>
      <c r="P21" s="76">
        <v>2.2999999999999998</v>
      </c>
      <c r="Q21" s="70" t="s">
        <v>102</v>
      </c>
      <c r="R21" s="70" t="s">
        <v>103</v>
      </c>
      <c r="U21" s="336"/>
    </row>
    <row r="22" spans="1:21" ht="15.6" thickBot="1">
      <c r="A22" s="311"/>
      <c r="B22" s="312"/>
      <c r="C22" s="309"/>
      <c r="D22" s="85"/>
      <c r="G22" s="92"/>
      <c r="H22" s="534">
        <v>0.05</v>
      </c>
      <c r="I22" s="70" t="s">
        <v>43</v>
      </c>
      <c r="J22" s="70" t="s">
        <v>130</v>
      </c>
      <c r="K22" s="321" t="s">
        <v>131</v>
      </c>
      <c r="L22" s="322" t="s">
        <v>132</v>
      </c>
      <c r="M22" s="323" t="s">
        <v>137</v>
      </c>
      <c r="N22" s="328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36"/>
    </row>
    <row r="23" spans="1:21" ht="15.6" thickBot="1">
      <c r="A23" s="311"/>
      <c r="B23" s="312"/>
      <c r="C23" s="309"/>
      <c r="D23" s="85"/>
      <c r="G23" s="93" t="s">
        <v>44</v>
      </c>
      <c r="H23" s="535"/>
      <c r="I23" s="121">
        <f>_xlfn.NORM.S.INV(H22)</f>
        <v>-1.6448536269514726</v>
      </c>
      <c r="J23" s="121">
        <f>_xlfn.NORM.S.INV(H22/2)</f>
        <v>-1.9599639845400538</v>
      </c>
      <c r="K23" s="201">
        <f>-TINV(2*H22,H24)</f>
        <v>-2.3533634348018233</v>
      </c>
      <c r="L23" s="319">
        <f>TINV(2*H22,H24)</f>
        <v>2.3533634348018233</v>
      </c>
      <c r="M23" s="89">
        <f>TINV(H22,H24)</f>
        <v>3.1824463052837091</v>
      </c>
      <c r="N23" s="328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36"/>
    </row>
    <row r="24" spans="1:21" ht="16.5" customHeight="1" thickBot="1">
      <c r="A24" s="311"/>
      <c r="B24" s="312"/>
      <c r="C24" s="309"/>
      <c r="D24" s="85"/>
      <c r="G24" s="305" t="s">
        <v>122</v>
      </c>
      <c r="H24" s="69">
        <v>3</v>
      </c>
      <c r="K24" s="140" t="s">
        <v>66</v>
      </c>
      <c r="L24" s="162" t="s">
        <v>67</v>
      </c>
      <c r="M24" s="162" t="s">
        <v>129</v>
      </c>
      <c r="N24" s="328"/>
      <c r="P24" s="8"/>
      <c r="Q24" s="138">
        <f>Q23^2</f>
        <v>4.2781693562156962</v>
      </c>
      <c r="R24" s="138">
        <f>R23^2</f>
        <v>18.779529267638498</v>
      </c>
      <c r="U24" s="336"/>
    </row>
    <row r="25" spans="1:21" ht="15.6" thickBot="1">
      <c r="A25" s="311"/>
      <c r="B25" s="312"/>
      <c r="C25" s="309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28"/>
      <c r="P25" s="8"/>
      <c r="Q25" s="316"/>
      <c r="U25" s="336"/>
    </row>
    <row r="26" spans="1:21" ht="17.7" thickBot="1">
      <c r="A26" s="311"/>
      <c r="B26" s="312"/>
      <c r="C26" s="309"/>
      <c r="D26" s="85"/>
      <c r="G26" s="128" t="s">
        <v>35</v>
      </c>
      <c r="H26" s="144">
        <v>2000</v>
      </c>
      <c r="I26" s="70" t="s">
        <v>32</v>
      </c>
      <c r="J26" s="219" t="s">
        <v>62</v>
      </c>
      <c r="K26" s="70" t="s">
        <v>43</v>
      </c>
      <c r="L26" s="70" t="s">
        <v>44</v>
      </c>
      <c r="M26" s="218" t="s">
        <v>51</v>
      </c>
      <c r="N26" s="328"/>
      <c r="O26" s="229" t="s">
        <v>68</v>
      </c>
      <c r="P26" s="144">
        <v>18</v>
      </c>
      <c r="Q26" s="113" t="s">
        <v>90</v>
      </c>
      <c r="R26" s="70" t="s">
        <v>65</v>
      </c>
      <c r="S26" s="341"/>
      <c r="T26" s="342"/>
      <c r="U26" s="336"/>
    </row>
    <row r="27" spans="1:21" ht="17.7" thickBot="1">
      <c r="A27" s="311"/>
      <c r="B27" s="312"/>
      <c r="C27" s="309"/>
      <c r="D27" s="85"/>
      <c r="G27" s="90" t="s">
        <v>40</v>
      </c>
      <c r="H27" s="131">
        <v>0.43</v>
      </c>
      <c r="I27" s="124">
        <f>H26*H27</f>
        <v>860</v>
      </c>
      <c r="J27" s="317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28"/>
      <c r="O27" s="326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0.27509799465958962</v>
      </c>
      <c r="T27" s="130">
        <f>P28+Q29*P27/SQRT(P26)</f>
        <v>2.1449020053404104</v>
      </c>
      <c r="U27" s="336"/>
    </row>
    <row r="28" spans="1:21" ht="15.6" thickBot="1">
      <c r="A28" s="311"/>
      <c r="B28" s="312"/>
      <c r="C28" s="309"/>
      <c r="D28" s="85"/>
      <c r="G28" s="90" t="s">
        <v>39</v>
      </c>
      <c r="H28" s="91">
        <v>918</v>
      </c>
      <c r="I28" s="126"/>
      <c r="J28" s="295" t="s">
        <v>120</v>
      </c>
      <c r="K28" s="493"/>
      <c r="L28" s="70" t="s">
        <v>175</v>
      </c>
      <c r="M28" s="190" t="s">
        <v>107</v>
      </c>
      <c r="N28" s="328"/>
      <c r="O28" s="94"/>
      <c r="P28" s="99">
        <v>1.21</v>
      </c>
      <c r="Q28" s="70"/>
      <c r="R28" s="70" t="s">
        <v>136</v>
      </c>
      <c r="S28" s="70" t="s">
        <v>135</v>
      </c>
      <c r="U28" s="336"/>
    </row>
    <row r="29" spans="1:21" ht="15.6" thickBot="1">
      <c r="A29" s="311"/>
      <c r="B29" s="312"/>
      <c r="C29" s="309"/>
      <c r="D29" s="85"/>
      <c r="G29" s="359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491">
        <f>(H28+2)/(H26+4)</f>
        <v>0.45908183632734528</v>
      </c>
      <c r="L29" s="496">
        <f>L27*2</f>
        <v>1.9912070233037573</v>
      </c>
      <c r="M29" s="121">
        <f xml:space="preserve"> M27 - 1 + _xlfn.NORM.S.DIST(ROUND((H29 - I27)/J27,2),TRUE)</f>
        <v>-0.99560351165187866</v>
      </c>
      <c r="N29" s="328"/>
      <c r="O29" s="177"/>
      <c r="P29" s="97">
        <v>0</v>
      </c>
      <c r="Q29" s="121">
        <f>TINV((100-L1)/100, P26-1)</f>
        <v>2.109815577833317</v>
      </c>
      <c r="R29" s="121">
        <f>1-_xlfn.T.DIST(Q27, P26-1, TRUE)</f>
        <v>7.1168832390221537E-3</v>
      </c>
      <c r="S29" s="121">
        <f>_xlfn.T.DIST(Q27, P26-1, TRUE)</f>
        <v>0.99288311676097785</v>
      </c>
      <c r="U29" s="336"/>
    </row>
    <row r="30" spans="1:21" ht="18" thickTop="1" thickBot="1">
      <c r="A30" s="313"/>
      <c r="B30" s="314"/>
      <c r="C30" s="309"/>
      <c r="D30" s="85"/>
      <c r="I30" s="128" t="s">
        <v>70</v>
      </c>
      <c r="J30" s="113" t="s">
        <v>57</v>
      </c>
      <c r="K30" s="115" t="s">
        <v>58</v>
      </c>
      <c r="M30" s="255"/>
      <c r="N30" s="328"/>
      <c r="O30" s="145"/>
      <c r="P30" s="123"/>
      <c r="Q30" s="94"/>
      <c r="R30" s="75"/>
      <c r="S30" s="318" t="s">
        <v>66</v>
      </c>
      <c r="T30" s="157" t="s">
        <v>67</v>
      </c>
      <c r="U30" s="336"/>
    </row>
    <row r="31" spans="1:21" ht="17.7" thickBot="1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28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8" t="s">
        <v>65</v>
      </c>
      <c r="U31" s="336"/>
    </row>
    <row r="32" spans="1:21" ht="17.7" thickBot="1">
      <c r="I32" s="113" t="s">
        <v>59</v>
      </c>
      <c r="J32" s="159"/>
      <c r="K32" s="159"/>
      <c r="L32" s="492" t="s">
        <v>174</v>
      </c>
      <c r="M32" s="153" t="s">
        <v>103</v>
      </c>
      <c r="N32" s="328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6"/>
    </row>
    <row r="33" spans="9:21" ht="15.6" thickBot="1">
      <c r="I33" s="114">
        <f>K31* SQRT(I29*(1-I29) / H26)</f>
        <v>2.183926753460317E-2</v>
      </c>
      <c r="J33" s="114">
        <f>I29-I33</f>
        <v>0.43716073246539683</v>
      </c>
      <c r="K33" s="114">
        <f>I29+I33</f>
        <v>0.48083926753460321</v>
      </c>
      <c r="L33" s="201">
        <f>K29-K31*SQRT(K29*(1-K29)/(H26+4))</f>
        <v>0.43726408085427082</v>
      </c>
      <c r="M33" s="89">
        <f>K29+K31*SQRT(K29*(1-K29)/(H26+4))</f>
        <v>0.48089959180041975</v>
      </c>
      <c r="N33" s="329"/>
      <c r="U33" s="336"/>
    </row>
    <row r="34" spans="9:21" ht="15.6" thickBot="1">
      <c r="U34" s="337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125730</xdr:colOff>
                <xdr:row>3</xdr:row>
                <xdr:rowOff>0</xdr:rowOff>
              </from>
              <to>
                <xdr:col>8</xdr:col>
                <xdr:colOff>506730</xdr:colOff>
                <xdr:row>4</xdr:row>
                <xdr:rowOff>30480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125730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11430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87630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11430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220980</xdr:colOff>
                <xdr:row>6</xdr:row>
                <xdr:rowOff>49530</xdr:rowOff>
              </from>
              <to>
                <xdr:col>14</xdr:col>
                <xdr:colOff>487680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125730</xdr:colOff>
                <xdr:row>13</xdr:row>
                <xdr:rowOff>11430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68580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201930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11430</xdr:rowOff>
              </from>
              <to>
                <xdr:col>17</xdr:col>
                <xdr:colOff>506730</xdr:colOff>
                <xdr:row>18</xdr:row>
                <xdr:rowOff>201930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163830</xdr:colOff>
                <xdr:row>18</xdr:row>
                <xdr:rowOff>11430</xdr:rowOff>
              </from>
              <to>
                <xdr:col>16</xdr:col>
                <xdr:colOff>476250</xdr:colOff>
                <xdr:row>18</xdr:row>
                <xdr:rowOff>201930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30480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163830</xdr:colOff>
                <xdr:row>21</xdr:row>
                <xdr:rowOff>30480</xdr:rowOff>
              </from>
              <to>
                <xdr:col>6</xdr:col>
                <xdr:colOff>316230</xdr:colOff>
                <xdr:row>21</xdr:row>
                <xdr:rowOff>182880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11430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125730</xdr:colOff>
                <xdr:row>31</xdr:row>
                <xdr:rowOff>11430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68580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220980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259080</xdr:colOff>
                <xdr:row>27</xdr:row>
                <xdr:rowOff>201930</xdr:rowOff>
              </from>
              <to>
                <xdr:col>14</xdr:col>
                <xdr:colOff>438150</xdr:colOff>
                <xdr:row>28</xdr:row>
                <xdr:rowOff>182880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11430</xdr:rowOff>
              </from>
              <to>
                <xdr:col>14</xdr:col>
                <xdr:colOff>354330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163830</xdr:colOff>
                <xdr:row>8</xdr:row>
                <xdr:rowOff>30480</xdr:rowOff>
              </from>
              <to>
                <xdr:col>14</xdr:col>
                <xdr:colOff>316230</xdr:colOff>
                <xdr:row>8</xdr:row>
                <xdr:rowOff>182880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30480</xdr:rowOff>
              </from>
              <to>
                <xdr:col>23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163830</xdr:colOff>
                <xdr:row>2</xdr:row>
                <xdr:rowOff>30480</xdr:rowOff>
              </from>
              <to>
                <xdr:col>21</xdr:col>
                <xdr:colOff>316230</xdr:colOff>
                <xdr:row>2</xdr:row>
                <xdr:rowOff>182880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11430</xdr:rowOff>
              </from>
              <to>
                <xdr:col>24</xdr:col>
                <xdr:colOff>506730</xdr:colOff>
                <xdr:row>2</xdr:row>
                <xdr:rowOff>201930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163830</xdr:colOff>
                <xdr:row>2</xdr:row>
                <xdr:rowOff>11430</xdr:rowOff>
              </from>
              <to>
                <xdr:col>23</xdr:col>
                <xdr:colOff>476250</xdr:colOff>
                <xdr:row>2</xdr:row>
                <xdr:rowOff>201930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11430</xdr:rowOff>
              </from>
              <to>
                <xdr:col>25</xdr:col>
                <xdr:colOff>506730</xdr:colOff>
                <xdr:row>2</xdr:row>
                <xdr:rowOff>201930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125730</xdr:colOff>
                <xdr:row>25</xdr:row>
                <xdr:rowOff>30480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125730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163830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201930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163830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201930</xdr:rowOff>
              </from>
              <to>
                <xdr:col>21</xdr:col>
                <xdr:colOff>411480</xdr:colOff>
                <xdr:row>11</xdr:row>
                <xdr:rowOff>11430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30480</xdr:rowOff>
              </from>
              <to>
                <xdr:col>23</xdr:col>
                <xdr:colOff>373380</xdr:colOff>
                <xdr:row>10</xdr:row>
                <xdr:rowOff>11430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11430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6"/>
  <sheetViews>
    <sheetView zoomScale="110" zoomScaleNormal="110" workbookViewId="0">
      <selection activeCell="R10" sqref="R10"/>
    </sheetView>
  </sheetViews>
  <sheetFormatPr defaultRowHeight="15.3"/>
  <cols>
    <col min="1" max="3" width="8.15625" customWidth="1"/>
    <col min="4" max="4" width="1.15625" customWidth="1"/>
    <col min="5" max="5" width="10" customWidth="1"/>
    <col min="6" max="6" width="9.15625" customWidth="1"/>
    <col min="7" max="7" width="10.578125" bestFit="1" customWidth="1"/>
    <col min="8" max="8" width="12.26171875" customWidth="1"/>
    <col min="9" max="9" width="1.26171875" customWidth="1"/>
    <col min="10" max="10" width="12" style="91" customWidth="1"/>
    <col min="11" max="11" width="9.15625" style="91" customWidth="1"/>
    <col min="12" max="12" width="10.15625" style="132" bestFit="1" customWidth="1"/>
    <col min="13" max="14" width="9.68359375" style="132" customWidth="1"/>
    <col min="15" max="15" width="9.41796875" style="29" customWidth="1"/>
    <col min="16" max="16" width="9.15625" style="29"/>
    <col min="17" max="17" width="1.26171875" style="382" customWidth="1"/>
    <col min="18" max="18" width="8.68359375" style="29" customWidth="1"/>
    <col min="19" max="19" width="7.68359375" style="29" customWidth="1"/>
    <col min="20" max="20" width="9.41796875" style="29" customWidth="1"/>
    <col min="21" max="21" width="1" style="29" customWidth="1"/>
    <col min="22" max="22" width="10.26171875" style="29" customWidth="1"/>
    <col min="23" max="23" width="9.41796875" style="29" customWidth="1"/>
    <col min="24" max="24" width="10.68359375" style="29" customWidth="1"/>
    <col min="25" max="25" width="9.41796875" style="29" customWidth="1"/>
    <col min="26" max="26" width="9.15625" style="29"/>
    <col min="27" max="27" width="11.83984375" style="29" bestFit="1" customWidth="1"/>
    <col min="28" max="28" width="1.41796875" style="29" customWidth="1"/>
    <col min="29" max="29" width="3.83984375" style="29" customWidth="1"/>
    <col min="30" max="30" width="1.578125" style="29" customWidth="1"/>
    <col min="31" max="31" width="2.41796875" customWidth="1"/>
    <col min="32" max="32" width="1" style="109" customWidth="1"/>
    <col min="33" max="34" width="0.83984375" style="109" customWidth="1"/>
  </cols>
  <sheetData>
    <row r="1" spans="1:34" ht="17.7" thickBot="1">
      <c r="A1" s="164">
        <f>COUNT(A4:A39)</f>
        <v>8</v>
      </c>
      <c r="B1" s="164">
        <f>COUNT(B4:B39)</f>
        <v>8</v>
      </c>
      <c r="C1" s="164"/>
      <c r="D1" s="151"/>
      <c r="E1" s="368" t="s">
        <v>3</v>
      </c>
      <c r="F1" s="369" t="s">
        <v>4</v>
      </c>
      <c r="G1" s="539"/>
      <c r="H1" s="540"/>
      <c r="I1" s="194"/>
      <c r="J1" s="150"/>
      <c r="K1" s="99"/>
      <c r="L1" s="94"/>
      <c r="M1" s="94"/>
      <c r="O1" s="75"/>
      <c r="P1" s="75"/>
      <c r="Q1" s="194"/>
      <c r="R1" s="75" t="s">
        <v>159</v>
      </c>
      <c r="S1" s="434">
        <f>SUM(S4:S18)</f>
        <v>576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18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4" t="s">
        <v>144</v>
      </c>
      <c r="H2" s="374" t="s">
        <v>146</v>
      </c>
      <c r="I2" s="154"/>
      <c r="J2" s="202" t="s">
        <v>56</v>
      </c>
      <c r="K2" s="196">
        <v>90</v>
      </c>
      <c r="L2" s="111"/>
      <c r="M2" s="111"/>
      <c r="N2" s="94"/>
      <c r="O2" s="75"/>
      <c r="P2" s="75"/>
      <c r="Q2" s="384"/>
      <c r="R2" s="383" t="s">
        <v>52</v>
      </c>
      <c r="S2" s="32">
        <v>576</v>
      </c>
      <c r="T2" s="132"/>
      <c r="U2" s="393"/>
      <c r="V2" s="3"/>
      <c r="W2" s="3"/>
      <c r="X2" s="3"/>
      <c r="Y2" s="3"/>
      <c r="Z2" s="3"/>
      <c r="AA2" s="3"/>
      <c r="AB2" s="3"/>
      <c r="AC2" s="3"/>
      <c r="AD2" s="75"/>
    </row>
    <row r="3" spans="1:34" ht="16.5" thickBot="1">
      <c r="A3" s="455"/>
      <c r="B3" s="455"/>
      <c r="C3" s="364" t="s">
        <v>10</v>
      </c>
      <c r="D3" s="154"/>
      <c r="E3" s="155">
        <f>IF(A4="","",AVERAGE(A4:A39))</f>
        <v>72.125</v>
      </c>
      <c r="F3" s="155">
        <f>IF(B4="","",AVERAGE(B4:B39))</f>
        <v>72.337500000000006</v>
      </c>
      <c r="G3" s="155">
        <f xml:space="preserve"> IF(G8&gt;0, 2*(1-_xlfn.T.DIST(G8,A1- 1, TRUE)), 2*(_xlfn.T.DIST(G8,A1- 1, TRUE)))</f>
        <v>0.99507542388801351</v>
      </c>
      <c r="H3" s="182">
        <f>_xlfn.T.DIST(G8,A1- 1, TRUE)</f>
        <v>0.49753771194400676</v>
      </c>
      <c r="I3" s="154"/>
      <c r="J3" s="125"/>
      <c r="K3" s="91" t="s">
        <v>139</v>
      </c>
      <c r="L3" s="161"/>
      <c r="M3" s="111"/>
      <c r="N3" s="123"/>
      <c r="O3" s="75"/>
      <c r="P3" s="75"/>
      <c r="Q3" s="384"/>
      <c r="R3" s="516" t="s">
        <v>147</v>
      </c>
      <c r="S3" s="518" t="s">
        <v>150</v>
      </c>
      <c r="T3" s="517" t="s">
        <v>148</v>
      </c>
      <c r="U3" s="393"/>
      <c r="V3" s="401"/>
      <c r="W3" s="402"/>
      <c r="X3" s="3"/>
      <c r="Y3" s="3"/>
      <c r="Z3" s="508" t="s">
        <v>148</v>
      </c>
      <c r="AA3" s="509" t="s">
        <v>147</v>
      </c>
      <c r="AB3" s="3"/>
      <c r="AC3" s="519" t="s">
        <v>30</v>
      </c>
      <c r="AD3" s="75"/>
      <c r="AF3" s="133"/>
      <c r="AG3" s="122" t="s">
        <v>10</v>
      </c>
      <c r="AH3" s="143" t="s">
        <v>11</v>
      </c>
    </row>
    <row r="4" spans="1:34" ht="20.25" customHeight="1" thickBot="1">
      <c r="A4" s="500">
        <v>220</v>
      </c>
      <c r="B4" s="500">
        <v>73.3</v>
      </c>
      <c r="C4" s="363">
        <f>A4-B4</f>
        <v>146.69999999999999</v>
      </c>
      <c r="D4" s="154">
        <f>IF(B4=0,0, C4^2 / B4)</f>
        <v>293.60013642564797</v>
      </c>
      <c r="E4" s="153" t="s">
        <v>2</v>
      </c>
      <c r="F4" s="153" t="s">
        <v>2</v>
      </c>
      <c r="G4" s="153"/>
      <c r="H4" s="449"/>
      <c r="I4" s="154"/>
      <c r="J4" s="145"/>
      <c r="L4" s="111"/>
      <c r="O4" s="75"/>
      <c r="P4" s="75"/>
      <c r="Q4" s="384">
        <f>IF(S4=0,0, (R4-S4)^2 / S4)</f>
        <v>219.23677420910491</v>
      </c>
      <c r="R4" s="175">
        <f>S4/S$1</f>
        <v>0.38194444444444442</v>
      </c>
      <c r="S4" s="515">
        <v>220</v>
      </c>
      <c r="T4" s="375">
        <f>S$2*R4</f>
        <v>220</v>
      </c>
      <c r="U4" s="393">
        <f>IF(T4=0,0,IF(T4=S4,(S4-V$9)^2/V$9,(S4-T4)^2/T4))</f>
        <v>95.338888888888874</v>
      </c>
      <c r="V4" s="403">
        <f>SUM(Q4:Q15)</f>
        <v>574.0017361111112</v>
      </c>
      <c r="W4" s="404">
        <f>_xlfn.CHISQ.INV.RT((100-K2)/100,COUNT(R4:R25)-1)</f>
        <v>7.7794403397348582</v>
      </c>
      <c r="X4" s="3"/>
      <c r="Y4" s="3"/>
      <c r="Z4" s="506">
        <v>1.6</v>
      </c>
      <c r="AA4" s="507">
        <f>Z4/S$1</f>
        <v>2.7777777777777779E-3</v>
      </c>
      <c r="AB4" s="3"/>
      <c r="AC4" s="521">
        <v>0</v>
      </c>
      <c r="AD4" s="520">
        <f>AC4*R4</f>
        <v>0</v>
      </c>
      <c r="AF4" s="133"/>
      <c r="AG4" s="134">
        <f>$A4-$B4</f>
        <v>146.69999999999999</v>
      </c>
      <c r="AH4" s="134">
        <f>IF(A4="",0, (AG4-$E$8)^2)</f>
        <v>21583.282656249998</v>
      </c>
    </row>
    <row r="5" spans="1:34" ht="15.6" thickBot="1">
      <c r="A5" s="500">
        <v>214</v>
      </c>
      <c r="B5" s="500">
        <v>76.8</v>
      </c>
      <c r="C5" s="363">
        <f t="shared" ref="C5:C16" si="0">A5-B5</f>
        <v>137.19999999999999</v>
      </c>
      <c r="D5" s="154">
        <f t="shared" ref="D5:D17" si="1">IF(B5=0,0, C5^2 / B5)</f>
        <v>245.1020833333333</v>
      </c>
      <c r="E5" s="156">
        <f>_xlfn.STDEV.S(A4:A39)</f>
        <v>95.372109579867669</v>
      </c>
      <c r="F5" s="156">
        <f>_xlfn.STDEV.S(B4:B39)</f>
        <v>2.4634108177774277</v>
      </c>
      <c r="G5" s="155"/>
      <c r="H5" s="182"/>
      <c r="I5" s="154"/>
      <c r="J5" s="176"/>
      <c r="K5" s="176"/>
      <c r="L5" s="123"/>
      <c r="O5" s="75"/>
      <c r="P5" s="75"/>
      <c r="Q5" s="384">
        <f t="shared" ref="Q5:Q23" si="2">IF(S5=0,0, (R5-S5)^2 / S5)</f>
        <v>213.25758945794755</v>
      </c>
      <c r="R5" s="175">
        <f t="shared" ref="R5:R8" si="3">S5/S$1</f>
        <v>0.37152777777777779</v>
      </c>
      <c r="S5" s="515">
        <v>214</v>
      </c>
      <c r="T5" s="375">
        <f t="shared" ref="T5:T15" si="4">S$2*R5</f>
        <v>214</v>
      </c>
      <c r="U5" s="393">
        <f t="shared" ref="U5:U17" si="5">IF(T5=0,0,IF(T5=S5,(S5-V$9)^2/V$9,(S5-T5)^2/T5))</f>
        <v>84.734722222222203</v>
      </c>
      <c r="V5" s="3"/>
      <c r="W5" s="3"/>
      <c r="X5" s="3"/>
      <c r="Y5" s="3"/>
      <c r="Z5" s="503">
        <v>25.5</v>
      </c>
      <c r="AA5" s="505">
        <f t="shared" ref="AA5:AA14" si="6">Z5/S$1</f>
        <v>4.4270833333333336E-2</v>
      </c>
      <c r="AB5" s="3"/>
      <c r="AC5" s="521">
        <v>1</v>
      </c>
      <c r="AD5" s="520">
        <f t="shared" ref="AD5:AD14" si="7">AC5*R5</f>
        <v>0.37152777777777779</v>
      </c>
      <c r="AF5" s="133"/>
      <c r="AG5" s="134">
        <f t="shared" ref="AG5:AG36" si="8">$A5-$B5</f>
        <v>137.19999999999999</v>
      </c>
      <c r="AH5" s="134">
        <f t="shared" ref="AH5:AH11" si="9">IF(A5="",0, (AG5-$E$8)^2)</f>
        <v>18882.19515625</v>
      </c>
    </row>
    <row r="6" spans="1:34" ht="15.75" customHeight="1" thickBot="1">
      <c r="A6" s="500">
        <v>99</v>
      </c>
      <c r="B6" s="500">
        <v>69.8</v>
      </c>
      <c r="C6" s="363">
        <f t="shared" si="0"/>
        <v>29.200000000000003</v>
      </c>
      <c r="D6" s="154">
        <f t="shared" si="1"/>
        <v>12.21547277936963</v>
      </c>
      <c r="E6" s="125"/>
      <c r="F6" s="91"/>
      <c r="G6" s="66"/>
      <c r="H6" s="162"/>
      <c r="I6" s="154"/>
      <c r="O6" s="220" t="s">
        <v>141</v>
      </c>
      <c r="P6" s="140"/>
      <c r="Q6" s="384">
        <f t="shared" si="2"/>
        <v>98.656548394097229</v>
      </c>
      <c r="R6" s="175">
        <f t="shared" si="3"/>
        <v>0.171875</v>
      </c>
      <c r="S6" s="515">
        <v>99</v>
      </c>
      <c r="T6" s="375">
        <f t="shared" si="4"/>
        <v>99</v>
      </c>
      <c r="U6" s="393">
        <f t="shared" si="5"/>
        <v>2.2781250000000011</v>
      </c>
      <c r="V6" s="405" t="s">
        <v>177</v>
      </c>
      <c r="W6" s="374" t="s">
        <v>146</v>
      </c>
      <c r="X6" s="3"/>
      <c r="Y6" s="3"/>
      <c r="Z6" s="503">
        <v>153.1</v>
      </c>
      <c r="AA6" s="505">
        <f t="shared" si="6"/>
        <v>0.26579861111111108</v>
      </c>
      <c r="AB6" s="3"/>
      <c r="AC6" s="521">
        <v>2</v>
      </c>
      <c r="AD6" s="520">
        <f t="shared" si="7"/>
        <v>0.34375</v>
      </c>
      <c r="AF6" s="133"/>
      <c r="AG6" s="134">
        <f t="shared" si="8"/>
        <v>29.200000000000003</v>
      </c>
      <c r="AH6" s="134">
        <f t="shared" si="9"/>
        <v>865.09515625000051</v>
      </c>
    </row>
    <row r="7" spans="1:34" ht="18" customHeight="1" thickBot="1">
      <c r="A7" s="500">
        <v>35</v>
      </c>
      <c r="B7" s="500">
        <v>73</v>
      </c>
      <c r="C7" s="363">
        <f t="shared" si="0"/>
        <v>-38</v>
      </c>
      <c r="D7" s="154">
        <f t="shared" si="1"/>
        <v>19.780821917808218</v>
      </c>
      <c r="E7" s="170"/>
      <c r="F7" s="66"/>
      <c r="G7" s="66"/>
      <c r="H7" s="70"/>
      <c r="I7" s="154"/>
      <c r="J7" s="229" t="s">
        <v>76</v>
      </c>
      <c r="K7" s="144">
        <v>190</v>
      </c>
      <c r="L7" s="100" t="s">
        <v>40</v>
      </c>
      <c r="M7" s="70"/>
      <c r="N7" s="70"/>
      <c r="O7" s="219" t="s">
        <v>79</v>
      </c>
      <c r="P7" s="259" t="s">
        <v>2</v>
      </c>
      <c r="Q7" s="384">
        <f t="shared" si="2"/>
        <v>34.878577715084887</v>
      </c>
      <c r="R7" s="175">
        <f t="shared" si="3"/>
        <v>6.0763888888888888E-2</v>
      </c>
      <c r="S7" s="515">
        <v>35</v>
      </c>
      <c r="T7" s="375">
        <f t="shared" si="4"/>
        <v>35</v>
      </c>
      <c r="U7" s="393">
        <f t="shared" si="5"/>
        <v>55.83368055555556</v>
      </c>
      <c r="V7" s="406">
        <f>SUM(U4:U17)</f>
        <v>337.94097222222217</v>
      </c>
      <c r="W7" s="139">
        <f>CHIDIST(V7,COUNT(R4:R19)-1)</f>
        <v>7.0375872786408058E-72</v>
      </c>
      <c r="X7" s="501">
        <f>1-W7</f>
        <v>1</v>
      </c>
      <c r="Y7" s="502">
        <f>2*W7</f>
        <v>1.4075174557281612E-71</v>
      </c>
      <c r="Z7" s="503">
        <v>408.4</v>
      </c>
      <c r="AA7" s="505">
        <f t="shared" si="6"/>
        <v>0.7090277777777777</v>
      </c>
      <c r="AB7" s="3"/>
      <c r="AC7" s="521">
        <v>3</v>
      </c>
      <c r="AD7" s="520">
        <f t="shared" si="7"/>
        <v>0.18229166666666666</v>
      </c>
      <c r="AF7" s="135">
        <f>SUM(A4:A39)</f>
        <v>577</v>
      </c>
      <c r="AG7" s="134">
        <f t="shared" si="8"/>
        <v>-38</v>
      </c>
      <c r="AH7" s="134">
        <f t="shared" si="9"/>
        <v>1427.8951562499997</v>
      </c>
    </row>
    <row r="8" spans="1:34" ht="21" customHeight="1" thickBot="1">
      <c r="A8" s="500">
        <v>8</v>
      </c>
      <c r="B8" s="500">
        <v>73.8</v>
      </c>
      <c r="C8" s="363">
        <f t="shared" si="0"/>
        <v>-65.8</v>
      </c>
      <c r="D8" s="154">
        <f t="shared" si="1"/>
        <v>58.667208672086716</v>
      </c>
      <c r="E8" s="172">
        <f xml:space="preserve"> SUM(AG4:AG39)/A1</f>
        <v>-0.21250000000000746</v>
      </c>
      <c r="F8" s="171">
        <f>SQRT(SUM(AH4:AH39) /(A1-1))</f>
        <v>93.975094534973152</v>
      </c>
      <c r="G8" s="171">
        <f>E8*SQRT(A1)/F8</f>
        <v>-6.3957452448734397E-3</v>
      </c>
      <c r="H8" s="182"/>
      <c r="I8" s="154"/>
      <c r="J8" s="145" t="s">
        <v>75</v>
      </c>
      <c r="K8" s="91">
        <v>568</v>
      </c>
      <c r="L8" s="138">
        <f xml:space="preserve"> (K7+K10) / (K8+K11)</f>
        <v>0.352112676056338</v>
      </c>
      <c r="M8" s="121">
        <f>K7/K8</f>
        <v>0.33450704225352113</v>
      </c>
      <c r="N8" s="96">
        <f>K10/K11</f>
        <v>0.36971830985915494</v>
      </c>
      <c r="O8" s="138">
        <f>(ABS(K7-K10)-1)/SQRT(K7+K10)</f>
        <v>0.95</v>
      </c>
      <c r="P8" s="121">
        <f>SQRT(  M8*(1-M8)/K8 + N8*(1-N8)/K11 )</f>
        <v>2.8322798577803274E-2</v>
      </c>
      <c r="Q8" s="384">
        <f t="shared" si="2"/>
        <v>7.9722463348765427</v>
      </c>
      <c r="R8" s="175">
        <f t="shared" si="3"/>
        <v>1.3888888888888888E-2</v>
      </c>
      <c r="S8" s="515">
        <v>8</v>
      </c>
      <c r="T8" s="375">
        <f t="shared" si="4"/>
        <v>8</v>
      </c>
      <c r="U8" s="393">
        <f t="shared" si="5"/>
        <v>99.75555555555556</v>
      </c>
      <c r="V8" s="407" t="s">
        <v>149</v>
      </c>
      <c r="W8" s="364" t="s">
        <v>32</v>
      </c>
      <c r="X8" s="3"/>
      <c r="Y8" s="3"/>
      <c r="Z8" s="503">
        <v>408.4</v>
      </c>
      <c r="AA8" s="505">
        <f t="shared" si="6"/>
        <v>0.7090277777777777</v>
      </c>
      <c r="AB8" s="3"/>
      <c r="AC8" s="521">
        <v>4</v>
      </c>
      <c r="AD8" s="520">
        <f t="shared" si="7"/>
        <v>5.5555555555555552E-2</v>
      </c>
      <c r="AF8" s="135">
        <f>SUM(B4:B39)</f>
        <v>578.70000000000005</v>
      </c>
      <c r="AG8" s="134">
        <f t="shared" si="8"/>
        <v>-65.8</v>
      </c>
      <c r="AH8" s="134">
        <f t="shared" si="9"/>
        <v>4301.7201562499986</v>
      </c>
    </row>
    <row r="9" spans="1:34" ht="17.7" thickBot="1">
      <c r="A9" s="500">
        <v>0</v>
      </c>
      <c r="B9" s="500">
        <v>71.3</v>
      </c>
      <c r="C9" s="363">
        <f t="shared" si="0"/>
        <v>-71.3</v>
      </c>
      <c r="D9" s="154">
        <f t="shared" si="1"/>
        <v>71.3</v>
      </c>
      <c r="E9" s="218" t="s">
        <v>78</v>
      </c>
      <c r="F9" s="241"/>
      <c r="G9" s="240"/>
      <c r="H9" s="193" t="s">
        <v>89</v>
      </c>
      <c r="I9" s="154"/>
      <c r="J9" s="145"/>
      <c r="K9" s="123"/>
      <c r="N9" s="94"/>
      <c r="O9" s="192" t="s">
        <v>66</v>
      </c>
      <c r="P9" s="157" t="s">
        <v>67</v>
      </c>
      <c r="Q9" s="384">
        <f t="shared" si="2"/>
        <v>0</v>
      </c>
      <c r="R9" s="175"/>
      <c r="S9" s="515"/>
      <c r="T9" s="375">
        <f t="shared" si="4"/>
        <v>0</v>
      </c>
      <c r="U9" s="393">
        <f t="shared" si="5"/>
        <v>0</v>
      </c>
      <c r="V9" s="408">
        <f>SUM(S4:S15)/COUNT(S4:S15)</f>
        <v>115.2</v>
      </c>
      <c r="W9" s="522">
        <f>SUM(AD4:AD14)</f>
        <v>0.953125</v>
      </c>
      <c r="X9" s="3"/>
      <c r="Y9" s="3"/>
      <c r="Z9" s="503"/>
      <c r="AA9" s="505">
        <f t="shared" si="6"/>
        <v>0</v>
      </c>
      <c r="AB9" s="3"/>
      <c r="AC9" s="521">
        <v>5</v>
      </c>
      <c r="AD9" s="520">
        <f t="shared" si="7"/>
        <v>0</v>
      </c>
      <c r="AF9" s="133"/>
      <c r="AG9" s="134">
        <f t="shared" si="8"/>
        <v>-71.3</v>
      </c>
      <c r="AH9" s="134">
        <f t="shared" si="9"/>
        <v>5053.4326562499991</v>
      </c>
    </row>
    <row r="10" spans="1:34" ht="17.7" thickBot="1">
      <c r="A10" s="500">
        <v>0</v>
      </c>
      <c r="B10" s="500">
        <v>71.7</v>
      </c>
      <c r="C10" s="363">
        <f t="shared" si="0"/>
        <v>-71.7</v>
      </c>
      <c r="D10" s="154">
        <f t="shared" si="1"/>
        <v>71.7</v>
      </c>
      <c r="E10" s="171">
        <f xml:space="preserve"> H10* F8 /SQRT(A1)</f>
        <v>62.947778275619442</v>
      </c>
      <c r="F10" s="130">
        <f>E8-E10</f>
        <v>-63.160278275619447</v>
      </c>
      <c r="G10" s="499">
        <f>E8+E10</f>
        <v>62.735278275619436</v>
      </c>
      <c r="H10" s="183">
        <f>TINV(1-K2/100, A$1- 1)</f>
        <v>1.8945786050900073</v>
      </c>
      <c r="I10" s="154"/>
      <c r="J10" s="145" t="s">
        <v>77</v>
      </c>
      <c r="K10" s="91">
        <v>210</v>
      </c>
      <c r="L10" s="70" t="s">
        <v>79</v>
      </c>
      <c r="M10" s="70" t="s">
        <v>44</v>
      </c>
      <c r="N10" s="70" t="s">
        <v>51</v>
      </c>
      <c r="O10" s="70" t="s">
        <v>65</v>
      </c>
      <c r="P10" s="218" t="s">
        <v>65</v>
      </c>
      <c r="Q10" s="384">
        <f t="shared" si="2"/>
        <v>0</v>
      </c>
      <c r="R10" s="175"/>
      <c r="S10" s="515"/>
      <c r="T10" s="375">
        <f t="shared" si="4"/>
        <v>0</v>
      </c>
      <c r="U10" s="393">
        <f t="shared" si="5"/>
        <v>0</v>
      </c>
      <c r="V10" s="3"/>
      <c r="W10" s="3"/>
      <c r="X10" s="3"/>
      <c r="Y10" s="3"/>
      <c r="Z10" s="503"/>
      <c r="AA10" s="505">
        <f t="shared" si="6"/>
        <v>0</v>
      </c>
      <c r="AB10" s="3"/>
      <c r="AC10" s="521">
        <v>6</v>
      </c>
      <c r="AD10" s="520">
        <f t="shared" si="7"/>
        <v>0</v>
      </c>
      <c r="AF10" s="133"/>
      <c r="AG10" s="134">
        <f t="shared" si="8"/>
        <v>-71.7</v>
      </c>
      <c r="AH10" s="134">
        <f t="shared" si="9"/>
        <v>5110.4626562499998</v>
      </c>
    </row>
    <row r="11" spans="1:34" ht="17.7" thickBot="1">
      <c r="A11" s="500">
        <v>1</v>
      </c>
      <c r="B11" s="500">
        <v>69</v>
      </c>
      <c r="C11" s="363">
        <f t="shared" si="0"/>
        <v>-68</v>
      </c>
      <c r="D11" s="154">
        <f t="shared" si="1"/>
        <v>67.014492753623188</v>
      </c>
      <c r="E11" s="167"/>
      <c r="F11" s="123"/>
      <c r="G11" s="378"/>
      <c r="H11" s="379"/>
      <c r="I11" s="154"/>
      <c r="J11" s="145" t="s">
        <v>74</v>
      </c>
      <c r="K11" s="91">
        <v>568</v>
      </c>
      <c r="L11" s="138">
        <f>(M8-N8 ) / (SQRT(L8*(1-L8)) * SQRT(1/K8+1/K11))</f>
        <v>-1.2423680054112654</v>
      </c>
      <c r="M11" s="96">
        <f>_xlfn.NORM.S.DIST(L11,TRUE)</f>
        <v>0.10705040732847498</v>
      </c>
      <c r="N11" s="121">
        <f>1-M11</f>
        <v>0.89294959267152496</v>
      </c>
      <c r="O11" s="121">
        <f>2*M11</f>
        <v>0.21410081465694997</v>
      </c>
      <c r="P11" s="149">
        <f>2*N11</f>
        <v>1.7858991853430499</v>
      </c>
      <c r="Q11" s="384">
        <f t="shared" si="2"/>
        <v>0</v>
      </c>
      <c r="R11" s="175"/>
      <c r="S11" s="515"/>
      <c r="T11" s="375">
        <f t="shared" si="4"/>
        <v>0</v>
      </c>
      <c r="U11" s="393">
        <f t="shared" si="5"/>
        <v>0</v>
      </c>
      <c r="V11" s="111"/>
      <c r="W11" s="111"/>
      <c r="X11" s="510" t="s">
        <v>160</v>
      </c>
      <c r="Y11" s="513"/>
      <c r="Z11" s="503"/>
      <c r="AA11" s="505">
        <f t="shared" si="6"/>
        <v>0</v>
      </c>
      <c r="AB11" s="3"/>
      <c r="AC11" s="521">
        <v>7</v>
      </c>
      <c r="AD11" s="520">
        <f t="shared" si="7"/>
        <v>0</v>
      </c>
      <c r="AF11" s="133"/>
      <c r="AG11" s="134">
        <f t="shared" si="8"/>
        <v>-68</v>
      </c>
      <c r="AH11" s="134">
        <f t="shared" si="9"/>
        <v>4595.1451562499997</v>
      </c>
    </row>
    <row r="12" spans="1:34" ht="17.7" thickBot="1">
      <c r="A12" s="500"/>
      <c r="B12" s="500"/>
      <c r="C12" s="363">
        <f t="shared" si="0"/>
        <v>0</v>
      </c>
      <c r="D12" s="154">
        <f t="shared" si="1"/>
        <v>0</v>
      </c>
      <c r="E12" s="367" t="s">
        <v>54</v>
      </c>
      <c r="F12" s="227">
        <f>E$5^2/A$1</f>
        <v>1136.9799107142858</v>
      </c>
      <c r="G12" s="380">
        <f xml:space="preserve"> E3-G3 -H14</f>
        <v>5.6075708179702701</v>
      </c>
      <c r="H12" s="237">
        <f>E3-G3+H14</f>
        <v>136.65227833425371</v>
      </c>
      <c r="I12" s="154"/>
      <c r="J12" s="220"/>
      <c r="L12" s="180" t="s">
        <v>78</v>
      </c>
      <c r="M12" s="218" t="s">
        <v>80</v>
      </c>
      <c r="N12" s="541"/>
      <c r="O12" s="542"/>
      <c r="P12" s="70" t="s">
        <v>176</v>
      </c>
      <c r="Q12" s="384">
        <f t="shared" si="2"/>
        <v>0</v>
      </c>
      <c r="R12" s="175"/>
      <c r="S12" s="175"/>
      <c r="T12" s="375">
        <f t="shared" si="4"/>
        <v>0</v>
      </c>
      <c r="U12" s="393">
        <f t="shared" si="5"/>
        <v>0</v>
      </c>
      <c r="V12" s="409" t="s">
        <v>52</v>
      </c>
      <c r="W12" s="410">
        <v>240</v>
      </c>
      <c r="X12" s="511">
        <f>W12*W13</f>
        <v>24.240000000000002</v>
      </c>
      <c r="Y12" s="512">
        <f>( (W14-X12)^2)/X12 + ((W12-W14-X14)^2)/X14</f>
        <v>0.64875898045866787</v>
      </c>
      <c r="Z12" s="503"/>
      <c r="AA12" s="505">
        <f t="shared" si="6"/>
        <v>0</v>
      </c>
      <c r="AB12" s="3"/>
      <c r="AC12" s="521">
        <v>8</v>
      </c>
      <c r="AD12" s="520">
        <f t="shared" si="7"/>
        <v>0</v>
      </c>
      <c r="AF12" s="133"/>
      <c r="AG12" s="134">
        <f t="shared" si="8"/>
        <v>0</v>
      </c>
      <c r="AH12" s="134">
        <f t="shared" ref="AH12:AH35" si="10">IF(A12="",0, (AG12-$E$8)^2)</f>
        <v>0</v>
      </c>
    </row>
    <row r="13" spans="1:34" ht="17.7" thickBot="1">
      <c r="A13" s="500"/>
      <c r="B13" s="500"/>
      <c r="C13" s="363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4.6586857966115697E-2</v>
      </c>
      <c r="M13" s="361">
        <f xml:space="preserve"> _xlfn.NORM.S.INV(1- (100-K2)/200)</f>
        <v>1.6448536269514715</v>
      </c>
      <c r="N13" s="185">
        <f>M8-N8-L13</f>
        <v>-8.1798125571749508E-2</v>
      </c>
      <c r="O13" s="186">
        <f>M8-N8+L13</f>
        <v>1.1375590360481885E-2</v>
      </c>
      <c r="P13" s="433">
        <f>2*M11</f>
        <v>0.21410081465694997</v>
      </c>
      <c r="Q13" s="384">
        <f t="shared" si="2"/>
        <v>0</v>
      </c>
      <c r="R13" s="123"/>
      <c r="S13" s="123"/>
      <c r="T13" s="375">
        <f t="shared" si="4"/>
        <v>0</v>
      </c>
      <c r="U13" s="393">
        <f t="shared" si="5"/>
        <v>0</v>
      </c>
      <c r="V13" s="409" t="s">
        <v>115</v>
      </c>
      <c r="W13" s="435">
        <v>0.10100000000000001</v>
      </c>
      <c r="X13" s="437" t="s">
        <v>161</v>
      </c>
      <c r="Y13" s="3"/>
      <c r="Z13" s="503"/>
      <c r="AA13" s="505">
        <f t="shared" si="6"/>
        <v>0</v>
      </c>
      <c r="AB13" s="3"/>
      <c r="AC13" s="521">
        <v>9</v>
      </c>
      <c r="AD13" s="520">
        <f t="shared" si="7"/>
        <v>0</v>
      </c>
      <c r="AF13" s="136"/>
      <c r="AG13" s="134">
        <f t="shared" si="8"/>
        <v>0</v>
      </c>
      <c r="AH13" s="134">
        <f t="shared" si="10"/>
        <v>0</v>
      </c>
    </row>
    <row r="14" spans="1:34" ht="17.7" thickBot="1">
      <c r="A14" s="500"/>
      <c r="B14" s="500"/>
      <c r="C14" s="363">
        <f t="shared" si="0"/>
        <v>0</v>
      </c>
      <c r="D14" s="154">
        <f t="shared" si="1"/>
        <v>0</v>
      </c>
      <c r="E14" s="226" t="s">
        <v>73</v>
      </c>
      <c r="F14" s="174">
        <f>(F12+F13)^2 / ((F12^2/(A1-1)) + F13^2/(B1-1))</f>
        <v>6.9999999999999991</v>
      </c>
      <c r="G14" s="121">
        <f>TINV(1-K2/100, F14)</f>
        <v>1.9431802805153033</v>
      </c>
      <c r="H14" s="121">
        <f xml:space="preserve"> G14 * SQRT( E5^2 /A1 + G5^2/B1)</f>
        <v>65.522353758141719</v>
      </c>
      <c r="I14" s="154"/>
      <c r="J14" s="230" t="s">
        <v>82</v>
      </c>
      <c r="K14" s="362">
        <v>0.14000000000000001</v>
      </c>
      <c r="L14" s="70" t="s">
        <v>79</v>
      </c>
      <c r="M14" s="219"/>
      <c r="N14" s="94"/>
      <c r="O14" s="123"/>
      <c r="P14" s="123"/>
      <c r="Q14" s="384">
        <f t="shared" si="2"/>
        <v>0</v>
      </c>
      <c r="R14" s="123"/>
      <c r="S14" s="123"/>
      <c r="T14" s="375">
        <f t="shared" si="4"/>
        <v>0</v>
      </c>
      <c r="U14" s="393">
        <f t="shared" si="5"/>
        <v>0</v>
      </c>
      <c r="V14" s="411" t="s">
        <v>74</v>
      </c>
      <c r="W14" s="412">
        <v>28</v>
      </c>
      <c r="X14" s="436">
        <f>W12-X12</f>
        <v>215.76</v>
      </c>
      <c r="Y14" s="3"/>
      <c r="Z14" s="504"/>
      <c r="AA14" s="505">
        <f t="shared" si="6"/>
        <v>0</v>
      </c>
      <c r="AB14" s="3"/>
      <c r="AC14" s="521">
        <v>10</v>
      </c>
      <c r="AD14" s="520">
        <f t="shared" si="7"/>
        <v>0</v>
      </c>
      <c r="AF14" s="137"/>
      <c r="AG14" s="134">
        <f t="shared" si="8"/>
        <v>0</v>
      </c>
      <c r="AH14" s="134">
        <f t="shared" si="10"/>
        <v>0</v>
      </c>
    </row>
    <row r="15" spans="1:34" ht="16.5" thickBot="1">
      <c r="A15" s="500"/>
      <c r="B15" s="500"/>
      <c r="C15" s="363">
        <f t="shared" si="0"/>
        <v>0</v>
      </c>
      <c r="D15" s="376">
        <f t="shared" si="1"/>
        <v>0</v>
      </c>
      <c r="E15" s="210"/>
      <c r="F15" s="210"/>
      <c r="G15" s="543" t="s">
        <v>95</v>
      </c>
      <c r="H15" s="544"/>
      <c r="I15" s="154"/>
      <c r="J15" s="127"/>
      <c r="L15" s="138">
        <f xml:space="preserve"> (M8-N8-K14) /SQRT(M8*(1-M8)/K8 + N8*(1-N8)/K11)</f>
        <v>-6.1862272234265658</v>
      </c>
      <c r="M15" s="138"/>
      <c r="N15" s="217"/>
      <c r="O15" s="75"/>
      <c r="P15" s="75"/>
      <c r="Q15" s="384">
        <f t="shared" si="2"/>
        <v>0</v>
      </c>
      <c r="R15" s="389"/>
      <c r="S15" s="389"/>
      <c r="T15" s="375">
        <f t="shared" si="4"/>
        <v>0</v>
      </c>
      <c r="U15" s="393">
        <f t="shared" si="5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8"/>
        <v>0</v>
      </c>
      <c r="AH15" s="134">
        <f t="shared" si="10"/>
        <v>0</v>
      </c>
    </row>
    <row r="16" spans="1:34" ht="17.7" thickBot="1">
      <c r="A16" s="500"/>
      <c r="B16" s="500"/>
      <c r="C16" s="363">
        <f t="shared" si="0"/>
        <v>0</v>
      </c>
      <c r="D16" s="376">
        <f t="shared" si="1"/>
        <v>0</v>
      </c>
      <c r="E16" s="377"/>
      <c r="F16" s="377"/>
      <c r="G16" s="190" t="s">
        <v>73</v>
      </c>
      <c r="H16" s="158" t="s">
        <v>89</v>
      </c>
      <c r="I16" s="154"/>
      <c r="K16" s="91">
        <v>0.223</v>
      </c>
      <c r="L16" s="187" t="s">
        <v>68</v>
      </c>
      <c r="M16" s="187" t="s">
        <v>140</v>
      </c>
      <c r="N16" s="221"/>
      <c r="O16" s="222"/>
      <c r="P16" s="222"/>
      <c r="Q16" s="384">
        <f t="shared" si="2"/>
        <v>0</v>
      </c>
      <c r="R16" s="390"/>
      <c r="S16" s="390"/>
      <c r="T16" s="375"/>
      <c r="U16" s="393">
        <f t="shared" si="5"/>
        <v>0</v>
      </c>
      <c r="V16" s="222"/>
      <c r="W16" s="374" t="s">
        <v>146</v>
      </c>
      <c r="X16" s="121">
        <f>CHIDIST( (W14-X12)^2 / X12 + (W12-W14-X14)^2 / X14,1)</f>
        <v>0.42055672611606526</v>
      </c>
      <c r="Y16" s="222"/>
      <c r="Z16" s="3"/>
      <c r="AA16" s="3"/>
      <c r="AB16" s="3"/>
      <c r="AC16" s="3"/>
      <c r="AD16" s="223"/>
      <c r="AG16" s="134">
        <f t="shared" si="8"/>
        <v>0</v>
      </c>
      <c r="AH16" s="134">
        <f t="shared" si="10"/>
        <v>0</v>
      </c>
    </row>
    <row r="17" spans="1:34" ht="17.7" thickBot="1">
      <c r="A17" s="175"/>
      <c r="B17" s="175"/>
      <c r="C17" s="175"/>
      <c r="D17" s="154">
        <f t="shared" si="1"/>
        <v>0</v>
      </c>
      <c r="E17" s="75"/>
      <c r="F17" s="75"/>
      <c r="G17" s="191">
        <f xml:space="preserve"> (I19+I20)^2/(I19^2/(F19-1)+I20^2/(F22-1))</f>
        <v>10.795191609867645</v>
      </c>
      <c r="H17" s="121">
        <f>TINV(1-K2/100, G17)</f>
        <v>1.812461122811676</v>
      </c>
      <c r="I17" s="154"/>
      <c r="J17" s="145"/>
      <c r="K17" s="91">
        <v>0.193</v>
      </c>
      <c r="L17" s="188">
        <f>(K16*(1-K16) + K17*(1-K17)) * (M13/K18)^2</f>
        <v>556.36457397086269</v>
      </c>
      <c r="M17" s="188">
        <f xml:space="preserve"> 0.5* (M13/K18)^2</f>
        <v>845.48232940481591</v>
      </c>
      <c r="N17" s="222"/>
      <c r="O17" s="222"/>
      <c r="P17" s="222"/>
      <c r="Q17" s="384">
        <f t="shared" si="2"/>
        <v>0</v>
      </c>
      <c r="R17" s="390"/>
      <c r="S17" s="390"/>
      <c r="T17" s="375"/>
      <c r="U17" s="393">
        <f t="shared" si="5"/>
        <v>0</v>
      </c>
      <c r="V17" s="222"/>
      <c r="W17" s="374" t="s">
        <v>151</v>
      </c>
      <c r="X17" s="138">
        <f>1-_xlfn.NORM.S.DIST(X20,TRUE)</f>
        <v>0.21027836305803249</v>
      </c>
      <c r="Y17" s="222"/>
      <c r="Z17" s="222"/>
      <c r="AA17" s="3"/>
      <c r="AB17" s="3"/>
      <c r="AC17" s="3"/>
      <c r="AD17" s="222"/>
      <c r="AG17" s="134">
        <f t="shared" si="8"/>
        <v>0</v>
      </c>
      <c r="AH17" s="134">
        <f t="shared" si="10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0.04</v>
      </c>
      <c r="L18" s="165"/>
      <c r="M18" s="165"/>
      <c r="N18" s="224"/>
      <c r="O18" s="225"/>
      <c r="P18" s="225"/>
      <c r="Q18" s="384">
        <f t="shared" si="2"/>
        <v>0</v>
      </c>
      <c r="R18" s="391"/>
      <c r="S18" s="391"/>
      <c r="T18" s="225"/>
      <c r="U18" s="394"/>
      <c r="V18" s="225"/>
      <c r="W18" s="225"/>
      <c r="X18" s="225"/>
      <c r="Y18" s="225"/>
      <c r="Z18" s="225"/>
      <c r="AA18" s="3"/>
      <c r="AB18" s="3"/>
      <c r="AC18" s="3"/>
      <c r="AD18" s="225"/>
      <c r="AG18" s="134">
        <f t="shared" si="8"/>
        <v>0</v>
      </c>
      <c r="AH18" s="134">
        <f t="shared" si="10"/>
        <v>0</v>
      </c>
    </row>
    <row r="19" spans="1:34" ht="17.7" thickBot="1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-72.78762305540566</v>
      </c>
      <c r="H19" s="121">
        <f xml:space="preserve"> H17 * SQRT( F21^2 /F19 + F24^2/F22)</f>
        <v>1.7711229341100652</v>
      </c>
      <c r="I19" s="154">
        <f>F21^2 /F19</f>
        <v>0.19635555555555553</v>
      </c>
      <c r="J19" s="145"/>
      <c r="K19" s="123"/>
      <c r="L19" s="94"/>
      <c r="M19" s="75"/>
      <c r="N19" s="233" t="s">
        <v>66</v>
      </c>
      <c r="O19" s="157" t="s">
        <v>67</v>
      </c>
      <c r="P19" s="221"/>
      <c r="Q19" s="384">
        <f t="shared" si="2"/>
        <v>0</v>
      </c>
      <c r="R19" s="392"/>
      <c r="S19" s="392"/>
      <c r="T19" s="221"/>
      <c r="U19" s="395"/>
      <c r="V19" s="221"/>
      <c r="W19" s="221"/>
      <c r="X19" s="413"/>
      <c r="Y19" s="221"/>
      <c r="Z19" s="221"/>
      <c r="AA19" s="3"/>
      <c r="AB19" s="3"/>
      <c r="AC19" s="3"/>
      <c r="AD19" s="221"/>
      <c r="AG19" s="134">
        <f t="shared" si="8"/>
        <v>0</v>
      </c>
      <c r="AH19" s="134">
        <f t="shared" si="10"/>
        <v>0</v>
      </c>
    </row>
    <row r="20" spans="1:34" ht="17.7" thickBot="1">
      <c r="A20" s="175"/>
      <c r="B20" s="175"/>
      <c r="C20" s="175"/>
      <c r="D20" s="154"/>
      <c r="E20" s="146"/>
      <c r="F20" s="450">
        <v>1.21</v>
      </c>
      <c r="G20" s="546"/>
      <c r="H20" s="547"/>
      <c r="I20" s="154">
        <f>F24^2/F22</f>
        <v>0.75854910714285684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4">
        <f t="shared" si="2"/>
        <v>0</v>
      </c>
      <c r="R20" s="318"/>
      <c r="S20" s="318"/>
      <c r="T20" s="157"/>
      <c r="U20" s="396"/>
      <c r="V20" s="157"/>
      <c r="W20" s="514" t="s">
        <v>178</v>
      </c>
      <c r="X20" s="130">
        <f>(W14/W12-W13)/SQRT(W13*(1-W13)/W12)</f>
        <v>0.80545575946706616</v>
      </c>
      <c r="Y20" s="414"/>
      <c r="Z20" s="157"/>
      <c r="AA20" s="157"/>
      <c r="AB20" s="157"/>
      <c r="AC20" s="157"/>
      <c r="AD20" s="75"/>
      <c r="AG20" s="134">
        <f t="shared" si="8"/>
        <v>0</v>
      </c>
      <c r="AH20" s="134">
        <f t="shared" si="10"/>
        <v>0</v>
      </c>
    </row>
    <row r="21" spans="1:34" ht="17.7" thickBot="1">
      <c r="A21" s="175"/>
      <c r="B21" s="175"/>
      <c r="C21" s="175"/>
      <c r="D21" s="154"/>
      <c r="E21" s="146" t="s">
        <v>84</v>
      </c>
      <c r="F21" s="451">
        <v>1.88</v>
      </c>
      <c r="G21" s="139">
        <f xml:space="preserve"> F20- F23 -H19</f>
        <v>-72.89862293411008</v>
      </c>
      <c r="H21" s="139">
        <f xml:space="preserve">  F20- F23 + H19</f>
        <v>-69.356377065889944</v>
      </c>
      <c r="I21" s="195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4">
        <f t="shared" si="2"/>
        <v>0</v>
      </c>
      <c r="R21" s="94"/>
      <c r="S21" s="94"/>
      <c r="T21" s="94"/>
      <c r="U21" s="397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8"/>
        <v>0</v>
      </c>
      <c r="AH21" s="134">
        <f t="shared" si="10"/>
        <v>0</v>
      </c>
    </row>
    <row r="22" spans="1:34" ht="17.7" thickBot="1">
      <c r="A22" s="175"/>
      <c r="B22" s="175"/>
      <c r="C22" s="175"/>
      <c r="D22" s="154"/>
      <c r="E22" s="145" t="s">
        <v>85</v>
      </c>
      <c r="F22" s="91">
        <v>8</v>
      </c>
      <c r="G22" s="545" t="s">
        <v>96</v>
      </c>
      <c r="H22" s="545"/>
      <c r="I22" s="195"/>
      <c r="J22" s="229" t="s">
        <v>68</v>
      </c>
      <c r="K22" s="235">
        <v>12</v>
      </c>
      <c r="L22" s="236" t="s">
        <v>89</v>
      </c>
      <c r="M22" s="121">
        <f xml:space="preserve"> TINV(1-K2/100, K22 -1)</f>
        <v>1.7958848187040437</v>
      </c>
      <c r="N22" s="111"/>
      <c r="O22" s="111"/>
      <c r="P22" s="111"/>
      <c r="Q22" s="384">
        <f t="shared" si="2"/>
        <v>0</v>
      </c>
      <c r="R22" s="111"/>
      <c r="S22" s="111"/>
      <c r="T22" s="111"/>
      <c r="U22" s="398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8"/>
        <v>0</v>
      </c>
      <c r="AH22" s="134">
        <f t="shared" si="10"/>
        <v>0</v>
      </c>
    </row>
    <row r="23" spans="1:34" ht="18.75" customHeight="1" thickBot="1">
      <c r="A23" s="175"/>
      <c r="B23" s="175"/>
      <c r="C23" s="175"/>
      <c r="D23" s="154"/>
      <c r="E23" s="146"/>
      <c r="F23" s="450">
        <f>F3</f>
        <v>72.337500000000006</v>
      </c>
      <c r="G23" s="190" t="s">
        <v>73</v>
      </c>
      <c r="H23" s="193" t="s">
        <v>89</v>
      </c>
      <c r="I23" s="195"/>
      <c r="J23" s="145"/>
      <c r="K23" s="234">
        <v>3.125</v>
      </c>
      <c r="L23" s="239"/>
      <c r="M23" s="240"/>
      <c r="O23" s="75"/>
      <c r="P23" s="75"/>
      <c r="Q23" s="384">
        <f t="shared" si="2"/>
        <v>0</v>
      </c>
      <c r="R23" s="389"/>
      <c r="S23" s="389"/>
      <c r="T23" s="75"/>
      <c r="U23" s="399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8"/>
        <v>0</v>
      </c>
      <c r="AH23" s="134">
        <f t="shared" si="10"/>
        <v>0</v>
      </c>
    </row>
    <row r="24" spans="1:34" ht="17.7" thickBot="1">
      <c r="A24" s="175"/>
      <c r="B24" s="175"/>
      <c r="C24" s="175"/>
      <c r="D24" s="154"/>
      <c r="E24" s="146" t="s">
        <v>86</v>
      </c>
      <c r="F24" s="451">
        <f>F5</f>
        <v>2.4634108177774277</v>
      </c>
      <c r="G24" s="191">
        <f xml:space="preserve"> IF(F19=F22,F19-1,(I19+I20)^2/(I19^2/(F19-1)+I20^2/(F22-1)))</f>
        <v>10.795191609867645</v>
      </c>
      <c r="H24" s="149">
        <f>TINV(1-K2/100, G24)</f>
        <v>1.812461122811676</v>
      </c>
      <c r="I24" s="195"/>
      <c r="J24" s="148"/>
      <c r="K24" s="238">
        <v>2.911</v>
      </c>
      <c r="L24" s="237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5"/>
      <c r="R24" s="157"/>
      <c r="S24" s="157"/>
      <c r="T24" s="157"/>
      <c r="U24" s="396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8"/>
        <v>0</v>
      </c>
      <c r="AH24" s="134">
        <f t="shared" si="10"/>
        <v>0</v>
      </c>
    </row>
    <row r="25" spans="1:34" ht="17.7" thickBot="1">
      <c r="A25" s="175"/>
      <c r="B25" s="175"/>
      <c r="C25" s="175"/>
      <c r="D25" s="154"/>
      <c r="E25" s="146"/>
      <c r="F25" s="99"/>
      <c r="G25" s="158" t="s">
        <v>87</v>
      </c>
      <c r="H25" s="218" t="s">
        <v>78</v>
      </c>
      <c r="I25" s="195"/>
      <c r="J25" s="75"/>
      <c r="K25" s="75"/>
      <c r="L25" s="94"/>
      <c r="M25" s="94"/>
      <c r="N25" s="94"/>
      <c r="O25" s="94"/>
      <c r="P25" s="94"/>
      <c r="Q25" s="386"/>
      <c r="R25" s="94"/>
      <c r="S25" s="94"/>
      <c r="T25" s="94"/>
      <c r="U25" s="397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8"/>
        <v>0</v>
      </c>
      <c r="AH25" s="134">
        <f t="shared" si="10"/>
        <v>0</v>
      </c>
    </row>
    <row r="26" spans="1:34" ht="17.7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-72.78762305540566</v>
      </c>
      <c r="H26" s="149">
        <f xml:space="preserve"> H24 * SQRT( F21^2 /F19 + F24^2/F22)</f>
        <v>1.7711229341100652</v>
      </c>
      <c r="I26" s="195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87"/>
      <c r="R26" s="111"/>
      <c r="S26" s="111"/>
      <c r="T26" s="111"/>
      <c r="U26" s="398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8"/>
        <v>0</v>
      </c>
      <c r="AH26" s="134">
        <f t="shared" si="10"/>
        <v>0</v>
      </c>
    </row>
    <row r="27" spans="1:34" ht="17.7" thickBot="1">
      <c r="A27" s="175"/>
      <c r="B27" s="175"/>
      <c r="C27" s="175"/>
      <c r="D27" s="154"/>
      <c r="E27" s="150"/>
      <c r="F27" s="76"/>
      <c r="G27" s="231"/>
      <c r="H27" s="232"/>
      <c r="I27" s="195"/>
      <c r="J27" s="94"/>
      <c r="K27" s="370">
        <f>MIN(C4:C28)</f>
        <v>-71.7</v>
      </c>
      <c r="L27" s="371">
        <f>QUARTILE(C4:C27, 1)</f>
        <v>-65.8</v>
      </c>
      <c r="M27" s="371">
        <f>QUARTILE(C4:C15, 2)</f>
        <v>0</v>
      </c>
      <c r="N27" s="371">
        <f>QUARTILE(C4:C15, 3)</f>
        <v>7.3000000000000007</v>
      </c>
      <c r="O27" s="372">
        <f>MAX(C4:C24)</f>
        <v>146.69999999999999</v>
      </c>
      <c r="P27" s="75"/>
      <c r="Q27" s="388"/>
      <c r="R27" s="75"/>
      <c r="S27" s="75"/>
      <c r="T27" s="75"/>
      <c r="U27" s="400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8"/>
        <v>0</v>
      </c>
      <c r="AH27" s="134">
        <f t="shared" si="10"/>
        <v>0</v>
      </c>
    </row>
    <row r="28" spans="1:34" ht="15.6" thickBot="1">
      <c r="A28" s="175"/>
      <c r="B28" s="175"/>
      <c r="C28" s="175"/>
      <c r="D28" s="154"/>
      <c r="E28" s="46"/>
      <c r="F28" s="99"/>
      <c r="G28" s="139">
        <f xml:space="preserve"> F20- F23 -H26</f>
        <v>-72.89862293411008</v>
      </c>
      <c r="H28" s="228">
        <f xml:space="preserve">  F20- F23 + H26</f>
        <v>-69.356377065889944</v>
      </c>
      <c r="I28" s="195"/>
      <c r="J28" s="94"/>
      <c r="L28" s="111"/>
      <c r="M28" s="94"/>
      <c r="N28" s="75"/>
      <c r="O28" s="318" t="s">
        <v>66</v>
      </c>
      <c r="P28" s="157" t="s">
        <v>67</v>
      </c>
      <c r="Q28" s="381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8"/>
        <v>0</v>
      </c>
      <c r="AH28" s="134">
        <f t="shared" si="10"/>
        <v>0</v>
      </c>
    </row>
    <row r="29" spans="1:34" ht="17.7" thickBot="1">
      <c r="A29" s="175"/>
      <c r="B29" s="175"/>
      <c r="C29" s="175"/>
      <c r="D29" s="154"/>
      <c r="E29" s="365" t="s">
        <v>133</v>
      </c>
      <c r="F29" s="366" t="s">
        <v>134</v>
      </c>
      <c r="G29" s="373" t="s">
        <v>145</v>
      </c>
      <c r="H29" s="157"/>
      <c r="I29" s="195"/>
      <c r="J29" s="229" t="s">
        <v>68</v>
      </c>
      <c r="K29" s="144">
        <v>16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1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8"/>
        <v>0</v>
      </c>
      <c r="AH29" s="134">
        <f t="shared" si="10"/>
        <v>0</v>
      </c>
    </row>
    <row r="30" spans="1:34" ht="17.7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5"/>
      <c r="J30" s="326" t="s">
        <v>69</v>
      </c>
      <c r="K30" s="91">
        <v>1.94</v>
      </c>
      <c r="L30" s="121">
        <f xml:space="preserve"> (K31 - K32) * SQRT(K29) / K30</f>
        <v>2.1855670103092786</v>
      </c>
      <c r="M30" s="149">
        <f>1 -_xlfn.T.DIST(L30, K29-1, TRUE)</f>
        <v>2.2560132653120513E-2</v>
      </c>
      <c r="N30" s="121">
        <f>1-M30</f>
        <v>0.97743986734687949</v>
      </c>
      <c r="O30" s="498">
        <f>2*M30</f>
        <v>4.5120265306241025E-2</v>
      </c>
      <c r="P30" s="497">
        <f>2*N30</f>
        <v>1.954879734693759</v>
      </c>
      <c r="Q30" s="381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8"/>
        <v>0</v>
      </c>
      <c r="AH30" s="134">
        <f t="shared" si="10"/>
        <v>0</v>
      </c>
    </row>
    <row r="31" spans="1:34" ht="15.6" thickBot="1">
      <c r="A31" s="175"/>
      <c r="B31" s="175"/>
      <c r="C31" s="99" t="s">
        <v>143</v>
      </c>
      <c r="D31" s="154"/>
      <c r="E31" s="121">
        <f xml:space="preserve"> _xlfn.T.DIST(G19,G17-1, TRUE)</f>
        <v>4.4086684428417113E-14</v>
      </c>
      <c r="F31" s="121">
        <f>1-_xlfn.T.DIST(G19, G17-1, TRUE)</f>
        <v>0.99999999999995592</v>
      </c>
      <c r="G31" s="121">
        <f xml:space="preserve">  IF(G19&gt;0, 2*(1-_xlfn.T.DIST(G19,G17, TRUE)), 2*(_xlfn.T.DIST(G19,G17, TRUE)))</f>
        <v>5.8448265524949578E-15</v>
      </c>
      <c r="H31" s="121"/>
      <c r="I31" s="195"/>
      <c r="J31" s="94"/>
      <c r="K31" s="495">
        <v>1.06</v>
      </c>
      <c r="L31" s="70"/>
      <c r="O31" s="75"/>
      <c r="P31" s="75"/>
      <c r="Q31" s="381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8"/>
        <v>0</v>
      </c>
      <c r="AH31" s="134">
        <f t="shared" si="10"/>
        <v>0</v>
      </c>
    </row>
    <row r="32" spans="1:34" ht="15.6" thickBot="1">
      <c r="A32" s="175"/>
      <c r="B32" s="175"/>
      <c r="C32" s="163" t="s">
        <v>142</v>
      </c>
      <c r="D32" s="154"/>
      <c r="E32" s="121">
        <f xml:space="preserve"> _xlfn.T.DIST(G19,G24-1, TRUE)</f>
        <v>4.4086684428417113E-14</v>
      </c>
      <c r="F32" s="121">
        <f>1-_xlfn.T.DIST(G19, G24-1, TRUE)</f>
        <v>0.99999999999995592</v>
      </c>
      <c r="G32" s="121">
        <f xml:space="preserve"> IF(G26&gt;0, 2*(1-_xlfn.T.DIST(G26,G24, TRUE)), 2*(_xlfn.T.DIST(G26,G24, TRUE)))</f>
        <v>5.8448265524949578E-15</v>
      </c>
      <c r="H32" s="121"/>
      <c r="I32" s="195"/>
      <c r="J32" s="177"/>
      <c r="K32" s="97">
        <v>0</v>
      </c>
      <c r="L32" s="121">
        <f>TINV((100-K2)/100, K29-1)</f>
        <v>1.7530503556925723</v>
      </c>
      <c r="O32" s="75"/>
      <c r="P32" s="75"/>
      <c r="Q32" s="381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8"/>
        <v>0</v>
      </c>
      <c r="AH32" s="134">
        <f t="shared" si="10"/>
        <v>0</v>
      </c>
    </row>
    <row r="33" spans="1:34">
      <c r="A33" s="175"/>
      <c r="B33" s="175"/>
      <c r="C33" s="175"/>
      <c r="D33" s="154"/>
      <c r="E33" s="46"/>
      <c r="F33" s="43"/>
      <c r="I33" s="195"/>
      <c r="J33" s="175"/>
      <c r="K33" s="175"/>
      <c r="L33" s="375"/>
      <c r="AG33" s="134">
        <f t="shared" si="8"/>
        <v>0</v>
      </c>
      <c r="AH33" s="134">
        <f t="shared" si="10"/>
        <v>0</v>
      </c>
    </row>
    <row r="34" spans="1:34">
      <c r="A34" s="175"/>
      <c r="B34" s="175"/>
      <c r="C34" s="175"/>
      <c r="D34" s="154"/>
      <c r="I34" s="195"/>
      <c r="J34" s="175"/>
      <c r="K34" s="175"/>
      <c r="L34" s="375"/>
      <c r="AG34" s="134">
        <f t="shared" si="8"/>
        <v>0</v>
      </c>
      <c r="AH34" s="134">
        <f t="shared" si="10"/>
        <v>0</v>
      </c>
    </row>
    <row r="35" spans="1:34">
      <c r="A35" s="242"/>
      <c r="B35" s="242"/>
      <c r="C35" s="242"/>
      <c r="D35" s="154"/>
      <c r="I35" s="195"/>
      <c r="L35" s="375"/>
      <c r="AG35" s="134">
        <f t="shared" si="8"/>
        <v>0</v>
      </c>
      <c r="AH35" s="134">
        <f t="shared" si="10"/>
        <v>0</v>
      </c>
    </row>
    <row r="36" spans="1:34">
      <c r="AG36" s="134">
        <f t="shared" si="8"/>
        <v>0</v>
      </c>
      <c r="AH36" s="134">
        <f t="shared" ref="AH36" si="11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506730</xdr:colOff>
                <xdr:row>11</xdr:row>
                <xdr:rowOff>30480</xdr:rowOff>
              </from>
              <to>
                <xdr:col>14</xdr:col>
                <xdr:colOff>125730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49530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11430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144780</xdr:colOff>
                <xdr:row>6</xdr:row>
                <xdr:rowOff>49530</xdr:rowOff>
              </from>
              <to>
                <xdr:col>13</xdr:col>
                <xdr:colOff>411480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220980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220980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182880</xdr:colOff>
                <xdr:row>19</xdr:row>
                <xdr:rowOff>11430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259080</xdr:colOff>
                <xdr:row>22</xdr:row>
                <xdr:rowOff>11430</xdr:rowOff>
              </from>
              <to>
                <xdr:col>4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506730</xdr:colOff>
                <xdr:row>10</xdr:row>
                <xdr:rowOff>11430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201930</xdr:rowOff>
              </from>
              <to>
                <xdr:col>4</xdr:col>
                <xdr:colOff>419100</xdr:colOff>
                <xdr:row>6</xdr:row>
                <xdr:rowOff>220980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468630</xdr:colOff>
                <xdr:row>6</xdr:row>
                <xdr:rowOff>201930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220980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544830</xdr:colOff>
                <xdr:row>8</xdr:row>
                <xdr:rowOff>11430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220980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11430</xdr:rowOff>
              </from>
              <to>
                <xdr:col>9</xdr:col>
                <xdr:colOff>468630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544830</xdr:colOff>
                <xdr:row>22</xdr:row>
                <xdr:rowOff>11430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240030</xdr:colOff>
                <xdr:row>2</xdr:row>
                <xdr:rowOff>68580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430530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87630</xdr:colOff>
                <xdr:row>5</xdr:row>
                <xdr:rowOff>11430</xdr:rowOff>
              </from>
              <to>
                <xdr:col>21</xdr:col>
                <xdr:colOff>228600</xdr:colOff>
                <xdr:row>6</xdr:row>
                <xdr:rowOff>11430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259080</xdr:colOff>
                <xdr:row>30</xdr:row>
                <xdr:rowOff>201930</xdr:rowOff>
              </from>
              <to>
                <xdr:col>9</xdr:col>
                <xdr:colOff>438150</xdr:colOff>
                <xdr:row>31</xdr:row>
                <xdr:rowOff>182880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11430</xdr:rowOff>
              </from>
              <to>
                <xdr:col>9</xdr:col>
                <xdr:colOff>354330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163830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201930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285750</xdr:colOff>
                <xdr:row>10</xdr:row>
                <xdr:rowOff>19050</xdr:rowOff>
              </from>
              <to>
                <xdr:col>24</xdr:col>
                <xdr:colOff>430530</xdr:colOff>
                <xdr:row>10</xdr:row>
                <xdr:rowOff>220980</xdr:rowOff>
              </to>
            </anchor>
          </objectPr>
        </oleObject>
      </mc:Choice>
      <mc:Fallback>
        <oleObject progId="Equation.DSMT4" shapeId="12353" r:id="rId4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tabSelected="1" workbookViewId="0">
      <selection activeCell="A4" sqref="A4"/>
    </sheetView>
  </sheetViews>
  <sheetFormatPr defaultRowHeight="14.4"/>
  <cols>
    <col min="1" max="1" width="6.62890625" customWidth="1"/>
    <col min="2" max="2" width="6.3671875" customWidth="1"/>
    <col min="3" max="3" width="0.83984375" customWidth="1"/>
    <col min="4" max="4" width="13.15625" customWidth="1"/>
    <col min="5" max="5" width="11.68359375" customWidth="1"/>
    <col min="6" max="6" width="13.15625" customWidth="1"/>
    <col min="7" max="7" width="11.83984375" customWidth="1"/>
    <col min="8" max="8" width="8" customWidth="1"/>
    <col min="11" max="12" width="0.83984375" style="426" customWidth="1"/>
  </cols>
  <sheetData>
    <row r="1" spans="1:13" ht="18" thickBot="1">
      <c r="A1" s="164">
        <f>COUNT(A4:A25)</f>
        <v>5</v>
      </c>
      <c r="B1" s="164">
        <f>COUNT(B4:B25)</f>
        <v>5</v>
      </c>
      <c r="C1" s="205"/>
      <c r="D1" s="204" t="s">
        <v>91</v>
      </c>
      <c r="E1" s="207" t="s">
        <v>45</v>
      </c>
      <c r="G1" s="208" t="s">
        <v>56</v>
      </c>
      <c r="H1" s="196">
        <v>95</v>
      </c>
      <c r="K1" s="427"/>
      <c r="L1" s="427"/>
    </row>
    <row r="2" spans="1:13" ht="15.3" thickBot="1">
      <c r="A2" s="152" t="s">
        <v>3</v>
      </c>
      <c r="B2" s="152" t="s">
        <v>4</v>
      </c>
      <c r="C2" s="206"/>
      <c r="D2" s="237">
        <f>CORREL(A3:A33, B3:B33)</f>
        <v>0.49876476767467082</v>
      </c>
      <c r="E2" s="86">
        <f>D2^2</f>
        <v>0.24876629347356835</v>
      </c>
      <c r="K2" s="427"/>
      <c r="L2" s="427"/>
    </row>
    <row r="3" spans="1:13" ht="18.75" customHeight="1" thickBot="1">
      <c r="A3" s="455"/>
      <c r="B3" s="455"/>
      <c r="C3" s="206"/>
      <c r="D3" s="204" t="s">
        <v>92</v>
      </c>
      <c r="E3" s="138">
        <f>(_xlfn.T.INV((1-(100 -$H$1)/200), $A$1-2)) / SQRT((_xlfn.T.INV((1-(100 -$H$1)/200), $A$1-2))^2 + $A$1-2)</f>
        <v>0.87833944815980514</v>
      </c>
      <c r="G3" s="211" t="s">
        <v>80</v>
      </c>
      <c r="H3" s="179">
        <f>_xlfn.NORM.S.INV(1- (100-H1)/200)</f>
        <v>1.9599639845400536</v>
      </c>
      <c r="I3" s="30"/>
      <c r="J3" s="30"/>
      <c r="K3" s="428"/>
      <c r="L3" s="428"/>
      <c r="M3" s="30"/>
    </row>
    <row r="4" spans="1:13" ht="15.6" thickBot="1">
      <c r="A4" s="562">
        <v>816932</v>
      </c>
      <c r="B4" s="562">
        <v>133</v>
      </c>
      <c r="C4" s="206">
        <f>A4*B4</f>
        <v>108651956</v>
      </c>
      <c r="D4" s="555" t="s">
        <v>48</v>
      </c>
      <c r="E4" s="556"/>
      <c r="G4" s="94"/>
      <c r="H4" s="203"/>
      <c r="I4" s="30"/>
      <c r="J4" s="30"/>
      <c r="K4" s="428">
        <f>IF( A4="",0, A4*E$6+D$6)</f>
        <v>134.24401014590165</v>
      </c>
      <c r="L4" s="428">
        <f>(K4-B4)^2</f>
        <v>1.547561243106256</v>
      </c>
      <c r="M4" s="30"/>
    </row>
    <row r="5" spans="1:13" ht="15.6" thickBot="1">
      <c r="A5" s="562">
        <v>951545</v>
      </c>
      <c r="B5" s="562">
        <v>137</v>
      </c>
      <c r="C5" s="206">
        <f t="shared" ref="C5:C33" si="0">A5*B5</f>
        <v>130361665</v>
      </c>
      <c r="D5" s="204" t="s">
        <v>46</v>
      </c>
      <c r="E5" s="70" t="s">
        <v>47</v>
      </c>
      <c r="F5" s="209"/>
      <c r="G5" s="29"/>
      <c r="I5" s="30"/>
      <c r="J5" s="30"/>
      <c r="K5" s="428">
        <f t="shared" ref="K5:K18" si="1">IF( A5="",0, A5*E$6+D$6)</f>
        <v>137.32316153567729</v>
      </c>
      <c r="L5" s="428">
        <f t="shared" ref="L5:L18" si="2">(K5-B5)^2</f>
        <v>0.10443337814130201</v>
      </c>
      <c r="M5" s="30"/>
    </row>
    <row r="6" spans="1:13" ht="15.6" thickBot="1">
      <c r="A6" s="562">
        <v>991305</v>
      </c>
      <c r="B6" s="562">
        <v>138</v>
      </c>
      <c r="C6" s="206">
        <f t="shared" si="0"/>
        <v>136800090</v>
      </c>
      <c r="D6" s="181">
        <f xml:space="preserve"> (SUM($B$4:$B$33)*SUMSQ($A$4:$A$33) - SUM(A4:A33)*SUM(C4:C33) ) / (COUNT(A4:A33)*SUMSQ(A4:A33) - SUM(A4:A33)^2 )</f>
        <v>115.55742487440351</v>
      </c>
      <c r="E6" s="121">
        <f xml:space="preserve">  (COUNT(A4:A33) *SUM(C4:C33) - SUM(A4:A33)*SUM(B4:B33) ) / (COUNT(A4:A33)*SUMSQ(A4:A33) - SUM(A4:A33)^2 )</f>
        <v>2.2874101236697988E-5</v>
      </c>
      <c r="F6" s="117">
        <f>IF(D2 &gt; E3, D6+E6*E7, AVERAGE(B4:B33))</f>
        <v>136</v>
      </c>
      <c r="G6" s="123"/>
      <c r="I6" s="30"/>
      <c r="J6" s="30"/>
      <c r="K6" s="428">
        <f t="shared" si="1"/>
        <v>138.23263580084841</v>
      </c>
      <c r="L6" s="428">
        <f t="shared" si="2"/>
        <v>5.411941583638271E-2</v>
      </c>
      <c r="M6" s="30"/>
    </row>
    <row r="7" spans="1:13" ht="15.6" thickBot="1">
      <c r="A7" s="562">
        <v>856472</v>
      </c>
      <c r="B7" s="562">
        <v>140</v>
      </c>
      <c r="C7" s="206">
        <f t="shared" si="0"/>
        <v>119906080</v>
      </c>
      <c r="D7" s="101" t="s">
        <v>94</v>
      </c>
      <c r="E7" s="212">
        <v>4</v>
      </c>
      <c r="F7" s="121">
        <f>E7*E6+D6</f>
        <v>115.55751637080846</v>
      </c>
      <c r="I7" s="30"/>
      <c r="J7" s="94"/>
      <c r="K7" s="428">
        <f t="shared" si="1"/>
        <v>135.14845210880071</v>
      </c>
      <c r="L7" s="428">
        <f t="shared" si="2"/>
        <v>23.537516940600266</v>
      </c>
      <c r="M7" s="203"/>
    </row>
    <row r="8" spans="1:13" ht="15.6" thickBot="1">
      <c r="A8" s="562">
        <v>852244</v>
      </c>
      <c r="B8" s="562">
        <v>132</v>
      </c>
      <c r="C8" s="206">
        <f t="shared" si="0"/>
        <v>112496208</v>
      </c>
      <c r="D8" s="30"/>
      <c r="E8" s="30"/>
      <c r="F8" s="30"/>
      <c r="I8" s="30"/>
      <c r="J8" s="132"/>
      <c r="K8" s="428">
        <f t="shared" si="1"/>
        <v>135.05174040877193</v>
      </c>
      <c r="L8" s="428">
        <f t="shared" si="2"/>
        <v>9.3131195225314922</v>
      </c>
      <c r="M8" s="132"/>
    </row>
    <row r="9" spans="1:13" ht="15.6" thickBot="1">
      <c r="A9" s="563"/>
      <c r="B9" s="563"/>
      <c r="C9" s="425">
        <f t="shared" si="0"/>
        <v>0</v>
      </c>
      <c r="D9" s="551" t="s">
        <v>156</v>
      </c>
      <c r="E9" s="552"/>
      <c r="F9" s="70" t="s">
        <v>162</v>
      </c>
      <c r="G9" s="217"/>
      <c r="I9" s="30"/>
      <c r="J9" s="132"/>
      <c r="K9" s="428">
        <f t="shared" si="1"/>
        <v>0</v>
      </c>
      <c r="L9" s="428">
        <f t="shared" si="2"/>
        <v>0</v>
      </c>
      <c r="M9" s="132"/>
    </row>
    <row r="10" spans="1:13" ht="15.6" thickBot="1">
      <c r="A10" s="563"/>
      <c r="B10" s="563"/>
      <c r="C10" s="425">
        <f t="shared" si="0"/>
        <v>0</v>
      </c>
      <c r="D10" s="557">
        <f>SUM(L4:L17)</f>
        <v>34.556750500215699</v>
      </c>
      <c r="E10" s="558"/>
      <c r="F10" s="117" t="e">
        <f>VLOOKUP(E7,A4:B20,2,FALSE)-F7</f>
        <v>#N/A</v>
      </c>
      <c r="G10" s="29"/>
      <c r="I10" s="30"/>
      <c r="J10" s="132"/>
      <c r="K10" s="428">
        <f t="shared" si="1"/>
        <v>0</v>
      </c>
      <c r="L10" s="428">
        <f t="shared" si="2"/>
        <v>0</v>
      </c>
      <c r="M10" s="132"/>
    </row>
    <row r="11" spans="1:13" ht="15.6" thickBot="1">
      <c r="A11" s="563"/>
      <c r="B11" s="563"/>
      <c r="C11" s="206">
        <f t="shared" si="0"/>
        <v>0</v>
      </c>
      <c r="D11" s="213"/>
      <c r="E11" s="213"/>
      <c r="I11" s="30"/>
      <c r="J11" s="132"/>
      <c r="K11" s="428">
        <f t="shared" si="1"/>
        <v>0</v>
      </c>
      <c r="L11" s="428">
        <f t="shared" si="2"/>
        <v>0</v>
      </c>
      <c r="M11" s="132"/>
    </row>
    <row r="12" spans="1:13" ht="15.6" thickBot="1">
      <c r="A12" s="563"/>
      <c r="B12" s="563"/>
      <c r="C12" s="206">
        <f t="shared" si="0"/>
        <v>0</v>
      </c>
      <c r="D12" s="101" t="s">
        <v>35</v>
      </c>
      <c r="E12" s="212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28">
        <f t="shared" si="1"/>
        <v>0</v>
      </c>
      <c r="L12" s="428">
        <f t="shared" si="2"/>
        <v>0</v>
      </c>
      <c r="M12" s="132"/>
    </row>
    <row r="13" spans="1:13" ht="15.6" thickBot="1">
      <c r="A13" s="563"/>
      <c r="B13" s="563"/>
      <c r="C13" s="206">
        <f t="shared" si="0"/>
        <v>0</v>
      </c>
      <c r="D13" s="214" t="s">
        <v>34</v>
      </c>
      <c r="E13" s="215">
        <v>0.21149999999999999</v>
      </c>
      <c r="I13" s="30"/>
      <c r="J13" s="132"/>
      <c r="K13" s="428">
        <f t="shared" si="1"/>
        <v>0</v>
      </c>
      <c r="L13" s="428">
        <f t="shared" si="2"/>
        <v>0</v>
      </c>
      <c r="M13" s="132"/>
    </row>
    <row r="14" spans="1:13" ht="15.6" thickBot="1">
      <c r="A14" s="523"/>
      <c r="B14" s="523"/>
      <c r="C14" s="206">
        <f t="shared" si="0"/>
        <v>0</v>
      </c>
      <c r="D14" s="30"/>
      <c r="E14" s="76"/>
      <c r="I14" s="30"/>
      <c r="J14" s="30"/>
      <c r="K14" s="428">
        <f t="shared" si="1"/>
        <v>0</v>
      </c>
      <c r="L14" s="428">
        <f t="shared" si="2"/>
        <v>0</v>
      </c>
      <c r="M14" s="30"/>
    </row>
    <row r="15" spans="1:13" ht="15.6" thickBot="1">
      <c r="A15" s="523"/>
      <c r="B15" s="523"/>
      <c r="C15" s="206">
        <f t="shared" si="0"/>
        <v>0</v>
      </c>
      <c r="D15" s="559" t="s">
        <v>48</v>
      </c>
      <c r="E15" s="560"/>
      <c r="I15" s="30"/>
      <c r="J15" s="30"/>
      <c r="K15" s="428">
        <f t="shared" si="1"/>
        <v>0</v>
      </c>
      <c r="L15" s="428">
        <f t="shared" si="2"/>
        <v>0</v>
      </c>
      <c r="M15" s="30"/>
    </row>
    <row r="16" spans="1:13" ht="15.6" thickBot="1">
      <c r="A16" s="472"/>
      <c r="B16" s="472"/>
      <c r="C16" s="206">
        <f t="shared" si="0"/>
        <v>0</v>
      </c>
      <c r="D16" s="219" t="s">
        <v>46</v>
      </c>
      <c r="E16" s="70" t="s">
        <v>47</v>
      </c>
      <c r="F16" s="209"/>
      <c r="I16" s="30"/>
      <c r="J16" s="30"/>
      <c r="K16" s="428">
        <f t="shared" si="1"/>
        <v>0</v>
      </c>
      <c r="L16" s="428">
        <f t="shared" si="2"/>
        <v>0</v>
      </c>
      <c r="M16" s="30"/>
    </row>
    <row r="17" spans="1:13" ht="15.6" thickBot="1">
      <c r="A17" s="472"/>
      <c r="B17" s="472"/>
      <c r="C17" s="206">
        <f t="shared" si="0"/>
        <v>0</v>
      </c>
      <c r="D17" s="438">
        <v>2.097</v>
      </c>
      <c r="E17" s="438">
        <v>-0.20599999999999999</v>
      </c>
      <c r="F17" s="117">
        <f xml:space="preserve"> D17+E17*E18</f>
        <v>1.4790000000000001</v>
      </c>
      <c r="I17" s="30"/>
      <c r="J17" s="30"/>
      <c r="K17" s="428">
        <f t="shared" si="1"/>
        <v>0</v>
      </c>
      <c r="L17" s="428">
        <f t="shared" si="2"/>
        <v>0</v>
      </c>
      <c r="M17" s="30"/>
    </row>
    <row r="18" spans="1:13" ht="15.6" thickBot="1">
      <c r="A18" s="472"/>
      <c r="B18" s="472"/>
      <c r="C18" s="206">
        <f t="shared" si="0"/>
        <v>0</v>
      </c>
      <c r="D18" s="101" t="s">
        <v>94</v>
      </c>
      <c r="E18" s="212">
        <v>3</v>
      </c>
      <c r="F18" s="121"/>
      <c r="K18" s="428">
        <f t="shared" si="1"/>
        <v>0</v>
      </c>
      <c r="L18" s="473">
        <f t="shared" si="2"/>
        <v>0</v>
      </c>
    </row>
    <row r="19" spans="1:13" ht="14.7" thickBot="1">
      <c r="C19" s="206">
        <f t="shared" si="0"/>
        <v>0</v>
      </c>
      <c r="K19" s="467">
        <f>IF(A4="",0,D$21*A4+E$21)</f>
        <v>1713105.8524999998</v>
      </c>
      <c r="L19" s="467">
        <f>(B4-K19)^2</f>
        <v>2934275993401.9863</v>
      </c>
    </row>
    <row r="20" spans="1:13" ht="18" customHeight="1" thickBot="1">
      <c r="C20" s="425">
        <f t="shared" si="0"/>
        <v>0</v>
      </c>
      <c r="D20" s="549" t="s">
        <v>165</v>
      </c>
      <c r="E20" s="550"/>
      <c r="F20" s="548"/>
      <c r="G20" s="548"/>
      <c r="K20" s="467">
        <f t="shared" ref="K20:K30" si="3">IF(A5="",0,D$21*A5+E$21)</f>
        <v>1995389.3134999999</v>
      </c>
      <c r="L20" s="467">
        <f t="shared" ref="L20:L30" si="4">(B5-K20)^2</f>
        <v>3981031794527.1021</v>
      </c>
    </row>
    <row r="21" spans="1:13" ht="18" customHeight="1" thickBot="1">
      <c r="C21" s="425">
        <f t="shared" si="0"/>
        <v>0</v>
      </c>
      <c r="D21" s="421">
        <v>2.097</v>
      </c>
      <c r="E21" s="422">
        <v>-0.55149999999999999</v>
      </c>
      <c r="F21" s="468"/>
      <c r="G21" s="468"/>
      <c r="K21" s="467">
        <f t="shared" si="3"/>
        <v>2078766.0334999999</v>
      </c>
      <c r="L21" s="467">
        <f t="shared" si="4"/>
        <v>4320694501652.0767</v>
      </c>
    </row>
    <row r="22" spans="1:13" ht="18" customHeight="1">
      <c r="C22" s="425">
        <f t="shared" si="0"/>
        <v>0</v>
      </c>
      <c r="D22" s="551" t="s">
        <v>156</v>
      </c>
      <c r="E22" s="552"/>
      <c r="F22" s="469"/>
      <c r="G22" s="469"/>
      <c r="K22" s="467">
        <f t="shared" si="3"/>
        <v>1796021.2324999999</v>
      </c>
      <c r="L22" s="467">
        <f t="shared" si="4"/>
        <v>3225189401245.7188</v>
      </c>
    </row>
    <row r="23" spans="1:13" ht="18" customHeight="1" thickBot="1">
      <c r="C23" s="425">
        <f t="shared" si="0"/>
        <v>0</v>
      </c>
      <c r="D23" s="553">
        <f>SUM(L19:L30)</f>
        <v>17654643309732.254</v>
      </c>
      <c r="E23" s="554"/>
      <c r="F23" s="470"/>
      <c r="G23" s="471"/>
      <c r="K23" s="467">
        <f t="shared" si="3"/>
        <v>1787155.1165</v>
      </c>
      <c r="L23" s="467">
        <f t="shared" si="4"/>
        <v>3193451618905.3726</v>
      </c>
    </row>
    <row r="24" spans="1:13">
      <c r="C24" s="206">
        <f t="shared" si="0"/>
        <v>0</v>
      </c>
      <c r="K24" s="467">
        <f t="shared" si="3"/>
        <v>0</v>
      </c>
      <c r="L24" s="467">
        <f t="shared" si="4"/>
        <v>0</v>
      </c>
    </row>
    <row r="25" spans="1:13">
      <c r="C25" s="206">
        <f t="shared" si="0"/>
        <v>0</v>
      </c>
      <c r="K25" s="467">
        <f t="shared" si="3"/>
        <v>0</v>
      </c>
      <c r="L25" s="467">
        <f t="shared" si="4"/>
        <v>0</v>
      </c>
    </row>
    <row r="26" spans="1:13">
      <c r="C26" s="206">
        <f t="shared" si="0"/>
        <v>0</v>
      </c>
      <c r="K26" s="467">
        <f t="shared" si="3"/>
        <v>0</v>
      </c>
      <c r="L26" s="467">
        <f t="shared" si="4"/>
        <v>0</v>
      </c>
    </row>
    <row r="27" spans="1:13">
      <c r="C27" s="206">
        <f t="shared" si="0"/>
        <v>0</v>
      </c>
      <c r="K27" s="467">
        <f t="shared" si="3"/>
        <v>0</v>
      </c>
      <c r="L27" s="467">
        <f t="shared" si="4"/>
        <v>0</v>
      </c>
    </row>
    <row r="28" spans="1:13">
      <c r="C28" s="206">
        <f t="shared" si="0"/>
        <v>0</v>
      </c>
      <c r="K28" s="467">
        <f t="shared" si="3"/>
        <v>0</v>
      </c>
      <c r="L28" s="467">
        <f t="shared" si="4"/>
        <v>0</v>
      </c>
    </row>
    <row r="29" spans="1:13">
      <c r="C29" s="206">
        <f t="shared" si="0"/>
        <v>0</v>
      </c>
      <c r="K29" s="467">
        <f t="shared" si="3"/>
        <v>0</v>
      </c>
      <c r="L29" s="467">
        <f t="shared" si="4"/>
        <v>0</v>
      </c>
    </row>
    <row r="30" spans="1:13">
      <c r="C30" s="206">
        <f t="shared" si="0"/>
        <v>0</v>
      </c>
      <c r="K30" s="467">
        <f t="shared" si="3"/>
        <v>0</v>
      </c>
      <c r="L30" s="467">
        <f t="shared" si="4"/>
        <v>0</v>
      </c>
    </row>
    <row r="31" spans="1:13">
      <c r="C31" s="206">
        <f t="shared" si="0"/>
        <v>0</v>
      </c>
      <c r="K31" s="467"/>
      <c r="L31" s="467"/>
    </row>
    <row r="32" spans="1:13">
      <c r="C32" s="206">
        <f t="shared" si="0"/>
        <v>0</v>
      </c>
      <c r="K32" s="467"/>
      <c r="L32" s="467"/>
    </row>
    <row r="33" spans="3:12" ht="14.7" thickBot="1">
      <c r="C33" s="216">
        <f t="shared" si="0"/>
        <v>0</v>
      </c>
      <c r="K33" s="427"/>
      <c r="L33" s="427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201930</xdr:colOff>
                <xdr:row>4</xdr:row>
                <xdr:rowOff>11430</xdr:rowOff>
              </from>
              <to>
                <xdr:col>5</xdr:col>
                <xdr:colOff>449580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201930</xdr:colOff>
                <xdr:row>15</xdr:row>
                <xdr:rowOff>11430</xdr:rowOff>
              </from>
              <to>
                <xdr:col>5</xdr:col>
                <xdr:colOff>449580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1"/>
  <sheetViews>
    <sheetView workbookViewId="0">
      <selection activeCell="A4" sqref="A4"/>
    </sheetView>
  </sheetViews>
  <sheetFormatPr defaultRowHeight="14.4"/>
  <sheetData>
    <row r="3" spans="1:4" ht="18.600000000000001" thickBot="1">
      <c r="B3" s="25" t="s">
        <v>12</v>
      </c>
      <c r="C3" s="44" t="s">
        <v>19</v>
      </c>
    </row>
    <row r="4" spans="1:4" ht="15.6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5.6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5.6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5.6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5.6" thickBot="1">
      <c r="A8" s="41"/>
      <c r="B8" s="34"/>
      <c r="C8" s="16">
        <f t="shared" si="0"/>
        <v>0</v>
      </c>
      <c r="D8" s="45">
        <f t="shared" si="1"/>
        <v>0</v>
      </c>
    </row>
    <row r="9" spans="1:4" ht="15.6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4"/>
  <sheetViews>
    <sheetView workbookViewId="0">
      <selection activeCell="C11" sqref="C11"/>
    </sheetView>
  </sheetViews>
  <sheetFormatPr defaultRowHeight="14.4"/>
  <cols>
    <col min="1" max="1" width="5.41796875" customWidth="1"/>
    <col min="2" max="8" width="5.68359375" customWidth="1"/>
    <col min="11" max="11" width="12.2617187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7.399999999999999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5.6" thickBot="1">
      <c r="K3" s="30">
        <v>670</v>
      </c>
      <c r="L3" s="30">
        <v>0</v>
      </c>
      <c r="M3" s="30">
        <v>0</v>
      </c>
    </row>
    <row r="4" spans="2:13" ht="15.6" thickBot="1">
      <c r="K4" s="31">
        <v>675</v>
      </c>
      <c r="L4" s="32">
        <v>2</v>
      </c>
      <c r="M4" s="32">
        <v>4.3999999999999997E-2</v>
      </c>
    </row>
    <row r="5" spans="2:13" ht="15.6" thickBot="1">
      <c r="K5" s="33">
        <v>685</v>
      </c>
      <c r="L5" s="34">
        <v>0</v>
      </c>
      <c r="M5" s="34">
        <v>0</v>
      </c>
    </row>
    <row r="6" spans="2:13" ht="15.6" thickBot="1">
      <c r="K6" s="33">
        <v>695</v>
      </c>
      <c r="L6" s="34">
        <v>7</v>
      </c>
      <c r="M6" s="35">
        <v>0.15659999999999999</v>
      </c>
    </row>
    <row r="7" spans="2:13" ht="15.6" thickBot="1">
      <c r="K7" s="33">
        <v>705</v>
      </c>
      <c r="L7" s="34">
        <v>9</v>
      </c>
      <c r="M7" s="35">
        <v>0.2</v>
      </c>
    </row>
    <row r="8" spans="2:13" ht="15.6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5.6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5.6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3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">
      <c r="B12" s="28"/>
      <c r="C12" s="28"/>
      <c r="D12" s="28"/>
      <c r="E12" s="28"/>
      <c r="F12" s="28"/>
      <c r="G12" s="28"/>
      <c r="H12" s="28"/>
      <c r="I12" s="28"/>
    </row>
    <row r="15" spans="2:13" ht="15">
      <c r="B15" s="28"/>
    </row>
    <row r="16" spans="2:13" ht="15">
      <c r="B16" s="28"/>
    </row>
    <row r="17" spans="2:12" ht="15">
      <c r="B17" s="28"/>
    </row>
    <row r="18" spans="2:12" ht="15">
      <c r="B18" s="28"/>
    </row>
    <row r="19" spans="2:12" ht="15">
      <c r="B19" s="28"/>
    </row>
    <row r="20" spans="2:12" ht="15">
      <c r="B20" s="28"/>
      <c r="K20" s="561" t="s">
        <v>13</v>
      </c>
      <c r="L20" s="561"/>
    </row>
    <row r="21" spans="2:12" ht="15">
      <c r="B21" s="28"/>
      <c r="K21" s="39" t="s">
        <v>14</v>
      </c>
      <c r="L21" s="39" t="s">
        <v>15</v>
      </c>
    </row>
    <row r="22" spans="2:12" ht="28.8">
      <c r="B22" s="29"/>
      <c r="K22" s="39" t="s">
        <v>16</v>
      </c>
      <c r="L22" s="39">
        <v>9</v>
      </c>
    </row>
    <row r="23" spans="2:12">
      <c r="K23" s="39" t="s">
        <v>17</v>
      </c>
      <c r="L23" s="39">
        <v>23</v>
      </c>
    </row>
    <row r="24" spans="2:12" ht="28.8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2020-09-15T15:36:58Z</dcterms:modified>
</cp:coreProperties>
</file>