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3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activeTab="2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1" l="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R4" i="9"/>
  <c r="F24" i="9"/>
  <c r="F23" i="9"/>
  <c r="F21" i="9"/>
  <c r="F20" i="9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C10" i="9" l="1"/>
  <c r="C11" i="9"/>
  <c r="C12" i="9"/>
  <c r="C13" i="9"/>
  <c r="C14" i="9"/>
  <c r="C15" i="9"/>
  <c r="J6" i="11" l="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3" i="9"/>
  <c r="U7" i="9" l="1"/>
  <c r="U6" i="9"/>
  <c r="Q5" i="9"/>
  <c r="V4" i="9" s="1"/>
  <c r="W4" i="9"/>
  <c r="D16" i="9"/>
  <c r="D17" i="9"/>
  <c r="AG12" i="9" l="1"/>
  <c r="AG13" i="9"/>
  <c r="AG14" i="9"/>
  <c r="AG15" i="9"/>
  <c r="AG16" i="9"/>
  <c r="AH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M27" i="11" s="1"/>
  <c r="M29" i="11" s="1"/>
  <c r="R27" i="11"/>
  <c r="R29" i="11"/>
  <c r="S29" i="11"/>
  <c r="J23" i="11"/>
  <c r="K33" i="11" l="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19" i="9" l="1"/>
  <c r="I20" i="9"/>
  <c r="G26" i="9"/>
  <c r="G19" i="9"/>
  <c r="G17" i="9" l="1"/>
  <c r="H17" i="9" s="1"/>
  <c r="G24" i="9"/>
  <c r="H24" i="9" s="1"/>
  <c r="H26" i="9" s="1"/>
  <c r="H28" i="9" s="1"/>
  <c r="G31" i="9" l="1"/>
  <c r="G32" i="9"/>
  <c r="F32" i="9"/>
  <c r="E32" i="9"/>
  <c r="G28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s="1"/>
  <c r="L17" i="9" l="1"/>
  <c r="M17" i="9"/>
  <c r="M24" i="9"/>
  <c r="L24" i="9"/>
  <c r="L8" i="9" l="1"/>
  <c r="E31" i="9" l="1"/>
  <c r="F31" i="9"/>
  <c r="H19" i="9"/>
  <c r="G21" i="9" s="1"/>
  <c r="C5" i="10"/>
  <c r="C6" i="10"/>
  <c r="C7" i="10"/>
  <c r="C8" i="10"/>
  <c r="C9" i="10"/>
  <c r="C4" i="10"/>
  <c r="B1" i="10"/>
  <c r="A1" i="10"/>
  <c r="E3" i="10" s="1"/>
  <c r="N8" i="9"/>
  <c r="M8" i="9"/>
  <c r="H21" i="9" l="1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s="1"/>
  <c r="AH14" i="9" l="1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<sst xmlns="http://schemas.openxmlformats.org/spreadsheetml/2006/main" count="359" uniqueCount="179">
  <si>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</si>
  <si>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</si>
  <si>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</si>
  <si>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</si>
  <si>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</si>
  <si>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</si>
  <si>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</si>
  <si>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</si>
  <si>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</si>
  <si>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</si>
  <si>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</si>
  <si>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</si>
  <si>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</si>
  <si>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</si>
  <si>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</si>
  <si>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</si>
  <si>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</si>
  <si>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</si>
  <si>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</si>
  <si>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</si>
  <si>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</si>
  <si>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</si>
  <si>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</si>
  <si>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</si>
  <si>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</si>
  <si>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</si>
  <si>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</si>
  <si>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</si>
  <si>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</si>
  <si>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</si>
  <si>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</si>
  <si>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</si>
  <si>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</si>
  <si>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</si>
  <si>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</si>
  <si>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</si>
  <si>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</si>
  <si>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</si>
  <si>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</si>
  <si>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</si>
  <si>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</si>
  <si>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</si>
  <si>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</si>
  <si>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</si>
  <si>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</si>
  <si>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</si>
  <si>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</si>
  <si>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</si>
  <si>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</si>
  <si>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</si>
  <si>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</si>
  <si>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</si>
  <si>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</si>
  <si>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</si>
  <si>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</si>
  <si>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</si>
  <si>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</si>
  <si>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</si>
  <si>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</si>
  <si>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</si>
  <si>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</si>
  <si>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</si>
  <si>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</si>
  <si>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</si>
  <si>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</si>
  <si>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</si>
  <si>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</si>
  <si>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</si>
  <si>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</si>
  <si>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</si>
  <si>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</si>
  <si>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</si>
  <si>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</si>
  <si>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</si>
  <si>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</si>
  <si>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</si>
  <si>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</si>
  <si>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</si>
  <si>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</si>
  <si>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</si>
  <si>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</si>
  <si>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</si>
  <si>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</si>
  <si>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</si>
  <si>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</si>
  <si>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</si>
  <si>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</si>
  <si>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</si>
  <si>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</si>
  <si>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</si>
  <si>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</si>
  <si>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</si>
  <si>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</si>
  <si>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</si>
  <si>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</si>
  <si>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</si>
  <si>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</si>
  <si>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</si>
  <si>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</si>
  <si>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</si>
  <si>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</si>
  <si>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</si>
  <si>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</si>
  <si>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</si>
  <si>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</si>
  <si>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</si>
  <si>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</si>
  <si>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</si>
  <si>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</si>
  <si>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</si>
  <si>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</si>
  <si>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</si>
  <si>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</si>
  <si>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</si>
  <si>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</si>
  <si>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</si>
  <si>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</si>
  <si>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</si>
  <si>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</si>
  <si>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</si>
  <si>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</si>
  <si>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</si>
  <si>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</si>
  <si>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</si>
  <si>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</si>
  <si>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</si>
  <si>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</si>
  <si>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</si>
  <si>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</si>
  <si>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</si>
  <si>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</si>
  <si>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</si>
  <si>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</si>
  <si>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</si>
  <si>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</si>
  <si>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</si>
  <si>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</si>
  <si>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</si>
  <si>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</si>
  <si>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</si>
  <si>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</si>
  <si>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</si>
  <si>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</si>
  <si>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</si>
  <si>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</si>
  <si>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</si>
  <si>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</si>
  <si>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</si>
  <si>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</si>
  <si>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r>
      <t xml:space="preserve">       </t>
    </r>
    <r>
      <rPr>
        <b/>
        <i/>
        <sz val="12"/>
        <color theme="1"/>
        <rFont val="Times New Roman"/>
        <family val="1"/>
      </rPr>
      <t xml:space="preserve"> / freq</t>
    </r>
  </si>
  <si>
    <t>E Count</t>
  </si>
  <si>
    <t>F</t>
  </si>
  <si>
    <t>z=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</si>
  <si>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</si>
  <si>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</si>
  <si>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</si>
  <si>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</si>
  <si>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</si>
  <si>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</si>
  <si>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</si>
  <si>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</si>
  <si>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t>P-2tail</t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</si>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</sst>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5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2" fontId="73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10" fontId="73" fillId="0" borderId="0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0" fontId="77" fillId="0" borderId="6" xfId="3" applyNumberFormat="1" applyFont="1" applyBorder="1"/>
    <xf numFmtId="168" fontId="24" fillId="0" borderId="9" xfId="0" applyNumberFormat="1" applyFont="1" applyBorder="1" applyAlignment="1">
      <alignment horizontal="center" vertical="center"/>
    </xf>
    <xf numFmtId="165" fontId="23" fillId="0" borderId="18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0" fontId="75" fillId="0" borderId="6" xfId="1" applyNumberFormat="1" applyFont="1" applyBorder="1"/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4968"/>
        <c:axId val="79605360"/>
      </c:scatterChart>
      <c:valAx>
        <c:axId val="796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5360"/>
        <c:crosses val="autoZero"/>
        <c:crossBetween val="midCat"/>
      </c:valAx>
      <c:valAx>
        <c:axId val="79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6536"/>
        <c:axId val="79606928"/>
      </c:barChart>
      <c:catAx>
        <c:axId val="7960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928"/>
        <c:crosses val="autoZero"/>
        <c:auto val="1"/>
        <c:lblAlgn val="ctr"/>
        <c:lblOffset val="100"/>
        <c:noMultiLvlLbl val="0"/>
      </c:catAx>
      <c:valAx>
        <c:axId val="796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8104"/>
        <c:axId val="223769760"/>
      </c:lineChart>
      <c:catAx>
        <c:axId val="7960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9760"/>
        <c:crosses val="autoZero"/>
        <c:auto val="1"/>
        <c:lblAlgn val="ctr"/>
        <c:lblOffset val="100"/>
        <c:noMultiLvlLbl val="0"/>
      </c:catAx>
      <c:valAx>
        <c:axId val="223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72504"/>
        <c:axId val="223772896"/>
      </c:lineChart>
      <c:catAx>
        <c:axId val="2237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2896"/>
        <c:crosses val="autoZero"/>
        <c:auto val="1"/>
        <c:lblAlgn val="ctr"/>
        <c:lblOffset val="100"/>
        <c:noMultiLvlLbl val="0"/>
      </c:catAx>
      <c:valAx>
        <c:axId val="223772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94696"/>
        <c:axId val="224695088"/>
      </c:barChart>
      <c:catAx>
        <c:axId val="224694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5088"/>
        <c:crosses val="autoZero"/>
        <c:auto val="1"/>
        <c:lblAlgn val="ctr"/>
        <c:lblOffset val="100"/>
        <c:noMultiLvlLbl val="0"/>
      </c:catAx>
      <c:valAx>
        <c:axId val="2246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209550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5</xdr:row>
          <xdr:rowOff>19050</xdr:rowOff>
        </xdr:from>
        <xdr:to>
          <xdr:col>21</xdr:col>
          <xdr:colOff>209550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B17" sqref="B17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12</v>
      </c>
      <c r="E2" s="513" t="s">
        <v>3</v>
      </c>
      <c r="F2" s="514"/>
      <c r="G2" s="515" t="s">
        <v>4</v>
      </c>
      <c r="H2" s="516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72"/>
      <c r="C4" s="472"/>
      <c r="D4" s="5"/>
      <c r="E4" s="20">
        <f>IF(B5="","",AVERAGE(B5:B60))</f>
        <v>4.9891666666666667</v>
      </c>
      <c r="F4" s="19">
        <f>MEDIAN(B5:B60)</f>
        <v>4.91</v>
      </c>
      <c r="G4" s="20">
        <f>IF(C5="","",AVERAGE(C5:C60))</f>
        <v>70.333333333333329</v>
      </c>
      <c r="H4" s="19">
        <f>MEDIAN(C5:C60)</f>
        <v>67</v>
      </c>
      <c r="J4" s="424" t="s">
        <v>12</v>
      </c>
      <c r="K4" s="460"/>
      <c r="L4" s="23"/>
      <c r="M4" s="17" t="s">
        <v>7</v>
      </c>
      <c r="N4" s="17" t="s">
        <v>8</v>
      </c>
      <c r="O4" s="475"/>
      <c r="P4" s="475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485">
        <v>5.05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70">
        <f>SUM(J6:J16)</f>
        <v>87.95</v>
      </c>
      <c r="K5" s="459" t="s">
        <v>166</v>
      </c>
      <c r="M5">
        <v>1</v>
      </c>
      <c r="N5">
        <v>2</v>
      </c>
      <c r="O5" s="61">
        <f>SUM(M5:N5)/2</f>
        <v>1.5</v>
      </c>
      <c r="P5" s="474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485">
        <v>5.0199999999999996</v>
      </c>
      <c r="C6" s="3">
        <v>65</v>
      </c>
      <c r="D6" s="5"/>
      <c r="E6" s="20">
        <f>_xlfn.STDEV.S(B5:B60)</f>
        <v>0.41320165302259632</v>
      </c>
      <c r="F6" s="21">
        <f>E6^2</f>
        <v>0.17073560606060609</v>
      </c>
      <c r="G6" s="20">
        <f>_xlfn.STDEV.S(C5:C60)</f>
        <v>7.5718777944003657</v>
      </c>
      <c r="H6" s="21">
        <f>G6^2</f>
        <v>57.33333333333335</v>
      </c>
      <c r="J6" s="452">
        <f>0.15*100</f>
        <v>15</v>
      </c>
      <c r="K6" s="457">
        <f>IF(J6="","",J6/J$5)</f>
        <v>0.17055144968732233</v>
      </c>
      <c r="M6">
        <v>3</v>
      </c>
      <c r="O6" s="61">
        <f>O5+M$6-M$5</f>
        <v>3.5</v>
      </c>
      <c r="P6" s="474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485">
        <v>5.43</v>
      </c>
      <c r="C7" s="3">
        <v>67</v>
      </c>
      <c r="D7" s="5"/>
      <c r="E7" s="10" t="s">
        <v>167</v>
      </c>
      <c r="F7" s="14" t="s">
        <v>9</v>
      </c>
      <c r="G7" s="10" t="s">
        <v>167</v>
      </c>
      <c r="H7" s="14" t="s">
        <v>9</v>
      </c>
      <c r="J7" s="451">
        <f>0.2*89</f>
        <v>17.8</v>
      </c>
      <c r="K7" s="457">
        <f t="shared" ref="K7:K14" si="2">IF(J7="","",J7/J$5)</f>
        <v>0.20238772029562252</v>
      </c>
      <c r="O7" s="61">
        <f t="shared" ref="O7:O18" si="3">O6+M$6-M$5</f>
        <v>5.5</v>
      </c>
      <c r="P7" s="474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485">
        <v>5.72</v>
      </c>
      <c r="C8" s="3"/>
      <c r="D8" s="5"/>
      <c r="E8" s="483">
        <f>_xlfn.STDEV.P(B5:B60)</f>
        <v>0.39561046357356239</v>
      </c>
      <c r="F8" s="21">
        <f>E8^2</f>
        <v>0.15650763888888894</v>
      </c>
      <c r="G8" s="483">
        <f>_xlfn.STDEV.P(C5:C60)</f>
        <v>6.1824123303304699</v>
      </c>
      <c r="H8" s="21">
        <f>G8^2</f>
        <v>38.222222222222229</v>
      </c>
      <c r="I8" s="7"/>
      <c r="J8" s="451">
        <f>0.5*86</f>
        <v>43</v>
      </c>
      <c r="K8" s="457">
        <f t="shared" si="2"/>
        <v>0.48891415577032404</v>
      </c>
      <c r="L8" s="7"/>
      <c r="M8" s="7"/>
      <c r="O8" s="61">
        <f t="shared" si="3"/>
        <v>7.5</v>
      </c>
      <c r="P8" s="474">
        <v>5</v>
      </c>
      <c r="Q8" s="12">
        <f t="shared" si="0"/>
        <v>281.25</v>
      </c>
      <c r="R8" s="5">
        <f t="shared" si="1"/>
        <v>37.5</v>
      </c>
    </row>
    <row r="9" spans="2:20" ht="15.75">
      <c r="B9" s="485">
        <v>4.68</v>
      </c>
      <c r="C9" s="3"/>
      <c r="D9" s="5"/>
      <c r="E9" s="9" t="s">
        <v>24</v>
      </c>
      <c r="G9" s="10" t="s">
        <v>24</v>
      </c>
      <c r="H9" s="24"/>
      <c r="J9" s="451">
        <f>0.15*81</f>
        <v>12.15</v>
      </c>
      <c r="K9" s="457">
        <f t="shared" si="2"/>
        <v>0.1381466742467311</v>
      </c>
      <c r="O9" s="61">
        <f t="shared" si="3"/>
        <v>9.5</v>
      </c>
      <c r="P9" s="474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485">
        <v>4.76</v>
      </c>
      <c r="C10" s="3"/>
      <c r="D10" s="5"/>
      <c r="E10" s="64">
        <f>E6/E4</f>
        <v>8.2819773446987738E-2</v>
      </c>
      <c r="G10" s="65">
        <f>G6/G4</f>
        <v>0.10765703025213791</v>
      </c>
      <c r="H10" s="22"/>
      <c r="J10" s="451"/>
      <c r="K10" s="457" t="str">
        <f t="shared" si="2"/>
        <v/>
      </c>
      <c r="O10" s="61">
        <f t="shared" si="3"/>
        <v>11.5</v>
      </c>
      <c r="P10" s="474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485">
        <v>4.38</v>
      </c>
      <c r="C11" s="3"/>
      <c r="D11" s="5"/>
      <c r="E11" s="258" t="s">
        <v>108</v>
      </c>
      <c r="F11" s="245">
        <v>60</v>
      </c>
      <c r="G11" s="118"/>
      <c r="H11" s="118"/>
      <c r="J11" s="451"/>
      <c r="K11" s="457" t="str">
        <f t="shared" si="2"/>
        <v/>
      </c>
      <c r="O11" s="61">
        <f t="shared" si="3"/>
        <v>13.5</v>
      </c>
      <c r="P11" s="474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485">
        <v>4.74</v>
      </c>
      <c r="C12" s="3"/>
      <c r="D12" s="5"/>
      <c r="E12" s="244" t="s">
        <v>97</v>
      </c>
      <c r="F12" s="246">
        <f>(F11-E4)/(E6)</f>
        <v>133.13313954802842</v>
      </c>
      <c r="G12" s="29"/>
      <c r="H12" s="119"/>
      <c r="J12" s="451"/>
      <c r="K12" s="457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485">
        <v>4.5599999999999996</v>
      </c>
      <c r="C13" s="3"/>
      <c r="D13" s="5"/>
      <c r="E13" s="118"/>
      <c r="F13" s="110"/>
      <c r="G13" s="110"/>
      <c r="H13" s="120"/>
      <c r="J13" s="456"/>
      <c r="K13" s="457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485">
        <v>4.8</v>
      </c>
      <c r="C14" s="3"/>
      <c r="D14" s="5"/>
      <c r="J14" s="456"/>
      <c r="K14" s="457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485">
        <v>5.19</v>
      </c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485">
        <v>5.54</v>
      </c>
      <c r="C16" s="3"/>
      <c r="D16" s="5"/>
      <c r="E16" s="253">
        <f>MIN(B5:B60)</f>
        <v>4.38</v>
      </c>
      <c r="F16" s="55">
        <f>QUARTILE($B$5:$B$60, 1)</f>
        <v>4.7249999999999996</v>
      </c>
      <c r="G16" s="55">
        <f>QUARTILE($B$5:$B$60, 2)</f>
        <v>4.91</v>
      </c>
      <c r="H16" s="55">
        <f>QUARTILE($B$5:$B$60, 3)</f>
        <v>5.25</v>
      </c>
      <c r="I16" s="249">
        <f>MAX(B5:B60)</f>
        <v>5.72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485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485"/>
      <c r="C18" s="3"/>
      <c r="D18" s="5"/>
      <c r="E18" s="255">
        <v>75</v>
      </c>
      <c r="F18" s="59">
        <f xml:space="preserve">  INDEX(B5:B260, $E$26) + (INDEX(B5:B60, 1+ $E$26) -INDEX(B5:B60, $E$26))*E25</f>
        <v>4.5599999999999996</v>
      </c>
      <c r="G18" s="248">
        <f>H16-F16</f>
        <v>0.52500000000000036</v>
      </c>
      <c r="H18" s="247">
        <f>F16-1.5*G18</f>
        <v>3.9374999999999991</v>
      </c>
      <c r="I18" s="247">
        <f>H16+1.5*G18</f>
        <v>6.0375000000000005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484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3"/>
      <c r="C20" s="3"/>
      <c r="D20" s="5"/>
      <c r="E20" s="256" t="s">
        <v>39</v>
      </c>
      <c r="F20" s="251">
        <v>55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3"/>
      <c r="C21" s="3"/>
      <c r="D21" s="5"/>
      <c r="E21" s="256" t="s">
        <v>41</v>
      </c>
      <c r="F21" s="251">
        <v>95</v>
      </c>
      <c r="G21" s="250">
        <f xml:space="preserve"> (F20-F21)/F22</f>
        <v>-13.333333333333334</v>
      </c>
      <c r="K21" s="471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3"/>
      <c r="C22" s="3"/>
      <c r="D22" s="5"/>
      <c r="E22" s="256" t="s">
        <v>42</v>
      </c>
      <c r="F22" s="251">
        <v>3</v>
      </c>
      <c r="G22" s="94"/>
      <c r="I22" s="482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>
      <c r="B24" s="3"/>
      <c r="C24" s="3"/>
      <c r="D24" s="5"/>
      <c r="E24" s="57">
        <f>E18*B2/100</f>
        <v>9</v>
      </c>
      <c r="F24" s="47"/>
      <c r="G24" s="48">
        <f>529.1+1.5*256.3</f>
        <v>913.55000000000007</v>
      </c>
      <c r="H24" s="486"/>
      <c r="O24" s="56"/>
      <c r="P24" s="52"/>
      <c r="Q24" s="29"/>
      <c r="R24" s="5">
        <f t="shared" si="1"/>
        <v>0</v>
      </c>
    </row>
    <row r="25" spans="2:18" ht="15.75">
      <c r="B25" s="3"/>
      <c r="C25" s="3"/>
      <c r="D25" s="5"/>
      <c r="E25" s="58">
        <f>E24 - INT(E24)</f>
        <v>0</v>
      </c>
      <c r="F25" s="49"/>
      <c r="G25" s="50"/>
      <c r="H25" s="486"/>
      <c r="O25" s="56"/>
      <c r="P25" s="52"/>
      <c r="Q25" s="29"/>
      <c r="R25" s="5">
        <f t="shared" si="1"/>
        <v>0</v>
      </c>
    </row>
    <row r="26" spans="2:18" ht="16.5" thickBot="1">
      <c r="B26" s="3"/>
      <c r="C26" s="3"/>
      <c r="D26" s="5"/>
      <c r="E26" s="58">
        <f>E24-E25</f>
        <v>9</v>
      </c>
      <c r="F26" s="49"/>
      <c r="G26" s="50"/>
      <c r="H26" s="486"/>
      <c r="O26" s="56"/>
      <c r="P26" s="52"/>
      <c r="Q26" s="29"/>
      <c r="R26" s="6">
        <f t="shared" ref="R26" si="4">O26*P26</f>
        <v>0</v>
      </c>
    </row>
    <row r="27" spans="2:18" ht="15.75" customHeight="1">
      <c r="B27" s="3"/>
      <c r="C27" s="3"/>
      <c r="D27" s="5"/>
      <c r="E27" s="46"/>
      <c r="F27" s="49"/>
      <c r="G27" s="50"/>
      <c r="H27" s="486"/>
    </row>
    <row r="28" spans="2:18" ht="15.75">
      <c r="B28" s="3"/>
      <c r="C28" s="3"/>
      <c r="D28" s="5"/>
      <c r="E28" s="46"/>
      <c r="F28" s="49"/>
      <c r="G28" s="50"/>
      <c r="H28" s="486"/>
    </row>
    <row r="29" spans="2:18" ht="15.75">
      <c r="B29" s="3"/>
      <c r="C29" s="3"/>
      <c r="D29" s="5"/>
      <c r="E29" s="46"/>
      <c r="F29" s="49"/>
      <c r="G29" s="50"/>
      <c r="H29" s="486"/>
    </row>
    <row r="30" spans="2:18" ht="16.5" thickBot="1">
      <c r="B30" s="3"/>
      <c r="D30" s="6"/>
      <c r="E30" s="46"/>
      <c r="F30" s="49"/>
      <c r="G30" s="50"/>
      <c r="H30" s="486"/>
    </row>
    <row r="31" spans="2:18">
      <c r="B31" s="3"/>
      <c r="D31" s="5"/>
      <c r="E31" s="29"/>
      <c r="F31" s="29"/>
      <c r="G31" s="29"/>
      <c r="H31" s="486"/>
    </row>
    <row r="32" spans="2:18">
      <c r="B32" s="3"/>
      <c r="D32" s="5"/>
      <c r="H32" s="487"/>
    </row>
    <row r="33" spans="2:6">
      <c r="B33" s="3"/>
      <c r="D33" s="5"/>
    </row>
    <row r="34" spans="2:6">
      <c r="B34" s="3"/>
      <c r="D34" s="5"/>
    </row>
    <row r="35" spans="2:6" ht="15.75" thickBot="1">
      <c r="B35" s="3"/>
      <c r="D35" s="6"/>
    </row>
    <row r="36" spans="2:6">
      <c r="B36" s="3"/>
    </row>
    <row r="37" spans="2:6">
      <c r="B37" s="3"/>
    </row>
    <row r="38" spans="2:6">
      <c r="B38" s="3"/>
    </row>
    <row r="39" spans="2:6">
      <c r="B39" s="3"/>
    </row>
    <row r="40" spans="2:6">
      <c r="B40" s="3"/>
    </row>
    <row r="41" spans="2:6">
      <c r="B41" s="3"/>
    </row>
    <row r="42" spans="2:6" ht="15.75">
      <c r="B42" s="3"/>
      <c r="E42" s="46"/>
      <c r="F42" s="43"/>
    </row>
    <row r="43" spans="2:6" ht="15.75">
      <c r="B43" s="3"/>
      <c r="E43" s="46"/>
      <c r="F43" s="43"/>
    </row>
    <row r="44" spans="2:6" ht="15.75">
      <c r="B44" s="3"/>
      <c r="E44" s="46"/>
      <c r="F44" s="43"/>
    </row>
    <row r="45" spans="2:6" ht="15.75">
      <c r="B45" s="3"/>
      <c r="E45" s="46"/>
      <c r="F45" s="43"/>
    </row>
    <row r="46" spans="2:6" ht="15.75">
      <c r="B46" s="3"/>
      <c r="E46" s="46"/>
      <c r="F46" s="43"/>
    </row>
    <row r="47" spans="2:6" ht="15.75">
      <c r="B47" s="3"/>
      <c r="E47" s="46"/>
      <c r="F47" s="43"/>
    </row>
    <row r="48" spans="2: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E1" zoomScaleNormal="100" workbookViewId="0">
      <selection activeCell="M16" sqref="M16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>
      <c r="A2" s="66"/>
      <c r="B2" s="505">
        <v>0</v>
      </c>
      <c r="C2" s="505">
        <v>0.28000000000000003</v>
      </c>
      <c r="D2" s="433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24" t="s">
        <v>30</v>
      </c>
      <c r="R2" s="70" t="s">
        <v>156</v>
      </c>
      <c r="S2" s="70" t="s">
        <v>157</v>
      </c>
      <c r="T2" s="100" t="s">
        <v>155</v>
      </c>
      <c r="V2" s="502">
        <v>10</v>
      </c>
      <c r="W2" s="506" t="s">
        <v>32</v>
      </c>
      <c r="X2" s="71">
        <f>AVERAGE(V2:V111)</f>
        <v>3.09</v>
      </c>
    </row>
    <row r="3" spans="1:24" ht="16.5" thickBot="1">
      <c r="A3" s="66"/>
      <c r="B3" s="505">
        <v>1</v>
      </c>
      <c r="C3" s="505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25">
        <v>1</v>
      </c>
      <c r="R3" s="426">
        <v>38</v>
      </c>
      <c r="S3" s="427">
        <v>245</v>
      </c>
      <c r="T3" s="432">
        <f>S3*Q3/R3+S4*Q4/R4 + IF(R5 =0,R5=1, S5*Q5/R5)</f>
        <v>-0.36842105263157876</v>
      </c>
      <c r="V3" s="502">
        <v>10</v>
      </c>
      <c r="W3" s="507" t="s">
        <v>33</v>
      </c>
      <c r="X3" s="73">
        <f>_xlfn.STDEV.S(V2:V110)</f>
        <v>1.8537158968576135</v>
      </c>
    </row>
    <row r="4" spans="1:24" ht="16.5" thickBot="1">
      <c r="A4" s="66"/>
      <c r="B4" s="505">
        <v>2</v>
      </c>
      <c r="C4" s="505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8">
        <v>37</v>
      </c>
      <c r="R4" s="251">
        <v>38</v>
      </c>
      <c r="S4" s="429">
        <v>-7</v>
      </c>
      <c r="T4" s="75"/>
      <c r="V4" s="502">
        <v>9</v>
      </c>
      <c r="W4" s="284"/>
    </row>
    <row r="5" spans="1:24" ht="16.5" thickBot="1">
      <c r="A5" s="66"/>
      <c r="B5" s="505">
        <v>3</v>
      </c>
      <c r="C5" s="505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64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8"/>
      <c r="R5" s="251"/>
      <c r="S5" s="429"/>
      <c r="T5" s="75"/>
      <c r="V5" s="502">
        <v>8</v>
      </c>
    </row>
    <row r="6" spans="1:24" ht="16.5" thickBot="1">
      <c r="A6" s="66"/>
      <c r="B6" s="505">
        <v>5</v>
      </c>
      <c r="C6" s="505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0.23</v>
      </c>
      <c r="K6" s="116">
        <f>_xlfn.BINOM.DIST(J7, J5, J6, FALSE)</f>
        <v>4.657076396434022E-2</v>
      </c>
      <c r="L6" s="176">
        <f>_xlfn.BINOM.DIST(J7, J5, J6, TRUE)</f>
        <v>0.10156460410175912</v>
      </c>
      <c r="M6" s="500">
        <f>1-L6+K6</f>
        <v>0.94500615986258107</v>
      </c>
      <c r="N6" s="89">
        <f>1-M6</f>
        <v>5.4993840137418926E-2</v>
      </c>
      <c r="O6" s="89">
        <f>_xlfn.BINOM.DIST(J8,J5, J6, TRUE)-N6</f>
        <v>-8.3266726846886741E-17</v>
      </c>
      <c r="P6" s="257"/>
      <c r="Q6" s="430"/>
      <c r="R6" s="509" t="s">
        <v>171</v>
      </c>
      <c r="S6" s="431">
        <v>1000</v>
      </c>
      <c r="T6" s="508">
        <f>T3*S6</f>
        <v>-368.42105263157873</v>
      </c>
      <c r="V6" s="502">
        <v>7</v>
      </c>
    </row>
    <row r="7" spans="1:24" ht="18" thickBot="1">
      <c r="A7" s="66"/>
      <c r="B7" s="505"/>
      <c r="C7" s="505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10</v>
      </c>
      <c r="K7" s="70" t="s">
        <v>41</v>
      </c>
      <c r="L7" s="101" t="s">
        <v>42</v>
      </c>
      <c r="M7" s="70" t="s">
        <v>43</v>
      </c>
      <c r="N7" s="501" t="s">
        <v>170</v>
      </c>
      <c r="O7" s="198" t="s">
        <v>169</v>
      </c>
      <c r="V7" s="502">
        <v>7</v>
      </c>
    </row>
    <row r="8" spans="1:24" ht="16.5" thickBot="1">
      <c r="A8" s="66"/>
      <c r="B8" s="77"/>
      <c r="C8" s="497"/>
      <c r="D8" s="106">
        <f t="shared" si="0"/>
        <v>0</v>
      </c>
      <c r="E8" s="85">
        <f t="shared" si="1"/>
        <v>0</v>
      </c>
      <c r="F8" s="481">
        <f>B2*C2+B3*C3+B4*C4</f>
        <v>0.56000000000000005</v>
      </c>
      <c r="G8" s="66"/>
      <c r="H8" s="262"/>
      <c r="I8" s="67" t="s">
        <v>106</v>
      </c>
      <c r="J8" s="76">
        <v>9</v>
      </c>
      <c r="K8" s="499">
        <f>J5*J6</f>
        <v>14.72</v>
      </c>
      <c r="L8" s="323">
        <f>SQRT(J5*J6*(1-J6))</f>
        <v>3.3666600660001302</v>
      </c>
      <c r="M8" s="117">
        <f>ROUND((J7 - K8)/L8, 2)</f>
        <v>-1.4</v>
      </c>
      <c r="N8" s="189">
        <f>J7/J6</f>
        <v>43.478260869565219</v>
      </c>
      <c r="O8" s="121">
        <f>1-L6</f>
        <v>0.89843539589824084</v>
      </c>
      <c r="V8" s="502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98"/>
      <c r="O9" s="66"/>
      <c r="T9" s="496"/>
      <c r="V9" s="502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502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24" t="s">
        <v>12</v>
      </c>
      <c r="G11" s="460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502">
        <v>5</v>
      </c>
    </row>
    <row r="12" spans="1:24" ht="16.5" thickBot="1">
      <c r="A12" s="66"/>
      <c r="B12" s="69"/>
      <c r="C12" s="69"/>
      <c r="D12" s="106"/>
      <c r="E12" s="85"/>
      <c r="F12" s="458">
        <f>SUM(F13:F28)</f>
        <v>100</v>
      </c>
      <c r="G12" s="459" t="s">
        <v>166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502">
        <v>5</v>
      </c>
    </row>
    <row r="13" spans="1:24" ht="15.75">
      <c r="A13" s="66"/>
      <c r="B13" s="94"/>
      <c r="C13" s="94"/>
      <c r="D13" s="106"/>
      <c r="E13" s="453"/>
      <c r="F13" s="502">
        <v>12</v>
      </c>
      <c r="G13" s="503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502">
        <v>5</v>
      </c>
    </row>
    <row r="14" spans="1:24" ht="15.75">
      <c r="A14" s="66"/>
      <c r="B14" s="69"/>
      <c r="C14" s="476"/>
      <c r="D14" s="106"/>
      <c r="E14" s="453"/>
      <c r="F14" s="502">
        <v>33</v>
      </c>
      <c r="G14" s="504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502">
        <v>5</v>
      </c>
    </row>
    <row r="15" spans="1:24" ht="16.5" thickBot="1">
      <c r="A15" s="66"/>
      <c r="B15" s="69"/>
      <c r="C15" s="478"/>
      <c r="D15" s="107"/>
      <c r="E15" s="454"/>
      <c r="F15" s="502">
        <v>29</v>
      </c>
      <c r="G15" s="504">
        <f t="shared" si="2"/>
        <v>0.28999999999999998</v>
      </c>
      <c r="H15" s="262"/>
      <c r="I15" s="67"/>
      <c r="J15" s="76"/>
      <c r="K15" s="157" t="s">
        <v>154</v>
      </c>
      <c r="L15" s="157" t="s">
        <v>67</v>
      </c>
      <c r="M15" s="157" t="s">
        <v>173</v>
      </c>
      <c r="N15" s="162" t="s">
        <v>174</v>
      </c>
      <c r="O15" s="66"/>
      <c r="V15" s="502">
        <v>5</v>
      </c>
    </row>
    <row r="16" spans="1:24" ht="16.5" thickBot="1">
      <c r="A16" s="66"/>
      <c r="B16" s="66"/>
      <c r="C16" s="477"/>
      <c r="D16" s="79"/>
      <c r="E16" s="79"/>
      <c r="F16" s="502">
        <v>11</v>
      </c>
      <c r="G16" s="504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511" t="s">
        <v>176</v>
      </c>
      <c r="N16" s="512" t="s">
        <v>175</v>
      </c>
      <c r="O16" s="66"/>
      <c r="V16" s="502">
        <v>5</v>
      </c>
    </row>
    <row r="17" spans="1:22" ht="16.5" thickBot="1">
      <c r="A17" s="66"/>
      <c r="B17" s="66"/>
      <c r="C17" s="75"/>
      <c r="D17" s="79"/>
      <c r="E17" s="79"/>
      <c r="F17" s="479">
        <v>6</v>
      </c>
      <c r="G17" s="455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502">
        <v>4</v>
      </c>
    </row>
    <row r="18" spans="1:22" ht="20.25" thickBot="1">
      <c r="C18" s="29"/>
      <c r="D18" s="80"/>
      <c r="E18" s="80"/>
      <c r="F18" s="479">
        <v>2</v>
      </c>
      <c r="G18" s="455">
        <f t="shared" si="2"/>
        <v>0.02</v>
      </c>
      <c r="H18" s="263"/>
      <c r="I18" s="212" t="s">
        <v>172</v>
      </c>
      <c r="J18" s="213">
        <v>1.4</v>
      </c>
      <c r="K18" s="272" t="s">
        <v>43</v>
      </c>
      <c r="M18" s="257"/>
      <c r="O18" s="66"/>
      <c r="V18" s="502">
        <v>4</v>
      </c>
    </row>
    <row r="19" spans="1:22" ht="16.5" thickBot="1">
      <c r="C19" s="29"/>
      <c r="D19" s="80"/>
      <c r="E19" s="80"/>
      <c r="F19" s="480">
        <v>3</v>
      </c>
      <c r="G19" s="455">
        <f t="shared" si="2"/>
        <v>0.03</v>
      </c>
      <c r="H19" s="263"/>
      <c r="I19" s="510" t="s">
        <v>44</v>
      </c>
      <c r="J19" s="97">
        <v>0.11</v>
      </c>
      <c r="K19" s="343">
        <f>_xlfn.NORM.S.INV(J19)</f>
        <v>-1.2265281200366105</v>
      </c>
      <c r="O19" s="66"/>
      <c r="V19" s="502">
        <v>4</v>
      </c>
    </row>
    <row r="20" spans="1:22" ht="16.5" customHeight="1">
      <c r="C20" s="29"/>
      <c r="D20" s="80"/>
      <c r="E20" s="80"/>
      <c r="F20" s="480">
        <v>1</v>
      </c>
      <c r="G20" s="455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502">
        <v>4</v>
      </c>
    </row>
    <row r="21" spans="1:22" ht="16.5" thickBot="1">
      <c r="C21" s="29"/>
      <c r="D21" s="80"/>
      <c r="E21" s="80"/>
      <c r="F21" s="480">
        <v>1</v>
      </c>
      <c r="G21" s="455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502">
        <v>4</v>
      </c>
    </row>
    <row r="22" spans="1:22">
      <c r="C22" s="29"/>
      <c r="D22" s="80"/>
      <c r="E22" s="80"/>
      <c r="F22" s="480">
        <v>2</v>
      </c>
      <c r="G22" s="455">
        <f t="shared" si="2"/>
        <v>0.02</v>
      </c>
      <c r="H22" s="263"/>
      <c r="O22" s="66"/>
      <c r="V22" s="502">
        <v>4</v>
      </c>
    </row>
    <row r="23" spans="1:22" ht="15.75" thickBot="1">
      <c r="C23" s="29"/>
      <c r="D23" s="80"/>
      <c r="E23" s="80"/>
      <c r="F23" s="480"/>
      <c r="G23" s="455" t="str">
        <f t="shared" si="2"/>
        <v/>
      </c>
      <c r="H23" s="263"/>
      <c r="J23" s="517"/>
      <c r="K23" s="517"/>
      <c r="O23" s="66"/>
      <c r="V23" s="502">
        <v>4</v>
      </c>
    </row>
    <row r="24" spans="1:22" ht="16.5" thickBot="1">
      <c r="C24" s="29"/>
      <c r="D24" s="80"/>
      <c r="E24" s="80"/>
      <c r="F24" s="480"/>
      <c r="G24" s="455" t="str">
        <f t="shared" si="2"/>
        <v/>
      </c>
      <c r="H24" s="263"/>
      <c r="I24" s="67" t="s">
        <v>39</v>
      </c>
      <c r="J24" s="76">
        <v>76.400000000000006</v>
      </c>
      <c r="K24" s="70" t="s">
        <v>43</v>
      </c>
      <c r="L24" s="70" t="s">
        <v>44</v>
      </c>
      <c r="M24" s="70" t="s">
        <v>51</v>
      </c>
      <c r="O24" s="66"/>
      <c r="V24" s="502">
        <v>4</v>
      </c>
    </row>
    <row r="25" spans="1:22" ht="16.5" thickBot="1">
      <c r="C25" s="29"/>
      <c r="D25" s="80"/>
      <c r="E25" s="80"/>
      <c r="F25" s="81"/>
      <c r="H25" s="263"/>
      <c r="I25" s="67" t="s">
        <v>41</v>
      </c>
      <c r="J25" s="76">
        <v>74</v>
      </c>
      <c r="K25" s="266">
        <f xml:space="preserve"> (J24-J25)/K27</f>
        <v>7.2000000000000171</v>
      </c>
      <c r="L25" s="267">
        <f xml:space="preserve">  _xlfn.NORM.S.DIST(K25,TRUE)</f>
        <v>0.99999999999969891</v>
      </c>
      <c r="M25" s="96">
        <f>1-L25</f>
        <v>3.0109248427834245E-13</v>
      </c>
      <c r="V25" s="502">
        <v>4</v>
      </c>
    </row>
    <row r="26" spans="1:22" ht="16.5" thickBot="1">
      <c r="C26" s="29"/>
      <c r="D26" s="80"/>
      <c r="E26" s="80"/>
      <c r="F26" s="81"/>
      <c r="H26" s="263"/>
      <c r="I26" s="67" t="s">
        <v>42</v>
      </c>
      <c r="J26" s="76">
        <v>2</v>
      </c>
      <c r="K26" s="100" t="s">
        <v>53</v>
      </c>
      <c r="L26" s="94"/>
      <c r="M26" s="91"/>
      <c r="V26" s="502">
        <v>4</v>
      </c>
    </row>
    <row r="27" spans="1:22" ht="18" thickBot="1">
      <c r="C27" s="29"/>
      <c r="D27" s="80"/>
      <c r="E27" s="80"/>
      <c r="F27" s="81"/>
      <c r="H27" s="263"/>
      <c r="I27" s="98" t="s">
        <v>52</v>
      </c>
      <c r="J27" s="99">
        <v>36</v>
      </c>
      <c r="K27" s="130">
        <f>J26/SQRT(J27)</f>
        <v>0.33333333333333331</v>
      </c>
      <c r="V27" s="502">
        <v>4</v>
      </c>
    </row>
    <row r="28" spans="1:22">
      <c r="C28" s="29"/>
      <c r="D28" s="80"/>
      <c r="E28" s="80"/>
      <c r="F28" s="81"/>
      <c r="H28" s="263"/>
      <c r="V28" s="502">
        <v>3</v>
      </c>
    </row>
    <row r="29" spans="1:22">
      <c r="C29" s="29"/>
      <c r="D29" s="80"/>
      <c r="E29" s="80"/>
      <c r="F29" s="81"/>
      <c r="H29" s="263"/>
      <c r="V29" s="502">
        <v>3</v>
      </c>
    </row>
    <row r="30" spans="1:22">
      <c r="C30" s="29"/>
      <c r="D30" s="80"/>
      <c r="E30" s="80"/>
      <c r="F30" s="81"/>
      <c r="V30" s="502">
        <v>3</v>
      </c>
    </row>
    <row r="31" spans="1:22">
      <c r="C31" s="29"/>
      <c r="D31" s="80"/>
      <c r="E31" s="80"/>
      <c r="F31" s="81"/>
      <c r="V31" s="502">
        <v>3</v>
      </c>
    </row>
    <row r="32" spans="1:22">
      <c r="C32" s="29"/>
      <c r="D32" s="80"/>
      <c r="E32" s="80"/>
      <c r="F32" s="81"/>
      <c r="V32" s="502">
        <v>3</v>
      </c>
    </row>
    <row r="33" spans="3:22">
      <c r="C33" s="29"/>
      <c r="D33" s="80"/>
      <c r="E33" s="80"/>
      <c r="F33" s="81"/>
      <c r="V33" s="502">
        <v>3</v>
      </c>
    </row>
    <row r="34" spans="3:22">
      <c r="C34" s="29"/>
      <c r="D34" s="80"/>
      <c r="E34" s="80"/>
      <c r="F34" s="81"/>
      <c r="V34" s="502">
        <v>3</v>
      </c>
    </row>
    <row r="35" spans="3:22">
      <c r="C35" s="29"/>
      <c r="D35" s="80"/>
      <c r="E35" s="80"/>
      <c r="F35" s="81"/>
      <c r="V35" s="502">
        <v>3</v>
      </c>
    </row>
    <row r="36" spans="3:22">
      <c r="C36" s="29"/>
      <c r="D36" s="80"/>
      <c r="E36" s="80"/>
      <c r="F36" s="81"/>
      <c r="V36" s="502">
        <v>3</v>
      </c>
    </row>
    <row r="37" spans="3:22">
      <c r="C37" s="29"/>
      <c r="D37" s="80"/>
      <c r="E37" s="80"/>
      <c r="F37" s="81"/>
      <c r="V37" s="502">
        <v>3</v>
      </c>
    </row>
    <row r="38" spans="3:22">
      <c r="C38" s="29"/>
      <c r="D38" s="80"/>
      <c r="E38" s="80"/>
      <c r="F38" s="81"/>
      <c r="V38" s="502">
        <v>3</v>
      </c>
    </row>
    <row r="39" spans="3:22">
      <c r="C39" s="29"/>
      <c r="D39" s="80"/>
      <c r="E39" s="80"/>
      <c r="F39" s="81"/>
      <c r="V39" s="502">
        <v>3</v>
      </c>
    </row>
    <row r="40" spans="3:22">
      <c r="C40" s="29"/>
      <c r="D40" s="80"/>
      <c r="E40" s="80"/>
      <c r="F40" s="81"/>
      <c r="V40" s="502">
        <v>3</v>
      </c>
    </row>
    <row r="41" spans="3:22">
      <c r="C41" s="29"/>
      <c r="D41" s="80"/>
      <c r="E41" s="80"/>
      <c r="F41" s="81"/>
      <c r="V41" s="502">
        <v>3</v>
      </c>
    </row>
    <row r="42" spans="3:22">
      <c r="C42" s="29"/>
      <c r="D42" s="80"/>
      <c r="E42" s="80"/>
      <c r="F42" s="81"/>
      <c r="V42" s="502">
        <v>3</v>
      </c>
    </row>
    <row r="43" spans="3:22">
      <c r="C43" s="29"/>
      <c r="D43" s="80"/>
      <c r="E43" s="80"/>
      <c r="F43" s="81"/>
      <c r="V43" s="502">
        <v>3</v>
      </c>
    </row>
    <row r="44" spans="3:22">
      <c r="C44" s="29"/>
      <c r="D44" s="80"/>
      <c r="E44" s="80"/>
      <c r="F44" s="81"/>
      <c r="V44" s="502">
        <v>3</v>
      </c>
    </row>
    <row r="45" spans="3:22">
      <c r="C45" s="29"/>
      <c r="D45" s="80"/>
      <c r="E45" s="80"/>
      <c r="F45" s="81"/>
      <c r="V45" s="502">
        <v>3</v>
      </c>
    </row>
    <row r="46" spans="3:22">
      <c r="C46" s="29"/>
      <c r="D46" s="80"/>
      <c r="E46" s="80"/>
      <c r="F46" s="81"/>
      <c r="V46" s="502">
        <v>3</v>
      </c>
    </row>
    <row r="47" spans="3:22">
      <c r="C47" s="29"/>
      <c r="D47" s="80"/>
      <c r="E47" s="80"/>
      <c r="F47" s="81"/>
      <c r="V47" s="502">
        <v>3</v>
      </c>
    </row>
    <row r="48" spans="3:22">
      <c r="C48" s="29"/>
      <c r="D48" s="80"/>
      <c r="E48" s="80"/>
      <c r="F48" s="81"/>
      <c r="V48" s="502">
        <v>3</v>
      </c>
    </row>
    <row r="49" spans="3:22">
      <c r="C49" s="29"/>
      <c r="D49" s="80"/>
      <c r="E49" s="80"/>
      <c r="F49" s="81"/>
      <c r="V49" s="502">
        <v>3</v>
      </c>
    </row>
    <row r="50" spans="3:22">
      <c r="C50" s="29"/>
      <c r="D50" s="80"/>
      <c r="E50" s="80"/>
      <c r="F50" s="81"/>
      <c r="V50" s="502">
        <v>3</v>
      </c>
    </row>
    <row r="51" spans="3:22">
      <c r="C51" s="29"/>
      <c r="D51" s="80"/>
      <c r="E51" s="80"/>
      <c r="F51" s="81"/>
      <c r="V51" s="502">
        <v>3</v>
      </c>
    </row>
    <row r="52" spans="3:22">
      <c r="C52" s="29"/>
      <c r="D52" s="80"/>
      <c r="E52" s="80"/>
      <c r="F52" s="81"/>
      <c r="V52" s="502">
        <v>3</v>
      </c>
    </row>
    <row r="53" spans="3:22">
      <c r="C53" s="29"/>
      <c r="D53" s="80"/>
      <c r="E53" s="80"/>
      <c r="F53" s="81"/>
      <c r="V53" s="502">
        <v>3</v>
      </c>
    </row>
    <row r="54" spans="3:22">
      <c r="C54" s="29"/>
      <c r="D54" s="80"/>
      <c r="E54" s="80"/>
      <c r="F54" s="81"/>
      <c r="V54" s="502">
        <v>3</v>
      </c>
    </row>
    <row r="55" spans="3:22">
      <c r="C55" s="29"/>
      <c r="D55" s="80"/>
      <c r="E55" s="80"/>
      <c r="F55" s="81"/>
      <c r="V55" s="502">
        <v>3</v>
      </c>
    </row>
    <row r="56" spans="3:22">
      <c r="V56" s="502">
        <v>3</v>
      </c>
    </row>
    <row r="57" spans="3:22">
      <c r="V57" s="502">
        <v>2</v>
      </c>
    </row>
    <row r="58" spans="3:22">
      <c r="V58" s="502">
        <v>2</v>
      </c>
    </row>
    <row r="59" spans="3:22">
      <c r="V59" s="502">
        <v>2</v>
      </c>
    </row>
    <row r="60" spans="3:22">
      <c r="V60" s="502">
        <v>2</v>
      </c>
    </row>
    <row r="61" spans="3:22">
      <c r="V61" s="502">
        <v>2</v>
      </c>
    </row>
    <row r="62" spans="3:22">
      <c r="V62" s="502">
        <v>2</v>
      </c>
    </row>
    <row r="63" spans="3:22">
      <c r="V63" s="502">
        <v>2</v>
      </c>
    </row>
    <row r="64" spans="3:22">
      <c r="V64" s="502">
        <v>2</v>
      </c>
    </row>
    <row r="65" spans="22:22">
      <c r="V65" s="502">
        <v>2</v>
      </c>
    </row>
    <row r="66" spans="22:22">
      <c r="V66" s="502">
        <v>2</v>
      </c>
    </row>
    <row r="67" spans="22:22">
      <c r="V67" s="502">
        <v>2</v>
      </c>
    </row>
    <row r="68" spans="22:22">
      <c r="V68" s="502">
        <v>2</v>
      </c>
    </row>
    <row r="69" spans="22:22">
      <c r="V69" s="502">
        <v>2</v>
      </c>
    </row>
    <row r="70" spans="22:22">
      <c r="V70" s="502">
        <v>2</v>
      </c>
    </row>
    <row r="71" spans="22:22">
      <c r="V71" s="502">
        <v>2</v>
      </c>
    </row>
    <row r="72" spans="22:22">
      <c r="V72" s="502">
        <v>2</v>
      </c>
    </row>
    <row r="73" spans="22:22">
      <c r="V73" s="502">
        <v>2</v>
      </c>
    </row>
    <row r="74" spans="22:22">
      <c r="V74" s="502">
        <v>2</v>
      </c>
    </row>
    <row r="75" spans="22:22">
      <c r="V75" s="502">
        <v>2</v>
      </c>
    </row>
    <row r="76" spans="22:22">
      <c r="V76" s="502">
        <v>2</v>
      </c>
    </row>
    <row r="77" spans="22:22">
      <c r="V77" s="502">
        <v>2</v>
      </c>
    </row>
    <row r="78" spans="22:22">
      <c r="V78" s="502">
        <v>2</v>
      </c>
    </row>
    <row r="79" spans="22:22">
      <c r="V79" s="502">
        <v>2</v>
      </c>
    </row>
    <row r="80" spans="22:22">
      <c r="V80" s="502">
        <v>2</v>
      </c>
    </row>
    <row r="81" spans="22:22">
      <c r="V81" s="502">
        <v>2</v>
      </c>
    </row>
    <row r="82" spans="22:22">
      <c r="V82" s="502">
        <v>2</v>
      </c>
    </row>
    <row r="83" spans="22:22">
      <c r="V83" s="502">
        <v>2</v>
      </c>
    </row>
    <row r="84" spans="22:22">
      <c r="V84" s="502">
        <v>2</v>
      </c>
    </row>
    <row r="85" spans="22:22">
      <c r="V85" s="502">
        <v>2</v>
      </c>
    </row>
    <row r="86" spans="22:22">
      <c r="V86" s="502">
        <v>2</v>
      </c>
    </row>
    <row r="87" spans="22:22">
      <c r="V87" s="502">
        <v>2</v>
      </c>
    </row>
    <row r="88" spans="22:22">
      <c r="V88" s="502">
        <v>2</v>
      </c>
    </row>
    <row r="89" spans="22:22">
      <c r="V89" s="502">
        <v>2</v>
      </c>
    </row>
    <row r="90" spans="22:22">
      <c r="V90" s="502">
        <v>1</v>
      </c>
    </row>
    <row r="91" spans="22:22">
      <c r="V91" s="502">
        <v>1</v>
      </c>
    </row>
    <row r="92" spans="22:22">
      <c r="V92" s="502">
        <v>1</v>
      </c>
    </row>
    <row r="93" spans="22:22">
      <c r="V93" s="502">
        <v>1</v>
      </c>
    </row>
    <row r="94" spans="22:22">
      <c r="V94" s="502">
        <v>1</v>
      </c>
    </row>
    <row r="95" spans="22:22">
      <c r="V95" s="502">
        <v>1</v>
      </c>
    </row>
    <row r="96" spans="22:22">
      <c r="V96" s="502">
        <v>1</v>
      </c>
    </row>
    <row r="97" spans="22:22">
      <c r="V97" s="502">
        <v>1</v>
      </c>
    </row>
    <row r="98" spans="22:22">
      <c r="V98" s="502">
        <v>1</v>
      </c>
    </row>
    <row r="99" spans="22:22">
      <c r="V99" s="502">
        <v>1</v>
      </c>
    </row>
    <row r="100" spans="22:22">
      <c r="V100" s="502">
        <v>1</v>
      </c>
    </row>
    <row r="101" spans="22:22">
      <c r="V101" s="502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abSelected="1" zoomScale="90" zoomScaleNormal="90" workbookViewId="0">
      <selection activeCell="D4" sqref="D4:D6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0" t="s">
        <v>31</v>
      </c>
      <c r="C1" s="105"/>
      <c r="D1" s="84"/>
      <c r="E1" s="66"/>
      <c r="F1" s="66"/>
      <c r="K1" s="354" t="s">
        <v>56</v>
      </c>
      <c r="L1" s="355">
        <v>90</v>
      </c>
      <c r="N1" s="304"/>
      <c r="U1" s="339"/>
    </row>
    <row r="2" spans="1:27" ht="16.5" thickBot="1">
      <c r="A2" s="551">
        <v>0</v>
      </c>
      <c r="B2" s="551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51">
        <f>SUM(D2:D6)</f>
        <v>1.3689999999999998</v>
      </c>
      <c r="G2" s="358" t="s">
        <v>41</v>
      </c>
      <c r="H2" s="359">
        <v>70.7</v>
      </c>
      <c r="I2" s="100" t="s">
        <v>110</v>
      </c>
      <c r="J2" s="124">
        <f>H2</f>
        <v>70.7</v>
      </c>
      <c r="K2" s="360"/>
      <c r="L2" s="346"/>
      <c r="N2" s="305"/>
      <c r="O2" s="66"/>
      <c r="P2" s="66"/>
      <c r="Q2" s="66"/>
      <c r="R2" s="66"/>
      <c r="U2" s="340"/>
      <c r="X2" s="140"/>
    </row>
    <row r="3" spans="1:27" ht="16.5" thickBot="1">
      <c r="A3" s="551">
        <v>1</v>
      </c>
      <c r="B3" s="551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2">
        <f>SUM(C2:C6)</f>
        <v>0.9738859019999998</v>
      </c>
      <c r="G3" s="361" t="s">
        <v>42</v>
      </c>
      <c r="H3" s="362">
        <v>2.1</v>
      </c>
      <c r="I3" s="100" t="s">
        <v>53</v>
      </c>
      <c r="J3" s="121">
        <f>H3/SQRT(H4)</f>
        <v>0.35000000000000003</v>
      </c>
      <c r="K3" s="29"/>
      <c r="L3" s="316"/>
      <c r="N3" s="305"/>
      <c r="O3" s="293" t="s">
        <v>102</v>
      </c>
      <c r="P3" s="74">
        <v>177.8</v>
      </c>
      <c r="Q3" s="160"/>
      <c r="R3" s="296">
        <f>(P3+P4)/2</f>
        <v>179.4</v>
      </c>
      <c r="U3" s="340"/>
      <c r="V3" s="94"/>
      <c r="W3" s="76">
        <v>0.05</v>
      </c>
      <c r="X3" s="121"/>
      <c r="Y3" s="121"/>
      <c r="Z3" s="126"/>
    </row>
    <row r="4" spans="1:27" ht="18" thickBot="1">
      <c r="A4" s="551">
        <v>2</v>
      </c>
      <c r="B4" s="551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3">
        <f>SQRT(F3)</f>
        <v>0.98685657620547873</v>
      </c>
      <c r="G4" s="363" t="s">
        <v>52</v>
      </c>
      <c r="H4" s="289">
        <v>36</v>
      </c>
      <c r="I4" s="185"/>
      <c r="J4" s="438">
        <f>SQRT(H6*(1-H6)/H4)</f>
        <v>7.4833147735478833E-2</v>
      </c>
      <c r="K4" s="287"/>
      <c r="L4" s="274">
        <f>H6</f>
        <v>0.28000000000000003</v>
      </c>
      <c r="N4" s="331"/>
      <c r="O4" s="293" t="s">
        <v>103</v>
      </c>
      <c r="P4" s="74">
        <v>181</v>
      </c>
      <c r="Q4" s="295" t="s">
        <v>119</v>
      </c>
      <c r="R4" s="271">
        <f>(P4-P3)/2</f>
        <v>1.5999999999999943</v>
      </c>
      <c r="U4" s="340"/>
      <c r="V4" s="342" t="s">
        <v>122</v>
      </c>
      <c r="W4" s="76">
        <v>40</v>
      </c>
      <c r="X4" s="306">
        <f>_xlfn.CHISQ.INV(W3,W4)</f>
        <v>26.509303196693114</v>
      </c>
      <c r="Y4" s="121">
        <f>_xlfn.CHISQ.INV.RT(W3,W4)</f>
        <v>55.75847927888703</v>
      </c>
      <c r="Z4" s="121">
        <f>_xlfn.CHISQ.INV.RT(1-W3 / 2,W4)</f>
        <v>24.433039170807891</v>
      </c>
      <c r="AA4" s="1"/>
    </row>
    <row r="5" spans="1:27" ht="18" thickBot="1">
      <c r="A5" s="551">
        <v>3</v>
      </c>
      <c r="B5" s="551">
        <v>6.9000000000000006E-2</v>
      </c>
      <c r="C5" s="106"/>
      <c r="D5" s="85">
        <f t="shared" si="1"/>
        <v>0.20700000000000002</v>
      </c>
      <c r="E5" s="439">
        <f>A2*B2+A3*B3</f>
        <v>7.3999999999999996E-2</v>
      </c>
      <c r="F5" s="218"/>
      <c r="G5" s="363" t="s">
        <v>116</v>
      </c>
      <c r="H5" s="289">
        <v>20000</v>
      </c>
      <c r="I5" s="286" t="s">
        <v>117</v>
      </c>
      <c r="J5" s="288">
        <f>H4*H6*(1-H6)</f>
        <v>7.2576000000000009</v>
      </c>
      <c r="K5" s="283" t="s">
        <v>118</v>
      </c>
      <c r="L5" s="182">
        <f>H4/H5</f>
        <v>1.8E-3</v>
      </c>
      <c r="N5" s="332"/>
      <c r="O5" s="294" t="s">
        <v>52</v>
      </c>
      <c r="P5" s="74">
        <v>250</v>
      </c>
      <c r="Q5" s="283" t="s">
        <v>39</v>
      </c>
      <c r="R5" s="297">
        <f>P5*R3</f>
        <v>44850</v>
      </c>
      <c r="U5" s="340"/>
      <c r="V5" s="329" t="s">
        <v>125</v>
      </c>
      <c r="W5" s="235">
        <v>2.9</v>
      </c>
      <c r="X5" s="159"/>
      <c r="Z5" s="121">
        <f>_xlfn.CHISQ.INV.RT(W3/ 2,W4)</f>
        <v>59.341707143171199</v>
      </c>
      <c r="AA5" s="2"/>
    </row>
    <row r="6" spans="1:27" ht="20.25" thickBot="1">
      <c r="A6" s="551">
        <v>4</v>
      </c>
      <c r="B6" s="551">
        <v>0.14899999999999999</v>
      </c>
      <c r="C6" s="106"/>
      <c r="D6" s="85">
        <f t="shared" si="1"/>
        <v>0.59599999999999997</v>
      </c>
      <c r="E6" s="284"/>
      <c r="F6" s="218"/>
      <c r="G6" s="363" t="s">
        <v>115</v>
      </c>
      <c r="H6" s="289">
        <v>0.28000000000000003</v>
      </c>
      <c r="I6" s="168" t="s">
        <v>160</v>
      </c>
      <c r="J6" s="381">
        <f>ROUND(H8/H6, 0)</f>
        <v>256</v>
      </c>
      <c r="K6" s="168" t="s">
        <v>159</v>
      </c>
      <c r="L6" s="124">
        <f>ROUND(10/(H6*(1-H6)),0)</f>
        <v>50</v>
      </c>
      <c r="N6" s="332"/>
      <c r="O6" s="66"/>
      <c r="P6" s="66"/>
      <c r="Q6" s="66"/>
      <c r="R6" s="66"/>
      <c r="U6" s="340"/>
      <c r="V6" s="68"/>
      <c r="W6" s="235"/>
      <c r="X6" s="343">
        <f>(W7-1)*W5^2 / W8^2</f>
        <v>45.992187499999993</v>
      </c>
    </row>
    <row r="7" spans="1:27" ht="20.25" thickBot="1">
      <c r="A7" s="310"/>
      <c r="B7" s="314" t="s">
        <v>124</v>
      </c>
      <c r="C7" s="313"/>
      <c r="D7" s="85"/>
      <c r="E7" s="153" t="s">
        <v>0</v>
      </c>
      <c r="F7" s="66"/>
      <c r="G7" s="361" t="s">
        <v>111</v>
      </c>
      <c r="H7" s="302">
        <v>0.35</v>
      </c>
      <c r="I7" s="283" t="s">
        <v>42</v>
      </c>
      <c r="J7" s="274">
        <f>H7*SQRT(H4)</f>
        <v>2.0999999999999996</v>
      </c>
      <c r="K7" s="29"/>
      <c r="L7" s="316"/>
      <c r="N7" s="332"/>
      <c r="O7" s="178"/>
      <c r="P7" s="144">
        <v>0.25</v>
      </c>
      <c r="Q7" s="299" t="s">
        <v>72</v>
      </c>
      <c r="R7" s="300">
        <f>P7*(1-P7)* ((_xlfn.NORM.S.INV(1- (100-L1)/200))/P8)^2</f>
        <v>563.65488626987712</v>
      </c>
      <c r="U7" s="340"/>
      <c r="V7" s="127" t="s">
        <v>60</v>
      </c>
      <c r="W7" s="235">
        <v>15</v>
      </c>
      <c r="X7" s="522" t="s">
        <v>65</v>
      </c>
      <c r="Y7" s="523"/>
      <c r="Z7" s="524"/>
    </row>
    <row r="8" spans="1:27" ht="18" customHeight="1" thickBot="1">
      <c r="A8" s="280"/>
      <c r="B8" s="311"/>
      <c r="C8" s="313"/>
      <c r="D8" s="85"/>
      <c r="E8" s="155">
        <f>IF(B9="","",AVERAGE(B9:B30))</f>
        <v>5.8</v>
      </c>
      <c r="F8" s="66"/>
      <c r="G8" s="361" t="s">
        <v>39</v>
      </c>
      <c r="H8" s="289">
        <v>71.7</v>
      </c>
      <c r="I8" s="70" t="s">
        <v>43</v>
      </c>
      <c r="J8" s="70" t="s">
        <v>44</v>
      </c>
      <c r="K8" s="70" t="s">
        <v>51</v>
      </c>
      <c r="L8" s="198" t="s">
        <v>107</v>
      </c>
      <c r="N8" s="332"/>
      <c r="O8" s="328" t="s">
        <v>63</v>
      </c>
      <c r="P8" s="97">
        <v>0.03</v>
      </c>
      <c r="Q8" s="301" t="s">
        <v>121</v>
      </c>
      <c r="R8" s="300">
        <f>0.25* ((_xlfn.NORM.S.INV(1- (100-L$1)/200))/P8)^2</f>
        <v>751.53984835983624</v>
      </c>
      <c r="U8" s="340"/>
      <c r="V8" s="281" t="s">
        <v>42</v>
      </c>
      <c r="W8" s="74">
        <v>1.6</v>
      </c>
      <c r="X8" s="344" t="s">
        <v>134</v>
      </c>
      <c r="Y8" s="347" t="s">
        <v>133</v>
      </c>
      <c r="Z8" s="349"/>
    </row>
    <row r="9" spans="1:27" ht="16.5" thickBot="1">
      <c r="A9" s="280"/>
      <c r="B9" s="285">
        <v>7</v>
      </c>
      <c r="C9" s="313"/>
      <c r="D9" s="85"/>
      <c r="E9" s="153" t="s">
        <v>2</v>
      </c>
      <c r="F9" s="66"/>
      <c r="G9" s="364" t="s">
        <v>106</v>
      </c>
      <c r="H9" s="290">
        <v>83.75</v>
      </c>
      <c r="I9" s="277">
        <f>ROUND((H8-H2)/H3,2)</f>
        <v>0.48</v>
      </c>
      <c r="J9" s="278">
        <f xml:space="preserve"> _xlfn.NORM.DIST(H8,H2,H3, TRUE)</f>
        <v>0.68303065805932717</v>
      </c>
      <c r="K9" s="278">
        <f>1-J9</f>
        <v>0.31696934194067283</v>
      </c>
      <c r="L9" s="279">
        <f>_xlfn.NORM.DIST(H9,H2, H3, TRUE)-J9</f>
        <v>0.3169693416828796</v>
      </c>
      <c r="N9" s="332"/>
      <c r="O9" s="94"/>
      <c r="P9" s="76">
        <v>0.01</v>
      </c>
      <c r="Q9" s="157" t="s">
        <v>67</v>
      </c>
      <c r="R9" s="140"/>
      <c r="U9" s="340"/>
      <c r="X9" s="186">
        <f>CHIDIST(X6,W7-1)</f>
        <v>2.8119835991838909E-5</v>
      </c>
      <c r="Y9" s="348">
        <f>1-X9</f>
        <v>0.99997188016400818</v>
      </c>
      <c r="Z9" s="73">
        <f>2*X9</f>
        <v>5.6239671983677817E-5</v>
      </c>
    </row>
    <row r="10" spans="1:27" ht="17.25" thickTop="1" thickBot="1">
      <c r="A10" s="280"/>
      <c r="B10" s="285">
        <v>9</v>
      </c>
      <c r="C10" s="313"/>
      <c r="D10" s="85"/>
      <c r="E10" s="350">
        <f>_xlfn.STDEV.S(B9:B30)</f>
        <v>2.3874672772626648</v>
      </c>
      <c r="G10" s="365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2"/>
      <c r="O10" s="308" t="s">
        <v>122</v>
      </c>
      <c r="P10" s="69">
        <v>40</v>
      </c>
      <c r="Q10" s="70" t="s">
        <v>123</v>
      </c>
      <c r="R10" s="111"/>
      <c r="S10" s="111"/>
      <c r="T10" s="29"/>
      <c r="U10" s="340"/>
      <c r="W10" s="91">
        <v>10.8</v>
      </c>
      <c r="X10" s="159"/>
      <c r="Y10" s="94"/>
    </row>
    <row r="11" spans="1:27" ht="16.5" thickBot="1">
      <c r="A11" s="280"/>
      <c r="B11" s="285">
        <v>3</v>
      </c>
      <c r="C11" s="313"/>
      <c r="D11" s="85"/>
      <c r="I11" s="356">
        <f>ROUND((H8-H2)/H7, 2)</f>
        <v>2.86</v>
      </c>
      <c r="J11" s="357">
        <f xml:space="preserve"> _xlfn.NORM.S.DIST(I11,TRUE)</f>
        <v>0.99788179495959539</v>
      </c>
      <c r="K11" s="357">
        <f>1-J11</f>
        <v>2.1182050404046082E-3</v>
      </c>
      <c r="L11" s="156">
        <f>_xlfn.NORM.DIST(H9,H2, J3, TRUE)-J11</f>
        <v>2.1182050404046082E-3</v>
      </c>
      <c r="N11" s="332"/>
      <c r="O11" s="308" t="s">
        <v>115</v>
      </c>
      <c r="P11" s="69">
        <v>0.2</v>
      </c>
      <c r="Q11" s="306">
        <f>TINV(2*P11, P10)</f>
        <v>0.85069979579045529</v>
      </c>
      <c r="R11" s="167"/>
      <c r="S11" s="111"/>
      <c r="T11" s="111"/>
      <c r="U11" s="340"/>
      <c r="W11" s="91">
        <v>9</v>
      </c>
      <c r="X11" s="139">
        <f>(W7-1)*W11/ W10</f>
        <v>11.666666666666666</v>
      </c>
      <c r="Y11" s="111"/>
    </row>
    <row r="12" spans="1:27" ht="16.5" thickBot="1">
      <c r="A12" s="280"/>
      <c r="B12" s="285">
        <v>4</v>
      </c>
      <c r="C12" s="313"/>
      <c r="D12" s="85"/>
      <c r="N12" s="332"/>
      <c r="O12" s="518" t="s">
        <v>126</v>
      </c>
      <c r="P12" s="519"/>
      <c r="Q12" s="121">
        <f>TINV(1-L$1/100, P10)</f>
        <v>1.6838510133356521</v>
      </c>
      <c r="R12" s="75"/>
      <c r="S12" s="29"/>
      <c r="T12" s="111"/>
      <c r="U12" s="340"/>
      <c r="W12" s="132"/>
      <c r="X12" s="29"/>
      <c r="Y12" s="29"/>
    </row>
    <row r="13" spans="1:27" ht="16.5" thickBot="1">
      <c r="A13" s="280"/>
      <c r="B13" s="285">
        <v>6</v>
      </c>
      <c r="C13" s="313"/>
      <c r="D13" s="85"/>
      <c r="G13" s="128"/>
      <c r="H13" s="144">
        <v>0.24</v>
      </c>
      <c r="I13" s="200"/>
      <c r="J13" s="190"/>
      <c r="K13" s="190"/>
      <c r="L13" s="201" t="s">
        <v>66</v>
      </c>
      <c r="M13" s="303" t="s">
        <v>67</v>
      </c>
      <c r="N13" s="332"/>
      <c r="O13" s="307"/>
      <c r="P13" s="74"/>
      <c r="Q13" s="111"/>
      <c r="R13" s="66"/>
      <c r="U13" s="340"/>
    </row>
    <row r="14" spans="1:27" ht="18" thickBot="1">
      <c r="A14" s="315"/>
      <c r="B14" s="312"/>
      <c r="C14" s="313"/>
      <c r="D14" s="85"/>
      <c r="G14" s="90"/>
      <c r="H14" s="91" t="s">
        <v>178</v>
      </c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2"/>
      <c r="O14" s="128" t="s">
        <v>32</v>
      </c>
      <c r="P14" s="319">
        <v>0.627</v>
      </c>
      <c r="Q14" s="70" t="s">
        <v>59</v>
      </c>
      <c r="R14" s="160"/>
      <c r="S14" s="160"/>
      <c r="T14" s="29"/>
      <c r="U14" s="340"/>
    </row>
    <row r="15" spans="1:27" ht="16.5" thickBot="1">
      <c r="A15" s="315"/>
      <c r="B15" s="312"/>
      <c r="C15" s="313"/>
      <c r="D15" s="85"/>
      <c r="G15" s="199"/>
      <c r="H15" s="97"/>
      <c r="I15" s="117">
        <f xml:space="preserve"> ROUND( (H13-H6) / SQRT(H6*(1-H6)/H4), 2)</f>
        <v>-0.53</v>
      </c>
      <c r="J15" s="96">
        <f>_xlfn.NORM.S.DIST(I15,TRUE)</f>
        <v>0.29805596539487639</v>
      </c>
      <c r="K15" s="121">
        <f>1-J15</f>
        <v>0.70194403460512356</v>
      </c>
      <c r="L15" s="121">
        <f>2*J15</f>
        <v>0.59611193078975278</v>
      </c>
      <c r="M15" s="149">
        <f>2*K15</f>
        <v>1.4038880692102471</v>
      </c>
      <c r="N15" s="332"/>
      <c r="O15" s="169" t="s">
        <v>125</v>
      </c>
      <c r="P15" s="235">
        <v>0.64400000000000002</v>
      </c>
      <c r="Q15" s="121">
        <f xml:space="preserve"> TINV(1-L$1/100, P16 -1 )* P15 / SQRT(P16)</f>
        <v>0.61398371794110274</v>
      </c>
      <c r="R15" s="117">
        <f>P14-Q15</f>
        <v>1.3016282058897266E-2</v>
      </c>
      <c r="S15" s="117">
        <f>P14+Q15</f>
        <v>1.2409837179411027</v>
      </c>
      <c r="T15" s="123"/>
      <c r="U15" s="340"/>
    </row>
    <row r="16" spans="1:27" ht="18" customHeight="1" thickBot="1">
      <c r="A16" s="315"/>
      <c r="B16" s="312"/>
      <c r="C16" s="313"/>
      <c r="D16" s="85"/>
      <c r="N16" s="332"/>
      <c r="O16" s="309" t="s">
        <v>60</v>
      </c>
      <c r="P16" s="235">
        <v>5</v>
      </c>
      <c r="Q16" s="168" t="s">
        <v>72</v>
      </c>
      <c r="R16" s="117"/>
      <c r="S16" s="117"/>
      <c r="T16" s="29"/>
      <c r="U16" s="340"/>
    </row>
    <row r="17" spans="1:21" ht="19.5" customHeight="1" thickBot="1">
      <c r="A17" s="315"/>
      <c r="B17" s="312"/>
      <c r="C17" s="313"/>
      <c r="D17" s="85"/>
      <c r="G17" s="94"/>
      <c r="H17" s="91"/>
      <c r="I17" s="70"/>
      <c r="J17" s="111"/>
      <c r="K17" s="111"/>
      <c r="N17" s="332"/>
      <c r="O17" s="334" t="s">
        <v>64</v>
      </c>
      <c r="P17" s="335">
        <v>4</v>
      </c>
      <c r="Q17" s="189">
        <f>((_xlfn.NORM.S.INV(1- (100-L1)/200))*P15/P17)^2</f>
        <v>7.0130391873607159E-2</v>
      </c>
      <c r="R17" s="123"/>
      <c r="S17" s="111"/>
      <c r="T17" s="29"/>
      <c r="U17" s="340"/>
    </row>
    <row r="18" spans="1:21" ht="19.5" customHeight="1" thickBot="1">
      <c r="A18" s="315"/>
      <c r="B18" s="312"/>
      <c r="C18" s="313"/>
      <c r="D18" s="85"/>
      <c r="G18" s="94"/>
      <c r="H18" s="91"/>
      <c r="I18" s="114">
        <f>-_xlfn.NORM.S.INV( (1-L1/100)/2)</f>
        <v>1.6448536269514726</v>
      </c>
      <c r="J18" s="218"/>
      <c r="K18" s="218"/>
      <c r="N18" s="332"/>
      <c r="O18" s="336"/>
      <c r="P18" s="338"/>
      <c r="Q18" s="177"/>
      <c r="R18" s="177"/>
      <c r="S18" s="337"/>
      <c r="T18" s="337"/>
      <c r="U18" s="340"/>
    </row>
    <row r="19" spans="1:21" ht="17.25" customHeight="1" thickBot="1">
      <c r="A19" s="315"/>
      <c r="B19" s="316"/>
      <c r="C19" s="313"/>
      <c r="D19" s="85"/>
      <c r="G19" s="91"/>
      <c r="H19" s="75"/>
      <c r="I19" s="94"/>
      <c r="J19" s="94"/>
      <c r="K19" s="140" t="s">
        <v>66</v>
      </c>
      <c r="L19" s="162" t="s">
        <v>67</v>
      </c>
      <c r="N19" s="332"/>
      <c r="O19" s="68"/>
      <c r="P19" s="66"/>
      <c r="Q19" s="114"/>
      <c r="R19" s="114"/>
      <c r="U19" s="340"/>
    </row>
    <row r="20" spans="1:21" ht="16.5" thickBot="1">
      <c r="A20" s="315"/>
      <c r="B20" s="316"/>
      <c r="C20" s="313"/>
      <c r="D20" s="85"/>
      <c r="G20" s="440"/>
      <c r="H20" s="441"/>
      <c r="I20" s="70" t="s">
        <v>44</v>
      </c>
      <c r="J20" s="70" t="s">
        <v>51</v>
      </c>
      <c r="K20" s="70" t="s">
        <v>65</v>
      </c>
      <c r="L20" s="70" t="s">
        <v>65</v>
      </c>
      <c r="N20" s="332"/>
      <c r="O20" s="127" t="s">
        <v>60</v>
      </c>
      <c r="P20" s="235">
        <v>16</v>
      </c>
      <c r="Q20" s="138">
        <f>_xlfn.CHISQ.INV((1-L1/100)/2,P20-1)</f>
        <v>7.2609439276700316</v>
      </c>
      <c r="R20" s="138">
        <f>_xlfn.CHISQ.INV.RT((1-L1/100)/2,P20-1)</f>
        <v>24.99579013972863</v>
      </c>
      <c r="U20" s="340"/>
    </row>
    <row r="21" spans="1:21" ht="21" thickBot="1">
      <c r="A21" s="315"/>
      <c r="B21" s="316"/>
      <c r="C21" s="313"/>
      <c r="D21" s="85"/>
      <c r="G21" s="291" t="s">
        <v>50</v>
      </c>
      <c r="H21" s="292">
        <v>-0.28000000000000003</v>
      </c>
      <c r="I21" s="121">
        <f>_xlfn.NORM.S.DIST(H21,TRUE)</f>
        <v>0.38973875244420275</v>
      </c>
      <c r="J21" s="121">
        <f>1-I21</f>
        <v>0.61026124755579725</v>
      </c>
      <c r="K21" s="324">
        <f>2*I21</f>
        <v>0.7794775048884055</v>
      </c>
      <c r="L21" s="324">
        <f>2*J21</f>
        <v>1.2205224951115945</v>
      </c>
      <c r="N21" s="332"/>
      <c r="O21" s="68" t="s">
        <v>127</v>
      </c>
      <c r="P21" s="76">
        <v>2.2999999999999998</v>
      </c>
      <c r="Q21" s="70" t="s">
        <v>102</v>
      </c>
      <c r="R21" s="70" t="s">
        <v>103</v>
      </c>
      <c r="U21" s="340"/>
    </row>
    <row r="22" spans="1:21" ht="16.5" thickBot="1">
      <c r="A22" s="315"/>
      <c r="B22" s="316"/>
      <c r="C22" s="313"/>
      <c r="D22" s="85"/>
      <c r="G22" s="92"/>
      <c r="H22" s="520">
        <v>0.5</v>
      </c>
      <c r="I22" s="70" t="s">
        <v>43</v>
      </c>
      <c r="J22" s="70" t="s">
        <v>130</v>
      </c>
      <c r="K22" s="325" t="s">
        <v>131</v>
      </c>
      <c r="L22" s="326" t="s">
        <v>132</v>
      </c>
      <c r="M22" s="327" t="s">
        <v>137</v>
      </c>
      <c r="N22" s="332"/>
      <c r="O22" s="66"/>
      <c r="P22" s="69"/>
      <c r="Q22" s="138">
        <f>(P20-1)*P21/R20</f>
        <v>1.3802324234257854</v>
      </c>
      <c r="R22" s="138">
        <f>(P20-1)*P21/Q20</f>
        <v>4.7514483438616395</v>
      </c>
      <c r="U22" s="340"/>
    </row>
    <row r="23" spans="1:21" ht="16.5" thickBot="1">
      <c r="A23" s="315"/>
      <c r="B23" s="316"/>
      <c r="C23" s="313"/>
      <c r="D23" s="85"/>
      <c r="G23" s="93" t="s">
        <v>44</v>
      </c>
      <c r="H23" s="521"/>
      <c r="I23" s="121">
        <f>_xlfn.NORM.S.INV(H22)</f>
        <v>0</v>
      </c>
      <c r="J23" s="121">
        <f>_xlfn.NORM.S.INV(H22/2)</f>
        <v>-0.67448975019608193</v>
      </c>
      <c r="K23" s="202">
        <f>-TINV(2*H22,H24)</f>
        <v>0</v>
      </c>
      <c r="L23" s="323">
        <f>TINV(2*H22,H24)</f>
        <v>0</v>
      </c>
      <c r="M23" s="89">
        <f>TINV(H22,H24)</f>
        <v>0.68919507515393985</v>
      </c>
      <c r="N23" s="332"/>
      <c r="O23" s="152" t="s">
        <v>128</v>
      </c>
      <c r="P23" s="69">
        <v>2.8</v>
      </c>
      <c r="Q23" s="138">
        <f>SQRT((P20-1)*(P23^2)/R20)</f>
        <v>2.1690533097923015</v>
      </c>
      <c r="R23" s="138">
        <f>SQRT((P20-1)*(P23^2)/Q20)</f>
        <v>4.0244554055486947</v>
      </c>
      <c r="U23" s="340"/>
    </row>
    <row r="24" spans="1:21" ht="16.5" customHeight="1" thickBot="1">
      <c r="A24" s="315"/>
      <c r="B24" s="316"/>
      <c r="C24" s="313"/>
      <c r="D24" s="85"/>
      <c r="G24" s="308" t="s">
        <v>122</v>
      </c>
      <c r="H24" s="69">
        <v>17</v>
      </c>
      <c r="K24" s="140" t="s">
        <v>66</v>
      </c>
      <c r="L24" s="162" t="s">
        <v>67</v>
      </c>
      <c r="M24" s="162" t="s">
        <v>129</v>
      </c>
      <c r="N24" s="332"/>
      <c r="P24" s="8"/>
      <c r="Q24" s="138">
        <f>Q23^2</f>
        <v>4.7047922607209376</v>
      </c>
      <c r="R24" s="138">
        <f>R23^2</f>
        <v>16.196241311250109</v>
      </c>
      <c r="U24" s="340"/>
    </row>
    <row r="25" spans="1:21" ht="16.5" thickBot="1">
      <c r="A25" s="315"/>
      <c r="B25" s="316"/>
      <c r="C25" s="313"/>
      <c r="D25" s="85"/>
      <c r="K25" s="121">
        <f>IF(J29 &gt;=10,  _xlfn.NORM.S.DIST(K27,TRUE), _xlfn.BINOM.DIST(H28, H26, H27, TRUE))</f>
        <v>1.8283286635241601E-6</v>
      </c>
      <c r="L25" s="121">
        <f>1-K25</f>
        <v>0.99999817167133642</v>
      </c>
      <c r="M25" s="121">
        <f>2*L25</f>
        <v>1.9999963433426728</v>
      </c>
      <c r="N25" s="332"/>
      <c r="P25" s="8"/>
      <c r="Q25" s="320"/>
      <c r="U25" s="340"/>
    </row>
    <row r="26" spans="1:21" ht="20.25" thickBot="1">
      <c r="A26" s="315"/>
      <c r="B26" s="316"/>
      <c r="C26" s="313"/>
      <c r="D26" s="85"/>
      <c r="G26" s="128" t="s">
        <v>35</v>
      </c>
      <c r="H26" s="144">
        <v>250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2"/>
      <c r="O26" s="230" t="s">
        <v>68</v>
      </c>
      <c r="P26" s="144">
        <v>49</v>
      </c>
      <c r="Q26" s="113" t="s">
        <v>90</v>
      </c>
      <c r="R26" s="70" t="s">
        <v>65</v>
      </c>
      <c r="S26" s="345"/>
      <c r="T26" s="346"/>
      <c r="U26" s="340"/>
    </row>
    <row r="27" spans="1:21" ht="20.25" thickBot="1">
      <c r="A27" s="315"/>
      <c r="B27" s="316"/>
      <c r="C27" s="313"/>
      <c r="D27" s="85"/>
      <c r="G27" s="90" t="s">
        <v>40</v>
      </c>
      <c r="H27" s="131">
        <v>0.27</v>
      </c>
      <c r="I27" s="124">
        <f>H26*H27</f>
        <v>67.5</v>
      </c>
      <c r="J27" s="321">
        <f>SQRT(H26*H27*(1-H27))</f>
        <v>7.0196153740785538</v>
      </c>
      <c r="K27" s="130">
        <f>ROUND((H28 - I27)/J27,2)</f>
        <v>-4.63</v>
      </c>
      <c r="L27" s="121">
        <f>_xlfn.NORM.S.DIST(K27,TRUE)</f>
        <v>1.8283286635241601E-6</v>
      </c>
      <c r="M27" s="149">
        <f>1-L27</f>
        <v>0.99999817167133642</v>
      </c>
      <c r="N27" s="332"/>
      <c r="O27" s="330" t="s">
        <v>69</v>
      </c>
      <c r="P27" s="91">
        <v>2580</v>
      </c>
      <c r="Q27" s="121">
        <f xml:space="preserve"> (P28 - P29) * SQRT(P26) / P27</f>
        <v>9.3474418604651159</v>
      </c>
      <c r="R27" s="121">
        <f>2*(_xlfn.T.DIST(Q27, P26-1, TRUE))</f>
        <v>1.9999999999978002</v>
      </c>
      <c r="S27" s="130">
        <f>P28-Q29*P27/SQRT(P26)</f>
        <v>2843.8230819998867</v>
      </c>
      <c r="T27" s="130">
        <f>P28+Q29*P27/SQRT(P26)</f>
        <v>4080.1769180001133</v>
      </c>
      <c r="U27" s="340"/>
    </row>
    <row r="28" spans="1:21" ht="16.5" thickBot="1">
      <c r="A28" s="315"/>
      <c r="B28" s="316"/>
      <c r="C28" s="313"/>
      <c r="D28" s="85"/>
      <c r="G28" s="90" t="s">
        <v>39</v>
      </c>
      <c r="H28" s="91">
        <v>35</v>
      </c>
      <c r="I28" s="126"/>
      <c r="J28" s="298" t="s">
        <v>120</v>
      </c>
      <c r="K28" s="550"/>
      <c r="M28" s="191" t="s">
        <v>107</v>
      </c>
      <c r="N28" s="332"/>
      <c r="O28" s="94"/>
      <c r="P28" s="99">
        <v>3462</v>
      </c>
      <c r="Q28" s="70"/>
      <c r="R28" s="70" t="s">
        <v>136</v>
      </c>
      <c r="S28" s="70" t="s">
        <v>135</v>
      </c>
      <c r="U28" s="340"/>
    </row>
    <row r="29" spans="1:21" ht="16.5" thickBot="1">
      <c r="A29" s="315"/>
      <c r="B29" s="316"/>
      <c r="C29" s="313"/>
      <c r="D29" s="85"/>
      <c r="G29" s="364" t="s">
        <v>106</v>
      </c>
      <c r="H29" s="97">
        <v>6.5</v>
      </c>
      <c r="I29" s="138">
        <f xml:space="preserve"> H28/H26</f>
        <v>0.14000000000000001</v>
      </c>
      <c r="J29" s="117">
        <f>H26*I29*(1-I29)</f>
        <v>30.099999999999998</v>
      </c>
      <c r="K29" s="548">
        <f>(H28+2)/(H26+4)</f>
        <v>0.14566929133858267</v>
      </c>
      <c r="M29" s="121">
        <f xml:space="preserve"> M27 - 1 + _xlfn.NORM.S.DIST(ROUND((H29 - I27)/J27,2),TRUE)</f>
        <v>-1.8283286635760373E-6</v>
      </c>
      <c r="N29" s="332"/>
      <c r="O29" s="177"/>
      <c r="P29" s="97">
        <v>16.8</v>
      </c>
      <c r="Q29" s="121">
        <f>TINV((100-L1)/100, P26-1)</f>
        <v>1.6772241961243386</v>
      </c>
      <c r="R29" s="121">
        <f>1-_xlfn.T.DIST(Q27, P26-1, TRUE)</f>
        <v>1.0998979504961426E-12</v>
      </c>
      <c r="S29" s="121">
        <f>_xlfn.T.DIST(Q27, P26-1, TRUE)</f>
        <v>0.9999999999989001</v>
      </c>
      <c r="U29" s="340"/>
    </row>
    <row r="30" spans="1:21" ht="20.25" thickTop="1" thickBot="1">
      <c r="A30" s="317"/>
      <c r="B30" s="318"/>
      <c r="C30" s="313"/>
      <c r="D30" s="85"/>
      <c r="I30" s="128" t="s">
        <v>70</v>
      </c>
      <c r="J30" s="113" t="s">
        <v>57</v>
      </c>
      <c r="K30" s="115" t="s">
        <v>58</v>
      </c>
      <c r="M30" s="257"/>
      <c r="N30" s="332"/>
      <c r="O30" s="145"/>
      <c r="P30" s="123"/>
      <c r="Q30" s="94"/>
      <c r="R30" s="75"/>
      <c r="S30" s="322" t="s">
        <v>66</v>
      </c>
      <c r="T30" s="157" t="s">
        <v>67</v>
      </c>
      <c r="U30" s="340"/>
    </row>
    <row r="31" spans="1:21" ht="20.25" thickBot="1">
      <c r="I31" s="129">
        <f xml:space="preserve"> (100-L1)/200</f>
        <v>0.05</v>
      </c>
      <c r="J31" s="116">
        <f>1-I31</f>
        <v>0.95</v>
      </c>
      <c r="K31" s="112">
        <f>_xlfn.NORM.S.INV(J31)</f>
        <v>1.6448536269514715</v>
      </c>
      <c r="N31" s="332"/>
      <c r="O31" s="147" t="s">
        <v>61</v>
      </c>
      <c r="P31" s="141">
        <v>2.9399999999999999E-2</v>
      </c>
      <c r="Q31" s="70" t="s">
        <v>65</v>
      </c>
      <c r="R31" s="70" t="s">
        <v>88</v>
      </c>
      <c r="S31" s="70" t="s">
        <v>65</v>
      </c>
      <c r="T31" s="219" t="s">
        <v>65</v>
      </c>
      <c r="U31" s="340"/>
    </row>
    <row r="32" spans="1:21" ht="20.25" thickBot="1">
      <c r="I32" s="113" t="s">
        <v>59</v>
      </c>
      <c r="J32" s="159"/>
      <c r="K32" s="159"/>
      <c r="L32" s="549" t="s">
        <v>177</v>
      </c>
      <c r="M32" s="153" t="s">
        <v>103</v>
      </c>
      <c r="N32" s="332"/>
      <c r="O32" s="148" t="s">
        <v>52</v>
      </c>
      <c r="P32" s="142">
        <v>19</v>
      </c>
      <c r="Q32" s="121">
        <f xml:space="preserve"> 1 -_xlfn.T.DIST(P31, P32-1, TRUE)</f>
        <v>0.4884345486908197</v>
      </c>
      <c r="R32" s="121">
        <f>_xlfn.T.DIST(P31, P32-1, TRUE)</f>
        <v>0.5115654513091803</v>
      </c>
      <c r="S32" s="121">
        <f>2*Q32</f>
        <v>0.97686909738163941</v>
      </c>
      <c r="T32" s="149">
        <f>2*R32</f>
        <v>1.0231309026183606</v>
      </c>
      <c r="U32" s="340"/>
    </row>
    <row r="33" spans="9:21" ht="16.5" thickBot="1">
      <c r="I33" s="114">
        <f>K31* SQRT(I29*(1-I29) / H26)</f>
        <v>3.6096949005315529E-2</v>
      </c>
      <c r="J33" s="114">
        <f>I29-I33</f>
        <v>0.10390305099468448</v>
      </c>
      <c r="K33" s="114">
        <f>I29+I33</f>
        <v>0.17609694900531553</v>
      </c>
      <c r="L33" s="202">
        <f>K29-K31*SQRT(K29*(1-K29)/(H26+4))</f>
        <v>0.10926040368200646</v>
      </c>
      <c r="M33" s="89">
        <f>K29+K31*SQRT(K29*(1-K29)/(H26+4))</f>
        <v>0.18207817899515888</v>
      </c>
      <c r="N33" s="333"/>
      <c r="U33" s="340"/>
    </row>
    <row r="34" spans="9:21" ht="16.5" thickBot="1">
      <c r="U34" s="341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90" zoomScaleNormal="90" workbookViewId="0">
      <selection activeCell="A3" sqref="A3:B3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1.5703125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9" customWidth="1"/>
    <col min="18" max="18" width="7.28515625" style="29" customWidth="1"/>
    <col min="19" max="19" width="7.7109375" style="29" customWidth="1"/>
    <col min="20" max="20" width="7.5703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11.42578125" style="29" customWidth="1"/>
    <col min="26" max="29" width="9.140625" style="29"/>
    <col min="30" max="30" width="6.1406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4" t="s">
        <v>3</v>
      </c>
      <c r="F1" s="375" t="s">
        <v>4</v>
      </c>
      <c r="G1" s="525"/>
      <c r="H1" s="526"/>
      <c r="I1" s="195"/>
      <c r="J1" s="150"/>
      <c r="K1" s="99"/>
      <c r="L1" s="94"/>
      <c r="M1" s="94"/>
      <c r="O1" s="75"/>
      <c r="P1" s="75"/>
      <c r="Q1" s="195"/>
      <c r="R1" s="75" t="s">
        <v>162</v>
      </c>
      <c r="S1" s="443">
        <f>SUM(S4:S18)</f>
        <v>100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80" t="s">
        <v>144</v>
      </c>
      <c r="H2" s="380" t="s">
        <v>146</v>
      </c>
      <c r="I2" s="154"/>
      <c r="J2" s="203" t="s">
        <v>56</v>
      </c>
      <c r="K2" s="197">
        <v>95</v>
      </c>
      <c r="L2" s="111"/>
      <c r="M2" s="111"/>
      <c r="N2" s="94"/>
      <c r="O2" s="75"/>
      <c r="P2" s="75"/>
      <c r="Q2" s="391"/>
      <c r="R2" s="390" t="s">
        <v>52</v>
      </c>
      <c r="S2" s="32">
        <v>100</v>
      </c>
      <c r="T2" s="132"/>
      <c r="U2" s="400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73"/>
      <c r="B3" s="473"/>
      <c r="C3" s="369" t="s">
        <v>10</v>
      </c>
      <c r="D3" s="154"/>
      <c r="E3" s="155">
        <f>IF(A4="","",AVERAGE(A4:A39))</f>
        <v>11.525</v>
      </c>
      <c r="F3" s="155">
        <f>IF(B4="","",AVERAGE(B4:B39))</f>
        <v>11.262500000000001</v>
      </c>
      <c r="G3" s="155">
        <f xml:space="preserve"> IF(G8&gt;0, 2*(1-_xlfn.T.DIST(G8,A1- 1, TRUE)), 2*(_xlfn.T.DIST(G8,A1- 1, TRUE)))</f>
        <v>0.85265327826320769</v>
      </c>
      <c r="H3" s="183">
        <f>_xlfn.T.DIST(G8,A1- 1, TRUE)</f>
        <v>0.57367336086839615</v>
      </c>
      <c r="I3" s="154"/>
      <c r="J3" s="125"/>
      <c r="K3" s="91" t="s">
        <v>139</v>
      </c>
      <c r="L3" s="161"/>
      <c r="M3" s="111"/>
      <c r="N3" s="123"/>
      <c r="O3" s="75"/>
      <c r="P3" s="75"/>
      <c r="Q3" s="391"/>
      <c r="R3" s="369" t="s">
        <v>147</v>
      </c>
      <c r="S3" s="369" t="s">
        <v>151</v>
      </c>
      <c r="T3" s="387" t="s">
        <v>148</v>
      </c>
      <c r="U3" s="400"/>
      <c r="V3" s="408"/>
      <c r="W3" s="409"/>
      <c r="X3" s="3"/>
      <c r="Y3" s="3"/>
      <c r="Z3" s="3"/>
      <c r="AA3" s="3"/>
      <c r="AB3" s="3"/>
      <c r="AC3" s="3"/>
      <c r="AD3" s="75"/>
      <c r="AF3" s="133"/>
      <c r="AG3" s="122" t="s">
        <v>10</v>
      </c>
      <c r="AH3" s="143" t="s">
        <v>11</v>
      </c>
    </row>
    <row r="4" spans="1:34" ht="20.25" customHeight="1" thickBot="1">
      <c r="A4" s="466">
        <v>9.1</v>
      </c>
      <c r="B4" s="466">
        <v>12.9</v>
      </c>
      <c r="C4" s="368">
        <f>A4-B4</f>
        <v>-3.8000000000000007</v>
      </c>
      <c r="D4" s="154">
        <f>IF(B4=0,0, C4^2 / B4)</f>
        <v>1.1193798449612407</v>
      </c>
      <c r="E4" s="153" t="s">
        <v>2</v>
      </c>
      <c r="F4" s="153" t="s">
        <v>2</v>
      </c>
      <c r="G4" s="153"/>
      <c r="H4" s="463"/>
      <c r="I4" s="154"/>
      <c r="J4" s="145"/>
      <c r="L4" s="111"/>
      <c r="O4" s="75"/>
      <c r="P4" s="75"/>
      <c r="Q4" s="391">
        <f>IF(S4=0,0, (R4-S4)^2 / S4)</f>
        <v>22.502717391304348</v>
      </c>
      <c r="R4" s="175">
        <f>1/4</f>
        <v>0.25</v>
      </c>
      <c r="S4" s="175">
        <v>23</v>
      </c>
      <c r="T4" s="381">
        <f>S$2*R4</f>
        <v>25</v>
      </c>
      <c r="U4" s="400">
        <f>IF(T4=0,0,IF(T4=S4,(S4-V$9)^2/V$9,(S4-T4)^2/T4))</f>
        <v>0.16</v>
      </c>
      <c r="V4" s="410">
        <f>SUM(Q4:Q15)</f>
        <v>98.010040218939679</v>
      </c>
      <c r="W4" s="411">
        <f>_xlfn.CHISQ.INV.RT((100-K2)/100,COUNT(R4:R25)-1)</f>
        <v>7.8147279032511792</v>
      </c>
      <c r="X4" s="3"/>
      <c r="Y4" s="3"/>
      <c r="Z4" s="3"/>
      <c r="AA4" s="3"/>
      <c r="AB4" s="3"/>
      <c r="AC4" s="3"/>
      <c r="AD4" s="75"/>
      <c r="AF4" s="133"/>
      <c r="AG4" s="134">
        <f>$A4-$B4</f>
        <v>-3.8000000000000007</v>
      </c>
      <c r="AH4" s="134">
        <f>IF(A4="",0, (AG4-$E$8)^2)</f>
        <v>16.50390625</v>
      </c>
    </row>
    <row r="5" spans="1:34" ht="16.5" thickBot="1">
      <c r="A5" s="466">
        <v>9</v>
      </c>
      <c r="B5" s="466">
        <v>13.8</v>
      </c>
      <c r="C5" s="368">
        <f t="shared" ref="C5:C15" si="0">A5-B5</f>
        <v>-4.8000000000000007</v>
      </c>
      <c r="D5" s="154">
        <f t="shared" ref="D5:D17" si="1">IF(B5=0,0, C5^2 / B5)</f>
        <v>1.6695652173913047</v>
      </c>
      <c r="E5" s="156">
        <f>_xlfn.STDEV.S(A4:A39)</f>
        <v>2.3310022369297374</v>
      </c>
      <c r="F5" s="156">
        <f>_xlfn.STDEV.S(B4:B39)</f>
        <v>2.6027114981989712</v>
      </c>
      <c r="G5" s="155"/>
      <c r="H5" s="183"/>
      <c r="I5" s="154"/>
      <c r="J5" s="176"/>
      <c r="K5" s="176"/>
      <c r="L5" s="123"/>
      <c r="O5" s="75"/>
      <c r="P5" s="75"/>
      <c r="Q5" s="391">
        <f t="shared" ref="Q5:Q23" si="2">IF(S5=0,0, (R5-S5)^2 / S5)</f>
        <v>23.502604166666668</v>
      </c>
      <c r="R5" s="175">
        <v>0.25</v>
      </c>
      <c r="S5" s="175">
        <v>24</v>
      </c>
      <c r="T5" s="381">
        <f t="shared" ref="T5:T15" si="3">S$2*R5</f>
        <v>25</v>
      </c>
      <c r="U5" s="400">
        <f t="shared" ref="U5:U17" si="4">IF(T5=0,0,IF(T5=S5,(S5-V$9)^2/V$9,(S5-T5)^2/T5))</f>
        <v>0.04</v>
      </c>
      <c r="V5" s="3"/>
      <c r="W5" s="3"/>
      <c r="X5" s="3"/>
      <c r="Y5" s="3"/>
      <c r="Z5" s="3"/>
      <c r="AA5" s="3"/>
      <c r="AB5" s="3"/>
      <c r="AC5" s="3"/>
      <c r="AD5" s="75"/>
      <c r="AF5" s="133"/>
      <c r="AG5" s="134">
        <f t="shared" ref="AG5:AG36" si="5">$A5-$B5</f>
        <v>-4.8000000000000007</v>
      </c>
      <c r="AH5" s="134">
        <f t="shared" ref="AH5:AH11" si="6">IF(A5="",0, (AG5-$E$8)^2)</f>
        <v>25.62890625</v>
      </c>
    </row>
    <row r="6" spans="1:34" ht="16.5" thickBot="1">
      <c r="A6" s="466">
        <v>12.7</v>
      </c>
      <c r="B6" s="466">
        <v>14</v>
      </c>
      <c r="C6" s="368">
        <f t="shared" si="0"/>
        <v>-1.3000000000000007</v>
      </c>
      <c r="D6" s="154">
        <f t="shared" si="1"/>
        <v>0.12071428571428586</v>
      </c>
      <c r="E6" s="125"/>
      <c r="F6" s="91"/>
      <c r="G6" s="66"/>
      <c r="H6" s="162"/>
      <c r="I6" s="154"/>
      <c r="O6" s="221" t="s">
        <v>141</v>
      </c>
      <c r="P6" s="140"/>
      <c r="Q6" s="391">
        <f t="shared" si="2"/>
        <v>25.502403846153847</v>
      </c>
      <c r="R6" s="175">
        <v>0.25</v>
      </c>
      <c r="S6" s="175">
        <v>26</v>
      </c>
      <c r="T6" s="381">
        <f t="shared" si="3"/>
        <v>25</v>
      </c>
      <c r="U6" s="400">
        <f t="shared" si="4"/>
        <v>0.04</v>
      </c>
      <c r="V6" s="412" t="s">
        <v>149</v>
      </c>
      <c r="W6" s="380" t="s">
        <v>146</v>
      </c>
      <c r="X6" s="3"/>
      <c r="Y6" s="3"/>
      <c r="Z6" s="3"/>
      <c r="AA6" s="3"/>
      <c r="AB6" s="3"/>
      <c r="AC6" s="3"/>
      <c r="AD6" s="162"/>
      <c r="AF6" s="133"/>
      <c r="AG6" s="134">
        <f t="shared" si="5"/>
        <v>-1.3000000000000007</v>
      </c>
      <c r="AH6" s="134">
        <f t="shared" si="6"/>
        <v>2.4414062500000013</v>
      </c>
    </row>
    <row r="7" spans="1:34" ht="18" customHeight="1" thickBot="1">
      <c r="A7" s="466">
        <v>11.8</v>
      </c>
      <c r="B7" s="466">
        <v>11.3</v>
      </c>
      <c r="C7" s="368">
        <f t="shared" si="0"/>
        <v>0.5</v>
      </c>
      <c r="D7" s="154">
        <f t="shared" si="1"/>
        <v>2.2123893805309734E-2</v>
      </c>
      <c r="E7" s="170"/>
      <c r="F7" s="66"/>
      <c r="G7" s="66"/>
      <c r="H7" s="70"/>
      <c r="I7" s="154"/>
      <c r="J7" s="230" t="s">
        <v>76</v>
      </c>
      <c r="K7" s="144">
        <v>118</v>
      </c>
      <c r="L7" s="100" t="s">
        <v>40</v>
      </c>
      <c r="M7" s="70"/>
      <c r="N7" s="70"/>
      <c r="O7" s="220" t="s">
        <v>79</v>
      </c>
      <c r="P7" s="373"/>
      <c r="Q7" s="391">
        <f t="shared" si="2"/>
        <v>26.502314814814813</v>
      </c>
      <c r="R7" s="175">
        <v>0.25</v>
      </c>
      <c r="S7" s="175">
        <v>27</v>
      </c>
      <c r="T7" s="381">
        <f t="shared" si="3"/>
        <v>25</v>
      </c>
      <c r="U7" s="400">
        <f t="shared" si="4"/>
        <v>0.16</v>
      </c>
      <c r="V7" s="413">
        <f>SUM(U4:U17)</f>
        <v>0.4</v>
      </c>
      <c r="W7" s="139">
        <f>CHIDIST(V7,COUNT(R4:R19)-1)</f>
        <v>0.94024249483936073</v>
      </c>
      <c r="X7" s="417">
        <f>1-W7</f>
        <v>5.9757505160639268E-2</v>
      </c>
      <c r="Y7" s="469">
        <f>2*W7</f>
        <v>1.8804849896787215</v>
      </c>
      <c r="Z7" s="3"/>
      <c r="AA7" s="3"/>
      <c r="AB7" s="3"/>
      <c r="AC7" s="3"/>
      <c r="AD7" s="3"/>
      <c r="AF7" s="135">
        <f>SUM(A4:A39)</f>
        <v>92.2</v>
      </c>
      <c r="AG7" s="134">
        <f t="shared" si="5"/>
        <v>0.5</v>
      </c>
      <c r="AH7" s="134">
        <f t="shared" si="6"/>
        <v>5.6406250000000178E-2</v>
      </c>
    </row>
    <row r="8" spans="1:34" ht="21" customHeight="1" thickBot="1">
      <c r="A8" s="466">
        <v>11.5</v>
      </c>
      <c r="B8" s="466">
        <v>7.7</v>
      </c>
      <c r="C8" s="368">
        <f t="shared" si="0"/>
        <v>3.8</v>
      </c>
      <c r="D8" s="154">
        <f t="shared" si="1"/>
        <v>1.8753246753246753</v>
      </c>
      <c r="E8" s="172">
        <f xml:space="preserve"> SUM(AG4:AG39)/A1</f>
        <v>0.26249999999999962</v>
      </c>
      <c r="F8" s="171">
        <f>SQRT(SUM(AH4:AH39) /(A1-1))</f>
        <v>3.8526197024140045</v>
      </c>
      <c r="G8" s="171">
        <f>E8*SQRT(A1)/F8</f>
        <v>0.19271617174689112</v>
      </c>
      <c r="H8" s="183"/>
      <c r="I8" s="154"/>
      <c r="J8" s="145" t="s">
        <v>75</v>
      </c>
      <c r="K8" s="91">
        <v>253</v>
      </c>
      <c r="L8" s="138">
        <f xml:space="preserve"> (K7+K10) / (K8+K11)</f>
        <v>0.45534150612959717</v>
      </c>
      <c r="M8" s="138">
        <f>K7/K8</f>
        <v>0.466403162055336</v>
      </c>
      <c r="N8" s="179">
        <f>K10/K11</f>
        <v>0.44654088050314467</v>
      </c>
      <c r="O8" s="138">
        <f>(ABS(K7-K10)-1)/SQRT(K7+K10)</f>
        <v>1.4263994477758974</v>
      </c>
      <c r="P8" s="111"/>
      <c r="Q8" s="391">
        <f t="shared" si="2"/>
        <v>0</v>
      </c>
      <c r="R8" s="175"/>
      <c r="S8" s="175"/>
      <c r="T8" s="381">
        <f t="shared" si="3"/>
        <v>0</v>
      </c>
      <c r="U8" s="400">
        <f t="shared" si="4"/>
        <v>0</v>
      </c>
      <c r="V8" s="414" t="s">
        <v>150</v>
      </c>
      <c r="W8" s="3"/>
      <c r="X8" s="3"/>
      <c r="Y8" s="3"/>
      <c r="Z8" s="3"/>
      <c r="AA8" s="3"/>
      <c r="AB8" s="3"/>
      <c r="AC8" s="3"/>
      <c r="AD8" s="3"/>
      <c r="AF8" s="135">
        <f>SUM(B4:B39)</f>
        <v>90.100000000000009</v>
      </c>
      <c r="AG8" s="134">
        <f t="shared" si="5"/>
        <v>3.8</v>
      </c>
      <c r="AH8" s="134">
        <f t="shared" si="6"/>
        <v>12.51390625</v>
      </c>
    </row>
    <row r="9" spans="1:34" ht="19.5" thickBot="1">
      <c r="A9" s="466">
        <v>9.1999999999999993</v>
      </c>
      <c r="B9" s="466">
        <v>8.9</v>
      </c>
      <c r="C9" s="368">
        <f t="shared" si="0"/>
        <v>0.29999999999999893</v>
      </c>
      <c r="D9" s="154">
        <f t="shared" si="1"/>
        <v>1.0112359550561726E-2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91">
        <f t="shared" si="2"/>
        <v>0</v>
      </c>
      <c r="R9" s="175"/>
      <c r="S9" s="175"/>
      <c r="T9" s="381">
        <f t="shared" si="3"/>
        <v>0</v>
      </c>
      <c r="U9" s="400">
        <f t="shared" si="4"/>
        <v>0</v>
      </c>
      <c r="V9" s="415">
        <f>SUM(S4:S15)/COUNT(S4:S15)</f>
        <v>25</v>
      </c>
      <c r="W9" s="3"/>
      <c r="X9" s="3"/>
      <c r="Y9" s="3"/>
      <c r="Z9" s="3"/>
      <c r="AA9" s="3"/>
      <c r="AB9" s="3"/>
      <c r="AC9" s="3"/>
      <c r="AD9" s="3"/>
      <c r="AF9" s="133"/>
      <c r="AG9" s="134">
        <f t="shared" si="5"/>
        <v>0.29999999999999893</v>
      </c>
      <c r="AH9" s="134">
        <f t="shared" si="6"/>
        <v>1.4062499999999483E-3</v>
      </c>
    </row>
    <row r="10" spans="1:34" ht="20.25" thickBot="1">
      <c r="A10" s="466">
        <v>13.5</v>
      </c>
      <c r="B10" s="466">
        <v>13.2</v>
      </c>
      <c r="C10" s="368">
        <f t="shared" si="0"/>
        <v>0.30000000000000071</v>
      </c>
      <c r="D10" s="154">
        <f t="shared" si="1"/>
        <v>6.8181818181818508E-3</v>
      </c>
      <c r="E10" s="171">
        <f xml:space="preserve"> H10* F8 /SQRT(A1)</f>
        <v>3.2208706743009405</v>
      </c>
      <c r="F10" s="189">
        <f>E8-E10</f>
        <v>-2.9583706743009408</v>
      </c>
      <c r="G10" s="462">
        <f>E8+E10</f>
        <v>3.4833706743009403</v>
      </c>
      <c r="H10" s="184">
        <f>TINV(1-K2/100, A$1- 1)</f>
        <v>2.3646242515927849</v>
      </c>
      <c r="I10" s="154"/>
      <c r="J10" s="145" t="s">
        <v>77</v>
      </c>
      <c r="K10" s="91">
        <v>142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91">
        <f t="shared" si="2"/>
        <v>0</v>
      </c>
      <c r="R10" s="175"/>
      <c r="S10" s="175"/>
      <c r="T10" s="381">
        <f t="shared" si="3"/>
        <v>0</v>
      </c>
      <c r="U10" s="400">
        <f t="shared" si="4"/>
        <v>0</v>
      </c>
      <c r="V10" s="3"/>
      <c r="W10" s="3"/>
      <c r="X10" s="3"/>
      <c r="Y10" s="3"/>
      <c r="Z10" s="3"/>
      <c r="AA10" s="3"/>
      <c r="AB10" s="3"/>
      <c r="AC10" s="3"/>
      <c r="AD10" s="3"/>
      <c r="AF10" s="133"/>
      <c r="AG10" s="134">
        <f t="shared" si="5"/>
        <v>0.30000000000000071</v>
      </c>
      <c r="AH10" s="134">
        <f t="shared" si="6"/>
        <v>1.4062500000000817E-3</v>
      </c>
    </row>
    <row r="11" spans="1:34" ht="20.25" thickBot="1">
      <c r="A11" s="466">
        <v>15.4</v>
      </c>
      <c r="B11" s="466">
        <v>8.3000000000000007</v>
      </c>
      <c r="C11" s="368">
        <f t="shared" si="0"/>
        <v>7.1</v>
      </c>
      <c r="D11" s="154">
        <f t="shared" si="1"/>
        <v>6.073493975903614</v>
      </c>
      <c r="E11" s="167"/>
      <c r="F11" s="123"/>
      <c r="G11" s="384"/>
      <c r="H11" s="385"/>
      <c r="I11" s="154"/>
      <c r="J11" s="145" t="s">
        <v>74</v>
      </c>
      <c r="K11" s="91">
        <v>318</v>
      </c>
      <c r="L11" s="138">
        <f>(M8-N8 ) / (SQRT(L8*(1-L8)) * SQRT(1/K8+1/K11))</f>
        <v>0.47342821818183928</v>
      </c>
      <c r="M11" s="96">
        <f>_xlfn.NORM.S.DIST(L11,TRUE)</f>
        <v>0.68204614909276795</v>
      </c>
      <c r="N11" s="121">
        <f>1-M11</f>
        <v>0.31795385090723205</v>
      </c>
      <c r="O11" s="121">
        <f>2*M11</f>
        <v>1.3640922981855359</v>
      </c>
      <c r="P11" s="149">
        <f>2*N11</f>
        <v>0.6359077018144641</v>
      </c>
      <c r="Q11" s="391">
        <f t="shared" si="2"/>
        <v>0</v>
      </c>
      <c r="R11" s="175"/>
      <c r="S11" s="175"/>
      <c r="T11" s="381">
        <f t="shared" si="3"/>
        <v>0</v>
      </c>
      <c r="U11" s="400">
        <f t="shared" si="4"/>
        <v>0</v>
      </c>
      <c r="V11" s="111"/>
      <c r="W11" s="111"/>
      <c r="X11" s="444" t="s">
        <v>163</v>
      </c>
      <c r="Y11" s="3"/>
      <c r="Z11" s="3"/>
      <c r="AA11" s="3"/>
      <c r="AB11" s="3"/>
      <c r="AC11" s="3"/>
      <c r="AD11" s="3"/>
      <c r="AF11" s="133"/>
      <c r="AG11" s="134">
        <f t="shared" si="5"/>
        <v>7.1</v>
      </c>
      <c r="AH11" s="134">
        <f t="shared" si="6"/>
        <v>46.751406250000002</v>
      </c>
    </row>
    <row r="12" spans="1:34" ht="20.25" thickBot="1">
      <c r="A12" s="464"/>
      <c r="B12" s="465"/>
      <c r="C12" s="368">
        <f t="shared" si="0"/>
        <v>0</v>
      </c>
      <c r="D12" s="154">
        <f t="shared" si="1"/>
        <v>0</v>
      </c>
      <c r="E12" s="372" t="s">
        <v>54</v>
      </c>
      <c r="F12" s="228">
        <f>E$5^2/A$1</f>
        <v>0.67919642857142992</v>
      </c>
      <c r="G12" s="386">
        <f xml:space="preserve"> E3-G3 -H14</f>
        <v>8.7235800832978736</v>
      </c>
      <c r="H12" s="238">
        <f>E3-G3+H14</f>
        <v>12.621113360175711</v>
      </c>
      <c r="I12" s="154"/>
      <c r="J12" s="221"/>
      <c r="L12" s="180" t="s">
        <v>78</v>
      </c>
      <c r="M12" s="219" t="s">
        <v>80</v>
      </c>
      <c r="N12" s="527"/>
      <c r="O12" s="528"/>
      <c r="P12" s="70" t="s">
        <v>161</v>
      </c>
      <c r="Q12" s="391">
        <f t="shared" si="2"/>
        <v>0</v>
      </c>
      <c r="R12" s="175"/>
      <c r="S12" s="175"/>
      <c r="T12" s="381">
        <f t="shared" si="3"/>
        <v>0</v>
      </c>
      <c r="U12" s="400">
        <f t="shared" si="4"/>
        <v>0</v>
      </c>
      <c r="V12" s="418" t="s">
        <v>52</v>
      </c>
      <c r="W12" s="419">
        <v>769</v>
      </c>
      <c r="X12" s="446">
        <f>W12*W13</f>
        <v>107.66000000000001</v>
      </c>
      <c r="Y12" s="3"/>
      <c r="Z12" s="3"/>
      <c r="AA12" s="3"/>
      <c r="AB12" s="3"/>
      <c r="AC12" s="3"/>
      <c r="AD12" s="3"/>
      <c r="AF12" s="133"/>
      <c r="AG12" s="134">
        <f t="shared" si="5"/>
        <v>0</v>
      </c>
      <c r="AH12" s="134">
        <f t="shared" ref="AH12:AH35" si="7">IF(A12="",0, (AG12-$E$8)^2)</f>
        <v>0</v>
      </c>
    </row>
    <row r="13" spans="1:34" ht="20.25" thickBot="1">
      <c r="A13" s="461"/>
      <c r="B13" s="461"/>
      <c r="C13" s="368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8.2245126945467512E-2</v>
      </c>
      <c r="M13" s="366">
        <f xml:space="preserve"> _xlfn.NORM.S.INV(1- (100-K2)/200)</f>
        <v>1.9599639845400536</v>
      </c>
      <c r="N13" s="186">
        <f>M8-N8-L13</f>
        <v>-6.2382845393276182E-2</v>
      </c>
      <c r="O13" s="187">
        <f>M8-N8+L13</f>
        <v>0.10210740849765884</v>
      </c>
      <c r="P13" s="442">
        <f>2*M11</f>
        <v>1.3640922981855359</v>
      </c>
      <c r="Q13" s="391">
        <f t="shared" si="2"/>
        <v>0</v>
      </c>
      <c r="R13" s="123"/>
      <c r="S13" s="123"/>
      <c r="T13" s="381">
        <f t="shared" si="3"/>
        <v>0</v>
      </c>
      <c r="U13" s="400">
        <f t="shared" si="4"/>
        <v>0</v>
      </c>
      <c r="V13" s="418" t="s">
        <v>115</v>
      </c>
      <c r="W13" s="445">
        <v>0.14000000000000001</v>
      </c>
      <c r="X13" s="448" t="s">
        <v>164</v>
      </c>
      <c r="Y13" s="3"/>
      <c r="Z13" s="3"/>
      <c r="AA13" s="3"/>
      <c r="AB13" s="3"/>
      <c r="AC13" s="3"/>
      <c r="AD13" s="3"/>
      <c r="AF13" s="136"/>
      <c r="AG13" s="134">
        <f t="shared" si="5"/>
        <v>0</v>
      </c>
      <c r="AH13" s="134">
        <f t="shared" si="7"/>
        <v>0</v>
      </c>
    </row>
    <row r="14" spans="1:34" ht="20.25" thickBot="1">
      <c r="A14" s="461"/>
      <c r="B14" s="461"/>
      <c r="C14" s="368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7</v>
      </c>
      <c r="G14" s="121">
        <f>TINV(1-K2/100, F14)</f>
        <v>2.3646242515927849</v>
      </c>
      <c r="H14" s="121">
        <f xml:space="preserve"> G14 * SQRT( E5^2 /A1 + G5^2/B1)</f>
        <v>1.9487666384389182</v>
      </c>
      <c r="I14" s="154"/>
      <c r="J14" s="231" t="s">
        <v>82</v>
      </c>
      <c r="K14" s="367">
        <v>0.14000000000000001</v>
      </c>
      <c r="L14" s="70" t="s">
        <v>79</v>
      </c>
      <c r="M14" s="220"/>
      <c r="N14" s="94"/>
      <c r="O14" s="123"/>
      <c r="P14" s="123"/>
      <c r="Q14" s="391">
        <f t="shared" si="2"/>
        <v>0</v>
      </c>
      <c r="R14" s="123"/>
      <c r="S14" s="123"/>
      <c r="T14" s="381">
        <f t="shared" si="3"/>
        <v>0</v>
      </c>
      <c r="U14" s="400">
        <f t="shared" si="4"/>
        <v>0</v>
      </c>
      <c r="V14" s="420" t="s">
        <v>74</v>
      </c>
      <c r="W14" s="421">
        <v>30</v>
      </c>
      <c r="X14" s="447">
        <f>W12-X12</f>
        <v>661.34</v>
      </c>
      <c r="Y14" s="3"/>
      <c r="Z14" s="3"/>
      <c r="AA14" s="3"/>
      <c r="AB14" s="3"/>
      <c r="AC14" s="3"/>
      <c r="AD14" s="75"/>
      <c r="AF14" s="137"/>
      <c r="AG14" s="134">
        <f t="shared" si="5"/>
        <v>0</v>
      </c>
      <c r="AH14" s="134">
        <f t="shared" si="7"/>
        <v>0</v>
      </c>
    </row>
    <row r="15" spans="1:34" ht="18" thickBot="1">
      <c r="A15" s="461"/>
      <c r="B15" s="461"/>
      <c r="C15" s="368">
        <f t="shared" si="0"/>
        <v>0</v>
      </c>
      <c r="D15" s="382">
        <f t="shared" si="1"/>
        <v>0</v>
      </c>
      <c r="E15" s="211"/>
      <c r="F15" s="211"/>
      <c r="G15" s="529" t="s">
        <v>95</v>
      </c>
      <c r="H15" s="530"/>
      <c r="I15" s="154"/>
      <c r="J15" s="127"/>
      <c r="L15" s="138">
        <f xml:space="preserve"> (M8-N8-K14) /SQRT(M8*(1-M8)/K8 + N8*(1-N8)/K11)</f>
        <v>-2.8629732859266332</v>
      </c>
      <c r="M15" s="138"/>
      <c r="N15" s="218"/>
      <c r="O15" s="75"/>
      <c r="P15" s="75"/>
      <c r="Q15" s="391">
        <f t="shared" si="2"/>
        <v>0</v>
      </c>
      <c r="R15" s="396"/>
      <c r="S15" s="396"/>
      <c r="T15" s="381">
        <f t="shared" si="3"/>
        <v>0</v>
      </c>
      <c r="U15" s="400">
        <f t="shared" si="4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5"/>
        <v>0</v>
      </c>
      <c r="AH15" s="134">
        <f t="shared" si="7"/>
        <v>0</v>
      </c>
    </row>
    <row r="16" spans="1:34" ht="20.25" thickBot="1">
      <c r="A16" s="175"/>
      <c r="B16" s="175"/>
      <c r="C16" s="175"/>
      <c r="D16" s="382">
        <f t="shared" si="1"/>
        <v>0</v>
      </c>
      <c r="E16" s="383"/>
      <c r="F16" s="383"/>
      <c r="G16" s="191" t="s">
        <v>73</v>
      </c>
      <c r="H16" s="158" t="s">
        <v>89</v>
      </c>
      <c r="I16" s="154"/>
      <c r="K16" s="91">
        <v>0.215</v>
      </c>
      <c r="L16" s="188" t="s">
        <v>68</v>
      </c>
      <c r="M16" s="188" t="s">
        <v>140</v>
      </c>
      <c r="N16" s="222"/>
      <c r="O16" s="223"/>
      <c r="P16" s="223"/>
      <c r="Q16" s="391">
        <f t="shared" si="2"/>
        <v>0</v>
      </c>
      <c r="R16" s="397"/>
      <c r="S16" s="397"/>
      <c r="T16" s="381"/>
      <c r="U16" s="400">
        <f t="shared" si="4"/>
        <v>0</v>
      </c>
      <c r="V16" s="223"/>
      <c r="W16" s="380" t="s">
        <v>146</v>
      </c>
      <c r="X16" s="121">
        <f>CHIDIST( (W14-X12)^2 / X12 + (W12-W14-X14)^2 / X14,1)</f>
        <v>6.9792408532011301E-16</v>
      </c>
      <c r="Y16" s="223"/>
      <c r="Z16" s="3"/>
      <c r="AA16" s="3"/>
      <c r="AB16" s="3"/>
      <c r="AC16" s="3"/>
      <c r="AD16" s="224"/>
      <c r="AG16" s="134">
        <f t="shared" si="5"/>
        <v>0</v>
      </c>
      <c r="AH16" s="134">
        <f t="shared" si="7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13.833193466531478</v>
      </c>
      <c r="H17" s="121">
        <f>TINV(1-K2/100, G17)</f>
        <v>2.1603686564627917</v>
      </c>
      <c r="I17" s="154"/>
      <c r="J17" s="145"/>
      <c r="K17" s="91">
        <v>0.187</v>
      </c>
      <c r="L17" s="189">
        <f>(K16*(1-K16) + K17*(1-K17)) * (M13/K18)^2</f>
        <v>1369.2922649239993</v>
      </c>
      <c r="M17" s="189">
        <f xml:space="preserve"> 0.5* (M13/K18)^2</f>
        <v>2134.1437892745134</v>
      </c>
      <c r="N17" s="223"/>
      <c r="O17" s="223"/>
      <c r="P17" s="223"/>
      <c r="Q17" s="391">
        <f t="shared" si="2"/>
        <v>0</v>
      </c>
      <c r="R17" s="397"/>
      <c r="S17" s="397"/>
      <c r="T17" s="381"/>
      <c r="U17" s="400">
        <f t="shared" si="4"/>
        <v>0</v>
      </c>
      <c r="V17" s="223"/>
      <c r="W17" s="380" t="s">
        <v>153</v>
      </c>
      <c r="X17" s="218">
        <f>1-_xlfn.NORM.S.DIST(X20,TRUE)</f>
        <v>0.99999999999999967</v>
      </c>
      <c r="Y17" s="223"/>
      <c r="Z17" s="223"/>
      <c r="AA17" s="3"/>
      <c r="AB17" s="3"/>
      <c r="AC17" s="3"/>
      <c r="AD17" s="223"/>
      <c r="AG17" s="134">
        <f t="shared" si="5"/>
        <v>0</v>
      </c>
      <c r="AH17" s="134">
        <f t="shared" si="7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0.03</v>
      </c>
      <c r="L18" s="165"/>
      <c r="M18" s="165"/>
      <c r="N18" s="225"/>
      <c r="O18" s="226"/>
      <c r="P18" s="226"/>
      <c r="Q18" s="391">
        <f t="shared" si="2"/>
        <v>0</v>
      </c>
      <c r="R18" s="398"/>
      <c r="S18" s="398"/>
      <c r="T18" s="226"/>
      <c r="U18" s="401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5"/>
        <v>0</v>
      </c>
      <c r="AH18" s="134">
        <f t="shared" si="7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8</v>
      </c>
      <c r="G19" s="114">
        <f xml:space="preserve">  (F20-F23) / SQRT( F21^2 /F19 + F24^2/F22)</f>
        <v>0.21249942456754972</v>
      </c>
      <c r="H19" s="121">
        <f xml:space="preserve"> H17 * SQRT( F21^2 /F19 + F24^2/F22)</f>
        <v>2.6686979198911263</v>
      </c>
      <c r="I19" s="154">
        <f>F21^2 /F19</f>
        <v>0.67919642857142992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91">
        <f t="shared" si="2"/>
        <v>0</v>
      </c>
      <c r="R19" s="399"/>
      <c r="S19" s="399"/>
      <c r="T19" s="222"/>
      <c r="U19" s="402"/>
      <c r="V19" s="222"/>
      <c r="W19" s="222"/>
      <c r="X19" s="422"/>
      <c r="Y19" s="222"/>
      <c r="Z19" s="222"/>
      <c r="AA19" s="3"/>
      <c r="AB19" s="3"/>
      <c r="AC19" s="3"/>
      <c r="AD19" s="222"/>
      <c r="AG19" s="134">
        <f t="shared" si="5"/>
        <v>0</v>
      </c>
      <c r="AH19" s="134">
        <f t="shared" si="7"/>
        <v>0</v>
      </c>
    </row>
    <row r="20" spans="1:34" ht="20.25" thickBot="1">
      <c r="A20" s="175"/>
      <c r="B20" s="175"/>
      <c r="C20" s="175"/>
      <c r="D20" s="154"/>
      <c r="E20" s="146"/>
      <c r="F20" s="467">
        <f>E3</f>
        <v>11.525</v>
      </c>
      <c r="G20" s="532"/>
      <c r="H20" s="533"/>
      <c r="I20" s="154">
        <f>F24^2/F22</f>
        <v>0.84676339285714164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91">
        <f t="shared" si="2"/>
        <v>0</v>
      </c>
      <c r="R20" s="322"/>
      <c r="S20" s="322"/>
      <c r="T20" s="157"/>
      <c r="U20" s="403"/>
      <c r="V20" s="157"/>
      <c r="W20" s="397" t="s">
        <v>152</v>
      </c>
      <c r="X20" s="416">
        <f>(W14/W12-W13)/SQRT(W13*(1-W13)/W12)</f>
        <v>-8.070881536847379</v>
      </c>
      <c r="Y20" s="423"/>
      <c r="Z20" s="157"/>
      <c r="AA20" s="157"/>
      <c r="AB20" s="157"/>
      <c r="AC20" s="157"/>
      <c r="AD20" s="75"/>
      <c r="AG20" s="134">
        <f t="shared" si="5"/>
        <v>0</v>
      </c>
      <c r="AH20" s="134">
        <f t="shared" si="7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68">
        <f>E5</f>
        <v>2.3310022369297374</v>
      </c>
      <c r="G21" s="139">
        <f xml:space="preserve"> F20- F23 -H19</f>
        <v>-2.406197919891127</v>
      </c>
      <c r="H21" s="139">
        <f xml:space="preserve">  F20- F23 + H19</f>
        <v>2.9311979198911255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91">
        <f t="shared" si="2"/>
        <v>0</v>
      </c>
      <c r="R21" s="94"/>
      <c r="S21" s="94"/>
      <c r="T21" s="94"/>
      <c r="U21" s="404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5"/>
        <v>0</v>
      </c>
      <c r="AH21" s="134">
        <f t="shared" si="7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31" t="s">
        <v>96</v>
      </c>
      <c r="H22" s="531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2.2009851600916384</v>
      </c>
      <c r="N22" s="111"/>
      <c r="O22" s="111"/>
      <c r="P22" s="111"/>
      <c r="Q22" s="391">
        <f t="shared" si="2"/>
        <v>0</v>
      </c>
      <c r="R22" s="111"/>
      <c r="S22" s="111"/>
      <c r="T22" s="111"/>
      <c r="U22" s="405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5"/>
        <v>0</v>
      </c>
      <c r="AH22" s="134">
        <f t="shared" si="7"/>
        <v>0</v>
      </c>
    </row>
    <row r="23" spans="1:34" ht="18.75" customHeight="1" thickBot="1">
      <c r="A23" s="175"/>
      <c r="B23" s="175"/>
      <c r="C23" s="175"/>
      <c r="D23" s="154"/>
      <c r="E23" s="146"/>
      <c r="F23" s="467">
        <f>F3</f>
        <v>11.262500000000001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91">
        <f t="shared" si="2"/>
        <v>0</v>
      </c>
      <c r="R23" s="396"/>
      <c r="S23" s="396"/>
      <c r="T23" s="75"/>
      <c r="U23" s="406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5"/>
        <v>0</v>
      </c>
      <c r="AH23" s="134">
        <f t="shared" si="7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68">
        <f>F5</f>
        <v>2.6027114981989712</v>
      </c>
      <c r="G24" s="192">
        <f xml:space="preserve"> IF(F19=F22,F19-1,(I19+I20)^2/(I19^2/(F19-1)+I20^2/(F22-1)))</f>
        <v>7</v>
      </c>
      <c r="H24" s="149">
        <f>TINV(1-K2/100, G24)</f>
        <v>2.3646242515927849</v>
      </c>
      <c r="I24" s="196"/>
      <c r="J24" s="148"/>
      <c r="K24" s="239">
        <v>2.911</v>
      </c>
      <c r="L24" s="238">
        <f>K23 - M22* K24 /SQRT(K22)</f>
        <v>1.2754388401805083</v>
      </c>
      <c r="M24" s="138">
        <f xml:space="preserve">  K23 + M22* K24 /SQRT(K22)</f>
        <v>4.9745611598194914</v>
      </c>
      <c r="N24" s="166"/>
      <c r="O24" s="157"/>
      <c r="P24" s="157"/>
      <c r="Q24" s="392"/>
      <c r="R24" s="157"/>
      <c r="S24" s="157"/>
      <c r="T24" s="157"/>
      <c r="U24" s="403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5"/>
        <v>0</v>
      </c>
      <c r="AH24" s="134">
        <f t="shared" si="7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93"/>
      <c r="R25" s="94"/>
      <c r="S25" s="94"/>
      <c r="T25" s="94"/>
      <c r="U25" s="404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5"/>
        <v>0</v>
      </c>
      <c r="AH25" s="134">
        <f t="shared" si="7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0.21249942456754972</v>
      </c>
      <c r="H26" s="149">
        <f xml:space="preserve"> H24 * SQRT( F21^2 /F19 + F24^2/F22)</f>
        <v>2.9210143383037286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4"/>
      <c r="R26" s="111"/>
      <c r="S26" s="111"/>
      <c r="T26" s="111"/>
      <c r="U26" s="405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5"/>
        <v>0</v>
      </c>
      <c r="AH26" s="134">
        <f t="shared" si="7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6">
        <f>MIN(C4:C28)</f>
        <v>-4.8000000000000007</v>
      </c>
      <c r="L27" s="377">
        <f>QUARTILE(C4:C27, 1)</f>
        <v>-0.32500000000000018</v>
      </c>
      <c r="M27" s="377">
        <f>QUARTILE(C4:C15, 2)</f>
        <v>0</v>
      </c>
      <c r="N27" s="377">
        <f>QUARTILE(C4:C15, 3)</f>
        <v>0.35000000000000053</v>
      </c>
      <c r="O27" s="378">
        <f>MAX(C4:C24)</f>
        <v>7.1</v>
      </c>
      <c r="P27" s="75"/>
      <c r="Q27" s="395"/>
      <c r="R27" s="75"/>
      <c r="S27" s="75"/>
      <c r="T27" s="75"/>
      <c r="U27" s="407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5"/>
        <v>0</v>
      </c>
      <c r="AH27" s="134">
        <f t="shared" si="7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-2.6585143383037293</v>
      </c>
      <c r="H28" s="229">
        <f xml:space="preserve">  F20- F23 + H26</f>
        <v>3.1835143383037279</v>
      </c>
      <c r="I28" s="196"/>
      <c r="J28" s="94"/>
      <c r="L28" s="111"/>
      <c r="M28" s="75"/>
      <c r="O28" s="75"/>
      <c r="P28" s="75"/>
      <c r="Q28" s="388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5"/>
        <v>0</v>
      </c>
      <c r="AH28" s="134">
        <f t="shared" si="7"/>
        <v>0</v>
      </c>
    </row>
    <row r="29" spans="1:34" ht="20.25" thickBot="1">
      <c r="A29" s="175"/>
      <c r="B29" s="175"/>
      <c r="C29" s="175"/>
      <c r="D29" s="154"/>
      <c r="E29" s="370" t="s">
        <v>133</v>
      </c>
      <c r="F29" s="371" t="s">
        <v>134</v>
      </c>
      <c r="G29" s="379" t="s">
        <v>145</v>
      </c>
      <c r="H29" s="157"/>
      <c r="I29" s="196"/>
      <c r="J29" s="150"/>
      <c r="K29" s="175"/>
      <c r="O29" s="75"/>
      <c r="P29" s="75"/>
      <c r="Q29" s="388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5"/>
        <v>0</v>
      </c>
      <c r="AH29" s="134">
        <f t="shared" si="7"/>
        <v>0</v>
      </c>
    </row>
    <row r="30" spans="1:34" ht="16.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449"/>
      <c r="K30" s="175"/>
      <c r="L30" s="381"/>
      <c r="O30" s="75"/>
      <c r="P30" s="75"/>
      <c r="Q30" s="388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5"/>
        <v>0</v>
      </c>
      <c r="AH30" s="134">
        <f t="shared" si="7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0.58235785295049602</v>
      </c>
      <c r="F31" s="121">
        <f>1-_xlfn.T.DIST(G19, G17-1, TRUE)</f>
        <v>0.41764214704950398</v>
      </c>
      <c r="G31" s="121">
        <f xml:space="preserve">  IF(G19&gt;0, 2*(1-_xlfn.T.DIST(G19,G17, TRUE)), 2*(_xlfn.T.DIST(G19,G17, TRUE)))</f>
        <v>0.83501316929174241</v>
      </c>
      <c r="H31" s="121"/>
      <c r="I31" s="196"/>
      <c r="J31" s="175"/>
      <c r="K31" s="175"/>
      <c r="L31" s="381"/>
      <c r="O31" s="75"/>
      <c r="P31" s="75"/>
      <c r="Q31" s="388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5"/>
        <v>0</v>
      </c>
      <c r="AH31" s="134">
        <f t="shared" si="7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0.58062356953387306</v>
      </c>
      <c r="F32" s="121">
        <f>1-_xlfn.T.DIST(G19, G24-1, TRUE)</f>
        <v>0.41937643046612694</v>
      </c>
      <c r="G32" s="121">
        <f xml:space="preserve"> IF(G26&gt;0, 2*(1-_xlfn.T.DIST(G26,G24, TRUE)), 2*(_xlfn.T.DIST(G26,G24, TRUE)))</f>
        <v>0.8377729102773297</v>
      </c>
      <c r="H32" s="121"/>
      <c r="I32" s="196"/>
      <c r="J32" s="175"/>
      <c r="K32" s="175"/>
      <c r="L32" s="381"/>
      <c r="O32" s="75"/>
      <c r="P32" s="75"/>
      <c r="Q32" s="388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5"/>
        <v>0</v>
      </c>
      <c r="AH32" s="134">
        <f t="shared" si="7"/>
        <v>0</v>
      </c>
    </row>
    <row r="33" spans="1:34">
      <c r="A33" s="175"/>
      <c r="B33" s="175"/>
      <c r="C33" s="175"/>
      <c r="D33" s="154"/>
      <c r="E33" s="46"/>
      <c r="F33" s="43"/>
      <c r="I33" s="196"/>
      <c r="J33" s="175"/>
      <c r="K33" s="175"/>
      <c r="L33" s="381"/>
      <c r="AG33" s="134">
        <f t="shared" si="5"/>
        <v>0</v>
      </c>
      <c r="AH33" s="134">
        <f t="shared" si="7"/>
        <v>0</v>
      </c>
    </row>
    <row r="34" spans="1:34">
      <c r="A34" s="175"/>
      <c r="B34" s="175"/>
      <c r="C34" s="175"/>
      <c r="D34" s="154"/>
      <c r="I34" s="196"/>
      <c r="J34" s="175"/>
      <c r="K34" s="175"/>
      <c r="L34" s="381"/>
      <c r="AG34" s="134">
        <f t="shared" si="5"/>
        <v>0</v>
      </c>
      <c r="AH34" s="134">
        <f t="shared" si="7"/>
        <v>0</v>
      </c>
    </row>
    <row r="35" spans="1:34">
      <c r="A35" s="243"/>
      <c r="B35" s="243"/>
      <c r="C35" s="243"/>
      <c r="D35" s="154"/>
      <c r="I35" s="196"/>
      <c r="L35" s="381"/>
      <c r="AG35" s="134">
        <f t="shared" si="5"/>
        <v>0</v>
      </c>
      <c r="AH35" s="134">
        <f t="shared" si="7"/>
        <v>0</v>
      </c>
    </row>
    <row r="36" spans="1:34">
      <c r="AG36" s="134">
        <f t="shared" si="5"/>
        <v>0</v>
      </c>
      <c r="AH36" s="134">
        <f t="shared" ref="AH36" si="8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66675</xdr:colOff>
                <xdr:row>5</xdr:row>
                <xdr:rowOff>19050</xdr:rowOff>
              </from>
              <to>
                <xdr:col>21</xdr:col>
                <xdr:colOff>209550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35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6"/>
      <c r="L1" s="436"/>
    </row>
    <row r="2" spans="1:13" ht="16.5" thickBot="1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6"/>
      <c r="L2" s="436"/>
    </row>
    <row r="3" spans="1:13" ht="18.75" customHeight="1" thickBot="1">
      <c r="A3" s="473"/>
      <c r="B3" s="473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7"/>
      <c r="L3" s="437"/>
      <c r="M3" s="30"/>
    </row>
    <row r="4" spans="1:13" ht="16.5" thickBot="1">
      <c r="A4" s="494">
        <v>-5</v>
      </c>
      <c r="B4" s="494">
        <v>-10</v>
      </c>
      <c r="C4" s="207">
        <f>A4*B4</f>
        <v>50</v>
      </c>
      <c r="D4" s="541" t="s">
        <v>48</v>
      </c>
      <c r="E4" s="542"/>
      <c r="G4" s="94"/>
      <c r="H4" s="204"/>
      <c r="I4" s="30"/>
      <c r="J4" s="30"/>
      <c r="K4" s="437">
        <f>IF( A4="",0, A4*E$6+D$6)</f>
        <v>-11.036363636363637</v>
      </c>
      <c r="L4" s="437">
        <f>(K4-B4)^2</f>
        <v>1.0740495867768609</v>
      </c>
      <c r="M4" s="30"/>
    </row>
    <row r="5" spans="1:13" ht="16.5" thickBot="1">
      <c r="A5" s="494">
        <v>-3</v>
      </c>
      <c r="B5" s="494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7">
        <f t="shared" ref="K5:K18" si="1">IF( A5="",0, A5*E$6+D$6)</f>
        <v>-6.8424242424242427</v>
      </c>
      <c r="L5" s="437">
        <f t="shared" ref="L5:L18" si="2">(K5-B5)^2</f>
        <v>1.3399816345270883</v>
      </c>
      <c r="M5" s="30"/>
    </row>
    <row r="6" spans="1:13" ht="16.5" thickBot="1">
      <c r="A6" s="494">
        <v>4</v>
      </c>
      <c r="B6" s="494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7">
        <f t="shared" si="1"/>
        <v>7.8363636363636369</v>
      </c>
      <c r="L6" s="437">
        <f t="shared" si="2"/>
        <v>1.3540495867768583</v>
      </c>
      <c r="M6" s="30"/>
    </row>
    <row r="7" spans="1:13" ht="16.5" thickBot="1">
      <c r="A7" s="494">
        <v>1</v>
      </c>
      <c r="B7" s="494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7">
        <f t="shared" si="1"/>
        <v>1.5454545454545456</v>
      </c>
      <c r="L7" s="437">
        <f t="shared" si="2"/>
        <v>0.29752066115702497</v>
      </c>
      <c r="M7" s="204"/>
    </row>
    <row r="8" spans="1:13" ht="16.5" thickBot="1">
      <c r="A8" s="494">
        <v>-1</v>
      </c>
      <c r="B8" s="494">
        <v>-2</v>
      </c>
      <c r="C8" s="207">
        <f t="shared" si="0"/>
        <v>2</v>
      </c>
      <c r="D8" s="30"/>
      <c r="E8" s="30"/>
      <c r="F8" s="30"/>
      <c r="I8" s="30"/>
      <c r="J8" s="132"/>
      <c r="K8" s="437">
        <f t="shared" si="1"/>
        <v>-2.6484848484848484</v>
      </c>
      <c r="L8" s="437">
        <f t="shared" si="2"/>
        <v>0.42053259871441684</v>
      </c>
      <c r="M8" s="132"/>
    </row>
    <row r="9" spans="1:13" ht="16.5" thickBot="1">
      <c r="A9" s="494">
        <v>-2</v>
      </c>
      <c r="B9" s="494">
        <v>-6</v>
      </c>
      <c r="C9" s="434">
        <f t="shared" si="0"/>
        <v>12</v>
      </c>
      <c r="D9" s="537" t="s">
        <v>158</v>
      </c>
      <c r="E9" s="538"/>
      <c r="F9" s="70" t="s">
        <v>165</v>
      </c>
      <c r="G9" s="218"/>
      <c r="I9" s="30"/>
      <c r="J9" s="132"/>
      <c r="K9" s="437">
        <f t="shared" si="1"/>
        <v>-4.745454545454546</v>
      </c>
      <c r="L9" s="437">
        <f t="shared" si="2"/>
        <v>1.5738842975206597</v>
      </c>
      <c r="M9" s="132"/>
    </row>
    <row r="10" spans="1:13" ht="16.5" thickBot="1">
      <c r="A10" s="494">
        <v>0</v>
      </c>
      <c r="B10" s="494">
        <v>-1</v>
      </c>
      <c r="C10" s="434">
        <f t="shared" si="0"/>
        <v>0</v>
      </c>
      <c r="D10" s="543">
        <f>SUM(L4:L17)</f>
        <v>7.6242424242424223</v>
      </c>
      <c r="E10" s="544"/>
      <c r="F10" s="117">
        <f>VLOOKUP(E7,A4:B20,2,FALSE)-F7</f>
        <v>1.1636363636363631</v>
      </c>
      <c r="G10" s="29"/>
      <c r="I10" s="30"/>
      <c r="J10" s="132"/>
      <c r="K10" s="437">
        <f t="shared" si="1"/>
        <v>-0.55151515151515151</v>
      </c>
      <c r="L10" s="437">
        <f t="shared" si="2"/>
        <v>0.2011386593204775</v>
      </c>
      <c r="M10" s="132"/>
    </row>
    <row r="11" spans="1:13" ht="16.5" thickBot="1">
      <c r="A11" s="494">
        <v>2</v>
      </c>
      <c r="B11" s="494">
        <v>3</v>
      </c>
      <c r="C11" s="207">
        <f t="shared" si="0"/>
        <v>6</v>
      </c>
      <c r="D11" s="214"/>
      <c r="E11" s="214"/>
      <c r="I11" s="30"/>
      <c r="J11" s="132"/>
      <c r="K11" s="437">
        <f t="shared" si="1"/>
        <v>3.6424242424242426</v>
      </c>
      <c r="L11" s="437">
        <f t="shared" si="2"/>
        <v>0.41270890725436199</v>
      </c>
      <c r="M11" s="132"/>
    </row>
    <row r="12" spans="1:13" ht="16.5" thickBot="1">
      <c r="A12" s="494">
        <v>3</v>
      </c>
      <c r="B12" s="494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7">
        <f t="shared" si="1"/>
        <v>5.7393939393939393</v>
      </c>
      <c r="L12" s="437">
        <f t="shared" si="2"/>
        <v>6.7915518824609805E-2</v>
      </c>
      <c r="M12" s="132"/>
    </row>
    <row r="13" spans="1:13" ht="16.5" thickBot="1">
      <c r="A13" s="494">
        <v>-4</v>
      </c>
      <c r="B13" s="494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7">
        <f t="shared" si="1"/>
        <v>-8.9393939393939394</v>
      </c>
      <c r="L13" s="437">
        <f t="shared" si="2"/>
        <v>0.88246097337006435</v>
      </c>
      <c r="M13" s="132"/>
    </row>
    <row r="14" spans="1:13" ht="16.5" thickBot="1">
      <c r="A14" s="493"/>
      <c r="B14" s="493"/>
      <c r="C14" s="207">
        <f t="shared" si="0"/>
        <v>0</v>
      </c>
      <c r="D14" s="30"/>
      <c r="E14" s="76"/>
      <c r="I14" s="30"/>
      <c r="J14" s="30"/>
      <c r="K14" s="437">
        <f t="shared" si="1"/>
        <v>0</v>
      </c>
      <c r="L14" s="437">
        <f t="shared" si="2"/>
        <v>0</v>
      </c>
      <c r="M14" s="30"/>
    </row>
    <row r="15" spans="1:13" ht="16.5" thickBot="1">
      <c r="A15" s="493"/>
      <c r="B15" s="493"/>
      <c r="C15" s="207">
        <f t="shared" si="0"/>
        <v>0</v>
      </c>
      <c r="D15" s="545" t="s">
        <v>48</v>
      </c>
      <c r="E15" s="546"/>
      <c r="I15" s="30"/>
      <c r="J15" s="30"/>
      <c r="K15" s="437">
        <f t="shared" si="1"/>
        <v>0</v>
      </c>
      <c r="L15" s="437">
        <f t="shared" si="2"/>
        <v>0</v>
      </c>
      <c r="M15" s="30"/>
    </row>
    <row r="16" spans="1:13" ht="16.5" thickBot="1">
      <c r="A16" s="493"/>
      <c r="B16" s="493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7">
        <f t="shared" si="1"/>
        <v>0</v>
      </c>
      <c r="L16" s="437">
        <f t="shared" si="2"/>
        <v>0</v>
      </c>
      <c r="M16" s="30"/>
    </row>
    <row r="17" spans="1:13" ht="16.5" thickBot="1">
      <c r="A17" s="493"/>
      <c r="B17" s="493"/>
      <c r="C17" s="207">
        <f t="shared" si="0"/>
        <v>0</v>
      </c>
      <c r="D17" s="450">
        <v>2.097</v>
      </c>
      <c r="E17" s="450">
        <v>-0.20599999999999999</v>
      </c>
      <c r="F17" s="117">
        <f xml:space="preserve"> D17+E17*E18</f>
        <v>1.4790000000000001</v>
      </c>
      <c r="I17" s="30"/>
      <c r="J17" s="30"/>
      <c r="K17" s="437">
        <f t="shared" si="1"/>
        <v>0</v>
      </c>
      <c r="L17" s="437">
        <f t="shared" si="2"/>
        <v>0</v>
      </c>
      <c r="M17" s="30"/>
    </row>
    <row r="18" spans="1:13" ht="16.5" thickBot="1">
      <c r="A18" s="493"/>
      <c r="B18" s="493"/>
      <c r="C18" s="207">
        <f t="shared" si="0"/>
        <v>0</v>
      </c>
      <c r="D18" s="101" t="s">
        <v>94</v>
      </c>
      <c r="E18" s="213">
        <v>3</v>
      </c>
      <c r="F18" s="121"/>
      <c r="K18" s="437">
        <f t="shared" si="1"/>
        <v>0</v>
      </c>
      <c r="L18" s="495">
        <f t="shared" si="2"/>
        <v>0</v>
      </c>
    </row>
    <row r="19" spans="1:13" ht="15.75" thickBot="1">
      <c r="C19" s="207">
        <f t="shared" si="0"/>
        <v>0</v>
      </c>
      <c r="K19" s="488">
        <f>IF(A4="",0,D$21*A4+E$21)</f>
        <v>-11.0365</v>
      </c>
      <c r="L19" s="488">
        <f>(B4-K19)^2</f>
        <v>1.0743322500000003</v>
      </c>
    </row>
    <row r="20" spans="1:13" ht="18" customHeight="1" thickBot="1">
      <c r="C20" s="434">
        <f t="shared" si="0"/>
        <v>0</v>
      </c>
      <c r="D20" s="535" t="s">
        <v>168</v>
      </c>
      <c r="E20" s="536"/>
      <c r="F20" s="534"/>
      <c r="G20" s="534"/>
      <c r="K20" s="488">
        <f t="shared" ref="K20:K30" si="3">IF(A5="",0,D$21*A5+E$21)</f>
        <v>-6.8425000000000002</v>
      </c>
      <c r="L20" s="488">
        <f t="shared" ref="L20:L30" si="4">(B5-K20)^2</f>
        <v>1.3398062499999994</v>
      </c>
    </row>
    <row r="21" spans="1:13" ht="18" customHeight="1" thickBot="1">
      <c r="C21" s="434">
        <f t="shared" si="0"/>
        <v>0</v>
      </c>
      <c r="D21" s="430">
        <v>2.097</v>
      </c>
      <c r="E21" s="431">
        <v>-0.55149999999999999</v>
      </c>
      <c r="F21" s="489"/>
      <c r="G21" s="489"/>
      <c r="K21" s="488">
        <f t="shared" si="3"/>
        <v>7.8365</v>
      </c>
      <c r="L21" s="488">
        <f t="shared" si="4"/>
        <v>1.35373225</v>
      </c>
    </row>
    <row r="22" spans="1:13" ht="18" customHeight="1">
      <c r="C22" s="434">
        <f t="shared" si="0"/>
        <v>0</v>
      </c>
      <c r="D22" s="537" t="s">
        <v>158</v>
      </c>
      <c r="E22" s="538"/>
      <c r="F22" s="490"/>
      <c r="G22" s="490"/>
      <c r="K22" s="488">
        <f t="shared" si="3"/>
        <v>1.5455000000000001</v>
      </c>
      <c r="L22" s="488">
        <f t="shared" si="4"/>
        <v>0.29757025000000009</v>
      </c>
    </row>
    <row r="23" spans="1:13" ht="18" customHeight="1" thickBot="1">
      <c r="C23" s="434">
        <f t="shared" si="0"/>
        <v>0</v>
      </c>
      <c r="D23" s="539">
        <f>SUM(L19:L30)</f>
        <v>7.624242500000002</v>
      </c>
      <c r="E23" s="540"/>
      <c r="F23" s="491"/>
      <c r="G23" s="492"/>
      <c r="K23" s="488">
        <f t="shared" si="3"/>
        <v>-2.6484999999999999</v>
      </c>
      <c r="L23" s="488">
        <f t="shared" si="4"/>
        <v>0.42055224999999979</v>
      </c>
    </row>
    <row r="24" spans="1:13">
      <c r="C24" s="207">
        <f t="shared" si="0"/>
        <v>0</v>
      </c>
      <c r="K24" s="488">
        <f t="shared" si="3"/>
        <v>-4.7454999999999998</v>
      </c>
      <c r="L24" s="488">
        <f t="shared" si="4"/>
        <v>1.5737702500000004</v>
      </c>
    </row>
    <row r="25" spans="1:13">
      <c r="C25" s="207">
        <f t="shared" si="0"/>
        <v>0</v>
      </c>
      <c r="K25" s="488">
        <f t="shared" si="3"/>
        <v>-0.55149999999999999</v>
      </c>
      <c r="L25" s="488">
        <f t="shared" si="4"/>
        <v>0.20115225</v>
      </c>
    </row>
    <row r="26" spans="1:13">
      <c r="C26" s="207">
        <f t="shared" si="0"/>
        <v>0</v>
      </c>
      <c r="K26" s="488">
        <f t="shared" si="3"/>
        <v>3.6425000000000001</v>
      </c>
      <c r="L26" s="488">
        <f t="shared" si="4"/>
        <v>0.4128062500000001</v>
      </c>
    </row>
    <row r="27" spans="1:13">
      <c r="C27" s="207">
        <f t="shared" si="0"/>
        <v>0</v>
      </c>
      <c r="K27" s="488">
        <f t="shared" si="3"/>
        <v>5.7395000000000005</v>
      </c>
      <c r="L27" s="488">
        <f t="shared" si="4"/>
        <v>6.7860249999999747E-2</v>
      </c>
    </row>
    <row r="28" spans="1:13">
      <c r="C28" s="207">
        <f t="shared" si="0"/>
        <v>0</v>
      </c>
      <c r="K28" s="488">
        <f t="shared" si="3"/>
        <v>-8.9395000000000007</v>
      </c>
      <c r="L28" s="488">
        <f t="shared" si="4"/>
        <v>0.88266025000000126</v>
      </c>
    </row>
    <row r="29" spans="1:13">
      <c r="C29" s="207">
        <f t="shared" si="0"/>
        <v>0</v>
      </c>
      <c r="K29" s="488">
        <f t="shared" si="3"/>
        <v>0</v>
      </c>
      <c r="L29" s="488">
        <f t="shared" si="4"/>
        <v>0</v>
      </c>
    </row>
    <row r="30" spans="1:13">
      <c r="C30" s="207">
        <f t="shared" si="0"/>
        <v>0</v>
      </c>
      <c r="K30" s="488">
        <f t="shared" si="3"/>
        <v>0</v>
      </c>
      <c r="L30" s="488">
        <f t="shared" si="4"/>
        <v>0</v>
      </c>
    </row>
    <row r="31" spans="1:13">
      <c r="C31" s="207">
        <f t="shared" si="0"/>
        <v>0</v>
      </c>
      <c r="K31" s="488"/>
      <c r="L31" s="488"/>
    </row>
    <row r="32" spans="1:13">
      <c r="C32" s="207">
        <f t="shared" si="0"/>
        <v>0</v>
      </c>
      <c r="K32" s="488"/>
      <c r="L32" s="488"/>
    </row>
    <row r="33" spans="3:12" ht="15.75" thickBot="1">
      <c r="C33" s="217">
        <f t="shared" si="0"/>
        <v>0</v>
      </c>
      <c r="K33" s="436"/>
      <c r="L33" s="436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47" t="s">
        <v>13</v>
      </c>
      <c r="L20" s="547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2017-11-07T15:16:40Z</dcterms:modified>
</cp:coreProperties>
</file>