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drawings/drawing2.xml" ContentType="application/vnd.openxmlformats-officedocument.drawing+xml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drawings/drawing3.xml" ContentType="application/vnd.openxmlformats-officedocument.drawing+xml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Lectures\Math 1342\excel\"/>
    </mc:Choice>
  </mc:AlternateContent>
  <bookViews>
    <workbookView xWindow="0" yWindow="0" windowWidth="14295" windowHeight="11085" firstSheet="1" activeTab="2"/>
  </bookViews>
  <sheets>
    <sheet name="Lecture 1" sheetId="1" r:id="rId1"/>
    <sheet name="Lecture 2" sheetId="6" r:id="rId2"/>
    <sheet name="Lecture 3" sheetId="11" r:id="rId3"/>
    <sheet name="Lecture 4" sheetId="9" r:id="rId4"/>
    <sheet name="Correlation" sheetId="10" r:id="rId5"/>
    <sheet name="Graphs" sheetId="5" r:id="rId6"/>
    <sheet name="dot" sheetId="4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11" l="1"/>
  <c r="I15" i="11" l="1"/>
  <c r="H3" i="11"/>
  <c r="M17" i="6" l="1"/>
  <c r="N17" i="6" l="1"/>
  <c r="X3" i="6"/>
  <c r="X2" i="6"/>
  <c r="T6" i="6"/>
  <c r="N8" i="6" l="1"/>
  <c r="K5" i="10" l="1"/>
  <c r="K6" i="10"/>
  <c r="L6" i="10" s="1"/>
  <c r="K7" i="10"/>
  <c r="K8" i="10"/>
  <c r="L8" i="10" s="1"/>
  <c r="K9" i="10"/>
  <c r="K10" i="10"/>
  <c r="L10" i="10" s="1"/>
  <c r="K11" i="10"/>
  <c r="K12" i="10"/>
  <c r="L12" i="10" s="1"/>
  <c r="K13" i="10"/>
  <c r="K14" i="10"/>
  <c r="L14" i="10" s="1"/>
  <c r="K15" i="10"/>
  <c r="K16" i="10"/>
  <c r="L16" i="10" s="1"/>
  <c r="K17" i="10"/>
  <c r="K18" i="10"/>
  <c r="L18" i="10" s="1"/>
  <c r="K4" i="10"/>
  <c r="L5" i="10"/>
  <c r="L7" i="10"/>
  <c r="L9" i="10"/>
  <c r="L11" i="10"/>
  <c r="L13" i="10"/>
  <c r="L15" i="10"/>
  <c r="L17" i="10"/>
  <c r="K19" i="10"/>
  <c r="K20" i="10" l="1"/>
  <c r="L20" i="10" s="1"/>
  <c r="K21" i="10"/>
  <c r="L21" i="10" s="1"/>
  <c r="K22" i="10"/>
  <c r="L22" i="10" s="1"/>
  <c r="K23" i="10"/>
  <c r="L23" i="10" s="1"/>
  <c r="K24" i="10"/>
  <c r="L24" i="10" s="1"/>
  <c r="K25" i="10"/>
  <c r="L25" i="10" s="1"/>
  <c r="K26" i="10"/>
  <c r="L26" i="10" s="1"/>
  <c r="K27" i="10"/>
  <c r="L27" i="10" s="1"/>
  <c r="K28" i="10"/>
  <c r="L28" i="10" s="1"/>
  <c r="K29" i="10"/>
  <c r="L29" i="10" s="1"/>
  <c r="K30" i="10"/>
  <c r="L30" i="10" s="1"/>
  <c r="L19" i="10"/>
  <c r="D23" i="10" l="1"/>
  <c r="F16" i="1"/>
  <c r="G8" i="1" l="1"/>
  <c r="H8" i="1"/>
  <c r="E8" i="1"/>
  <c r="F8" i="1" s="1"/>
  <c r="G10" i="1"/>
  <c r="E6" i="1"/>
  <c r="F8" i="6" l="1"/>
  <c r="K2" i="6" l="1"/>
  <c r="G24" i="6"/>
  <c r="F12" i="6"/>
  <c r="J9" i="1" l="1"/>
  <c r="J8" i="1"/>
  <c r="J7" i="1"/>
  <c r="J6" i="1"/>
  <c r="K14" i="1" l="1"/>
  <c r="K13" i="1"/>
  <c r="K12" i="1"/>
  <c r="K11" i="1"/>
  <c r="J5" i="1"/>
  <c r="K9" i="1" s="1"/>
  <c r="K7" i="1" l="1"/>
  <c r="K8" i="1"/>
  <c r="K10" i="1"/>
  <c r="K6" i="1"/>
  <c r="R4" i="9"/>
  <c r="F24" i="9"/>
  <c r="F23" i="9"/>
  <c r="F21" i="9"/>
  <c r="F20" i="9"/>
  <c r="G21" i="6" l="1"/>
  <c r="G22" i="6"/>
  <c r="G14" i="6"/>
  <c r="G20" i="6" l="1"/>
  <c r="G23" i="6"/>
  <c r="G17" i="6"/>
  <c r="G13" i="6"/>
  <c r="G16" i="6"/>
  <c r="G19" i="6"/>
  <c r="G15" i="6"/>
  <c r="G18" i="6"/>
  <c r="F17" i="10"/>
  <c r="E3" i="9" l="1"/>
  <c r="S1" i="9"/>
  <c r="C10" i="9" l="1"/>
  <c r="C11" i="9"/>
  <c r="C12" i="9"/>
  <c r="C13" i="9"/>
  <c r="C14" i="9"/>
  <c r="C15" i="9"/>
  <c r="J6" i="11" l="1"/>
  <c r="L6" i="11"/>
  <c r="J5" i="11" l="1"/>
  <c r="I9" i="11" l="1"/>
  <c r="B2" i="11" l="1"/>
  <c r="B3" i="11" s="1"/>
  <c r="G12" i="10" l="1"/>
  <c r="T3" i="6" l="1"/>
  <c r="E5" i="11"/>
  <c r="F9" i="6" l="1"/>
  <c r="X20" i="9" l="1"/>
  <c r="X17" i="9" s="1"/>
  <c r="X12" i="9"/>
  <c r="V9" i="9"/>
  <c r="T4" i="9"/>
  <c r="U16" i="9"/>
  <c r="U17" i="9"/>
  <c r="T12" i="9"/>
  <c r="U12" i="9" s="1"/>
  <c r="T13" i="9"/>
  <c r="U13" i="9" s="1"/>
  <c r="T14" i="9"/>
  <c r="U14" i="9" s="1"/>
  <c r="T15" i="9"/>
  <c r="U15" i="9" s="1"/>
  <c r="X14" i="9" l="1"/>
  <c r="X16" i="9" s="1"/>
  <c r="U4" i="9"/>
  <c r="T5" i="9"/>
  <c r="U5" i="9" s="1"/>
  <c r="T6" i="9"/>
  <c r="T7" i="9"/>
  <c r="T8" i="9"/>
  <c r="U8" i="9" s="1"/>
  <c r="T9" i="9"/>
  <c r="U9" i="9" s="1"/>
  <c r="T10" i="9"/>
  <c r="U10" i="9" s="1"/>
  <c r="T11" i="9"/>
  <c r="U11" i="9" s="1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4" i="9"/>
  <c r="F5" i="9"/>
  <c r="F3" i="9"/>
  <c r="U7" i="9" l="1"/>
  <c r="U6" i="9"/>
  <c r="Q5" i="9"/>
  <c r="V4" i="9" s="1"/>
  <c r="W4" i="9"/>
  <c r="D16" i="9"/>
  <c r="D17" i="9"/>
  <c r="AG12" i="9" l="1"/>
  <c r="AG13" i="9"/>
  <c r="AG14" i="9"/>
  <c r="AG15" i="9"/>
  <c r="AG16" i="9"/>
  <c r="AH16" i="9"/>
  <c r="AG17" i="9"/>
  <c r="AH17" i="9"/>
  <c r="AG18" i="9"/>
  <c r="AH18" i="9"/>
  <c r="AG19" i="9"/>
  <c r="AH19" i="9"/>
  <c r="AG20" i="9"/>
  <c r="AH20" i="9"/>
  <c r="AG21" i="9"/>
  <c r="AH21" i="9"/>
  <c r="AG22" i="9"/>
  <c r="AH22" i="9"/>
  <c r="AG23" i="9"/>
  <c r="AH23" i="9"/>
  <c r="AG24" i="9"/>
  <c r="AH24" i="9"/>
  <c r="AG25" i="9"/>
  <c r="AH25" i="9"/>
  <c r="AG26" i="9"/>
  <c r="AH26" i="9"/>
  <c r="AG27" i="9"/>
  <c r="AH27" i="9"/>
  <c r="AG28" i="9"/>
  <c r="AH28" i="9"/>
  <c r="AG29" i="9"/>
  <c r="AH29" i="9"/>
  <c r="AG30" i="9"/>
  <c r="AH30" i="9"/>
  <c r="AG31" i="9"/>
  <c r="AH31" i="9"/>
  <c r="AG32" i="9"/>
  <c r="AH32" i="9"/>
  <c r="AG33" i="9"/>
  <c r="AH33" i="9"/>
  <c r="AG34" i="9"/>
  <c r="AH34" i="9"/>
  <c r="AG35" i="9"/>
  <c r="AH35" i="9"/>
  <c r="D12" i="9"/>
  <c r="D13" i="9"/>
  <c r="D14" i="9"/>
  <c r="D15" i="9"/>
  <c r="C5" i="9" l="1"/>
  <c r="D5" i="9" s="1"/>
  <c r="C6" i="9"/>
  <c r="D6" i="9" s="1"/>
  <c r="C7" i="9"/>
  <c r="D7" i="9" s="1"/>
  <c r="C8" i="9"/>
  <c r="D8" i="9" s="1"/>
  <c r="C9" i="9"/>
  <c r="D9" i="9" s="1"/>
  <c r="D10" i="9"/>
  <c r="D11" i="9"/>
  <c r="C4" i="9"/>
  <c r="D4" i="9" s="1"/>
  <c r="O27" i="9" l="1"/>
  <c r="K27" i="9"/>
  <c r="N27" i="9"/>
  <c r="M27" i="9"/>
  <c r="L27" i="9"/>
  <c r="O8" i="9"/>
  <c r="Q17" i="11" l="1"/>
  <c r="I31" i="11"/>
  <c r="I29" i="11"/>
  <c r="X11" i="11" l="1"/>
  <c r="K23" i="11" l="1"/>
  <c r="M23" i="11" l="1"/>
  <c r="R32" i="11" l="1"/>
  <c r="Q29" i="11"/>
  <c r="T27" i="11" s="1"/>
  <c r="S27" i="11" l="1"/>
  <c r="X6" i="11"/>
  <c r="X9" i="11" s="1"/>
  <c r="Z9" i="11" s="1"/>
  <c r="Z5" i="11"/>
  <c r="Z4" i="11"/>
  <c r="Y4" i="11"/>
  <c r="X4" i="11"/>
  <c r="Y9" i="11" l="1"/>
  <c r="T32" i="11"/>
  <c r="Q32" i="11"/>
  <c r="S32" i="11" s="1"/>
  <c r="Q27" i="11"/>
  <c r="L23" i="11"/>
  <c r="I27" i="11"/>
  <c r="J27" i="11"/>
  <c r="J29" i="11"/>
  <c r="J31" i="11"/>
  <c r="K31" i="11" s="1"/>
  <c r="I33" i="11" l="1"/>
  <c r="J33" i="11" s="1"/>
  <c r="L33" i="11"/>
  <c r="M33" i="11"/>
  <c r="K27" i="11"/>
  <c r="L27" i="11" s="1"/>
  <c r="M27" i="11" s="1"/>
  <c r="M29" i="11" s="1"/>
  <c r="R27" i="11"/>
  <c r="R29" i="11"/>
  <c r="S29" i="11"/>
  <c r="J23" i="11"/>
  <c r="K33" i="11" l="1"/>
  <c r="K25" i="11"/>
  <c r="L25" i="11" s="1"/>
  <c r="M25" i="11" s="1"/>
  <c r="E8" i="11"/>
  <c r="R20" i="11"/>
  <c r="Q20" i="11"/>
  <c r="R23" i="11" s="1"/>
  <c r="R24" i="11" s="1"/>
  <c r="Q22" i="11" l="1"/>
  <c r="Q23" i="11"/>
  <c r="Q24" i="11" s="1"/>
  <c r="R22" i="11"/>
  <c r="J2" i="11"/>
  <c r="E10" i="11" l="1"/>
  <c r="Q15" i="11"/>
  <c r="R15" i="11" s="1"/>
  <c r="Q12" i="11"/>
  <c r="Q11" i="11"/>
  <c r="S15" i="11" l="1"/>
  <c r="R8" i="11"/>
  <c r="R7" i="11"/>
  <c r="R4" i="11"/>
  <c r="R3" i="11"/>
  <c r="R5" i="11" s="1"/>
  <c r="I23" i="11"/>
  <c r="I21" i="11"/>
  <c r="J21" i="11" s="1"/>
  <c r="L21" i="11" s="1"/>
  <c r="I18" i="11"/>
  <c r="K21" i="11" l="1"/>
  <c r="J15" i="11"/>
  <c r="L4" i="11"/>
  <c r="L5" i="11"/>
  <c r="J4" i="11"/>
  <c r="D3" i="11"/>
  <c r="D2" i="11"/>
  <c r="D4" i="11"/>
  <c r="F2" i="11" l="1"/>
  <c r="C4" i="11" s="1"/>
  <c r="L15" i="11"/>
  <c r="K15" i="11"/>
  <c r="M15" i="11" s="1"/>
  <c r="C3" i="11" l="1"/>
  <c r="C2" i="11"/>
  <c r="F3" i="11" l="1"/>
  <c r="F4" i="11" s="1"/>
  <c r="K17" i="6"/>
  <c r="J3" i="11" l="1"/>
  <c r="J9" i="11"/>
  <c r="K9" i="11" s="1"/>
  <c r="G21" i="1"/>
  <c r="I11" i="11" l="1"/>
  <c r="J11" i="11" s="1"/>
  <c r="L11" i="11" s="1"/>
  <c r="J7" i="11"/>
  <c r="L9" i="1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K11" i="11" l="1"/>
  <c r="B2" i="1"/>
  <c r="G6" i="1"/>
  <c r="H4" i="1"/>
  <c r="G4" i="1"/>
  <c r="F4" i="1"/>
  <c r="E4" i="1"/>
  <c r="E10" i="1" s="1"/>
  <c r="I16" i="1"/>
  <c r="H16" i="1"/>
  <c r="G18" i="1" s="1"/>
  <c r="G16" i="1"/>
  <c r="E16" i="1"/>
  <c r="G24" i="1" l="1"/>
  <c r="B1" i="9" l="1"/>
  <c r="A1" i="9"/>
  <c r="AF8" i="9"/>
  <c r="AF7" i="9"/>
  <c r="AG36" i="9"/>
  <c r="AH36" i="9"/>
  <c r="I19" i="9" l="1"/>
  <c r="I20" i="9"/>
  <c r="G26" i="9"/>
  <c r="G19" i="9"/>
  <c r="G17" i="9" l="1"/>
  <c r="H17" i="9" s="1"/>
  <c r="G24" i="9"/>
  <c r="H24" i="9" s="1"/>
  <c r="H26" i="9" s="1"/>
  <c r="H28" i="9" s="1"/>
  <c r="G31" i="9" l="1"/>
  <c r="G32" i="9"/>
  <c r="F32" i="9"/>
  <c r="E32" i="9"/>
  <c r="G28" i="9"/>
  <c r="D2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E2" i="10" l="1"/>
  <c r="H3" i="10"/>
  <c r="H10" i="9" l="1"/>
  <c r="M22" i="9" l="1"/>
  <c r="M13" i="9"/>
  <c r="M21" i="9"/>
  <c r="O21" i="9" s="1"/>
  <c r="L21" i="9"/>
  <c r="N21" i="9" s="1"/>
  <c r="E5" i="9"/>
  <c r="F12" i="9" s="1"/>
  <c r="L17" i="9" l="1"/>
  <c r="M17" i="9"/>
  <c r="M24" i="9"/>
  <c r="L24" i="9"/>
  <c r="L8" i="9" l="1"/>
  <c r="E31" i="9" l="1"/>
  <c r="F31" i="9"/>
  <c r="H19" i="9"/>
  <c r="G21" i="9" s="1"/>
  <c r="C5" i="10"/>
  <c r="C6" i="10"/>
  <c r="C7" i="10"/>
  <c r="C8" i="10"/>
  <c r="C9" i="10"/>
  <c r="C4" i="10"/>
  <c r="B1" i="10"/>
  <c r="A1" i="10"/>
  <c r="E3" i="10" s="1"/>
  <c r="N8" i="9"/>
  <c r="M8" i="9"/>
  <c r="H21" i="9" l="1"/>
  <c r="L13" i="9"/>
  <c r="O13" i="9" s="1"/>
  <c r="D6" i="10"/>
  <c r="E6" i="10"/>
  <c r="L11" i="9"/>
  <c r="M11" i="9" s="1"/>
  <c r="L15" i="9"/>
  <c r="F7" i="10" l="1"/>
  <c r="F10" i="10" s="1"/>
  <c r="O11" i="9"/>
  <c r="P13" i="9"/>
  <c r="L4" i="10"/>
  <c r="F6" i="10"/>
  <c r="N13" i="9"/>
  <c r="N11" i="9"/>
  <c r="P11" i="9" s="1"/>
  <c r="AG11" i="9"/>
  <c r="AG10" i="9"/>
  <c r="AG9" i="9"/>
  <c r="AG8" i="9"/>
  <c r="AG7" i="9"/>
  <c r="AG6" i="9"/>
  <c r="AG5" i="9"/>
  <c r="AG4" i="9"/>
  <c r="D10" i="10" l="1"/>
  <c r="E8" i="9"/>
  <c r="AH6" i="9" s="1"/>
  <c r="AH14" i="9" l="1"/>
  <c r="AH13" i="9"/>
  <c r="AH15" i="9"/>
  <c r="AH12" i="9"/>
  <c r="AH9" i="9"/>
  <c r="AH11" i="9"/>
  <c r="AH10" i="9"/>
  <c r="AH8" i="9"/>
  <c r="AH4" i="9"/>
  <c r="AH7" i="9"/>
  <c r="AH5" i="9"/>
  <c r="F8" i="9" l="1"/>
  <c r="G8" i="9" s="1"/>
  <c r="G3" i="9" s="1"/>
  <c r="F13" i="9" l="1"/>
  <c r="F14" i="9" s="1"/>
  <c r="G14" i="9" s="1"/>
  <c r="H14" i="9" s="1"/>
  <c r="E10" i="9"/>
  <c r="H3" i="9"/>
  <c r="L8" i="6"/>
  <c r="G12" i="9" l="1"/>
  <c r="H12" i="9"/>
  <c r="G10" i="9"/>
  <c r="F10" i="9"/>
  <c r="K27" i="6"/>
  <c r="K25" i="6" s="1"/>
  <c r="L25" i="6" s="1"/>
  <c r="M25" i="6" s="1"/>
  <c r="L12" i="6"/>
  <c r="K12" i="6"/>
  <c r="K8" i="6"/>
  <c r="M8" i="6" s="1"/>
  <c r="L6" i="6"/>
  <c r="O8" i="6" s="1"/>
  <c r="K6" i="6"/>
  <c r="K19" i="6"/>
  <c r="K21" i="6" s="1"/>
  <c r="L17" i="6"/>
  <c r="M12" i="6" l="1"/>
  <c r="N12" i="6"/>
  <c r="M6" i="6"/>
  <c r="N6" i="6" s="1"/>
  <c r="O6" i="6" s="1"/>
  <c r="M2" i="6" l="1"/>
  <c r="L2" i="6" l="1"/>
  <c r="E10" i="6"/>
  <c r="E11" i="6"/>
  <c r="E7" i="6"/>
  <c r="E8" i="6"/>
  <c r="E9" i="6"/>
  <c r="E3" i="6"/>
  <c r="E4" i="6"/>
  <c r="E5" i="6"/>
  <c r="E6" i="6"/>
  <c r="E2" i="6"/>
  <c r="G2" i="6" l="1"/>
  <c r="T11" i="1"/>
  <c r="Q12" i="1"/>
  <c r="Q13" i="1"/>
  <c r="Q14" i="1"/>
  <c r="Q15" i="1"/>
  <c r="Q16" i="1"/>
  <c r="Q17" i="1"/>
  <c r="Q18" i="1"/>
  <c r="Q19" i="1"/>
  <c r="Q20" i="1"/>
  <c r="Q21" i="1"/>
  <c r="Q22" i="1"/>
  <c r="Q23" i="1"/>
  <c r="D3" i="6" l="1"/>
  <c r="D2" i="6"/>
  <c r="D9" i="6"/>
  <c r="D6" i="6"/>
  <c r="D10" i="6"/>
  <c r="D8" i="6"/>
  <c r="D4" i="6"/>
  <c r="D7" i="6"/>
  <c r="D11" i="6"/>
  <c r="D5" i="6"/>
  <c r="B1" i="4"/>
  <c r="B14" i="5"/>
  <c r="C11" i="5" s="1"/>
  <c r="G3" i="6" l="1"/>
  <c r="G4" i="6" s="1"/>
  <c r="C10" i="5"/>
  <c r="C8" i="5"/>
  <c r="D8" i="5" s="1"/>
  <c r="C9" i="5"/>
  <c r="C7" i="5"/>
  <c r="C6" i="5"/>
  <c r="C5" i="5"/>
  <c r="D5" i="5" s="1"/>
  <c r="C4" i="5"/>
  <c r="C13" i="5"/>
  <c r="C12" i="5"/>
  <c r="D12" i="5" s="1"/>
  <c r="H18" i="1"/>
  <c r="D7" i="5"/>
  <c r="D13" i="5"/>
  <c r="D6" i="5"/>
  <c r="D4" i="5"/>
  <c r="D9" i="5"/>
  <c r="D10" i="5"/>
  <c r="D11" i="5"/>
  <c r="I18" i="1" l="1"/>
  <c r="E1" i="4"/>
  <c r="C1" i="4"/>
  <c r="D1" i="4"/>
  <c r="F1" i="4"/>
  <c r="G1" i="4"/>
  <c r="H1" i="4"/>
  <c r="H6" i="1" l="1"/>
  <c r="F6" i="1"/>
  <c r="E24" i="1" l="1"/>
  <c r="E25" i="1" l="1"/>
  <c r="E26" i="1" s="1"/>
  <c r="F18" i="1" s="1"/>
  <c r="R26" i="1" l="1"/>
  <c r="Q5" i="1"/>
  <c r="F12" i="1" l="1"/>
  <c r="R24" i="1"/>
  <c r="R25" i="1"/>
  <c r="R5" i="1"/>
  <c r="R19" i="1"/>
  <c r="R6" i="1" l="1"/>
  <c r="Q6" i="1"/>
  <c r="R13" i="1"/>
  <c r="R20" i="1"/>
  <c r="R14" i="1"/>
  <c r="R8" i="1" l="1"/>
  <c r="Q7" i="1"/>
  <c r="R7" i="1"/>
  <c r="R21" i="1"/>
  <c r="R15" i="1"/>
  <c r="R12" i="1"/>
  <c r="Q8" i="1" l="1"/>
  <c r="R23" i="1"/>
  <c r="R22" i="1"/>
  <c r="R16" i="1"/>
  <c r="Q9" i="1" l="1"/>
  <c r="R9" i="1"/>
  <c r="R18" i="1"/>
  <c r="R17" i="1"/>
  <c r="Q10" i="1" l="1"/>
  <c r="R10" i="1"/>
  <c r="R11" i="1" l="1"/>
  <c r="Q11" i="1"/>
  <c r="T10" i="1" s="1"/>
  <c r="R4" i="1" l="1"/>
  <c r="S4" i="1"/>
  <c r="T9" i="1"/>
  <c r="S6" i="1" s="1"/>
  <c r="V7" i="9" l="1"/>
  <c r="W7" i="9" s="1"/>
  <c r="X7" i="9" l="1"/>
  <c r="Y7" i="9"/>
</calcChain>
</file>

<file path=xl/sharedStrings.xml><?xml version="1.0" encoding="utf-8"?>
<sst xmlns="http://schemas.openxmlformats.org/spreadsheetml/2006/main" count="358" uniqueCount="178">
  <si>
    <t>Mean</t>
  </si>
  <si>
    <t>Median</t>
  </si>
  <si>
    <t>Std. Dev.</t>
  </si>
  <si>
    <t>List A</t>
  </si>
  <si>
    <t>List B</t>
  </si>
  <si>
    <t>x</t>
  </si>
  <si>
    <t>Freq</t>
  </si>
  <si>
    <t>LO</t>
  </si>
  <si>
    <t>HI</t>
  </si>
  <si>
    <t>Variance</t>
  </si>
  <si>
    <t>d</t>
  </si>
  <si>
    <t>(d-d)^2</t>
  </si>
  <si>
    <t>Freq.</t>
  </si>
  <si>
    <t>Opinion Regarding Divorce</t>
  </si>
  <si>
    <t>Response</t>
  </si>
  <si>
    <t>Percent</t>
  </si>
  <si>
    <t>Depends on situation</t>
  </si>
  <si>
    <t>Morally wrong</t>
  </si>
  <si>
    <t>Morally acceptable</t>
  </si>
  <si>
    <t>Relative</t>
  </si>
  <si>
    <t>A</t>
  </si>
  <si>
    <t>AB</t>
  </si>
  <si>
    <t>B</t>
  </si>
  <si>
    <t>O</t>
  </si>
  <si>
    <t>CV</t>
  </si>
  <si>
    <t>Min</t>
  </si>
  <si>
    <t>MAX</t>
  </si>
  <si>
    <t>Sum</t>
  </si>
  <si>
    <t>Percentile</t>
  </si>
  <si>
    <t>k</t>
  </si>
  <si>
    <t>X</t>
  </si>
  <si>
    <r>
      <t>P</t>
    </r>
    <r>
      <rPr>
        <b/>
        <sz val="12"/>
        <color theme="1"/>
        <rFont val="Times New Roman"/>
        <family val="1"/>
      </rPr>
      <t>(</t>
    </r>
    <r>
      <rPr>
        <b/>
        <i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>)</t>
    </r>
  </si>
  <si>
    <t>mean</t>
  </si>
  <si>
    <t>std Dev.</t>
  </si>
  <si>
    <t>r =</t>
  </si>
  <si>
    <t>n =</t>
  </si>
  <si>
    <t>Permutation</t>
  </si>
  <si>
    <t>Combination</t>
  </si>
  <si>
    <t>Factorial n</t>
  </si>
  <si>
    <t>x =</t>
  </si>
  <si>
    <t>p =</t>
  </si>
  <si>
    <r>
      <rPr>
        <b/>
        <i/>
        <sz val="12"/>
        <color theme="1"/>
        <rFont val="Symbol"/>
        <family val="1"/>
        <charset val="2"/>
      </rPr>
      <t>m</t>
    </r>
    <r>
      <rPr>
        <b/>
        <i/>
        <sz val="12"/>
        <color theme="1"/>
        <rFont val="Times New Roman"/>
        <family val="1"/>
      </rPr>
      <t xml:space="preserve"> =</t>
    </r>
  </si>
  <si>
    <r>
      <rPr>
        <b/>
        <i/>
        <sz val="12"/>
        <color theme="1"/>
        <rFont val="Symbol"/>
        <family val="1"/>
        <charset val="2"/>
      </rPr>
      <t>s</t>
    </r>
    <r>
      <rPr>
        <b/>
        <i/>
        <sz val="12"/>
        <color theme="1"/>
        <rFont val="Times New Roman"/>
        <family val="1"/>
      </rPr>
      <t xml:space="preserve"> =</t>
    </r>
  </si>
  <si>
    <t>z - score</t>
  </si>
  <si>
    <r>
      <t>P</t>
    </r>
    <r>
      <rPr>
        <b/>
        <sz val="12"/>
        <color theme="1"/>
        <rFont val="Times New Roman"/>
        <family val="1"/>
      </rPr>
      <t>(</t>
    </r>
    <r>
      <rPr>
        <b/>
        <i/>
        <sz val="12"/>
        <color theme="1"/>
        <rFont val="Times New Roman"/>
        <family val="1"/>
      </rPr>
      <t>z</t>
    </r>
    <r>
      <rPr>
        <b/>
        <sz val="12"/>
        <color theme="1"/>
        <rFont val="Times New Roman"/>
        <family val="1"/>
      </rPr>
      <t>)</t>
    </r>
  </si>
  <si>
    <t>Variation</t>
  </si>
  <si>
    <t>a</t>
  </si>
  <si>
    <t>b</t>
  </si>
  <si>
    <t>y = a + bx</t>
  </si>
  <si>
    <r>
      <t>P</t>
    </r>
    <r>
      <rPr>
        <b/>
        <sz val="12"/>
        <color theme="1"/>
        <rFont val="Times New Roman"/>
        <family val="1"/>
      </rPr>
      <t xml:space="preserve">(=&gt; </t>
    </r>
    <r>
      <rPr>
        <b/>
        <i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>)</t>
    </r>
  </si>
  <si>
    <t xml:space="preserve">z = </t>
  </si>
  <si>
    <r>
      <rPr>
        <b/>
        <sz val="12"/>
        <color theme="1"/>
        <rFont val="Times New Roman"/>
        <family val="1"/>
      </rPr>
      <t>1 -</t>
    </r>
    <r>
      <rPr>
        <b/>
        <i/>
        <sz val="12"/>
        <color theme="1"/>
        <rFont val="Times New Roman"/>
        <family val="1"/>
      </rPr>
      <t xml:space="preserve"> P</t>
    </r>
    <r>
      <rPr>
        <b/>
        <sz val="12"/>
        <color theme="1"/>
        <rFont val="Times New Roman"/>
        <family val="1"/>
      </rPr>
      <t>(</t>
    </r>
    <r>
      <rPr>
        <b/>
        <i/>
        <sz val="12"/>
        <color theme="1"/>
        <rFont val="Times New Roman"/>
        <family val="1"/>
      </rPr>
      <t>z</t>
    </r>
    <r>
      <rPr>
        <b/>
        <sz val="12"/>
        <color theme="1"/>
        <rFont val="Times New Roman"/>
        <family val="1"/>
      </rPr>
      <t>)</t>
    </r>
  </si>
  <si>
    <t xml:space="preserve">n = </t>
  </si>
  <si>
    <r>
      <rPr>
        <b/>
        <i/>
        <sz val="12"/>
        <color theme="1"/>
        <rFont val="Symbol"/>
        <family val="1"/>
        <charset val="2"/>
      </rPr>
      <t>s</t>
    </r>
    <r>
      <rPr>
        <b/>
        <i/>
        <sz val="12"/>
        <color theme="1"/>
        <rFont val="Times New Roman"/>
        <family val="1"/>
      </rPr>
      <t>x</t>
    </r>
  </si>
  <si>
    <t xml:space="preserve">A = </t>
  </si>
  <si>
    <t xml:space="preserve">B = </t>
  </si>
  <si>
    <t>Confidence</t>
  </si>
  <si>
    <r>
      <t>P</t>
    </r>
    <r>
      <rPr>
        <b/>
        <sz val="12"/>
        <color theme="1"/>
        <rFont val="Times New Roman"/>
        <family val="1"/>
      </rPr>
      <t xml:space="preserve"> </t>
    </r>
    <r>
      <rPr>
        <b/>
        <i/>
        <sz val="12"/>
        <color theme="1"/>
        <rFont val="Times New Roman"/>
        <family val="1"/>
      </rPr>
      <t>=</t>
    </r>
  </si>
  <si>
    <r>
      <t>z(α/</t>
    </r>
    <r>
      <rPr>
        <b/>
        <sz val="12"/>
        <color theme="1"/>
        <rFont val="Times New Roman"/>
        <family val="1"/>
      </rPr>
      <t xml:space="preserve">2) </t>
    </r>
    <r>
      <rPr>
        <b/>
        <i/>
        <sz val="12"/>
        <color theme="1"/>
        <rFont val="Times New Roman"/>
        <family val="1"/>
      </rPr>
      <t>=</t>
    </r>
  </si>
  <si>
    <t>E</t>
  </si>
  <si>
    <r>
      <t xml:space="preserve"> </t>
    </r>
    <r>
      <rPr>
        <b/>
        <i/>
        <sz val="12"/>
        <color theme="1"/>
        <rFont val="Times New Roman"/>
        <family val="1"/>
      </rPr>
      <t>n</t>
    </r>
    <r>
      <rPr>
        <b/>
        <sz val="12"/>
        <color theme="1"/>
        <rFont val="Times New Roman"/>
        <family val="1"/>
      </rPr>
      <t xml:space="preserve"> = </t>
    </r>
  </si>
  <si>
    <t xml:space="preserve">t = </t>
  </si>
  <si>
    <t>s =</t>
  </si>
  <si>
    <r>
      <t xml:space="preserve"> </t>
    </r>
    <r>
      <rPr>
        <b/>
        <i/>
        <sz val="12"/>
        <color theme="1"/>
        <rFont val="Times New Roman"/>
        <family val="1"/>
      </rPr>
      <t>E</t>
    </r>
    <r>
      <rPr>
        <b/>
        <sz val="12"/>
        <color theme="1"/>
        <rFont val="Times New Roman"/>
        <family val="1"/>
      </rPr>
      <t xml:space="preserve"> = </t>
    </r>
  </si>
  <si>
    <t>E-mean</t>
  </si>
  <si>
    <t>P-Value</t>
  </si>
  <si>
    <t>Left</t>
  </si>
  <si>
    <t>Right</t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</si>
  <si>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4"/>
        <color theme="1"/>
        <rFont val="Times New Roman"/>
        <family val="1"/>
      </rPr>
      <t xml:space="preserve"> = </t>
    </r>
  </si>
  <si>
    <r>
      <t xml:space="preserve">s </t>
    </r>
    <r>
      <rPr>
        <b/>
        <sz val="14"/>
        <color theme="1"/>
        <rFont val="Times New Roman"/>
        <family val="1"/>
      </rPr>
      <t>=</t>
    </r>
  </si>
  <si>
    <r>
      <rPr>
        <b/>
        <sz val="12"/>
        <color theme="1"/>
        <rFont val="Times New Roman"/>
        <family val="1"/>
      </rPr>
      <t>α</t>
    </r>
    <r>
      <rPr>
        <b/>
        <i/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/ 2</t>
    </r>
    <r>
      <rPr>
        <b/>
        <i/>
        <sz val="12"/>
        <color theme="1"/>
        <rFont val="Times New Roman"/>
        <family val="1"/>
      </rPr>
      <t xml:space="preserve"> = </t>
    </r>
  </si>
  <si>
    <r>
      <t xml:space="preserve"> </t>
    </r>
    <r>
      <rPr>
        <b/>
        <i/>
        <sz val="13"/>
        <color theme="1"/>
        <rFont val="Times New Roman"/>
        <family val="1"/>
      </rPr>
      <t>t</t>
    </r>
    <r>
      <rPr>
        <b/>
        <sz val="11"/>
        <color theme="1"/>
        <rFont val="Times New Roman"/>
        <family val="1"/>
      </rPr>
      <t>(</t>
    </r>
    <r>
      <rPr>
        <b/>
        <i/>
        <sz val="11"/>
        <color theme="1"/>
        <rFont val="Times New Roman"/>
        <family val="1"/>
      </rPr>
      <t>a</t>
    </r>
    <r>
      <rPr>
        <b/>
        <sz val="11"/>
        <color theme="1"/>
        <rFont val="Times New Roman"/>
        <family val="1"/>
      </rPr>
      <t>/2)</t>
    </r>
    <r>
      <rPr>
        <b/>
        <sz val="13"/>
        <color theme="1"/>
        <rFont val="Times New Roman"/>
        <family val="1"/>
      </rPr>
      <t xml:space="preserve"> = </t>
    </r>
  </si>
  <si>
    <r>
      <t xml:space="preserve"> </t>
    </r>
    <r>
      <rPr>
        <b/>
        <i/>
        <sz val="14"/>
        <color rgb="FFFF0000"/>
        <rFont val="Times New Roman"/>
        <family val="1"/>
      </rPr>
      <t>n</t>
    </r>
    <r>
      <rPr>
        <b/>
        <sz val="14"/>
        <color rgb="FFFF0000"/>
        <rFont val="Times New Roman"/>
        <family val="1"/>
      </rPr>
      <t xml:space="preserve"> = </t>
    </r>
  </si>
  <si>
    <r>
      <t>d</t>
    </r>
    <r>
      <rPr>
        <b/>
        <i/>
        <sz val="12"/>
        <color theme="1"/>
        <rFont val="Times New Roman"/>
        <family val="1"/>
      </rPr>
      <t>f</t>
    </r>
    <r>
      <rPr>
        <b/>
        <sz val="12"/>
        <color theme="1"/>
        <rFont val="Times New Roman"/>
        <family val="1"/>
      </rPr>
      <t xml:space="preserve"> = </t>
    </r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</si>
  <si>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4"/>
        <color theme="1"/>
        <rFont val="Times New Roman"/>
        <family val="1"/>
      </rPr>
      <t xml:space="preserve">2 = </t>
    </r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</si>
  <si>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4"/>
        <color theme="1"/>
        <rFont val="Times New Roman"/>
        <family val="1"/>
      </rPr>
      <t xml:space="preserve">1 = </t>
    </r>
  </si>
  <si>
    <r>
      <t xml:space="preserve"> </t>
    </r>
    <r>
      <rPr>
        <b/>
        <i/>
        <sz val="14"/>
        <color theme="1"/>
        <rFont val="Times New Roman"/>
        <family val="1"/>
      </rPr>
      <t>x</t>
    </r>
    <r>
      <rPr>
        <b/>
        <sz val="14"/>
        <color theme="1"/>
        <rFont val="Times New Roman"/>
        <family val="1"/>
      </rPr>
      <t xml:space="preserve">1 = </t>
    </r>
  </si>
  <si>
    <r>
      <t xml:space="preserve"> </t>
    </r>
    <r>
      <rPr>
        <b/>
        <i/>
        <sz val="14"/>
        <color theme="1"/>
        <rFont val="Times New Roman"/>
        <family val="1"/>
      </rPr>
      <t>x</t>
    </r>
    <r>
      <rPr>
        <b/>
        <sz val="14"/>
        <color theme="1"/>
        <rFont val="Times New Roman"/>
        <family val="1"/>
      </rPr>
      <t xml:space="preserve">2 = </t>
    </r>
  </si>
  <si>
    <t>E =</t>
  </si>
  <si>
    <r>
      <rPr>
        <b/>
        <i/>
        <sz val="14"/>
        <color theme="1"/>
        <rFont val="Times New Roman"/>
        <family val="1"/>
      </rPr>
      <t>z</t>
    </r>
    <r>
      <rPr>
        <sz val="10"/>
        <color theme="1"/>
        <rFont val="Times New Roman"/>
        <family val="1"/>
      </rPr>
      <t>0</t>
    </r>
    <r>
      <rPr>
        <b/>
        <i/>
        <sz val="12"/>
        <color theme="1"/>
        <rFont val="Times New Roman"/>
        <family val="1"/>
      </rPr>
      <t xml:space="preserve"> =</t>
    </r>
  </si>
  <si>
    <r>
      <rPr>
        <b/>
        <i/>
        <sz val="14"/>
        <color theme="1"/>
        <rFont val="Times New Roman"/>
        <family val="1"/>
      </rPr>
      <t>z</t>
    </r>
    <r>
      <rPr>
        <i/>
        <sz val="11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 xml:space="preserve">/2 </t>
    </r>
    <r>
      <rPr>
        <b/>
        <i/>
        <sz val="12"/>
        <color theme="1"/>
        <rFont val="Times New Roman"/>
        <family val="1"/>
      </rPr>
      <t>=</t>
    </r>
  </si>
  <si>
    <r>
      <rPr>
        <b/>
        <i/>
        <sz val="14"/>
        <color theme="1"/>
        <rFont val="Times New Roman"/>
        <family val="1"/>
      </rPr>
      <t>E</t>
    </r>
    <r>
      <rPr>
        <b/>
        <sz val="14"/>
        <color theme="1"/>
        <rFont val="Times New Roman"/>
        <family val="1"/>
      </rPr>
      <t xml:space="preserve"> =</t>
    </r>
  </si>
  <si>
    <r>
      <rPr>
        <b/>
        <i/>
        <sz val="14"/>
        <color theme="1"/>
        <rFont val="Times New Roman"/>
        <family val="1"/>
      </rPr>
      <t>c</t>
    </r>
    <r>
      <rPr>
        <b/>
        <sz val="14"/>
        <color theme="1"/>
        <rFont val="Times New Roman"/>
        <family val="1"/>
      </rPr>
      <t xml:space="preserve"> =</t>
    </r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</si>
  <si>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2"/>
        <color theme="1"/>
        <rFont val="Times New Roman"/>
        <family val="1"/>
      </rPr>
      <t>1</t>
    </r>
    <r>
      <rPr>
        <b/>
        <sz val="14"/>
        <color theme="1"/>
        <rFont val="Times New Roman"/>
        <family val="1"/>
      </rPr>
      <t xml:space="preserve"> = </t>
    </r>
  </si>
  <si>
    <r>
      <t>s</t>
    </r>
    <r>
      <rPr>
        <b/>
        <sz val="12"/>
        <color theme="1"/>
        <rFont val="Times New Roman"/>
        <family val="1"/>
      </rPr>
      <t>1</t>
    </r>
    <r>
      <rPr>
        <b/>
        <i/>
        <sz val="14"/>
        <color theme="1"/>
        <rFont val="Times New Roman"/>
        <family val="1"/>
      </rPr>
      <t xml:space="preserve"> </t>
    </r>
    <r>
      <rPr>
        <b/>
        <sz val="14"/>
        <color theme="1"/>
        <rFont val="Times New Roman"/>
        <family val="1"/>
      </rPr>
      <t>=</t>
    </r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</si>
  <si>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2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 xml:space="preserve"> = </t>
    </r>
  </si>
  <si>
    <r>
      <t>s</t>
    </r>
    <r>
      <rPr>
        <b/>
        <sz val="12"/>
        <color theme="1"/>
        <rFont val="Times New Roman"/>
        <family val="1"/>
      </rPr>
      <t>2</t>
    </r>
    <r>
      <rPr>
        <b/>
        <i/>
        <sz val="14"/>
        <color theme="1"/>
        <rFont val="Times New Roman"/>
        <family val="1"/>
      </rPr>
      <t xml:space="preserve"> </t>
    </r>
    <r>
      <rPr>
        <b/>
        <sz val="14"/>
        <color theme="1"/>
        <rFont val="Times New Roman"/>
        <family val="1"/>
      </rPr>
      <t>=</t>
    </r>
  </si>
  <si>
    <r>
      <t xml:space="preserve"> </t>
    </r>
    <r>
      <rPr>
        <b/>
        <i/>
        <sz val="13"/>
        <color theme="1"/>
        <rFont val="Times New Roman"/>
        <family val="1"/>
      </rPr>
      <t>t</t>
    </r>
    <r>
      <rPr>
        <b/>
        <sz val="13"/>
        <color theme="1"/>
        <rFont val="Times New Roman"/>
        <family val="1"/>
      </rPr>
      <t xml:space="preserve"> = </t>
    </r>
  </si>
  <si>
    <r>
      <rPr>
        <b/>
        <sz val="12"/>
        <color theme="1"/>
        <rFont val="Times New Roman"/>
        <family val="1"/>
      </rPr>
      <t xml:space="preserve">1 - </t>
    </r>
    <r>
      <rPr>
        <b/>
        <i/>
        <sz val="12"/>
        <color theme="1"/>
        <rFont val="Times New Roman"/>
        <family val="1"/>
      </rPr>
      <t>PVal</t>
    </r>
  </si>
  <si>
    <r>
      <t xml:space="preserve"> </t>
    </r>
    <r>
      <rPr>
        <b/>
        <i/>
        <sz val="13"/>
        <color theme="1"/>
        <rFont val="Times New Roman"/>
        <family val="1"/>
      </rPr>
      <t>t</t>
    </r>
    <r>
      <rPr>
        <b/>
        <sz val="11"/>
        <color theme="1"/>
        <rFont val="Times New Roman"/>
        <family val="1"/>
      </rPr>
      <t>(</t>
    </r>
    <r>
      <rPr>
        <b/>
        <i/>
        <sz val="11"/>
        <color theme="1"/>
        <rFont val="Times New Roman"/>
        <family val="1"/>
      </rPr>
      <t>a</t>
    </r>
    <r>
      <rPr>
        <b/>
        <sz val="11"/>
        <color theme="1"/>
        <rFont val="Times New Roman"/>
        <family val="1"/>
      </rPr>
      <t>/2)</t>
    </r>
    <r>
      <rPr>
        <b/>
        <sz val="13"/>
        <color theme="1"/>
        <rFont val="Times New Roman"/>
        <family val="1"/>
      </rPr>
      <t xml:space="preserve"> </t>
    </r>
  </si>
  <si>
    <t>t - Test</t>
  </si>
  <si>
    <r>
      <rPr>
        <b/>
        <i/>
        <sz val="14"/>
        <color theme="1"/>
        <rFont val="Times New Roman"/>
        <family val="1"/>
      </rPr>
      <t>r</t>
    </r>
    <r>
      <rPr>
        <b/>
        <i/>
        <sz val="12"/>
        <color theme="1"/>
        <rFont val="Times New Roman"/>
        <family val="1"/>
      </rPr>
      <t>-</t>
    </r>
    <r>
      <rPr>
        <b/>
        <i/>
        <sz val="10"/>
        <color theme="1"/>
        <rFont val="Times New Roman"/>
        <family val="1"/>
      </rPr>
      <t>Correlation</t>
    </r>
  </si>
  <si>
    <t>r - Critical</t>
  </si>
  <si>
    <r>
      <t xml:space="preserve">r - </t>
    </r>
    <r>
      <rPr>
        <b/>
        <i/>
        <sz val="11"/>
        <color theme="1"/>
        <rFont val="Times New Roman"/>
        <family val="1"/>
      </rPr>
      <t>Critical</t>
    </r>
  </si>
  <si>
    <t xml:space="preserve">x = </t>
  </si>
  <si>
    <t>Independent</t>
  </si>
  <si>
    <t>Dependent</t>
  </si>
  <si>
    <t>z-score</t>
  </si>
  <si>
    <r>
      <t>Q</t>
    </r>
    <r>
      <rPr>
        <b/>
        <sz val="11"/>
        <color theme="1"/>
        <rFont val="Calibri"/>
        <family val="2"/>
        <scheme val="minor"/>
      </rPr>
      <t>1</t>
    </r>
  </si>
  <si>
    <r>
      <t>Q</t>
    </r>
    <r>
      <rPr>
        <b/>
        <sz val="11"/>
        <color theme="1"/>
        <rFont val="Calibri"/>
        <family val="2"/>
        <scheme val="minor"/>
      </rPr>
      <t>2</t>
    </r>
  </si>
  <si>
    <r>
      <t>Q</t>
    </r>
    <r>
      <rPr>
        <b/>
        <sz val="11"/>
        <color theme="1"/>
        <rFont val="Calibri"/>
        <family val="2"/>
        <scheme val="minor"/>
      </rPr>
      <t>3</t>
    </r>
  </si>
  <si>
    <t>IQR</t>
  </si>
  <si>
    <t>Lower</t>
  </si>
  <si>
    <t>Upper</t>
  </si>
  <si>
    <r>
      <t>P</t>
    </r>
    <r>
      <rPr>
        <b/>
        <sz val="12"/>
        <color theme="1"/>
        <rFont val="Times New Roman"/>
        <family val="1"/>
      </rPr>
      <t xml:space="preserve">(&lt;= </t>
    </r>
    <r>
      <rPr>
        <b/>
        <i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>)</t>
    </r>
  </si>
  <si>
    <t>P(X&lt;)</t>
  </si>
  <si>
    <r>
      <t>x</t>
    </r>
    <r>
      <rPr>
        <b/>
        <sz val="12"/>
        <color rgb="FFFF0000"/>
        <rFont val="Times New Roman"/>
        <family val="1"/>
      </rPr>
      <t xml:space="preserve">2 </t>
    </r>
    <r>
      <rPr>
        <b/>
        <i/>
        <sz val="12"/>
        <color theme="1"/>
        <rFont val="Times New Roman"/>
        <family val="1"/>
      </rPr>
      <t>=</t>
    </r>
  </si>
  <si>
    <t>P(&lt;X&lt;)</t>
  </si>
  <si>
    <r>
      <rPr>
        <b/>
        <i/>
        <sz val="14"/>
        <rFont val="Calibri"/>
        <family val="2"/>
        <scheme val="minor"/>
      </rPr>
      <t>x</t>
    </r>
    <r>
      <rPr>
        <b/>
        <sz val="14"/>
        <rFont val="Calibri"/>
        <family val="2"/>
        <scheme val="minor"/>
      </rPr>
      <t xml:space="preserve"> =</t>
    </r>
  </si>
  <si>
    <r>
      <rPr>
        <b/>
        <i/>
        <sz val="14"/>
        <rFont val="Times New Roman"/>
        <family val="1"/>
      </rPr>
      <t>x</t>
    </r>
    <r>
      <rPr>
        <b/>
        <sz val="14"/>
        <rFont val="Times New Roman"/>
        <family val="1"/>
      </rPr>
      <t xml:space="preserve"> = </t>
    </r>
  </si>
  <si>
    <r>
      <rPr>
        <b/>
        <i/>
        <sz val="12"/>
        <color theme="1"/>
        <rFont val="Symbol"/>
        <family val="1"/>
        <charset val="2"/>
      </rPr>
      <t>m</t>
    </r>
    <r>
      <rPr>
        <b/>
        <i/>
        <sz val="12"/>
        <color theme="1"/>
        <rFont val="Times New Roman"/>
        <family val="1"/>
      </rPr>
      <t>x</t>
    </r>
  </si>
  <si>
    <r>
      <rPr>
        <b/>
        <i/>
        <sz val="12"/>
        <color theme="1"/>
        <rFont val="Symbol"/>
        <family val="1"/>
        <charset val="2"/>
      </rPr>
      <t>s</t>
    </r>
    <r>
      <rPr>
        <b/>
        <i/>
        <sz val="12"/>
        <color theme="1"/>
        <rFont val="Times New Roman"/>
        <family val="1"/>
      </rPr>
      <t>x =</t>
    </r>
  </si>
  <si>
    <r>
      <rPr>
        <b/>
        <i/>
        <sz val="12"/>
        <color rgb="FFFF0000"/>
        <rFont val="Symbol"/>
        <family val="1"/>
        <charset val="2"/>
      </rPr>
      <t>s</t>
    </r>
    <r>
      <rPr>
        <b/>
        <i/>
        <sz val="12"/>
        <color rgb="FFFF0000"/>
        <rFont val="Times New Roman"/>
        <family val="1"/>
      </rPr>
      <t>x</t>
    </r>
  </si>
  <si>
    <r>
      <t>P</t>
    </r>
    <r>
      <rPr>
        <b/>
        <sz val="12"/>
        <color theme="9" tint="-0.249977111117893"/>
        <rFont val="Times New Roman"/>
        <family val="1"/>
      </rPr>
      <t>(</t>
    </r>
    <r>
      <rPr>
        <b/>
        <i/>
        <sz val="12"/>
        <color theme="9" tint="-0.249977111117893"/>
        <rFont val="Times New Roman"/>
        <family val="1"/>
      </rPr>
      <t>z</t>
    </r>
    <r>
      <rPr>
        <b/>
        <sz val="12"/>
        <color theme="9" tint="-0.249977111117893"/>
        <rFont val="Times New Roman"/>
        <family val="1"/>
      </rPr>
      <t>)</t>
    </r>
  </si>
  <si>
    <r>
      <rPr>
        <b/>
        <sz val="12"/>
        <color theme="9" tint="-0.249977111117893"/>
        <rFont val="Times New Roman"/>
        <family val="1"/>
      </rPr>
      <t>1 -</t>
    </r>
    <r>
      <rPr>
        <b/>
        <i/>
        <sz val="12"/>
        <color theme="9" tint="-0.249977111117893"/>
        <rFont val="Times New Roman"/>
        <family val="1"/>
      </rPr>
      <t xml:space="preserve"> P</t>
    </r>
    <r>
      <rPr>
        <b/>
        <sz val="12"/>
        <color theme="9" tint="-0.249977111117893"/>
        <rFont val="Times New Roman"/>
        <family val="1"/>
      </rPr>
      <t>(</t>
    </r>
    <r>
      <rPr>
        <b/>
        <i/>
        <sz val="12"/>
        <color theme="9" tint="-0.249977111117893"/>
        <rFont val="Times New Roman"/>
        <family val="1"/>
      </rPr>
      <t>z</t>
    </r>
    <r>
      <rPr>
        <b/>
        <sz val="12"/>
        <color theme="9" tint="-0.249977111117893"/>
        <rFont val="Times New Roman"/>
        <family val="1"/>
      </rPr>
      <t>)</t>
    </r>
  </si>
  <si>
    <t xml:space="preserve">p = </t>
  </si>
  <si>
    <t xml:space="preserve">N = </t>
  </si>
  <si>
    <t>np(1-p)</t>
  </si>
  <si>
    <t>n/N</t>
  </si>
  <si>
    <r>
      <rPr>
        <b/>
        <i/>
        <sz val="11"/>
        <rFont val="Times New Roman"/>
        <family val="1"/>
      </rPr>
      <t xml:space="preserve">E </t>
    </r>
    <r>
      <rPr>
        <b/>
        <sz val="11"/>
        <rFont val="Times New Roman"/>
        <family val="1"/>
      </rPr>
      <t>=</t>
    </r>
  </si>
  <si>
    <t>np^(1-p^)</t>
  </si>
  <si>
    <r>
      <t xml:space="preserve"> </t>
    </r>
    <r>
      <rPr>
        <b/>
        <i/>
        <sz val="14"/>
        <rFont val="Times New Roman"/>
        <family val="1"/>
      </rPr>
      <t>n</t>
    </r>
    <r>
      <rPr>
        <sz val="11"/>
        <rFont val="Times New Roman"/>
        <family val="1"/>
      </rPr>
      <t xml:space="preserve">(no p) </t>
    </r>
  </si>
  <si>
    <t xml:space="preserve">df = </t>
  </si>
  <si>
    <t>t-value</t>
  </si>
  <si>
    <t>List</t>
  </si>
  <si>
    <t>S =</t>
  </si>
  <si>
    <t>confidence</t>
  </si>
  <si>
    <r>
      <t>s^</t>
    </r>
    <r>
      <rPr>
        <b/>
        <sz val="12"/>
        <color theme="1"/>
        <rFont val="Times New Roman"/>
        <family val="1"/>
      </rPr>
      <t xml:space="preserve">2 </t>
    </r>
    <r>
      <rPr>
        <b/>
        <i/>
        <sz val="12"/>
        <color theme="1"/>
        <rFont val="Times New Roman"/>
        <family val="1"/>
      </rPr>
      <t>=</t>
    </r>
  </si>
  <si>
    <t xml:space="preserve">s = </t>
  </si>
  <si>
    <r>
      <rPr>
        <b/>
        <sz val="11"/>
        <color rgb="FFFF0000"/>
        <rFont val="Times New Roman"/>
        <family val="1"/>
      </rPr>
      <t>2-</t>
    </r>
    <r>
      <rPr>
        <b/>
        <i/>
        <sz val="11"/>
        <color rgb="FFFF0000"/>
        <rFont val="Times New Roman"/>
        <family val="1"/>
      </rPr>
      <t>Tail</t>
    </r>
  </si>
  <si>
    <r>
      <t xml:space="preserve">z - </t>
    </r>
    <r>
      <rPr>
        <b/>
        <sz val="12"/>
        <color theme="1"/>
        <rFont val="Times New Roman"/>
        <family val="1"/>
      </rPr>
      <t>2-</t>
    </r>
    <r>
      <rPr>
        <b/>
        <i/>
        <sz val="12"/>
        <color theme="1"/>
        <rFont val="Times New Roman"/>
        <family val="1"/>
      </rPr>
      <t>tail</t>
    </r>
  </si>
  <si>
    <t>t- Left</t>
  </si>
  <si>
    <t>t- Right</t>
  </si>
  <si>
    <t>&lt;</t>
  </si>
  <si>
    <t>&gt;</t>
  </si>
  <si>
    <r>
      <rPr>
        <b/>
        <sz val="12"/>
        <color theme="1"/>
        <rFont val="Times New Roman"/>
        <family val="1"/>
      </rPr>
      <t xml:space="preserve"> </t>
    </r>
    <r>
      <rPr>
        <b/>
        <i/>
        <sz val="12"/>
        <color theme="1"/>
        <rFont val="Times New Roman"/>
        <family val="1"/>
      </rPr>
      <t xml:space="preserve">P-val </t>
    </r>
    <r>
      <rPr>
        <b/>
        <sz val="12"/>
        <color theme="1"/>
        <rFont val="Times New Roman"/>
        <family val="1"/>
      </rPr>
      <t>(&lt;)</t>
    </r>
  </si>
  <si>
    <r>
      <rPr>
        <b/>
        <sz val="12"/>
        <color theme="1"/>
        <rFont val="Times New Roman"/>
        <family val="1"/>
      </rPr>
      <t xml:space="preserve"> </t>
    </r>
    <r>
      <rPr>
        <b/>
        <i/>
        <sz val="12"/>
        <color theme="1"/>
        <rFont val="Times New Roman"/>
        <family val="1"/>
      </rPr>
      <t xml:space="preserve">P-val </t>
    </r>
    <r>
      <rPr>
        <b/>
        <sz val="12"/>
        <color theme="1"/>
        <rFont val="Times New Roman"/>
        <family val="1"/>
      </rPr>
      <t>(&gt;)</t>
    </r>
  </si>
  <si>
    <r>
      <rPr>
        <b/>
        <sz val="11"/>
        <color rgb="FFFF0000"/>
        <rFont val="Times New Roman"/>
        <family val="1"/>
      </rPr>
      <t>t-2</t>
    </r>
    <r>
      <rPr>
        <b/>
        <i/>
        <sz val="11"/>
        <color rgb="FFFF0000"/>
        <rFont val="Times New Roman"/>
        <family val="1"/>
      </rPr>
      <t>Tail</t>
    </r>
  </si>
  <si>
    <r>
      <t xml:space="preserve"> </t>
    </r>
    <r>
      <rPr>
        <b/>
        <i/>
        <sz val="13"/>
        <color theme="1"/>
        <rFont val="Times New Roman"/>
        <family val="1"/>
      </rPr>
      <t>z-</t>
    </r>
    <r>
      <rPr>
        <i/>
        <sz val="12"/>
        <color theme="1"/>
        <rFont val="Times New Roman"/>
        <family val="1"/>
      </rPr>
      <t xml:space="preserve"> test </t>
    </r>
  </si>
  <si>
    <t xml:space="preserve"> </t>
  </si>
  <si>
    <r>
      <rPr>
        <b/>
        <sz val="12"/>
        <color theme="1"/>
        <rFont val="Times New Roman"/>
        <family val="1"/>
      </rPr>
      <t xml:space="preserve">(no </t>
    </r>
    <r>
      <rPr>
        <b/>
        <i/>
        <sz val="12"/>
        <color theme="1"/>
        <rFont val="Times New Roman"/>
        <family val="1"/>
      </rPr>
      <t>p</t>
    </r>
    <r>
      <rPr>
        <b/>
        <sz val="12"/>
        <color theme="1"/>
        <rFont val="Times New Roman"/>
        <family val="1"/>
      </rPr>
      <t>)</t>
    </r>
    <r>
      <rPr>
        <b/>
        <sz val="14"/>
        <color theme="1"/>
        <rFont val="Times New Roman"/>
        <family val="1"/>
      </rPr>
      <t xml:space="preserve">= </t>
    </r>
  </si>
  <si>
    <t>dependent</t>
  </si>
  <si>
    <t>Depend</t>
  </si>
  <si>
    <t>Indep</t>
  </si>
  <si>
    <r>
      <t>P-Val</t>
    </r>
    <r>
      <rPr>
        <b/>
        <sz val="12"/>
        <color theme="1"/>
        <rFont val="Symbol"/>
        <family val="1"/>
        <charset val="2"/>
      </rPr>
      <t>¹</t>
    </r>
  </si>
  <si>
    <t>¹</t>
  </si>
  <si>
    <t>P-Val.</t>
  </si>
  <si>
    <t>p</t>
  </si>
  <si>
    <t>Exp</t>
  </si>
  <si>
    <r>
      <t xml:space="preserve">       </t>
    </r>
    <r>
      <rPr>
        <b/>
        <i/>
        <sz val="12"/>
        <color theme="1"/>
        <rFont val="Times New Roman"/>
        <family val="1"/>
      </rPr>
      <t xml:space="preserve"> / freq</t>
    </r>
  </si>
  <si>
    <t>E Count</t>
  </si>
  <si>
    <t>F</t>
  </si>
  <si>
    <t>z=</t>
  </si>
  <si>
    <t>P-Val. Z</t>
  </si>
  <si>
    <t>left</t>
  </si>
  <si>
    <t>Exp. Val</t>
  </si>
  <si>
    <t>Total</t>
  </si>
  <si>
    <t>$$</t>
  </si>
  <si>
    <t>Square Residual</t>
  </si>
  <si>
    <r>
      <t xml:space="preserve"> </t>
    </r>
    <r>
      <rPr>
        <b/>
        <i/>
        <sz val="14"/>
        <color rgb="FFFF0000"/>
        <rFont val="Times New Roman"/>
        <family val="1"/>
      </rPr>
      <t>n</t>
    </r>
    <r>
      <rPr>
        <b/>
        <sz val="14"/>
        <color rgb="FFFF0000"/>
        <rFont val="Times New Roman"/>
        <family val="1"/>
      </rPr>
      <t xml:space="preserve"> </t>
    </r>
    <r>
      <rPr>
        <b/>
        <sz val="10"/>
        <rFont val="Times New Roman"/>
        <family val="1"/>
      </rPr>
      <t>p</t>
    </r>
    <r>
      <rPr>
        <b/>
        <sz val="14"/>
        <color rgb="FFFF0000"/>
        <rFont val="Times New Roman"/>
        <family val="1"/>
      </rPr>
      <t xml:space="preserve">= </t>
    </r>
  </si>
  <si>
    <r>
      <t xml:space="preserve"> </t>
    </r>
    <r>
      <rPr>
        <b/>
        <i/>
        <sz val="14"/>
        <color rgb="FFFF0000"/>
        <rFont val="Times New Roman"/>
        <family val="1"/>
      </rPr>
      <t>n</t>
    </r>
    <r>
      <rPr>
        <b/>
        <i/>
        <sz val="11"/>
        <rFont val="Times New Roman"/>
        <family val="1"/>
      </rPr>
      <t>x</t>
    </r>
    <r>
      <rPr>
        <b/>
        <sz val="14"/>
        <color rgb="FFFF0000"/>
        <rFont val="Times New Roman"/>
        <family val="1"/>
      </rPr>
      <t xml:space="preserve"> = </t>
    </r>
  </si>
  <si>
    <t>P-2tail</t>
  </si>
  <si>
    <r>
      <rPr>
        <b/>
        <i/>
        <sz val="12"/>
        <color rgb="FFFF0000"/>
        <rFont val="Times New Roman"/>
        <family val="1"/>
      </rPr>
      <t>F</t>
    </r>
    <r>
      <rPr>
        <sz val="11"/>
        <color theme="1"/>
        <rFont val="Times New Roman"/>
        <family val="1"/>
      </rPr>
      <t>-Sum</t>
    </r>
  </si>
  <si>
    <t>np</t>
  </si>
  <si>
    <t>n-np</t>
  </si>
  <si>
    <t>Residual</t>
  </si>
  <si>
    <t>Prob.</t>
  </si>
  <si>
    <r>
      <t>Std. Dev.</t>
    </r>
    <r>
      <rPr>
        <b/>
        <i/>
        <sz val="11"/>
        <color rgb="FFFF0000"/>
        <rFont val="Calibri"/>
        <family val="2"/>
        <scheme val="minor"/>
      </rPr>
      <t>(P)</t>
    </r>
  </si>
  <si>
    <t>y = mx + b</t>
  </si>
  <si>
    <t>P(X&gt;)</t>
  </si>
  <si>
    <r>
      <rPr>
        <b/>
        <i/>
        <sz val="13"/>
        <color rgb="FFFF0000"/>
        <rFont val="Times New Roman"/>
        <family val="1"/>
      </rPr>
      <t>n</t>
    </r>
    <r>
      <rPr>
        <b/>
        <sz val="12"/>
        <color rgb="FFFF0000"/>
        <rFont val="Times New Roman"/>
        <family val="1"/>
      </rPr>
      <t xml:space="preserve"> =</t>
    </r>
    <r>
      <rPr>
        <i/>
        <sz val="11"/>
        <color rgb="FFFF0000"/>
        <rFont val="Times New Roman"/>
        <family val="1"/>
      </rPr>
      <t>x/p</t>
    </r>
  </si>
  <si>
    <t>Times</t>
  </si>
  <si>
    <r>
      <rPr>
        <b/>
        <i/>
        <sz val="14"/>
        <color theme="1"/>
        <rFont val="Times New Roman"/>
        <family val="1"/>
      </rPr>
      <t>z</t>
    </r>
    <r>
      <rPr>
        <b/>
        <sz val="12"/>
        <color theme="1"/>
        <rFont val="Times New Roman"/>
        <family val="1"/>
      </rPr>
      <t xml:space="preserve">2 </t>
    </r>
    <r>
      <rPr>
        <b/>
        <i/>
        <sz val="12"/>
        <color theme="1"/>
        <rFont val="Times New Roman"/>
        <family val="1"/>
      </rPr>
      <t>=</t>
    </r>
  </si>
  <si>
    <t>Between</t>
  </si>
  <si>
    <t>Outside</t>
  </si>
  <si>
    <r>
      <t>&lt;</t>
    </r>
    <r>
      <rPr>
        <b/>
        <i/>
        <sz val="12"/>
        <color theme="1"/>
        <rFont val="Times New Roman"/>
        <family val="1"/>
      </rPr>
      <t xml:space="preserve">z </t>
    </r>
    <r>
      <rPr>
        <b/>
        <sz val="11"/>
        <color theme="1"/>
        <rFont val="Times New Roman"/>
        <family val="1"/>
      </rPr>
      <t xml:space="preserve"> &gt;</t>
    </r>
    <r>
      <rPr>
        <b/>
        <i/>
        <sz val="12"/>
        <color theme="1"/>
        <rFont val="Times New Roman"/>
        <family val="1"/>
      </rPr>
      <t>z</t>
    </r>
    <r>
      <rPr>
        <b/>
        <sz val="11"/>
        <color theme="1"/>
        <rFont val="Times New Roman"/>
        <family val="1"/>
      </rPr>
      <t>2</t>
    </r>
  </si>
  <si>
    <r>
      <rPr>
        <b/>
        <i/>
        <sz val="12"/>
        <color theme="1"/>
        <rFont val="Times New Roman"/>
        <family val="1"/>
      </rPr>
      <t xml:space="preserve">z </t>
    </r>
    <r>
      <rPr>
        <b/>
        <sz val="12"/>
        <color theme="1"/>
        <rFont val="Times New Roman"/>
        <family val="1"/>
      </rPr>
      <t xml:space="preserve">&lt; &lt; </t>
    </r>
    <r>
      <rPr>
        <b/>
        <i/>
        <sz val="12"/>
        <color theme="1"/>
        <rFont val="Times New Roman"/>
        <family val="1"/>
      </rPr>
      <t>z</t>
    </r>
    <r>
      <rPr>
        <b/>
        <sz val="12"/>
        <color theme="1"/>
        <rFont val="Times New Roman"/>
        <family val="1"/>
      </rPr>
      <t>2</t>
    </r>
  </si>
  <si>
    <t>Lower (AC)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</si>
</sst>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"/>
    <numFmt numFmtId="165" formatCode="0.000"/>
    <numFmt numFmtId="166" formatCode="0.0%"/>
    <numFmt numFmtId="167" formatCode="0.00000"/>
    <numFmt numFmtId="168" formatCode="0.0"/>
    <numFmt numFmtId="169" formatCode="#,##0.000"/>
    <numFmt numFmtId="170" formatCode="0.00000000000000"/>
    <numFmt numFmtId="171" formatCode="0.000000000000000"/>
    <numFmt numFmtId="172" formatCode="&quot;$&quot;#,##0.00"/>
    <numFmt numFmtId="173" formatCode="0.000000"/>
    <numFmt numFmtId="174" formatCode="&quot;$&quot;#,##0.00;[Red]&quot;$&quot;#,##0.00"/>
  </numFmts>
  <fonts count="83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i/>
      <sz val="11"/>
      <color rgb="FFFF0000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Times New Roman"/>
      <family val="1"/>
    </font>
    <font>
      <b/>
      <i/>
      <sz val="14"/>
      <color rgb="FFFF0000"/>
      <name val="Calibri"/>
      <family val="2"/>
      <scheme val="minor"/>
    </font>
    <font>
      <b/>
      <sz val="10"/>
      <color theme="1"/>
      <name val="Arial Black"/>
      <family val="2"/>
    </font>
    <font>
      <b/>
      <sz val="14"/>
      <color theme="1"/>
      <name val="Times New Roman"/>
      <family val="1"/>
    </font>
    <font>
      <b/>
      <sz val="9"/>
      <color rgb="FFFF0000"/>
      <name val="Calibri"/>
      <family val="2"/>
      <scheme val="minor"/>
    </font>
    <font>
      <b/>
      <sz val="9"/>
      <color rgb="FFFF0000"/>
      <name val="Times New Roman"/>
      <family val="1"/>
    </font>
    <font>
      <sz val="8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8"/>
      <color rgb="FFFF0000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rgb="FF0000CC"/>
      <name val="Times New Roman"/>
      <family val="1"/>
    </font>
    <font>
      <b/>
      <sz val="12"/>
      <color rgb="FF0000CC"/>
      <name val="Times New Roman"/>
      <family val="1"/>
    </font>
    <font>
      <b/>
      <i/>
      <sz val="8"/>
      <color theme="1"/>
      <name val="Times New Roman"/>
      <family val="1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b/>
      <i/>
      <sz val="12"/>
      <color theme="1"/>
      <name val="Symbol"/>
      <family val="1"/>
      <charset val="2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sz val="11"/>
      <name val="Times New Roman"/>
      <family val="1"/>
    </font>
    <font>
      <sz val="8"/>
      <color theme="9" tint="-0.499984740745262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rgb="FF0000CC"/>
      <name val="Calibri"/>
      <family val="2"/>
      <scheme val="minor"/>
    </font>
    <font>
      <b/>
      <i/>
      <sz val="12"/>
      <color rgb="FFFF0000"/>
      <name val="Times New Roman"/>
      <family val="1"/>
    </font>
    <font>
      <b/>
      <sz val="8"/>
      <color rgb="FFFF0000"/>
      <name val="Adobe Caslon Pro"/>
      <family val="1"/>
    </font>
    <font>
      <b/>
      <i/>
      <sz val="14"/>
      <color theme="1"/>
      <name val="Times New Roman"/>
      <family val="1"/>
    </font>
    <font>
      <b/>
      <i/>
      <sz val="16"/>
      <color theme="1"/>
      <name val="Times New Roman"/>
      <family val="1"/>
    </font>
    <font>
      <b/>
      <i/>
      <sz val="11"/>
      <color rgb="FFFF0000"/>
      <name val="Times New Roman"/>
      <family val="1"/>
    </font>
    <font>
      <b/>
      <sz val="13"/>
      <color theme="1"/>
      <name val="Times New Roman"/>
      <family val="1"/>
    </font>
    <font>
      <b/>
      <sz val="12"/>
      <color rgb="FFFF0000"/>
      <name val="Times New Roman"/>
      <family val="1"/>
    </font>
    <font>
      <sz val="10"/>
      <color theme="1"/>
      <name val="Times New Roman"/>
      <family val="1"/>
    </font>
    <font>
      <b/>
      <sz val="14"/>
      <color rgb="FFFF0000"/>
      <name val="Times New Roman"/>
      <family val="1"/>
    </font>
    <font>
      <b/>
      <i/>
      <sz val="14"/>
      <color rgb="FFFF0000"/>
      <name val="Times New Roman"/>
      <family val="1"/>
    </font>
    <font>
      <i/>
      <sz val="11"/>
      <color theme="1"/>
      <name val="Times New Roman"/>
      <family val="1"/>
    </font>
    <font>
      <b/>
      <sz val="13"/>
      <color rgb="FF0000CC"/>
      <name val="Times New Roman"/>
      <family val="1"/>
    </font>
    <font>
      <sz val="8"/>
      <color rgb="FFFF0000"/>
      <name val="Times New Roman"/>
      <family val="1"/>
    </font>
    <font>
      <sz val="14"/>
      <color theme="1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b/>
      <i/>
      <sz val="13"/>
      <color rgb="FFFF0000"/>
      <name val="Times New Roman"/>
      <family val="1"/>
    </font>
    <font>
      <b/>
      <i/>
      <sz val="12"/>
      <name val="Calibri"/>
      <family val="2"/>
      <scheme val="minor"/>
    </font>
    <font>
      <sz val="12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4"/>
      <name val="Calibri"/>
      <family val="2"/>
      <scheme val="minor"/>
    </font>
    <font>
      <b/>
      <i/>
      <sz val="14"/>
      <name val="Times New Roman"/>
      <family val="1"/>
    </font>
    <font>
      <b/>
      <sz val="14"/>
      <name val="Times New Roman"/>
      <family val="1"/>
    </font>
    <font>
      <b/>
      <i/>
      <sz val="12"/>
      <color rgb="FFFF0000"/>
      <name val="Symbol"/>
      <family val="1"/>
      <charset val="2"/>
    </font>
    <font>
      <b/>
      <i/>
      <sz val="12"/>
      <color theme="9" tint="-0.249977111117893"/>
      <name val="Times New Roman"/>
      <family val="1"/>
    </font>
    <font>
      <b/>
      <sz val="12"/>
      <color theme="9" tint="-0.249977111117893"/>
      <name val="Times New Roman"/>
      <family val="1"/>
    </font>
    <font>
      <b/>
      <sz val="11"/>
      <name val="Times New Roman"/>
      <family val="1"/>
    </font>
    <font>
      <b/>
      <sz val="11"/>
      <color rgb="FFFF0000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Symbol"/>
      <family val="1"/>
      <charset val="2"/>
    </font>
    <font>
      <b/>
      <sz val="12"/>
      <color rgb="FFFF0000"/>
      <name val="Symbol"/>
      <family val="1"/>
      <charset val="2"/>
    </font>
    <font>
      <b/>
      <i/>
      <sz val="12"/>
      <name val="Times New Roman"/>
      <family val="1"/>
    </font>
    <font>
      <b/>
      <sz val="8"/>
      <color rgb="FF0000CC"/>
      <name val="Times New Roman"/>
      <family val="1"/>
    </font>
    <font>
      <b/>
      <i/>
      <sz val="8"/>
      <color rgb="FFFF0000"/>
      <name val="Times New Roman"/>
      <family val="1"/>
    </font>
    <font>
      <b/>
      <sz val="12"/>
      <color rgb="FF0000CC"/>
      <name val="Calibri"/>
      <family val="2"/>
      <scheme val="minor"/>
    </font>
    <font>
      <sz val="12"/>
      <name val="Times New Roman"/>
      <family val="1"/>
    </font>
    <font>
      <b/>
      <sz val="10"/>
      <name val="Times New Roman"/>
      <family val="1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9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</font>
    <font>
      <sz val="12"/>
      <color rgb="FF0000CC"/>
      <name val="Times New Roman"/>
      <family val="1"/>
    </font>
    <font>
      <i/>
      <sz val="11"/>
      <color rgb="FFFF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6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75" fillId="0" borderId="0"/>
    <xf numFmtId="0" fontId="76" fillId="0" borderId="0"/>
    <xf numFmtId="0" fontId="77" fillId="0" borderId="0"/>
    <xf numFmtId="0" fontId="79" fillId="0" borderId="0"/>
    <xf numFmtId="0" fontId="80" fillId="0" borderId="0"/>
  </cellStyleXfs>
  <cellXfs count="556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Alignment="1">
      <alignment vertical="center" wrapText="1"/>
    </xf>
    <xf numFmtId="0" fontId="0" fillId="2" borderId="3" xfId="0" applyFill="1" applyBorder="1"/>
    <xf numFmtId="0" fontId="0" fillId="2" borderId="5" xfId="0" applyFill="1" applyBorder="1"/>
    <xf numFmtId="0" fontId="0" fillId="2" borderId="4" xfId="0" applyFill="1" applyBorder="1"/>
    <xf numFmtId="0" fontId="0" fillId="0" borderId="0" xfId="0" applyAlignment="1">
      <alignment textRotation="255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/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0" fillId="0" borderId="0" xfId="0" applyNumberFormat="1"/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4" fontId="9" fillId="0" borderId="2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/>
    <xf numFmtId="0" fontId="7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 applyBorder="1" applyAlignment="1">
      <alignment horizontal="center" textRotation="255"/>
    </xf>
    <xf numFmtId="0" fontId="1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0" fillId="0" borderId="0" xfId="0" applyBorder="1"/>
    <xf numFmtId="0" fontId="6" fillId="0" borderId="0" xfId="0" applyFont="1"/>
    <xf numFmtId="0" fontId="6" fillId="0" borderId="9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14" xfId="0" applyFont="1" applyBorder="1" applyAlignment="1">
      <alignment horizontal="center" vertical="center" wrapText="1"/>
    </xf>
    <xf numFmtId="166" fontId="0" fillId="0" borderId="0" xfId="0" applyNumberFormat="1"/>
    <xf numFmtId="0" fontId="1" fillId="0" borderId="0" xfId="0" applyFont="1"/>
    <xf numFmtId="9" fontId="0" fillId="0" borderId="0" xfId="0" applyNumberFormat="1"/>
    <xf numFmtId="0" fontId="6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/>
    </xf>
    <xf numFmtId="0" fontId="1" fillId="0" borderId="0" xfId="0" applyFont="1" applyBorder="1"/>
    <xf numFmtId="0" fontId="6" fillId="0" borderId="0" xfId="0" applyFont="1" applyBorder="1" applyAlignment="1">
      <alignment horizontal="center" vertical="center" wrapText="1"/>
    </xf>
    <xf numFmtId="165" fontId="0" fillId="0" borderId="0" xfId="0" applyNumberFormat="1" applyBorder="1"/>
    <xf numFmtId="2" fontId="9" fillId="0" borderId="2" xfId="0" applyNumberFormat="1" applyFont="1" applyBorder="1" applyAlignment="1">
      <alignment horizontal="center" vertical="center"/>
    </xf>
    <xf numFmtId="0" fontId="0" fillId="0" borderId="15" xfId="0" applyBorder="1"/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0" fillId="0" borderId="6" xfId="0" applyFont="1" applyBorder="1"/>
    <xf numFmtId="0" fontId="15" fillId="0" borderId="0" xfId="0" applyFont="1" applyBorder="1"/>
    <xf numFmtId="0" fontId="16" fillId="0" borderId="0" xfId="0" applyFont="1" applyBorder="1" applyAlignment="1">
      <alignment vertical="center" wrapText="1"/>
    </xf>
    <xf numFmtId="2" fontId="9" fillId="0" borderId="9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7" fillId="0" borderId="0" xfId="0" applyFont="1"/>
    <xf numFmtId="0" fontId="15" fillId="0" borderId="0" xfId="0" applyFont="1"/>
    <xf numFmtId="10" fontId="9" fillId="0" borderId="2" xfId="0" applyNumberFormat="1" applyFont="1" applyBorder="1" applyAlignment="1">
      <alignment horizontal="center" vertical="center"/>
    </xf>
    <xf numFmtId="10" fontId="9" fillId="0" borderId="4" xfId="0" applyNumberFormat="1" applyFont="1" applyBorder="1" applyAlignment="1">
      <alignment horizontal="center" vertical="center"/>
    </xf>
    <xf numFmtId="0" fontId="21" fillId="0" borderId="0" xfId="0" applyFont="1"/>
    <xf numFmtId="0" fontId="23" fillId="0" borderId="0" xfId="0" applyFont="1"/>
    <xf numFmtId="0" fontId="23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165" fontId="25" fillId="0" borderId="21" xfId="0" applyNumberFormat="1" applyFont="1" applyBorder="1" applyAlignment="1">
      <alignment horizontal="center" vertical="center"/>
    </xf>
    <xf numFmtId="165" fontId="25" fillId="0" borderId="23" xfId="0" applyNumberFormat="1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Border="1"/>
    <xf numFmtId="0" fontId="6" fillId="0" borderId="0" xfId="0" applyFont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27" fillId="0" borderId="0" xfId="0" applyFont="1" applyFill="1" applyBorder="1"/>
    <xf numFmtId="0" fontId="28" fillId="0" borderId="0" xfId="0" applyFont="1" applyFill="1" applyBorder="1"/>
    <xf numFmtId="0" fontId="0" fillId="0" borderId="0" xfId="0" applyFill="1" applyBorder="1"/>
    <xf numFmtId="0" fontId="28" fillId="0" borderId="0" xfId="0" applyFont="1" applyFill="1"/>
    <xf numFmtId="0" fontId="28" fillId="0" borderId="5" xfId="0" applyFont="1" applyFill="1" applyBorder="1"/>
    <xf numFmtId="0" fontId="27" fillId="3" borderId="3" xfId="0" applyFont="1" applyFill="1" applyBorder="1"/>
    <xf numFmtId="0" fontId="27" fillId="3" borderId="5" xfId="0" applyFont="1" applyFill="1" applyBorder="1"/>
    <xf numFmtId="167" fontId="25" fillId="0" borderId="9" xfId="0" applyNumberFormat="1" applyFont="1" applyBorder="1" applyAlignment="1">
      <alignment horizontal="center" vertical="center"/>
    </xf>
    <xf numFmtId="0" fontId="21" fillId="0" borderId="18" xfId="0" applyFont="1" applyBorder="1"/>
    <xf numFmtId="0" fontId="21" fillId="0" borderId="24" xfId="0" applyFont="1" applyBorder="1"/>
    <xf numFmtId="164" fontId="25" fillId="0" borderId="2" xfId="0" applyNumberFormat="1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167" fontId="24" fillId="0" borderId="0" xfId="0" applyNumberFormat="1" applyFont="1" applyBorder="1" applyAlignment="1">
      <alignment horizontal="center" vertical="center"/>
    </xf>
    <xf numFmtId="164" fontId="25" fillId="0" borderId="28" xfId="0" applyNumberFormat="1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30" fillId="0" borderId="0" xfId="0" applyFont="1"/>
    <xf numFmtId="0" fontId="6" fillId="0" borderId="0" xfId="0" applyFont="1" applyFill="1" applyBorder="1" applyAlignment="1">
      <alignment horizontal="center" vertical="center"/>
    </xf>
    <xf numFmtId="0" fontId="23" fillId="0" borderId="9" xfId="0" applyFont="1" applyBorder="1" applyAlignment="1">
      <alignment horizontal="center"/>
    </xf>
    <xf numFmtId="0" fontId="23" fillId="0" borderId="29" xfId="0" applyFont="1" applyBorder="1" applyAlignment="1">
      <alignment horizontal="center" vertical="center"/>
    </xf>
    <xf numFmtId="0" fontId="23" fillId="0" borderId="30" xfId="0" applyFont="1" applyBorder="1" applyAlignment="1">
      <alignment horizontal="left" vertical="center"/>
    </xf>
    <xf numFmtId="0" fontId="23" fillId="0" borderId="31" xfId="0" applyFont="1" applyBorder="1" applyAlignment="1">
      <alignment horizontal="left" vertical="center"/>
    </xf>
    <xf numFmtId="0" fontId="23" fillId="0" borderId="32" xfId="0" applyFont="1" applyBorder="1" applyAlignment="1">
      <alignment horizontal="left" vertical="center"/>
    </xf>
    <xf numFmtId="0" fontId="26" fillId="3" borderId="18" xfId="0" applyFont="1" applyFill="1" applyBorder="1" applyAlignment="1">
      <alignment horizontal="center" vertical="center"/>
    </xf>
    <xf numFmtId="0" fontId="27" fillId="3" borderId="17" xfId="0" applyFont="1" applyFill="1" applyBorder="1" applyAlignment="1">
      <alignment horizontal="center" vertical="center"/>
    </xf>
    <xf numFmtId="0" fontId="27" fillId="3" borderId="10" xfId="0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0" xfId="0" applyFont="1"/>
    <xf numFmtId="0" fontId="9" fillId="0" borderId="0" xfId="0" applyFont="1" applyBorder="1" applyAlignment="1">
      <alignment horizontal="center" vertical="center"/>
    </xf>
    <xf numFmtId="164" fontId="25" fillId="0" borderId="0" xfId="0" applyNumberFormat="1" applyFont="1" applyBorder="1" applyAlignment="1">
      <alignment horizontal="center" vertical="center"/>
    </xf>
    <xf numFmtId="164" fontId="25" fillId="0" borderId="11" xfId="0" applyNumberFormat="1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4" fontId="25" fillId="0" borderId="4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4" fontId="25" fillId="0" borderId="5" xfId="0" applyNumberFormat="1" applyFont="1" applyBorder="1" applyAlignment="1">
      <alignment horizontal="center" vertical="center"/>
    </xf>
    <xf numFmtId="2" fontId="25" fillId="0" borderId="4" xfId="0" applyNumberFormat="1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7" fontId="9" fillId="0" borderId="0" xfId="0" applyNumberFormat="1" applyFont="1" applyBorder="1"/>
    <xf numFmtId="164" fontId="25" fillId="0" borderId="9" xfId="0" applyNumberFormat="1" applyFont="1" applyBorder="1" applyAlignment="1">
      <alignment horizontal="center" vertical="center"/>
    </xf>
    <xf numFmtId="0" fontId="19" fillId="5" borderId="0" xfId="0" applyFont="1" applyFill="1" applyAlignment="1">
      <alignment horizontal="center" vertical="center"/>
    </xf>
    <xf numFmtId="2" fontId="25" fillId="0" borderId="0" xfId="0" applyNumberFormat="1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6" fillId="0" borderId="3" xfId="0" applyFont="1" applyBorder="1"/>
    <xf numFmtId="165" fontId="11" fillId="0" borderId="0" xfId="0" applyNumberFormat="1" applyFont="1" applyBorder="1" applyAlignment="1">
      <alignment horizontal="center"/>
    </xf>
    <xf numFmtId="0" fontId="23" fillId="0" borderId="18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2" fontId="25" fillId="0" borderId="9" xfId="0" applyNumberFormat="1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0" fontId="6" fillId="0" borderId="0" xfId="0" applyFont="1" applyBorder="1"/>
    <xf numFmtId="0" fontId="28" fillId="5" borderId="0" xfId="0" applyFont="1" applyFill="1"/>
    <xf numFmtId="0" fontId="20" fillId="5" borderId="0" xfId="0" applyFont="1" applyFill="1"/>
    <xf numFmtId="0" fontId="34" fillId="5" borderId="0" xfId="0" applyFont="1" applyFill="1"/>
    <xf numFmtId="0" fontId="35" fillId="5" borderId="0" xfId="0" applyFont="1" applyFill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165" fontId="25" fillId="0" borderId="9" xfId="0" applyNumberFormat="1" applyFont="1" applyBorder="1" applyAlignment="1">
      <alignment horizontal="center" vertical="center"/>
    </xf>
    <xf numFmtId="165" fontId="25" fillId="0" borderId="4" xfId="0" applyNumberFormat="1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38" fillId="5" borderId="0" xfId="0" applyFont="1" applyFill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65" fontId="14" fillId="0" borderId="0" xfId="0" applyNumberFormat="1" applyFont="1" applyBorder="1" applyAlignment="1">
      <alignment horizontal="center"/>
    </xf>
    <xf numFmtId="0" fontId="39" fillId="0" borderId="0" xfId="0" applyFont="1" applyAlignment="1">
      <alignment horizontal="center"/>
    </xf>
    <xf numFmtId="0" fontId="39" fillId="0" borderId="24" xfId="0" applyFont="1" applyBorder="1" applyAlignment="1">
      <alignment horizontal="center" vertical="center"/>
    </xf>
    <xf numFmtId="0" fontId="39" fillId="0" borderId="27" xfId="0" applyFont="1" applyBorder="1" applyAlignment="1">
      <alignment horizontal="center" vertical="center"/>
    </xf>
    <xf numFmtId="164" fontId="25" fillId="0" borderId="7" xfId="0" applyNumberFormat="1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21" fillId="6" borderId="3" xfId="0" applyFont="1" applyFill="1" applyBorder="1"/>
    <xf numFmtId="0" fontId="11" fillId="0" borderId="0" xfId="0" applyFont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7" fillId="6" borderId="5" xfId="0" applyFont="1" applyFill="1" applyBorder="1"/>
    <xf numFmtId="165" fontId="24" fillId="0" borderId="2" xfId="0" applyNumberFormat="1" applyFont="1" applyBorder="1" applyAlignment="1">
      <alignment horizontal="center" vertical="center"/>
    </xf>
    <xf numFmtId="164" fontId="24" fillId="0" borderId="2" xfId="0" applyNumberFormat="1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165" fontId="42" fillId="0" borderId="9" xfId="0" applyNumberFormat="1" applyFont="1" applyBorder="1" applyAlignment="1">
      <alignment horizontal="center"/>
    </xf>
    <xf numFmtId="0" fontId="21" fillId="0" borderId="3" xfId="0" applyFont="1" applyBorder="1"/>
    <xf numFmtId="0" fontId="21" fillId="0" borderId="9" xfId="0" applyFont="1" applyBorder="1"/>
    <xf numFmtId="165" fontId="42" fillId="0" borderId="0" xfId="0" applyNumberFormat="1" applyFont="1" applyBorder="1" applyAlignment="1">
      <alignment horizontal="center"/>
    </xf>
    <xf numFmtId="0" fontId="41" fillId="0" borderId="0" xfId="0" applyFont="1" applyAlignment="1">
      <alignment horizontal="center" vertical="center"/>
    </xf>
    <xf numFmtId="166" fontId="21" fillId="0" borderId="0" xfId="0" applyNumberFormat="1" applyFont="1"/>
    <xf numFmtId="0" fontId="43" fillId="0" borderId="0" xfId="0" applyFont="1" applyAlignment="1">
      <alignment horizontal="center" vertical="center"/>
    </xf>
    <xf numFmtId="165" fontId="25" fillId="0" borderId="0" xfId="0" applyNumberFormat="1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164" fontId="24" fillId="0" borderId="0" xfId="0" applyNumberFormat="1" applyFont="1" applyBorder="1" applyAlignment="1">
      <alignment horizontal="center" vertical="center"/>
    </xf>
    <xf numFmtId="165" fontId="45" fillId="0" borderId="9" xfId="0" applyNumberFormat="1" applyFont="1" applyBorder="1" applyAlignment="1">
      <alignment horizontal="center"/>
    </xf>
    <xf numFmtId="164" fontId="33" fillId="0" borderId="17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164" fontId="24" fillId="0" borderId="9" xfId="0" applyNumberFormat="1" applyFont="1" applyBorder="1" applyAlignment="1">
      <alignment horizontal="center" vertical="center"/>
    </xf>
    <xf numFmtId="164" fontId="24" fillId="0" borderId="8" xfId="0" applyNumberFormat="1" applyFont="1" applyBorder="1" applyAlignment="1">
      <alignment horizontal="center" vertical="center"/>
    </xf>
    <xf numFmtId="165" fontId="25" fillId="0" borderId="9" xfId="0" applyNumberFormat="1" applyFont="1" applyBorder="1" applyAlignment="1">
      <alignment horizontal="center"/>
    </xf>
    <xf numFmtId="1" fontId="25" fillId="0" borderId="9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167" fontId="25" fillId="0" borderId="0" xfId="0" applyNumberFormat="1" applyFont="1" applyBorder="1" applyAlignment="1">
      <alignment horizontal="center" vertical="center"/>
    </xf>
    <xf numFmtId="0" fontId="21" fillId="0" borderId="27" xfId="0" applyFont="1" applyBorder="1"/>
    <xf numFmtId="0" fontId="6" fillId="0" borderId="18" xfId="0" applyFont="1" applyBorder="1" applyAlignment="1">
      <alignment horizontal="center" vertical="center"/>
    </xf>
    <xf numFmtId="165" fontId="25" fillId="0" borderId="28" xfId="0" applyNumberFormat="1" applyFont="1" applyBorder="1" applyAlignment="1">
      <alignment horizontal="center" vertical="center"/>
    </xf>
    <xf numFmtId="2" fontId="23" fillId="0" borderId="9" xfId="0" applyNumberFormat="1" applyFont="1" applyBorder="1" applyAlignment="1">
      <alignment horizontal="center" vertical="center"/>
    </xf>
    <xf numFmtId="167" fontId="25" fillId="0" borderId="8" xfId="0" applyNumberFormat="1" applyFont="1" applyBorder="1" applyAlignment="1">
      <alignment horizontal="center" vertical="center"/>
    </xf>
    <xf numFmtId="164" fontId="25" fillId="0" borderId="8" xfId="0" applyNumberFormat="1" applyFont="1" applyBorder="1" applyAlignment="1">
      <alignment horizontal="center" vertical="center"/>
    </xf>
    <xf numFmtId="165" fontId="24" fillId="0" borderId="10" xfId="0" applyNumberFormat="1" applyFont="1" applyBorder="1" applyAlignment="1">
      <alignment horizontal="center" vertical="center"/>
    </xf>
    <xf numFmtId="164" fontId="24" fillId="0" borderId="7" xfId="0" applyNumberFormat="1" applyFont="1" applyBorder="1" applyAlignment="1">
      <alignment horizontal="center" vertical="center"/>
    </xf>
    <xf numFmtId="2" fontId="25" fillId="0" borderId="7" xfId="0" applyNumberFormat="1" applyFont="1" applyBorder="1" applyAlignment="1">
      <alignment horizontal="center" vertical="center"/>
    </xf>
    <xf numFmtId="164" fontId="25" fillId="0" borderId="22" xfId="0" applyNumberFormat="1" applyFont="1" applyBorder="1" applyAlignment="1">
      <alignment horizontal="center" vertical="center"/>
    </xf>
    <xf numFmtId="164" fontId="25" fillId="0" borderId="23" xfId="0" applyNumberFormat="1" applyFont="1" applyBorder="1" applyAlignment="1">
      <alignment horizontal="center" vertical="center"/>
    </xf>
    <xf numFmtId="165" fontId="14" fillId="0" borderId="9" xfId="0" applyNumberFormat="1" applyFont="1" applyBorder="1" applyAlignment="1">
      <alignment horizontal="center"/>
    </xf>
    <xf numFmtId="168" fontId="25" fillId="0" borderId="9" xfId="0" applyNumberFormat="1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1" fontId="48" fillId="0" borderId="9" xfId="0" applyNumberFormat="1" applyFont="1" applyBorder="1" applyAlignment="1">
      <alignment horizontal="center"/>
    </xf>
    <xf numFmtId="0" fontId="37" fillId="0" borderId="0" xfId="0" applyFont="1" applyBorder="1" applyAlignment="1">
      <alignment horizontal="center" vertical="center"/>
    </xf>
    <xf numFmtId="165" fontId="42" fillId="0" borderId="7" xfId="0" applyNumberFormat="1" applyFont="1" applyBorder="1" applyAlignment="1">
      <alignment horizontal="center"/>
    </xf>
    <xf numFmtId="0" fontId="27" fillId="6" borderId="3" xfId="0" applyFont="1" applyFill="1" applyBorder="1"/>
    <xf numFmtId="0" fontId="49" fillId="6" borderId="5" xfId="0" applyFont="1" applyFill="1" applyBorder="1"/>
    <xf numFmtId="0" fontId="50" fillId="0" borderId="9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168" fontId="25" fillId="0" borderId="24" xfId="0" applyNumberFormat="1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164" fontId="25" fillId="0" borderId="10" xfId="0" applyNumberFormat="1" applyFont="1" applyBorder="1" applyAlignment="1">
      <alignment horizontal="center" vertical="center"/>
    </xf>
    <xf numFmtId="0" fontId="23" fillId="7" borderId="29" xfId="0" applyFont="1" applyFill="1" applyBorder="1" applyAlignment="1">
      <alignment vertical="center"/>
    </xf>
    <xf numFmtId="165" fontId="25" fillId="0" borderId="0" xfId="0" applyNumberFormat="1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8" fillId="8" borderId="3" xfId="0" applyFont="1" applyFill="1" applyBorder="1"/>
    <xf numFmtId="0" fontId="28" fillId="8" borderId="5" xfId="0" applyFont="1" applyFill="1" applyBorder="1"/>
    <xf numFmtId="0" fontId="22" fillId="0" borderId="9" xfId="0" applyFont="1" applyBorder="1" applyAlignment="1">
      <alignment horizontal="right" vertical="center"/>
    </xf>
    <xf numFmtId="0" fontId="23" fillId="7" borderId="7" xfId="0" applyFont="1" applyFill="1" applyBorder="1" applyAlignment="1">
      <alignment horizontal="center" vertical="center"/>
    </xf>
    <xf numFmtId="0" fontId="0" fillId="0" borderId="9" xfId="0" applyBorder="1"/>
    <xf numFmtId="0" fontId="23" fillId="0" borderId="0" xfId="0" applyFont="1" applyFill="1" applyBorder="1" applyAlignment="1">
      <alignment horizontal="center" vertical="center"/>
    </xf>
    <xf numFmtId="0" fontId="23" fillId="0" borderId="3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0" fontId="23" fillId="0" borderId="29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8" fillId="8" borderId="4" xfId="0" applyFont="1" applyFill="1" applyBorder="1"/>
    <xf numFmtId="165" fontId="25" fillId="0" borderId="0" xfId="0" applyNumberFormat="1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51" fillId="0" borderId="0" xfId="0" applyFont="1" applyBorder="1"/>
    <xf numFmtId="0" fontId="51" fillId="0" borderId="0" xfId="0" applyFont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165" fontId="51" fillId="0" borderId="0" xfId="0" applyNumberFormat="1" applyFont="1" applyBorder="1" applyAlignment="1">
      <alignment horizontal="center" vertical="center"/>
    </xf>
    <xf numFmtId="164" fontId="51" fillId="0" borderId="0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65" fontId="25" fillId="0" borderId="7" xfId="0" applyNumberFormat="1" applyFont="1" applyBorder="1" applyAlignment="1">
      <alignment horizontal="center"/>
    </xf>
    <xf numFmtId="165" fontId="25" fillId="0" borderId="10" xfId="0" applyNumberFormat="1" applyFont="1" applyBorder="1" applyAlignment="1">
      <alignment horizontal="center" vertical="center"/>
    </xf>
    <xf numFmtId="165" fontId="14" fillId="0" borderId="24" xfId="0" applyNumberFormat="1" applyFont="1" applyBorder="1" applyAlignment="1">
      <alignment horizontal="center"/>
    </xf>
    <xf numFmtId="165" fontId="14" fillId="0" borderId="31" xfId="0" applyNumberFormat="1" applyFont="1" applyBorder="1" applyAlignment="1">
      <alignment horizontal="center"/>
    </xf>
    <xf numFmtId="164" fontId="21" fillId="10" borderId="34" xfId="0" applyNumberFormat="1" applyFont="1" applyFill="1" applyBorder="1" applyAlignment="1">
      <alignment horizontal="center" vertical="center"/>
    </xf>
    <xf numFmtId="164" fontId="21" fillId="10" borderId="35" xfId="0" applyNumberFormat="1" applyFont="1" applyFill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42" fillId="0" borderId="8" xfId="0" applyNumberFormat="1" applyFont="1" applyBorder="1" applyAlignment="1">
      <alignment horizontal="center"/>
    </xf>
    <xf numFmtId="165" fontId="25" fillId="0" borderId="8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3" fillId="11" borderId="29" xfId="0" applyFont="1" applyFill="1" applyBorder="1" applyAlignment="1">
      <alignment horizontal="center" vertical="center"/>
    </xf>
    <xf numFmtId="0" fontId="23" fillId="11" borderId="8" xfId="0" applyFont="1" applyFill="1" applyBorder="1" applyAlignment="1">
      <alignment horizontal="center" vertical="center"/>
    </xf>
    <xf numFmtId="0" fontId="23" fillId="11" borderId="7" xfId="0" applyFont="1" applyFill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54" fillId="0" borderId="0" xfId="0" applyFont="1" applyBorder="1" applyAlignment="1">
      <alignment horizontal="center" vertical="center"/>
    </xf>
    <xf numFmtId="2" fontId="55" fillId="0" borderId="0" xfId="0" applyNumberFormat="1" applyFont="1" applyBorder="1" applyAlignment="1">
      <alignment horizontal="center" vertical="center"/>
    </xf>
    <xf numFmtId="164" fontId="56" fillId="0" borderId="0" xfId="0" applyNumberFormat="1" applyFont="1" applyBorder="1"/>
    <xf numFmtId="0" fontId="9" fillId="0" borderId="9" xfId="0" applyFont="1" applyBorder="1" applyAlignment="1">
      <alignment horizontal="center" vertical="center"/>
    </xf>
    <xf numFmtId="169" fontId="9" fillId="0" borderId="9" xfId="0" applyNumberFormat="1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2" fontId="25" fillId="0" borderId="30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23" fillId="0" borderId="31" xfId="0" applyFont="1" applyBorder="1"/>
    <xf numFmtId="164" fontId="0" fillId="0" borderId="0" xfId="0" applyNumberFormat="1"/>
    <xf numFmtId="0" fontId="57" fillId="0" borderId="0" xfId="0" applyFont="1" applyBorder="1" applyAlignment="1">
      <alignment horizontal="center" vertical="center"/>
    </xf>
    <xf numFmtId="0" fontId="32" fillId="0" borderId="9" xfId="0" applyFont="1" applyBorder="1"/>
    <xf numFmtId="0" fontId="32" fillId="0" borderId="8" xfId="0" applyFont="1" applyBorder="1"/>
    <xf numFmtId="0" fontId="22" fillId="0" borderId="9" xfId="0" applyFont="1" applyBorder="1" applyAlignment="1">
      <alignment horizontal="center" vertical="center"/>
    </xf>
    <xf numFmtId="0" fontId="21" fillId="12" borderId="0" xfId="0" applyFont="1" applyFill="1"/>
    <xf numFmtId="0" fontId="0" fillId="12" borderId="0" xfId="0" applyFill="1"/>
    <xf numFmtId="164" fontId="60" fillId="0" borderId="40" xfId="0" applyNumberFormat="1" applyFont="1" applyBorder="1" applyAlignment="1">
      <alignment horizontal="center" vertical="center"/>
    </xf>
    <xf numFmtId="165" fontId="25" fillId="0" borderId="41" xfId="0" applyNumberFormat="1" applyFont="1" applyBorder="1" applyAlignment="1">
      <alignment horizontal="center" vertical="center"/>
    </xf>
    <xf numFmtId="2" fontId="25" fillId="0" borderId="33" xfId="0" applyNumberFormat="1" applyFont="1" applyBorder="1" applyAlignment="1">
      <alignment horizontal="center" vertical="center"/>
    </xf>
    <xf numFmtId="164" fontId="25" fillId="0" borderId="42" xfId="0" applyNumberFormat="1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4" fillId="0" borderId="42" xfId="0" applyFont="1" applyBorder="1" applyAlignment="1">
      <alignment horizontal="center" vertical="center"/>
    </xf>
    <xf numFmtId="0" fontId="24" fillId="0" borderId="28" xfId="0" applyNumberFormat="1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62" fillId="0" borderId="4" xfId="0" applyFont="1" applyBorder="1" applyAlignment="1">
      <alignment horizontal="center" vertical="center"/>
    </xf>
    <xf numFmtId="0" fontId="63" fillId="0" borderId="2" xfId="0" applyFont="1" applyBorder="1" applyAlignment="1">
      <alignment horizontal="center" vertical="center"/>
    </xf>
    <xf numFmtId="2" fontId="25" fillId="0" borderId="43" xfId="0" applyNumberFormat="1" applyFont="1" applyBorder="1" applyAlignment="1">
      <alignment horizontal="center" vertical="center"/>
    </xf>
    <xf numFmtId="164" fontId="25" fillId="0" borderId="44" xfId="0" applyNumberFormat="1" applyFont="1" applyBorder="1" applyAlignment="1">
      <alignment horizontal="center" vertical="center"/>
    </xf>
    <xf numFmtId="164" fontId="24" fillId="0" borderId="45" xfId="0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23" fillId="0" borderId="0" xfId="0" applyFont="1" applyBorder="1" applyAlignment="1">
      <alignment horizontal="right"/>
    </xf>
    <xf numFmtId="0" fontId="37" fillId="0" borderId="4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23" fillId="0" borderId="0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 wrapText="1"/>
    </xf>
    <xf numFmtId="2" fontId="52" fillId="0" borderId="7" xfId="0" applyNumberFormat="1" applyFont="1" applyBorder="1" applyAlignment="1">
      <alignment horizontal="center" vertical="center"/>
    </xf>
    <xf numFmtId="0" fontId="0" fillId="0" borderId="7" xfId="0" applyBorder="1"/>
    <xf numFmtId="168" fontId="25" fillId="0" borderId="8" xfId="0" applyNumberFormat="1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horizontal="center" vertical="center"/>
    </xf>
    <xf numFmtId="0" fontId="40" fillId="0" borderId="17" xfId="0" applyFont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 vertical="center"/>
    </xf>
    <xf numFmtId="0" fontId="22" fillId="0" borderId="0" xfId="0" applyFont="1" applyBorder="1"/>
    <xf numFmtId="0" fontId="30" fillId="0" borderId="0" xfId="0" applyFont="1" applyBorder="1" applyAlignment="1">
      <alignment horizontal="right"/>
    </xf>
    <xf numFmtId="0" fontId="64" fillId="0" borderId="10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2" fontId="52" fillId="0" borderId="9" xfId="0" applyNumberFormat="1" applyFont="1" applyBorder="1" applyAlignment="1">
      <alignment horizontal="center" vertical="center"/>
    </xf>
    <xf numFmtId="165" fontId="45" fillId="0" borderId="7" xfId="0" applyNumberFormat="1" applyFont="1" applyBorder="1" applyAlignment="1">
      <alignment horizontal="center"/>
    </xf>
    <xf numFmtId="168" fontId="24" fillId="0" borderId="8" xfId="0" applyNumberFormat="1" applyFont="1" applyBorder="1" applyAlignment="1">
      <alignment horizontal="center" vertical="center"/>
    </xf>
    <xf numFmtId="165" fontId="60" fillId="0" borderId="7" xfId="0" applyNumberFormat="1" applyFont="1" applyBorder="1" applyAlignment="1">
      <alignment horizontal="center"/>
    </xf>
    <xf numFmtId="165" fontId="21" fillId="0" borderId="0" xfId="0" applyNumberFormat="1" applyFont="1" applyFill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0" fontId="0" fillId="5" borderId="3" xfId="0" applyFill="1" applyBorder="1"/>
    <xf numFmtId="0" fontId="0" fillId="5" borderId="5" xfId="0" applyFill="1" applyBorder="1"/>
    <xf numFmtId="164" fontId="24" fillId="0" borderId="4" xfId="0" applyNumberFormat="1" applyFont="1" applyBorder="1" applyAlignment="1">
      <alignment horizontal="center" vertical="center"/>
    </xf>
    <xf numFmtId="0" fontId="21" fillId="0" borderId="0" xfId="0" applyFont="1" applyBorder="1" applyAlignment="1">
      <alignment horizontal="right" vertical="center"/>
    </xf>
    <xf numFmtId="0" fontId="22" fillId="0" borderId="0" xfId="0" applyFont="1" applyAlignment="1">
      <alignment horizontal="right" vertical="center"/>
    </xf>
    <xf numFmtId="165" fontId="11" fillId="0" borderId="17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27" fillId="3" borderId="0" xfId="0" applyFont="1" applyFill="1" applyBorder="1" applyAlignment="1">
      <alignment horizontal="center" vertical="center"/>
    </xf>
    <xf numFmtId="0" fontId="37" fillId="0" borderId="1" xfId="0" applyFont="1" applyBorder="1" applyAlignment="1">
      <alignment horizontal="center" vertical="center" wrapText="1"/>
    </xf>
    <xf numFmtId="0" fontId="0" fillId="0" borderId="17" xfId="0" applyBorder="1"/>
    <xf numFmtId="0" fontId="0" fillId="0" borderId="11" xfId="0" applyBorder="1"/>
    <xf numFmtId="0" fontId="0" fillId="0" borderId="10" xfId="0" applyBorder="1"/>
    <xf numFmtId="0" fontId="0" fillId="0" borderId="2" xfId="0" applyBorder="1"/>
    <xf numFmtId="168" fontId="6" fillId="0" borderId="1" xfId="0" applyNumberFormat="1" applyFont="1" applyBorder="1" applyAlignment="1">
      <alignment horizontal="center" vertical="center"/>
    </xf>
    <xf numFmtId="170" fontId="0" fillId="0" borderId="0" xfId="0" applyNumberFormat="1"/>
    <xf numFmtId="164" fontId="25" fillId="0" borderId="48" xfId="0" applyNumberFormat="1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164" fontId="25" fillId="0" borderId="27" xfId="0" applyNumberFormat="1" applyFont="1" applyBorder="1" applyAlignment="1">
      <alignment horizontal="center" vertical="center"/>
    </xf>
    <xf numFmtId="164" fontId="25" fillId="0" borderId="3" xfId="0" applyNumberFormat="1" applyFont="1" applyBorder="1" applyAlignment="1">
      <alignment horizontal="center" vertical="center"/>
    </xf>
    <xf numFmtId="0" fontId="37" fillId="0" borderId="34" xfId="0" applyFont="1" applyBorder="1" applyAlignment="1">
      <alignment horizontal="center" vertical="center"/>
    </xf>
    <xf numFmtId="0" fontId="41" fillId="0" borderId="35" xfId="0" applyFont="1" applyBorder="1" applyAlignment="1">
      <alignment horizontal="center" vertical="center"/>
    </xf>
    <xf numFmtId="0" fontId="41" fillId="0" borderId="36" xfId="0" applyFont="1" applyBorder="1" applyAlignment="1">
      <alignment horizontal="center" vertical="center"/>
    </xf>
    <xf numFmtId="165" fontId="11" fillId="0" borderId="10" xfId="0" applyNumberFormat="1" applyFont="1" applyBorder="1" applyAlignment="1">
      <alignment horizontal="center" vertical="center"/>
    </xf>
    <xf numFmtId="164" fontId="33" fillId="0" borderId="0" xfId="0" applyNumberFormat="1" applyFont="1" applyBorder="1" applyAlignment="1">
      <alignment horizontal="center" vertical="center"/>
    </xf>
    <xf numFmtId="0" fontId="39" fillId="0" borderId="0" xfId="0" applyFont="1" applyBorder="1" applyAlignment="1">
      <alignment horizontal="center"/>
    </xf>
    <xf numFmtId="0" fontId="28" fillId="5" borderId="3" xfId="0" applyFont="1" applyFill="1" applyBorder="1"/>
    <xf numFmtId="0" fontId="28" fillId="5" borderId="5" xfId="0" applyFont="1" applyFill="1" applyBorder="1"/>
    <xf numFmtId="0" fontId="28" fillId="5" borderId="4" xfId="0" applyFont="1" applyFill="1" applyBorder="1"/>
    <xf numFmtId="0" fontId="23" fillId="0" borderId="49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23" fillId="0" borderId="10" xfId="0" applyFont="1" applyBorder="1" applyAlignment="1">
      <alignment horizontal="right"/>
    </xf>
    <xf numFmtId="0" fontId="0" fillId="0" borderId="27" xfId="0" applyBorder="1"/>
    <xf numFmtId="0" fontId="21" fillId="0" borderId="27" xfId="0" applyFont="1" applyBorder="1" applyAlignment="1">
      <alignment horizontal="center" vertical="center"/>
    </xf>
    <xf numFmtId="0" fontId="0" fillId="13" borderId="3" xfId="0" applyFill="1" applyBorder="1"/>
    <xf numFmtId="0" fontId="0" fillId="13" borderId="5" xfId="0" applyFill="1" applyBorder="1"/>
    <xf numFmtId="0" fontId="0" fillId="13" borderId="4" xfId="0" applyFill="1" applyBorder="1"/>
    <xf numFmtId="0" fontId="23" fillId="0" borderId="0" xfId="0" applyFont="1" applyAlignment="1">
      <alignment horizontal="right" vertical="center"/>
    </xf>
    <xf numFmtId="165" fontId="25" fillId="0" borderId="5" xfId="0" applyNumberFormat="1" applyFont="1" applyBorder="1" applyAlignment="1">
      <alignment horizontal="center" vertical="center"/>
    </xf>
    <xf numFmtId="0" fontId="23" fillId="0" borderId="51" xfId="0" applyFont="1" applyBorder="1" applyAlignment="1">
      <alignment horizontal="center" vertical="center"/>
    </xf>
    <xf numFmtId="0" fontId="0" fillId="0" borderId="18" xfId="0" applyBorder="1"/>
    <xf numFmtId="0" fontId="0" fillId="0" borderId="1" xfId="0" applyBorder="1"/>
    <xf numFmtId="0" fontId="23" fillId="0" borderId="15" xfId="0" applyFont="1" applyBorder="1" applyAlignment="1">
      <alignment horizontal="center" vertical="center"/>
    </xf>
    <xf numFmtId="164" fontId="25" fillId="0" borderId="52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7" fontId="24" fillId="0" borderId="2" xfId="0" applyNumberFormat="1" applyFont="1" applyBorder="1" applyAlignment="1">
      <alignment horizontal="center" vertical="center"/>
    </xf>
    <xf numFmtId="0" fontId="25" fillId="0" borderId="53" xfId="0" applyFont="1" applyBorder="1" applyAlignment="1">
      <alignment horizontal="center" vertical="center"/>
    </xf>
    <xf numFmtId="165" fontId="25" fillId="0" borderId="15" xfId="0" applyNumberFormat="1" applyFont="1" applyBorder="1" applyAlignment="1">
      <alignment horizontal="center" vertical="center"/>
    </xf>
    <xf numFmtId="165" fontId="25" fillId="0" borderId="52" xfId="0" applyNumberFormat="1" applyFont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2" fontId="25" fillId="0" borderId="26" xfId="0" applyNumberFormat="1" applyFont="1" applyBorder="1" applyAlignment="1">
      <alignment horizontal="center" vertical="center"/>
    </xf>
    <xf numFmtId="164" fontId="25" fillId="0" borderId="54" xfId="0" applyNumberFormat="1" applyFont="1" applyBorder="1" applyAlignment="1">
      <alignment horizontal="center" vertical="center"/>
    </xf>
    <xf numFmtId="0" fontId="23" fillId="0" borderId="18" xfId="0" applyFont="1" applyBorder="1" applyAlignment="1">
      <alignment horizontal="right"/>
    </xf>
    <xf numFmtId="0" fontId="21" fillId="0" borderId="24" xfId="0" applyFont="1" applyBorder="1" applyAlignment="1">
      <alignment horizontal="center" vertical="center"/>
    </xf>
    <xf numFmtId="0" fontId="0" fillId="0" borderId="24" xfId="0" applyBorder="1"/>
    <xf numFmtId="0" fontId="23" fillId="0" borderId="17" xfId="0" applyFont="1" applyBorder="1" applyAlignment="1">
      <alignment horizontal="right"/>
    </xf>
    <xf numFmtId="168" fontId="21" fillId="0" borderId="0" xfId="0" applyNumberFormat="1" applyFont="1" applyBorder="1" applyAlignment="1">
      <alignment horizontal="center" vertical="center"/>
    </xf>
    <xf numFmtId="0" fontId="30" fillId="0" borderId="17" xfId="0" applyFont="1" applyBorder="1" applyAlignment="1">
      <alignment horizontal="right"/>
    </xf>
    <xf numFmtId="0" fontId="23" fillId="0" borderId="55" xfId="0" applyFont="1" applyBorder="1" applyAlignment="1">
      <alignment horizontal="right"/>
    </xf>
    <xf numFmtId="0" fontId="23" fillId="0" borderId="10" xfId="0" applyFont="1" applyBorder="1"/>
    <xf numFmtId="165" fontId="25" fillId="0" borderId="7" xfId="0" applyNumberFormat="1" applyFont="1" applyBorder="1" applyAlignment="1">
      <alignment horizontal="center" vertical="center"/>
    </xf>
    <xf numFmtId="2" fontId="52" fillId="0" borderId="15" xfId="0" applyNumberFormat="1" applyFont="1" applyBorder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43" fillId="0" borderId="0" xfId="0" applyFont="1" applyBorder="1" applyAlignment="1">
      <alignment horizontal="center" wrapText="1"/>
    </xf>
    <xf numFmtId="0" fontId="43" fillId="0" borderId="0" xfId="0" applyFont="1" applyAlignment="1">
      <alignment horizontal="center"/>
    </xf>
    <xf numFmtId="0" fontId="23" fillId="0" borderId="18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37" fillId="0" borderId="29" xfId="0" applyFont="1" applyBorder="1" applyAlignment="1">
      <alignment horizontal="center" vertical="center"/>
    </xf>
    <xf numFmtId="0" fontId="37" fillId="0" borderId="8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25" fillId="0" borderId="54" xfId="0" applyFont="1" applyBorder="1" applyAlignment="1">
      <alignment horizontal="center" vertical="center"/>
    </xf>
    <xf numFmtId="0" fontId="25" fillId="0" borderId="47" xfId="0" applyFont="1" applyBorder="1" applyAlignment="1">
      <alignment horizontal="center" vertical="center"/>
    </xf>
    <xf numFmtId="0" fontId="68" fillId="0" borderId="0" xfId="0" applyFont="1" applyBorder="1" applyAlignment="1">
      <alignment horizontal="center" vertical="center"/>
    </xf>
    <xf numFmtId="0" fontId="23" fillId="14" borderId="9" xfId="0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7" fillId="6" borderId="17" xfId="0" applyFont="1" applyFill="1" applyBorder="1"/>
    <xf numFmtId="164" fontId="24" fillId="0" borderId="0" xfId="0" applyNumberFormat="1" applyFont="1" applyFill="1" applyBorder="1" applyAlignment="1">
      <alignment horizontal="center" vertical="center"/>
    </xf>
    <xf numFmtId="2" fontId="24" fillId="9" borderId="18" xfId="0" applyNumberFormat="1" applyFont="1" applyFill="1" applyBorder="1" applyAlignment="1">
      <alignment horizontal="center" vertical="center"/>
    </xf>
    <xf numFmtId="164" fontId="24" fillId="9" borderId="24" xfId="0" applyNumberFormat="1" applyFont="1" applyFill="1" applyBorder="1" applyAlignment="1">
      <alignment horizontal="center" vertical="center"/>
    </xf>
    <xf numFmtId="165" fontId="25" fillId="0" borderId="33" xfId="0" applyNumberFormat="1" applyFont="1" applyBorder="1" applyAlignment="1">
      <alignment horizontal="center" vertical="center"/>
    </xf>
    <xf numFmtId="0" fontId="69" fillId="0" borderId="0" xfId="0" applyFont="1" applyBorder="1" applyAlignment="1">
      <alignment horizontal="center" vertical="center"/>
    </xf>
    <xf numFmtId="0" fontId="27" fillId="0" borderId="0" xfId="0" applyFont="1" applyBorder="1"/>
    <xf numFmtId="0" fontId="28" fillId="0" borderId="0" xfId="0" applyFont="1" applyBorder="1"/>
    <xf numFmtId="0" fontId="39" fillId="0" borderId="29" xfId="0" applyFont="1" applyBorder="1" applyAlignment="1">
      <alignment horizontal="center" vertical="center"/>
    </xf>
    <xf numFmtId="0" fontId="28" fillId="6" borderId="5" xfId="0" applyFont="1" applyFill="1" applyBorder="1" applyAlignment="1">
      <alignment vertical="center" wrapText="1"/>
    </xf>
    <xf numFmtId="0" fontId="71" fillId="6" borderId="5" xfId="0" applyFont="1" applyFill="1" applyBorder="1" applyAlignment="1">
      <alignment horizontal="center" vertical="center"/>
    </xf>
    <xf numFmtId="0" fontId="26" fillId="6" borderId="5" xfId="0" applyFont="1" applyFill="1" applyBorder="1" applyAlignment="1">
      <alignment horizontal="center" vertical="center"/>
    </xf>
    <xf numFmtId="164" fontId="70" fillId="6" borderId="5" xfId="0" applyNumberFormat="1" applyFont="1" applyFill="1" applyBorder="1" applyAlignment="1">
      <alignment horizontal="center" vertical="center"/>
    </xf>
    <xf numFmtId="0" fontId="27" fillId="6" borderId="4" xfId="0" applyFont="1" applyFill="1" applyBorder="1"/>
    <xf numFmtId="0" fontId="6" fillId="0" borderId="0" xfId="0" applyFont="1" applyBorder="1" applyAlignment="1">
      <alignment horizontal="center"/>
    </xf>
    <xf numFmtId="0" fontId="73" fillId="0" borderId="0" xfId="0" applyFont="1" applyBorder="1" applyAlignment="1">
      <alignment horizontal="center" vertical="center"/>
    </xf>
    <xf numFmtId="164" fontId="73" fillId="0" borderId="0" xfId="0" applyNumberFormat="1" applyFont="1" applyBorder="1" applyAlignment="1">
      <alignment horizontal="center" vertical="center"/>
    </xf>
    <xf numFmtId="0" fontId="73" fillId="0" borderId="0" xfId="0" applyFont="1" applyBorder="1" applyAlignment="1">
      <alignment horizontal="center"/>
    </xf>
    <xf numFmtId="0" fontId="0" fillId="6" borderId="5" xfId="0" applyFill="1" applyBorder="1" applyAlignment="1">
      <alignment vertical="center" wrapText="1"/>
    </xf>
    <xf numFmtId="164" fontId="51" fillId="6" borderId="5" xfId="0" applyNumberFormat="1" applyFont="1" applyFill="1" applyBorder="1" applyAlignment="1">
      <alignment horizontal="center" vertical="center"/>
    </xf>
    <xf numFmtId="0" fontId="51" fillId="6" borderId="5" xfId="0" applyFont="1" applyFill="1" applyBorder="1"/>
    <xf numFmtId="0" fontId="41" fillId="6" borderId="5" xfId="0" applyFont="1" applyFill="1" applyBorder="1" applyAlignment="1">
      <alignment horizontal="center" vertical="center"/>
    </xf>
    <xf numFmtId="0" fontId="23" fillId="6" borderId="5" xfId="0" applyFont="1" applyFill="1" applyBorder="1" applyAlignment="1">
      <alignment horizontal="center" vertical="center"/>
    </xf>
    <xf numFmtId="164" fontId="25" fillId="6" borderId="5" xfId="0" applyNumberFormat="1" applyFont="1" applyFill="1" applyBorder="1" applyAlignment="1">
      <alignment horizontal="center" vertical="center"/>
    </xf>
    <xf numFmtId="0" fontId="21" fillId="6" borderId="5" xfId="0" applyFont="1" applyFill="1" applyBorder="1"/>
    <xf numFmtId="0" fontId="21" fillId="6" borderId="4" xfId="0" applyFont="1" applyFill="1" applyBorder="1"/>
    <xf numFmtId="0" fontId="0" fillId="0" borderId="18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65" fontId="25" fillId="0" borderId="10" xfId="0" applyNumberFormat="1" applyFont="1" applyBorder="1" applyAlignment="1">
      <alignment horizontal="center" vertical="center" wrapText="1"/>
    </xf>
    <xf numFmtId="165" fontId="25" fillId="0" borderId="2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vertical="center" wrapText="1"/>
    </xf>
    <xf numFmtId="165" fontId="25" fillId="0" borderId="22" xfId="0" applyNumberFormat="1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165" fontId="72" fillId="0" borderId="4" xfId="0" applyNumberFormat="1" applyFont="1" applyBorder="1" applyAlignment="1">
      <alignment horizontal="center" vertical="center" wrapText="1"/>
    </xf>
    <xf numFmtId="2" fontId="73" fillId="0" borderId="0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0" fontId="39" fillId="0" borderId="7" xfId="0" applyFont="1" applyBorder="1" applyAlignment="1">
      <alignment horizontal="center" vertical="center"/>
    </xf>
    <xf numFmtId="1" fontId="73" fillId="0" borderId="1" xfId="0" applyNumberFormat="1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1" fontId="73" fillId="0" borderId="2" xfId="0" applyNumberFormat="1" applyFont="1" applyBorder="1" applyAlignment="1">
      <alignment horizontal="center" vertical="center"/>
    </xf>
    <xf numFmtId="165" fontId="51" fillId="0" borderId="0" xfId="0" applyNumberFormat="1" applyFont="1" applyBorder="1"/>
    <xf numFmtId="171" fontId="41" fillId="0" borderId="0" xfId="0" applyNumberFormat="1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2" fontId="25" fillId="0" borderId="8" xfId="0" applyNumberFormat="1" applyFont="1" applyBorder="1" applyAlignment="1">
      <alignment horizontal="center" vertical="center"/>
    </xf>
    <xf numFmtId="0" fontId="27" fillId="3" borderId="18" xfId="0" applyFont="1" applyFill="1" applyBorder="1" applyAlignment="1">
      <alignment horizontal="center" vertical="center"/>
    </xf>
    <xf numFmtId="0" fontId="28" fillId="8" borderId="17" xfId="0" applyFont="1" applyFill="1" applyBorder="1"/>
    <xf numFmtId="2" fontId="28" fillId="0" borderId="0" xfId="0" applyNumberFormat="1" applyFont="1"/>
    <xf numFmtId="2" fontId="28" fillId="6" borderId="0" xfId="0" applyNumberFormat="1" applyFont="1" applyFill="1"/>
    <xf numFmtId="2" fontId="27" fillId="6" borderId="0" xfId="0" applyNumberFormat="1" applyFont="1" applyFill="1"/>
    <xf numFmtId="0" fontId="6" fillId="0" borderId="18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173" fontId="25" fillId="0" borderId="8" xfId="0" applyNumberFormat="1" applyFont="1" applyBorder="1" applyAlignment="1">
      <alignment horizontal="center" vertical="center"/>
    </xf>
    <xf numFmtId="0" fontId="27" fillId="0" borderId="0" xfId="0" applyFont="1" applyBorder="1" applyAlignment="1">
      <alignment horizontal="left" vertical="center"/>
    </xf>
    <xf numFmtId="0" fontId="21" fillId="0" borderId="1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5" fontId="25" fillId="0" borderId="27" xfId="0" applyNumberFormat="1" applyFont="1" applyBorder="1" applyAlignment="1">
      <alignment horizontal="center" vertical="center"/>
    </xf>
    <xf numFmtId="0" fontId="43" fillId="0" borderId="0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 wrapText="1"/>
    </xf>
    <xf numFmtId="10" fontId="73" fillId="0" borderId="0" xfId="0" applyNumberFormat="1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 wrapText="1"/>
    </xf>
    <xf numFmtId="2" fontId="25" fillId="0" borderId="4" xfId="0" applyNumberFormat="1" applyFont="1" applyBorder="1" applyAlignment="1">
      <alignment horizontal="center" vertical="center" wrapText="1"/>
    </xf>
    <xf numFmtId="0" fontId="69" fillId="0" borderId="6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164" fontId="73" fillId="0" borderId="8" xfId="0" applyNumberFormat="1" applyFont="1" applyBorder="1" applyAlignment="1">
      <alignment horizontal="center" vertical="center"/>
    </xf>
    <xf numFmtId="0" fontId="73" fillId="0" borderId="6" xfId="1" applyNumberFormat="1" applyFont="1" applyBorder="1"/>
    <xf numFmtId="0" fontId="73" fillId="0" borderId="58" xfId="1" applyNumberFormat="1" applyFont="1" applyBorder="1"/>
    <xf numFmtId="0" fontId="27" fillId="3" borderId="0" xfId="0" applyFont="1" applyFill="1" applyBorder="1"/>
    <xf numFmtId="0" fontId="27" fillId="3" borderId="27" xfId="0" applyFont="1" applyFill="1" applyBorder="1"/>
    <xf numFmtId="165" fontId="24" fillId="0" borderId="6" xfId="0" applyNumberFormat="1" applyFont="1" applyBorder="1" applyAlignment="1">
      <alignment horizontal="center" vertical="center"/>
    </xf>
    <xf numFmtId="0" fontId="6" fillId="0" borderId="6" xfId="0" applyFont="1" applyFill="1" applyBorder="1"/>
    <xf numFmtId="165" fontId="24" fillId="0" borderId="58" xfId="0" applyNumberFormat="1" applyFont="1" applyBorder="1" applyAlignment="1">
      <alignment horizontal="center" vertical="center"/>
    </xf>
    <xf numFmtId="0" fontId="65" fillId="11" borderId="7" xfId="0" applyFont="1" applyFill="1" applyBorder="1"/>
    <xf numFmtId="0" fontId="23" fillId="11" borderId="9" xfId="0" applyFont="1" applyFill="1" applyBorder="1" applyAlignment="1">
      <alignment horizontal="center" vertical="center"/>
    </xf>
    <xf numFmtId="0" fontId="21" fillId="0" borderId="8" xfId="0" applyFont="1" applyBorder="1"/>
    <xf numFmtId="0" fontId="77" fillId="0" borderId="6" xfId="3" applyNumberFormat="1" applyFont="1" applyBorder="1"/>
    <xf numFmtId="168" fontId="24" fillId="0" borderId="9" xfId="0" applyNumberFormat="1" applyFont="1" applyBorder="1" applyAlignment="1">
      <alignment horizontal="center" vertical="center"/>
    </xf>
    <xf numFmtId="165" fontId="23" fillId="0" borderId="18" xfId="0" applyNumberFormat="1" applyFont="1" applyBorder="1" applyAlignment="1">
      <alignment horizontal="center" vertical="center"/>
    </xf>
    <xf numFmtId="0" fontId="75" fillId="0" borderId="6" xfId="1" applyNumberFormat="1" applyFont="1" applyBorder="1"/>
    <xf numFmtId="0" fontId="75" fillId="0" borderId="6" xfId="1" applyNumberFormat="1" applyFont="1" applyBorder="1"/>
    <xf numFmtId="0" fontId="75" fillId="0" borderId="6" xfId="1" applyNumberFormat="1" applyFont="1" applyBorder="1"/>
    <xf numFmtId="165" fontId="6" fillId="0" borderId="0" xfId="0" applyNumberFormat="1" applyFont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43" fillId="11" borderId="7" xfId="0" applyFont="1" applyFill="1" applyBorder="1" applyAlignment="1">
      <alignment horizontal="center" vertical="center"/>
    </xf>
    <xf numFmtId="0" fontId="78" fillId="0" borderId="0" xfId="0" applyFont="1"/>
    <xf numFmtId="0" fontId="0" fillId="2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75" fillId="0" borderId="6" xfId="1" applyNumberFormat="1" applyFont="1" applyBorder="1"/>
    <xf numFmtId="0" fontId="0" fillId="6" borderId="0" xfId="0" applyFill="1"/>
    <xf numFmtId="165" fontId="21" fillId="0" borderId="0" xfId="0" applyNumberFormat="1" applyFont="1" applyBorder="1" applyAlignment="1">
      <alignment horizontal="center" vertical="center"/>
    </xf>
    <xf numFmtId="164" fontId="21" fillId="0" borderId="0" xfId="0" applyNumberFormat="1" applyFont="1" applyBorder="1"/>
    <xf numFmtId="173" fontId="21" fillId="0" borderId="0" xfId="0" applyNumberFormat="1" applyFont="1" applyBorder="1" applyAlignment="1">
      <alignment horizontal="center" vertical="center"/>
    </xf>
    <xf numFmtId="0" fontId="75" fillId="0" borderId="6" xfId="1" applyNumberFormat="1" applyFont="1" applyBorder="1"/>
    <xf numFmtId="0" fontId="75" fillId="0" borderId="6" xfId="1" applyNumberFormat="1" applyFont="1" applyBorder="1"/>
    <xf numFmtId="2" fontId="25" fillId="0" borderId="0" xfId="0" applyNumberFormat="1" applyFont="1" applyAlignment="1">
      <alignment horizontal="center" vertical="center"/>
    </xf>
    <xf numFmtId="168" fontId="0" fillId="0" borderId="0" xfId="0" applyNumberFormat="1"/>
    <xf numFmtId="164" fontId="9" fillId="0" borderId="4" xfId="0" applyNumberFormat="1" applyFont="1" applyBorder="1" applyAlignment="1">
      <alignment horizontal="center" vertical="center"/>
    </xf>
    <xf numFmtId="0" fontId="75" fillId="0" borderId="6" xfId="1" applyNumberFormat="1" applyFont="1" applyBorder="1"/>
    <xf numFmtId="0" fontId="75" fillId="0" borderId="6" xfId="1" applyNumberFormat="1" applyFont="1" applyBorder="1"/>
    <xf numFmtId="2" fontId="0" fillId="0" borderId="0" xfId="0" applyNumberFormat="1" applyBorder="1"/>
    <xf numFmtId="2" fontId="0" fillId="0" borderId="0" xfId="0" applyNumberFormat="1"/>
    <xf numFmtId="2" fontId="28" fillId="6" borderId="0" xfId="0" applyNumberFormat="1" applyFont="1" applyFill="1" applyBorder="1"/>
    <xf numFmtId="0" fontId="8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/>
    <xf numFmtId="0" fontId="75" fillId="0" borderId="6" xfId="1" applyNumberFormat="1" applyFont="1" applyBorder="1"/>
    <xf numFmtId="0" fontId="80" fillId="0" borderId="6" xfId="5" applyNumberFormat="1" applyFont="1" applyBorder="1"/>
    <xf numFmtId="2" fontId="27" fillId="6" borderId="48" xfId="0" applyNumberFormat="1" applyFont="1" applyFill="1" applyBorder="1"/>
    <xf numFmtId="172" fontId="0" fillId="0" borderId="0" xfId="0" applyNumberFormat="1"/>
    <xf numFmtId="164" fontId="6" fillId="0" borderId="0" xfId="0" applyNumberFormat="1" applyFont="1" applyBorder="1" applyAlignment="1">
      <alignment horizontal="center" vertical="center"/>
    </xf>
    <xf numFmtId="167" fontId="21" fillId="0" borderId="0" xfId="0" applyNumberFormat="1" applyFont="1"/>
    <xf numFmtId="0" fontId="25" fillId="0" borderId="4" xfId="0" applyFont="1" applyBorder="1" applyAlignment="1">
      <alignment horizontal="center" vertical="center"/>
    </xf>
    <xf numFmtId="167" fontId="25" fillId="0" borderId="5" xfId="0" applyNumberFormat="1" applyFont="1" applyBorder="1" applyAlignment="1">
      <alignment horizontal="center" vertical="center"/>
    </xf>
    <xf numFmtId="0" fontId="43" fillId="0" borderId="9" xfId="0" applyFont="1" applyBorder="1" applyAlignment="1">
      <alignment horizontal="center" vertical="center"/>
    </xf>
    <xf numFmtId="0" fontId="0" fillId="0" borderId="6" xfId="0" applyNumberFormat="1" applyFont="1" applyBorder="1"/>
    <xf numFmtId="164" fontId="24" fillId="0" borderId="58" xfId="0" applyNumberFormat="1" applyFont="1" applyBorder="1" applyAlignment="1">
      <alignment horizontal="center" vertical="center"/>
    </xf>
    <xf numFmtId="164" fontId="24" fillId="0" borderId="6" xfId="0" applyNumberFormat="1" applyFont="1" applyBorder="1" applyAlignment="1">
      <alignment horizontal="center" vertical="center"/>
    </xf>
    <xf numFmtId="0" fontId="75" fillId="0" borderId="6" xfId="1" applyNumberFormat="1" applyFont="1" applyBorder="1"/>
    <xf numFmtId="0" fontId="23" fillId="0" borderId="19" xfId="0" applyFont="1" applyBorder="1" applyAlignment="1">
      <alignment horizontal="left" vertical="center"/>
    </xf>
    <xf numFmtId="0" fontId="23" fillId="0" borderId="22" xfId="0" applyFont="1" applyBorder="1" applyAlignment="1">
      <alignment horizontal="left" vertical="center"/>
    </xf>
    <xf numFmtId="174" fontId="24" fillId="0" borderId="0" xfId="0" applyNumberFormat="1" applyFont="1" applyBorder="1"/>
    <xf numFmtId="0" fontId="22" fillId="0" borderId="57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11" xfId="0" applyFont="1" applyBorder="1" applyAlignment="1">
      <alignment horizontal="center" wrapText="1"/>
    </xf>
    <xf numFmtId="0" fontId="6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37" fillId="0" borderId="7" xfId="0" applyFont="1" applyBorder="1" applyAlignment="1">
      <alignment horizontal="center" vertical="center"/>
    </xf>
    <xf numFmtId="0" fontId="37" fillId="0" borderId="29" xfId="0" applyFont="1" applyBorder="1" applyAlignment="1">
      <alignment horizontal="center" vertical="center"/>
    </xf>
    <xf numFmtId="164" fontId="25" fillId="11" borderId="18" xfId="0" applyNumberFormat="1" applyFont="1" applyFill="1" applyBorder="1" applyAlignment="1">
      <alignment horizontal="center" vertical="center"/>
    </xf>
    <xf numFmtId="164" fontId="25" fillId="11" borderId="1" xfId="0" applyNumberFormat="1" applyFont="1" applyFill="1" applyBorder="1" applyAlignment="1">
      <alignment horizontal="center" vertical="center"/>
    </xf>
    <xf numFmtId="165" fontId="53" fillId="0" borderId="7" xfId="0" applyNumberFormat="1" applyFont="1" applyBorder="1" applyAlignment="1">
      <alignment horizontal="center"/>
    </xf>
    <xf numFmtId="165" fontId="53" fillId="0" borderId="8" xfId="0" applyNumberFormat="1" applyFont="1" applyBorder="1" applyAlignment="1">
      <alignment horizontal="center"/>
    </xf>
    <xf numFmtId="165" fontId="53" fillId="0" borderId="29" xfId="0" applyNumberFormat="1" applyFont="1" applyBorder="1" applyAlignment="1">
      <alignment horizontal="center"/>
    </xf>
    <xf numFmtId="164" fontId="21" fillId="10" borderId="34" xfId="0" applyNumberFormat="1" applyFont="1" applyFill="1" applyBorder="1" applyAlignment="1">
      <alignment horizontal="center" vertical="center"/>
    </xf>
    <xf numFmtId="164" fontId="21" fillId="10" borderId="36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9" fillId="4" borderId="7" xfId="0" applyFont="1" applyFill="1" applyBorder="1" applyAlignment="1">
      <alignment horizontal="center" vertical="center"/>
    </xf>
    <xf numFmtId="0" fontId="39" fillId="4" borderId="8" xfId="0" applyFont="1" applyFill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165" fontId="25" fillId="0" borderId="59" xfId="0" applyNumberFormat="1" applyFont="1" applyBorder="1" applyAlignment="1">
      <alignment horizontal="center" vertical="center"/>
    </xf>
    <xf numFmtId="165" fontId="25" fillId="0" borderId="60" xfId="0" applyNumberFormat="1" applyFont="1" applyBorder="1" applyAlignment="1">
      <alignment horizontal="center" vertical="center"/>
    </xf>
    <xf numFmtId="0" fontId="23" fillId="4" borderId="29" xfId="0" applyFont="1" applyFill="1" applyBorder="1" applyAlignment="1">
      <alignment horizontal="center" vertical="center"/>
    </xf>
    <xf numFmtId="0" fontId="23" fillId="4" borderId="8" xfId="0" applyFont="1" applyFill="1" applyBorder="1" applyAlignment="1">
      <alignment horizontal="center" vertical="center"/>
    </xf>
    <xf numFmtId="165" fontId="25" fillId="0" borderId="22" xfId="0" applyNumberFormat="1" applyFont="1" applyFill="1" applyBorder="1" applyAlignment="1">
      <alignment horizontal="center" vertical="center"/>
    </xf>
    <xf numFmtId="165" fontId="25" fillId="0" borderId="23" xfId="0" applyNumberFormat="1" applyFont="1" applyFill="1" applyBorder="1" applyAlignment="1">
      <alignment horizontal="center" vertical="center"/>
    </xf>
    <xf numFmtId="0" fontId="23" fillId="11" borderId="29" xfId="0" applyFont="1" applyFill="1" applyBorder="1" applyAlignment="1">
      <alignment horizontal="center" vertical="center"/>
    </xf>
    <xf numFmtId="0" fontId="23" fillId="11" borderId="8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165" fontId="25" fillId="0" borderId="2" xfId="0" applyNumberFormat="1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6" fillId="0" borderId="9" xfId="0" applyFont="1" applyBorder="1"/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43985126859143"/>
          <c:y val="8.5856299212598422E-2"/>
          <c:w val="0.84211570428696414"/>
          <c:h val="0.8041123505395159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CC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Correlation!$A$4:$A$28</c:f>
              <c:numCache>
                <c:formatCode>General</c:formatCode>
                <c:ptCount val="25"/>
                <c:pt idx="0">
                  <c:v>-5</c:v>
                </c:pt>
                <c:pt idx="1">
                  <c:v>-3</c:v>
                </c:pt>
                <c:pt idx="2">
                  <c:v>4</c:v>
                </c:pt>
                <c:pt idx="3">
                  <c:v>1</c:v>
                </c:pt>
                <c:pt idx="4">
                  <c:v>-1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-4</c:v>
                </c:pt>
              </c:numCache>
            </c:numRef>
          </c:xVal>
          <c:yVal>
            <c:numRef>
              <c:f>Correlation!$B$4:$B$28</c:f>
              <c:numCache>
                <c:formatCode>General</c:formatCode>
                <c:ptCount val="25"/>
                <c:pt idx="0">
                  <c:v>-10</c:v>
                </c:pt>
                <c:pt idx="1">
                  <c:v>-8</c:v>
                </c:pt>
                <c:pt idx="2">
                  <c:v>9</c:v>
                </c:pt>
                <c:pt idx="3">
                  <c:v>1</c:v>
                </c:pt>
                <c:pt idx="4">
                  <c:v>-2</c:v>
                </c:pt>
                <c:pt idx="5">
                  <c:v>-6</c:v>
                </c:pt>
                <c:pt idx="6">
                  <c:v>-1</c:v>
                </c:pt>
                <c:pt idx="7">
                  <c:v>3</c:v>
                </c:pt>
                <c:pt idx="8">
                  <c:v>6</c:v>
                </c:pt>
                <c:pt idx="9">
                  <c:v>-8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1E-4E80-AD16-755D93056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04968"/>
        <c:axId val="79605360"/>
      </c:scatterChart>
      <c:valAx>
        <c:axId val="79604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05360"/>
        <c:crosses val="autoZero"/>
        <c:crossBetween val="midCat"/>
      </c:valAx>
      <c:valAx>
        <c:axId val="796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Graphs!$A$4:$A$7</c:f>
              <c:strCache>
                <c:ptCount val="4"/>
                <c:pt idx="0">
                  <c:v>A</c:v>
                </c:pt>
                <c:pt idx="1">
                  <c:v>AB</c:v>
                </c:pt>
                <c:pt idx="2">
                  <c:v>B</c:v>
                </c:pt>
                <c:pt idx="3">
                  <c:v>O</c:v>
                </c:pt>
              </c:strCache>
            </c:strRef>
          </c:cat>
          <c:val>
            <c:numRef>
              <c:f>Graphs!$B$4:$B$7</c:f>
              <c:numCache>
                <c:formatCode>General</c:formatCode>
                <c:ptCount val="4"/>
                <c:pt idx="0">
                  <c:v>18</c:v>
                </c:pt>
                <c:pt idx="1">
                  <c:v>4</c:v>
                </c:pt>
                <c:pt idx="2">
                  <c:v>6</c:v>
                </c:pt>
                <c:pt idx="3">
                  <c:v>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3F-46C3-B7F3-A8759BD7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606536"/>
        <c:axId val="79606928"/>
      </c:barChart>
      <c:catAx>
        <c:axId val="79606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0000CC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rgbClr val="0000CC"/>
                    </a:solidFill>
                  </a:rPr>
                  <a:t>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0000CC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06928"/>
        <c:crosses val="autoZero"/>
        <c:auto val="1"/>
        <c:lblAlgn val="ctr"/>
        <c:lblOffset val="100"/>
        <c:noMultiLvlLbl val="0"/>
      </c:catAx>
      <c:valAx>
        <c:axId val="7960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0000CC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rgbClr val="0000CC"/>
                    </a:solidFill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1.775410315497403E-2"/>
              <c:y val="0.289638185908787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0000CC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06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18C-4A35-A5E3-850465ECD9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18C-4A35-A5E3-850465ECD9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18C-4A35-A5E3-850465ECD9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18C-4A35-A5E3-850465ECD9F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Graphs!$A$4:$A$7</c:f>
              <c:strCache>
                <c:ptCount val="4"/>
                <c:pt idx="0">
                  <c:v>A</c:v>
                </c:pt>
                <c:pt idx="1">
                  <c:v>AB</c:v>
                </c:pt>
                <c:pt idx="2">
                  <c:v>B</c:v>
                </c:pt>
                <c:pt idx="3">
                  <c:v>O</c:v>
                </c:pt>
              </c:strCache>
            </c:strRef>
          </c:cat>
          <c:val>
            <c:numRef>
              <c:f>Graphs!$D$4:$D$7</c:f>
              <c:numCache>
                <c:formatCode>0%</c:formatCode>
                <c:ptCount val="4"/>
                <c:pt idx="0">
                  <c:v>0.36</c:v>
                </c:pt>
                <c:pt idx="1">
                  <c:v>0.08</c:v>
                </c:pt>
                <c:pt idx="2">
                  <c:v>0.12</c:v>
                </c:pt>
                <c:pt idx="3">
                  <c:v>0.44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118C-4A35-A5E3-850465ECD9F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74498348996697"/>
          <c:y val="7.739167532027344E-2"/>
          <c:w val="9.2188022280897092E-2"/>
          <c:h val="0.4018425196850393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CC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00CC"/>
                </a:solidFill>
              </a:rPr>
              <a:t>Frequency Polygon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CC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dot!$K$3:$K$11</c:f>
              <c:numCache>
                <c:formatCode>General</c:formatCode>
                <c:ptCount val="9"/>
                <c:pt idx="0">
                  <c:v>670</c:v>
                </c:pt>
                <c:pt idx="1">
                  <c:v>675</c:v>
                </c:pt>
                <c:pt idx="2">
                  <c:v>685</c:v>
                </c:pt>
                <c:pt idx="3">
                  <c:v>695</c:v>
                </c:pt>
                <c:pt idx="4">
                  <c:v>705</c:v>
                </c:pt>
                <c:pt idx="5">
                  <c:v>715</c:v>
                </c:pt>
                <c:pt idx="6">
                  <c:v>725</c:v>
                </c:pt>
                <c:pt idx="7">
                  <c:v>735</c:v>
                </c:pt>
                <c:pt idx="8">
                  <c:v>740</c:v>
                </c:pt>
              </c:numCache>
            </c:numRef>
          </c:cat>
          <c:val>
            <c:numRef>
              <c:f>dot!$L$3:$L$11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11</c:v>
                </c:pt>
                <c:pt idx="7">
                  <c:v>7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3D-449F-B6B4-67BDFB6FC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08104"/>
        <c:axId val="223769760"/>
      </c:lineChart>
      <c:catAx>
        <c:axId val="79608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69760"/>
        <c:crosses val="autoZero"/>
        <c:auto val="1"/>
        <c:lblAlgn val="ctr"/>
        <c:lblOffset val="100"/>
        <c:noMultiLvlLbl val="0"/>
      </c:catAx>
      <c:valAx>
        <c:axId val="22376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08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CC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00CC"/>
                </a:solidFill>
              </a:rPr>
              <a:t>Frequency Polygon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CC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dot!$K$3:$K$11</c:f>
              <c:numCache>
                <c:formatCode>General</c:formatCode>
                <c:ptCount val="9"/>
                <c:pt idx="0">
                  <c:v>670</c:v>
                </c:pt>
                <c:pt idx="1">
                  <c:v>675</c:v>
                </c:pt>
                <c:pt idx="2">
                  <c:v>685</c:v>
                </c:pt>
                <c:pt idx="3">
                  <c:v>695</c:v>
                </c:pt>
                <c:pt idx="4">
                  <c:v>705</c:v>
                </c:pt>
                <c:pt idx="5">
                  <c:v>715</c:v>
                </c:pt>
                <c:pt idx="6">
                  <c:v>725</c:v>
                </c:pt>
                <c:pt idx="7">
                  <c:v>735</c:v>
                </c:pt>
                <c:pt idx="8">
                  <c:v>740</c:v>
                </c:pt>
              </c:numCache>
            </c:numRef>
          </c:cat>
          <c:val>
            <c:numRef>
              <c:f>dot!$M$3:$M$11</c:f>
              <c:numCache>
                <c:formatCode>General</c:formatCode>
                <c:ptCount val="9"/>
                <c:pt idx="0">
                  <c:v>0</c:v>
                </c:pt>
                <c:pt idx="1">
                  <c:v>4.3999999999999997E-2</c:v>
                </c:pt>
                <c:pt idx="2">
                  <c:v>0</c:v>
                </c:pt>
                <c:pt idx="3">
                  <c:v>0.15659999999999999</c:v>
                </c:pt>
                <c:pt idx="4">
                  <c:v>0.2</c:v>
                </c:pt>
                <c:pt idx="5">
                  <c:v>0.2</c:v>
                </c:pt>
                <c:pt idx="6">
                  <c:v>0.24399999999999999</c:v>
                </c:pt>
                <c:pt idx="7">
                  <c:v>0.15659999999999999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09-4B08-8FB5-3467E66CF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772504"/>
        <c:axId val="223772896"/>
      </c:lineChart>
      <c:catAx>
        <c:axId val="223772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72896"/>
        <c:crosses val="autoZero"/>
        <c:auto val="1"/>
        <c:lblAlgn val="ctr"/>
        <c:lblOffset val="100"/>
        <c:noMultiLvlLbl val="0"/>
      </c:catAx>
      <c:valAx>
        <c:axId val="223772896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7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Opinion Regarding Divorce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dot!$L$20:$L$21</c:f>
              <c:strCache>
                <c:ptCount val="2"/>
                <c:pt idx="0">
                  <c:v>Opinion Regarding Divorce</c:v>
                </c:pt>
                <c:pt idx="1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dot!$K$22:$K$24</c:f>
              <c:strCache>
                <c:ptCount val="3"/>
                <c:pt idx="0">
                  <c:v>Depends on situation</c:v>
                </c:pt>
                <c:pt idx="1">
                  <c:v>Morally wrong</c:v>
                </c:pt>
                <c:pt idx="2">
                  <c:v>Morally acceptable</c:v>
                </c:pt>
              </c:strCache>
            </c:strRef>
          </c:cat>
          <c:val>
            <c:numRef>
              <c:f>dot!$L$22:$L$24</c:f>
              <c:numCache>
                <c:formatCode>General</c:formatCode>
                <c:ptCount val="3"/>
                <c:pt idx="0">
                  <c:v>9</c:v>
                </c:pt>
                <c:pt idx="1">
                  <c:v>23</c:v>
                </c:pt>
                <c:pt idx="2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FE-433C-8ACA-95D6BF046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4694696"/>
        <c:axId val="224695088"/>
      </c:barChart>
      <c:catAx>
        <c:axId val="224694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95088"/>
        <c:crosses val="autoZero"/>
        <c:auto val="1"/>
        <c:lblAlgn val="ctr"/>
        <c:lblOffset val="100"/>
        <c:noMultiLvlLbl val="0"/>
      </c:catAx>
      <c:valAx>
        <c:axId val="22469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94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2.emf"/><Relationship Id="rId13" Type="http://schemas.openxmlformats.org/officeDocument/2006/relationships/image" Target="../media/image15.emf"/><Relationship Id="rId3" Type="http://schemas.openxmlformats.org/officeDocument/2006/relationships/image" Target="../media/image27.emf"/><Relationship Id="rId7" Type="http://schemas.openxmlformats.org/officeDocument/2006/relationships/image" Target="../media/image31.emf"/><Relationship Id="rId12" Type="http://schemas.openxmlformats.org/officeDocument/2006/relationships/image" Target="../media/image36.emf"/><Relationship Id="rId2" Type="http://schemas.openxmlformats.org/officeDocument/2006/relationships/image" Target="../media/image26.emf"/><Relationship Id="rId1" Type="http://schemas.openxmlformats.org/officeDocument/2006/relationships/image" Target="../media/image25.emf"/><Relationship Id="rId6" Type="http://schemas.openxmlformats.org/officeDocument/2006/relationships/image" Target="../media/image30.emf"/><Relationship Id="rId11" Type="http://schemas.openxmlformats.org/officeDocument/2006/relationships/image" Target="../media/image35.emf"/><Relationship Id="rId5" Type="http://schemas.openxmlformats.org/officeDocument/2006/relationships/image" Target="../media/image29.emf"/><Relationship Id="rId10" Type="http://schemas.openxmlformats.org/officeDocument/2006/relationships/image" Target="../media/image34.emf"/><Relationship Id="rId4" Type="http://schemas.openxmlformats.org/officeDocument/2006/relationships/image" Target="../media/image28.emf"/><Relationship Id="rId9" Type="http://schemas.openxmlformats.org/officeDocument/2006/relationships/image" Target="../media/image3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123825</xdr:colOff>
          <xdr:row>3</xdr:row>
          <xdr:rowOff>0</xdr:rowOff>
        </xdr:from>
        <xdr:to>
          <xdr:col>8</xdr:col>
          <xdr:colOff>504825</xdr:colOff>
          <xdr:row>4</xdr:row>
          <xdr:rowOff>28575</xdr:rowOff>
        </xdr:to>
        <xdr:sp macro="" textlink="">
          <xdr:nvSpPr>
            <xdr:cNvPr id="16385" name="Object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123825</xdr:colOff>
          <xdr:row>3</xdr:row>
          <xdr:rowOff>0</xdr:rowOff>
        </xdr:from>
        <xdr:to>
          <xdr:col>10</xdr:col>
          <xdr:colOff>495300</xdr:colOff>
          <xdr:row>4</xdr:row>
          <xdr:rowOff>28575</xdr:rowOff>
        </xdr:to>
        <xdr:sp macro="" textlink="">
          <xdr:nvSpPr>
            <xdr:cNvPr id="16386" name="Object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171450</xdr:colOff>
          <xdr:row>12</xdr:row>
          <xdr:rowOff>0</xdr:rowOff>
        </xdr:from>
        <xdr:to>
          <xdr:col>6</xdr:col>
          <xdr:colOff>438150</xdr:colOff>
          <xdr:row>13</xdr:row>
          <xdr:rowOff>9525</xdr:rowOff>
        </xdr:to>
        <xdr:sp macro="" textlink="">
          <xdr:nvSpPr>
            <xdr:cNvPr id="16391" name="Object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16</xdr:row>
          <xdr:rowOff>19050</xdr:rowOff>
        </xdr:from>
        <xdr:to>
          <xdr:col>8</xdr:col>
          <xdr:colOff>514350</xdr:colOff>
          <xdr:row>16</xdr:row>
          <xdr:rowOff>228600</xdr:rowOff>
        </xdr:to>
        <xdr:sp macro="" textlink="">
          <xdr:nvSpPr>
            <xdr:cNvPr id="16392" name="Object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95250</xdr:colOff>
          <xdr:row>2</xdr:row>
          <xdr:rowOff>0</xdr:rowOff>
        </xdr:from>
        <xdr:to>
          <xdr:col>16</xdr:col>
          <xdr:colOff>361950</xdr:colOff>
          <xdr:row>3</xdr:row>
          <xdr:rowOff>9525</xdr:rowOff>
        </xdr:to>
        <xdr:sp macro="" textlink="">
          <xdr:nvSpPr>
            <xdr:cNvPr id="16393" name="Object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219075</xdr:colOff>
          <xdr:row>6</xdr:row>
          <xdr:rowOff>47625</xdr:rowOff>
        </xdr:from>
        <xdr:to>
          <xdr:col>14</xdr:col>
          <xdr:colOff>485775</xdr:colOff>
          <xdr:row>6</xdr:row>
          <xdr:rowOff>247650</xdr:rowOff>
        </xdr:to>
        <xdr:sp macro="" textlink="">
          <xdr:nvSpPr>
            <xdr:cNvPr id="16398" name="Object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123825</xdr:colOff>
          <xdr:row>13</xdr:row>
          <xdr:rowOff>9525</xdr:rowOff>
        </xdr:from>
        <xdr:to>
          <xdr:col>17</xdr:col>
          <xdr:colOff>514350</xdr:colOff>
          <xdr:row>14</xdr:row>
          <xdr:rowOff>0</xdr:rowOff>
        </xdr:to>
        <xdr:sp macro="" textlink="">
          <xdr:nvSpPr>
            <xdr:cNvPr id="16399" name="Object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66675</xdr:colOff>
          <xdr:row>13</xdr:row>
          <xdr:rowOff>0</xdr:rowOff>
        </xdr:from>
        <xdr:to>
          <xdr:col>18</xdr:col>
          <xdr:colOff>457200</xdr:colOff>
          <xdr:row>13</xdr:row>
          <xdr:rowOff>200025</xdr:rowOff>
        </xdr:to>
        <xdr:sp macro="" textlink="">
          <xdr:nvSpPr>
            <xdr:cNvPr id="16400" name="Object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18</xdr:row>
          <xdr:rowOff>9525</xdr:rowOff>
        </xdr:from>
        <xdr:to>
          <xdr:col>17</xdr:col>
          <xdr:colOff>504825</xdr:colOff>
          <xdr:row>18</xdr:row>
          <xdr:rowOff>200025</xdr:rowOff>
        </xdr:to>
        <xdr:sp macro="" textlink="">
          <xdr:nvSpPr>
            <xdr:cNvPr id="16404" name="Object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161925</xdr:colOff>
          <xdr:row>18</xdr:row>
          <xdr:rowOff>9525</xdr:rowOff>
        </xdr:from>
        <xdr:to>
          <xdr:col>16</xdr:col>
          <xdr:colOff>476250</xdr:colOff>
          <xdr:row>18</xdr:row>
          <xdr:rowOff>200025</xdr:rowOff>
        </xdr:to>
        <xdr:sp macro="" textlink="">
          <xdr:nvSpPr>
            <xdr:cNvPr id="16405" name="Object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209550</xdr:colOff>
          <xdr:row>23</xdr:row>
          <xdr:rowOff>0</xdr:rowOff>
        </xdr:from>
        <xdr:to>
          <xdr:col>15</xdr:col>
          <xdr:colOff>438150</xdr:colOff>
          <xdr:row>24</xdr:row>
          <xdr:rowOff>28575</xdr:rowOff>
        </xdr:to>
        <xdr:sp macro="" textlink="">
          <xdr:nvSpPr>
            <xdr:cNvPr id="16406" name="Object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21</xdr:row>
          <xdr:rowOff>28575</xdr:rowOff>
        </xdr:from>
        <xdr:to>
          <xdr:col>6</xdr:col>
          <xdr:colOff>314325</xdr:colOff>
          <xdr:row>21</xdr:row>
          <xdr:rowOff>180975</xdr:rowOff>
        </xdr:to>
        <xdr:sp macro="" textlink="">
          <xdr:nvSpPr>
            <xdr:cNvPr id="16407" name="Object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27</xdr:row>
          <xdr:rowOff>0</xdr:rowOff>
        </xdr:from>
        <xdr:to>
          <xdr:col>8</xdr:col>
          <xdr:colOff>438150</xdr:colOff>
          <xdr:row>28</xdr:row>
          <xdr:rowOff>9525</xdr:rowOff>
        </xdr:to>
        <xdr:sp macro="" textlink="">
          <xdr:nvSpPr>
            <xdr:cNvPr id="16408" name="Object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123825</xdr:colOff>
          <xdr:row>31</xdr:row>
          <xdr:rowOff>9525</xdr:rowOff>
        </xdr:from>
        <xdr:to>
          <xdr:col>9</xdr:col>
          <xdr:colOff>514350</xdr:colOff>
          <xdr:row>32</xdr:row>
          <xdr:rowOff>0</xdr:rowOff>
        </xdr:to>
        <xdr:sp macro="" textlink="">
          <xdr:nvSpPr>
            <xdr:cNvPr id="16409" name="Object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66675</xdr:colOff>
          <xdr:row>31</xdr:row>
          <xdr:rowOff>19050</xdr:rowOff>
        </xdr:from>
        <xdr:to>
          <xdr:col>10</xdr:col>
          <xdr:colOff>457200</xdr:colOff>
          <xdr:row>31</xdr:row>
          <xdr:rowOff>219075</xdr:rowOff>
        </xdr:to>
        <xdr:sp macro="" textlink="">
          <xdr:nvSpPr>
            <xdr:cNvPr id="16410" name="Object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257175</xdr:colOff>
          <xdr:row>27</xdr:row>
          <xdr:rowOff>200025</xdr:rowOff>
        </xdr:from>
        <xdr:to>
          <xdr:col>14</xdr:col>
          <xdr:colOff>438150</xdr:colOff>
          <xdr:row>28</xdr:row>
          <xdr:rowOff>180975</xdr:rowOff>
        </xdr:to>
        <xdr:sp macro="" textlink="">
          <xdr:nvSpPr>
            <xdr:cNvPr id="16411" name="Object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209550</xdr:colOff>
          <xdr:row>27</xdr:row>
          <xdr:rowOff>9525</xdr:rowOff>
        </xdr:from>
        <xdr:to>
          <xdr:col>14</xdr:col>
          <xdr:colOff>352425</xdr:colOff>
          <xdr:row>27</xdr:row>
          <xdr:rowOff>190500</xdr:rowOff>
        </xdr:to>
        <xdr:sp macro="" textlink="">
          <xdr:nvSpPr>
            <xdr:cNvPr id="16412" name="Object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161925</xdr:colOff>
          <xdr:row>8</xdr:row>
          <xdr:rowOff>28575</xdr:rowOff>
        </xdr:from>
        <xdr:to>
          <xdr:col>14</xdr:col>
          <xdr:colOff>314325</xdr:colOff>
          <xdr:row>8</xdr:row>
          <xdr:rowOff>180975</xdr:rowOff>
        </xdr:to>
        <xdr:sp macro="" textlink="">
          <xdr:nvSpPr>
            <xdr:cNvPr id="16415" name="Object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228600</xdr:colOff>
          <xdr:row>4</xdr:row>
          <xdr:rowOff>28575</xdr:rowOff>
        </xdr:from>
        <xdr:to>
          <xdr:col>23</xdr:col>
          <xdr:colOff>371475</xdr:colOff>
          <xdr:row>5</xdr:row>
          <xdr:rowOff>0</xdr:rowOff>
        </xdr:to>
        <xdr:sp macro="" textlink="">
          <xdr:nvSpPr>
            <xdr:cNvPr id="16419" name="Object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161925</xdr:colOff>
          <xdr:row>2</xdr:row>
          <xdr:rowOff>28575</xdr:rowOff>
        </xdr:from>
        <xdr:to>
          <xdr:col>21</xdr:col>
          <xdr:colOff>314325</xdr:colOff>
          <xdr:row>2</xdr:row>
          <xdr:rowOff>180975</xdr:rowOff>
        </xdr:to>
        <xdr:sp macro="" textlink="">
          <xdr:nvSpPr>
            <xdr:cNvPr id="16420" name="Object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190500</xdr:colOff>
          <xdr:row>2</xdr:row>
          <xdr:rowOff>9525</xdr:rowOff>
        </xdr:from>
        <xdr:to>
          <xdr:col>24</xdr:col>
          <xdr:colOff>504825</xdr:colOff>
          <xdr:row>2</xdr:row>
          <xdr:rowOff>200025</xdr:rowOff>
        </xdr:to>
        <xdr:sp macro="" textlink="">
          <xdr:nvSpPr>
            <xdr:cNvPr id="16421" name="Object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161925</xdr:colOff>
          <xdr:row>2</xdr:row>
          <xdr:rowOff>9525</xdr:rowOff>
        </xdr:from>
        <xdr:to>
          <xdr:col>23</xdr:col>
          <xdr:colOff>476250</xdr:colOff>
          <xdr:row>2</xdr:row>
          <xdr:rowOff>200025</xdr:rowOff>
        </xdr:to>
        <xdr:sp macro="" textlink="">
          <xdr:nvSpPr>
            <xdr:cNvPr id="16422" name="Object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190500</xdr:colOff>
          <xdr:row>2</xdr:row>
          <xdr:rowOff>9525</xdr:rowOff>
        </xdr:from>
        <xdr:to>
          <xdr:col>25</xdr:col>
          <xdr:colOff>504825</xdr:colOff>
          <xdr:row>2</xdr:row>
          <xdr:rowOff>200025</xdr:rowOff>
        </xdr:to>
        <xdr:sp macro="" textlink="">
          <xdr:nvSpPr>
            <xdr:cNvPr id="16423" name="Object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38100</xdr:colOff>
          <xdr:row>4</xdr:row>
          <xdr:rowOff>0</xdr:rowOff>
        </xdr:from>
        <xdr:to>
          <xdr:col>26</xdr:col>
          <xdr:colOff>228600</xdr:colOff>
          <xdr:row>4</xdr:row>
          <xdr:rowOff>190500</xdr:rowOff>
        </xdr:to>
        <xdr:sp macro="" textlink="">
          <xdr:nvSpPr>
            <xdr:cNvPr id="16424" name="Object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123825</xdr:colOff>
          <xdr:row>25</xdr:row>
          <xdr:rowOff>28575</xdr:rowOff>
        </xdr:from>
        <xdr:to>
          <xdr:col>18</xdr:col>
          <xdr:colOff>514350</xdr:colOff>
          <xdr:row>25</xdr:row>
          <xdr:rowOff>247650</xdr:rowOff>
        </xdr:to>
        <xdr:sp macro="" textlink="">
          <xdr:nvSpPr>
            <xdr:cNvPr id="16425" name="Object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123825</xdr:colOff>
          <xdr:row>25</xdr:row>
          <xdr:rowOff>38100</xdr:rowOff>
        </xdr:from>
        <xdr:to>
          <xdr:col>19</xdr:col>
          <xdr:colOff>514350</xdr:colOff>
          <xdr:row>26</xdr:row>
          <xdr:rowOff>0</xdr:rowOff>
        </xdr:to>
        <xdr:sp macro="" textlink="">
          <xdr:nvSpPr>
            <xdr:cNvPr id="16426" name="Object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161925</xdr:colOff>
          <xdr:row>27</xdr:row>
          <xdr:rowOff>0</xdr:rowOff>
        </xdr:from>
        <xdr:to>
          <xdr:col>16</xdr:col>
          <xdr:colOff>381000</xdr:colOff>
          <xdr:row>27</xdr:row>
          <xdr:rowOff>200025</xdr:rowOff>
        </xdr:to>
        <xdr:sp macro="" textlink="">
          <xdr:nvSpPr>
            <xdr:cNvPr id="16427" name="Object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304800</xdr:colOff>
          <xdr:row>7</xdr:row>
          <xdr:rowOff>38100</xdr:rowOff>
        </xdr:from>
        <xdr:to>
          <xdr:col>25</xdr:col>
          <xdr:colOff>457200</xdr:colOff>
          <xdr:row>7</xdr:row>
          <xdr:rowOff>190500</xdr:rowOff>
        </xdr:to>
        <xdr:sp macro="" textlink="">
          <xdr:nvSpPr>
            <xdr:cNvPr id="16428" name="Object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8</xdr:row>
          <xdr:rowOff>161925</xdr:rowOff>
        </xdr:from>
        <xdr:to>
          <xdr:col>21</xdr:col>
          <xdr:colOff>438150</xdr:colOff>
          <xdr:row>9</xdr:row>
          <xdr:rowOff>190500</xdr:rowOff>
        </xdr:to>
        <xdr:sp macro="" textlink="">
          <xdr:nvSpPr>
            <xdr:cNvPr id="16429" name="Object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95250</xdr:colOff>
          <xdr:row>9</xdr:row>
          <xdr:rowOff>200025</xdr:rowOff>
        </xdr:from>
        <xdr:to>
          <xdr:col>21</xdr:col>
          <xdr:colOff>409575</xdr:colOff>
          <xdr:row>11</xdr:row>
          <xdr:rowOff>9525</xdr:rowOff>
        </xdr:to>
        <xdr:sp macro="" textlink="">
          <xdr:nvSpPr>
            <xdr:cNvPr id="16430" name="Object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228600</xdr:colOff>
          <xdr:row>9</xdr:row>
          <xdr:rowOff>28575</xdr:rowOff>
        </xdr:from>
        <xdr:to>
          <xdr:col>23</xdr:col>
          <xdr:colOff>371475</xdr:colOff>
          <xdr:row>10</xdr:row>
          <xdr:rowOff>9525</xdr:rowOff>
        </xdr:to>
        <xdr:sp macro="" textlink="">
          <xdr:nvSpPr>
            <xdr:cNvPr id="16431" name="Object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171450</xdr:colOff>
          <xdr:row>27</xdr:row>
          <xdr:rowOff>0</xdr:rowOff>
        </xdr:from>
        <xdr:to>
          <xdr:col>10</xdr:col>
          <xdr:colOff>438150</xdr:colOff>
          <xdr:row>28</xdr:row>
          <xdr:rowOff>9525</xdr:rowOff>
        </xdr:to>
        <xdr:sp macro="" textlink="">
          <xdr:nvSpPr>
            <xdr:cNvPr id="16435" name="Object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504825</xdr:colOff>
          <xdr:row>11</xdr:row>
          <xdr:rowOff>28575</xdr:rowOff>
        </xdr:from>
        <xdr:to>
          <xdr:col>14</xdr:col>
          <xdr:colOff>123825</xdr:colOff>
          <xdr:row>11</xdr:row>
          <xdr:rowOff>228600</xdr:rowOff>
        </xdr:to>
        <xdr:sp macro="" textlink="">
          <xdr:nvSpPr>
            <xdr:cNvPr id="12308" name="Object 20" hidden="1">
              <a:extLst>
                <a:ext uri="{63B3BB69-23CF-44E3-9099-C40C66FF867C}">
                  <a14:compatExt spid="_x0000_s12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304800</xdr:colOff>
          <xdr:row>16</xdr:row>
          <xdr:rowOff>47625</xdr:rowOff>
        </xdr:from>
        <xdr:to>
          <xdr:col>9</xdr:col>
          <xdr:colOff>571500</xdr:colOff>
          <xdr:row>17</xdr:row>
          <xdr:rowOff>0</xdr:rowOff>
        </xdr:to>
        <xdr:sp macro="" textlink="">
          <xdr:nvSpPr>
            <xdr:cNvPr id="12309" name="Object 21" hidden="1">
              <a:extLst>
                <a:ext uri="{63B3BB69-23CF-44E3-9099-C40C66FF867C}">
                  <a14:compatExt spid="_x0000_s12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171450</xdr:colOff>
          <xdr:row>6</xdr:row>
          <xdr:rowOff>38100</xdr:rowOff>
        </xdr:from>
        <xdr:to>
          <xdr:col>12</xdr:col>
          <xdr:colOff>438150</xdr:colOff>
          <xdr:row>7</xdr:row>
          <xdr:rowOff>9525</xdr:rowOff>
        </xdr:to>
        <xdr:sp macro="" textlink="">
          <xdr:nvSpPr>
            <xdr:cNvPr id="12310" name="Object 22" hidden="1">
              <a:extLst>
                <a:ext uri="{63B3BB69-23CF-44E3-9099-C40C66FF867C}">
                  <a14:compatExt spid="_x0000_s12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142875</xdr:colOff>
          <xdr:row>6</xdr:row>
          <xdr:rowOff>47625</xdr:rowOff>
        </xdr:from>
        <xdr:to>
          <xdr:col>13</xdr:col>
          <xdr:colOff>409575</xdr:colOff>
          <xdr:row>7</xdr:row>
          <xdr:rowOff>19050</xdr:rowOff>
        </xdr:to>
        <xdr:sp macro="" textlink="">
          <xdr:nvSpPr>
            <xdr:cNvPr id="12311" name="Object 23" hidden="1">
              <a:extLst>
                <a:ext uri="{63B3BB69-23CF-44E3-9099-C40C66FF867C}">
                  <a14:compatExt spid="_x0000_s12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285750</xdr:colOff>
          <xdr:row>15</xdr:row>
          <xdr:rowOff>19050</xdr:rowOff>
        </xdr:from>
        <xdr:to>
          <xdr:col>9</xdr:col>
          <xdr:colOff>552450</xdr:colOff>
          <xdr:row>15</xdr:row>
          <xdr:rowOff>219075</xdr:rowOff>
        </xdr:to>
        <xdr:sp macro="" textlink="">
          <xdr:nvSpPr>
            <xdr:cNvPr id="12312" name="Object 24" hidden="1">
              <a:extLst>
                <a:ext uri="{63B3BB69-23CF-44E3-9099-C40C66FF867C}">
                  <a14:compatExt spid="_x0000_s12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476250</xdr:colOff>
          <xdr:row>19</xdr:row>
          <xdr:rowOff>19050</xdr:rowOff>
        </xdr:from>
        <xdr:to>
          <xdr:col>7</xdr:col>
          <xdr:colOff>219075</xdr:colOff>
          <xdr:row>19</xdr:row>
          <xdr:rowOff>247650</xdr:rowOff>
        </xdr:to>
        <xdr:sp macro="" textlink="">
          <xdr:nvSpPr>
            <xdr:cNvPr id="12316" name="Object 28" hidden="1">
              <a:extLst>
                <a:ext uri="{63B3BB69-23CF-44E3-9099-C40C66FF867C}">
                  <a14:compatExt spid="_x0000_s12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19</xdr:row>
          <xdr:rowOff>9525</xdr:rowOff>
        </xdr:from>
        <xdr:to>
          <xdr:col>4</xdr:col>
          <xdr:colOff>381000</xdr:colOff>
          <xdr:row>20</xdr:row>
          <xdr:rowOff>19050</xdr:rowOff>
        </xdr:to>
        <xdr:sp macro="" textlink="">
          <xdr:nvSpPr>
            <xdr:cNvPr id="12318" name="Object 30" hidden="1">
              <a:extLst>
                <a:ext uri="{63B3BB69-23CF-44E3-9099-C40C66FF867C}">
                  <a14:compatExt spid="_x0000_s12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257175</xdr:colOff>
          <xdr:row>22</xdr:row>
          <xdr:rowOff>9525</xdr:rowOff>
        </xdr:from>
        <xdr:to>
          <xdr:col>4</xdr:col>
          <xdr:colOff>447675</xdr:colOff>
          <xdr:row>23</xdr:row>
          <xdr:rowOff>38100</xdr:rowOff>
        </xdr:to>
        <xdr:sp macro="" textlink="">
          <xdr:nvSpPr>
            <xdr:cNvPr id="12319" name="Object 31" hidden="1">
              <a:extLst>
                <a:ext uri="{63B3BB69-23CF-44E3-9099-C40C66FF867C}">
                  <a14:compatExt spid="_x0000_s12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504825</xdr:colOff>
          <xdr:row>10</xdr:row>
          <xdr:rowOff>9525</xdr:rowOff>
        </xdr:from>
        <xdr:to>
          <xdr:col>7</xdr:col>
          <xdr:colOff>247650</xdr:colOff>
          <xdr:row>10</xdr:row>
          <xdr:rowOff>228600</xdr:rowOff>
        </xdr:to>
        <xdr:sp macro="" textlink="">
          <xdr:nvSpPr>
            <xdr:cNvPr id="12322" name="Object 34" hidden="1">
              <a:extLst>
                <a:ext uri="{63B3BB69-23CF-44E3-9099-C40C66FF867C}">
                  <a14:compatExt spid="_x0000_s12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5</xdr:row>
          <xdr:rowOff>200025</xdr:rowOff>
        </xdr:from>
        <xdr:to>
          <xdr:col>4</xdr:col>
          <xdr:colOff>419100</xdr:colOff>
          <xdr:row>6</xdr:row>
          <xdr:rowOff>209550</xdr:rowOff>
        </xdr:to>
        <xdr:sp macro="" textlink="">
          <xdr:nvSpPr>
            <xdr:cNvPr id="12334" name="Object 46" hidden="1">
              <a:extLst>
                <a:ext uri="{63B3BB69-23CF-44E3-9099-C40C66FF867C}">
                  <a14:compatExt spid="_x0000_s12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304800</xdr:colOff>
          <xdr:row>5</xdr:row>
          <xdr:rowOff>209550</xdr:rowOff>
        </xdr:from>
        <xdr:to>
          <xdr:col>5</xdr:col>
          <xdr:colOff>466725</xdr:colOff>
          <xdr:row>6</xdr:row>
          <xdr:rowOff>200025</xdr:rowOff>
        </xdr:to>
        <xdr:sp macro="" textlink="">
          <xdr:nvSpPr>
            <xdr:cNvPr id="12335" name="Object 47" hidden="1">
              <a:extLst>
                <a:ext uri="{63B3BB69-23CF-44E3-9099-C40C66FF867C}">
                  <a14:compatExt spid="_x0000_s12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0</xdr:rowOff>
        </xdr:from>
        <xdr:to>
          <xdr:col>6</xdr:col>
          <xdr:colOff>371475</xdr:colOff>
          <xdr:row>6</xdr:row>
          <xdr:rowOff>209550</xdr:rowOff>
        </xdr:to>
        <xdr:sp macro="" textlink="">
          <xdr:nvSpPr>
            <xdr:cNvPr id="12336" name="Object 48" hidden="1">
              <a:extLst>
                <a:ext uri="{63B3BB69-23CF-44E3-9099-C40C66FF867C}">
                  <a14:compatExt spid="_x0000_s12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542925</xdr:colOff>
          <xdr:row>8</xdr:row>
          <xdr:rowOff>9525</xdr:rowOff>
        </xdr:from>
        <xdr:to>
          <xdr:col>6</xdr:col>
          <xdr:colOff>114300</xdr:colOff>
          <xdr:row>8</xdr:row>
          <xdr:rowOff>209550</xdr:rowOff>
        </xdr:to>
        <xdr:sp macro="" textlink="">
          <xdr:nvSpPr>
            <xdr:cNvPr id="12337" name="Object 49" hidden="1">
              <a:extLst>
                <a:ext uri="{63B3BB69-23CF-44E3-9099-C40C66FF867C}">
                  <a14:compatExt spid="_x0000_s12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476250</xdr:colOff>
          <xdr:row>26</xdr:row>
          <xdr:rowOff>19050</xdr:rowOff>
        </xdr:from>
        <xdr:to>
          <xdr:col>7</xdr:col>
          <xdr:colOff>219075</xdr:colOff>
          <xdr:row>26</xdr:row>
          <xdr:rowOff>247650</xdr:rowOff>
        </xdr:to>
        <xdr:sp macro="" textlink="">
          <xdr:nvSpPr>
            <xdr:cNvPr id="12341" name="Object 53" hidden="1">
              <a:extLst>
                <a:ext uri="{63B3BB69-23CF-44E3-9099-C40C66FF867C}">
                  <a14:compatExt spid="_x0000_s12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342900</xdr:colOff>
          <xdr:row>22</xdr:row>
          <xdr:rowOff>19050</xdr:rowOff>
        </xdr:from>
        <xdr:to>
          <xdr:col>9</xdr:col>
          <xdr:colOff>476250</xdr:colOff>
          <xdr:row>22</xdr:row>
          <xdr:rowOff>209550</xdr:rowOff>
        </xdr:to>
        <xdr:sp macro="" textlink="">
          <xdr:nvSpPr>
            <xdr:cNvPr id="12342" name="Object 54" hidden="1">
              <a:extLst>
                <a:ext uri="{63B3BB69-23CF-44E3-9099-C40C66FF867C}">
                  <a14:compatExt spid="_x0000_s12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304800</xdr:colOff>
          <xdr:row>23</xdr:row>
          <xdr:rowOff>9525</xdr:rowOff>
        </xdr:from>
        <xdr:to>
          <xdr:col>9</xdr:col>
          <xdr:colOff>466725</xdr:colOff>
          <xdr:row>23</xdr:row>
          <xdr:rowOff>209550</xdr:rowOff>
        </xdr:to>
        <xdr:sp macro="" textlink="">
          <xdr:nvSpPr>
            <xdr:cNvPr id="12343" name="Object 55" hidden="1">
              <a:extLst>
                <a:ext uri="{63B3BB69-23CF-44E3-9099-C40C66FF867C}">
                  <a14:compatExt spid="_x0000_s12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542925</xdr:colOff>
          <xdr:row>22</xdr:row>
          <xdr:rowOff>9525</xdr:rowOff>
        </xdr:from>
        <xdr:to>
          <xdr:col>12</xdr:col>
          <xdr:colOff>57150</xdr:colOff>
          <xdr:row>22</xdr:row>
          <xdr:rowOff>209550</xdr:rowOff>
        </xdr:to>
        <xdr:sp macro="" textlink="">
          <xdr:nvSpPr>
            <xdr:cNvPr id="12344" name="Object 56" hidden="1">
              <a:extLst>
                <a:ext uri="{63B3BB69-23CF-44E3-9099-C40C66FF867C}">
                  <a14:compatExt spid="_x0000_s12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238125</xdr:colOff>
          <xdr:row>2</xdr:row>
          <xdr:rowOff>66675</xdr:rowOff>
        </xdr:from>
        <xdr:to>
          <xdr:col>22</xdr:col>
          <xdr:colOff>476250</xdr:colOff>
          <xdr:row>2</xdr:row>
          <xdr:rowOff>209550</xdr:rowOff>
        </xdr:to>
        <xdr:sp macro="" textlink="">
          <xdr:nvSpPr>
            <xdr:cNvPr id="12347" name="Object 59" hidden="1">
              <a:extLst>
                <a:ext uri="{63B3BB69-23CF-44E3-9099-C40C66FF867C}">
                  <a14:compatExt spid="_x0000_s12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285750</xdr:colOff>
          <xdr:row>2</xdr:row>
          <xdr:rowOff>19050</xdr:rowOff>
        </xdr:from>
        <xdr:to>
          <xdr:col>21</xdr:col>
          <xdr:colOff>428625</xdr:colOff>
          <xdr:row>3</xdr:row>
          <xdr:rowOff>0</xdr:rowOff>
        </xdr:to>
        <xdr:sp macro="" textlink="">
          <xdr:nvSpPr>
            <xdr:cNvPr id="12348" name="Object 60" hidden="1">
              <a:extLst>
                <a:ext uri="{63B3BB69-23CF-44E3-9099-C40C66FF867C}">
                  <a14:compatExt spid="_x0000_s12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66675</xdr:colOff>
          <xdr:row>5</xdr:row>
          <xdr:rowOff>19050</xdr:rowOff>
        </xdr:from>
        <xdr:to>
          <xdr:col>21</xdr:col>
          <xdr:colOff>209550</xdr:colOff>
          <xdr:row>6</xdr:row>
          <xdr:rowOff>9525</xdr:rowOff>
        </xdr:to>
        <xdr:sp macro="" textlink="">
          <xdr:nvSpPr>
            <xdr:cNvPr id="12349" name="Object 61" hidden="1">
              <a:extLst>
                <a:ext uri="{63B3BB69-23CF-44E3-9099-C40C66FF867C}">
                  <a14:compatExt spid="_x0000_s12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24</xdr:row>
      <xdr:rowOff>95249</xdr:rowOff>
    </xdr:from>
    <xdr:to>
      <xdr:col>7</xdr:col>
      <xdr:colOff>390525</xdr:colOff>
      <xdr:row>36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23812</xdr:colOff>
      <xdr:row>0</xdr:row>
      <xdr:rowOff>42862</xdr:rowOff>
    </xdr:from>
    <xdr:ext cx="17120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147887" y="290512"/>
              <a:ext cx="17120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147887" y="290512"/>
              <a:ext cx="17120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𝑟^2</a:t>
              </a:r>
              <a:endParaRPr lang="en-US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4</xdr:row>
          <xdr:rowOff>9525</xdr:rowOff>
        </xdr:from>
        <xdr:to>
          <xdr:col>5</xdr:col>
          <xdr:colOff>447675</xdr:colOff>
          <xdr:row>4</xdr:row>
          <xdr:rowOff>171450</xdr:rowOff>
        </xdr:to>
        <xdr:sp macro="" textlink="">
          <xdr:nvSpPr>
            <xdr:cNvPr id="13316" name="Object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15</xdr:row>
          <xdr:rowOff>9525</xdr:rowOff>
        </xdr:from>
        <xdr:to>
          <xdr:col>5</xdr:col>
          <xdr:colOff>447675</xdr:colOff>
          <xdr:row>15</xdr:row>
          <xdr:rowOff>171450</xdr:rowOff>
        </xdr:to>
        <xdr:sp macro="" textlink="">
          <xdr:nvSpPr>
            <xdr:cNvPr id="13317" name="Object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152399</xdr:rowOff>
    </xdr:from>
    <xdr:to>
      <xdr:col>10</xdr:col>
      <xdr:colOff>557214</xdr:colOff>
      <xdr:row>12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323851</xdr:colOff>
      <xdr:row>13</xdr:row>
      <xdr:rowOff>152401</xdr:rowOff>
    </xdr:from>
    <xdr:to>
      <xdr:col>10</xdr:col>
      <xdr:colOff>552450</xdr:colOff>
      <xdr:row>25</xdr:row>
      <xdr:rowOff>152401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2</xdr:row>
      <xdr:rowOff>138113</xdr:rowOff>
    </xdr:from>
    <xdr:to>
      <xdr:col>19</xdr:col>
      <xdr:colOff>200026</xdr:colOff>
      <xdr:row>10</xdr:row>
      <xdr:rowOff>114301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295274</xdr:colOff>
      <xdr:row>2</xdr:row>
      <xdr:rowOff>114300</xdr:rowOff>
    </xdr:from>
    <xdr:to>
      <xdr:col>23</xdr:col>
      <xdr:colOff>600075</xdr:colOff>
      <xdr:row>11</xdr:row>
      <xdr:rowOff>38100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566737</xdr:colOff>
      <xdr:row>17</xdr:row>
      <xdr:rowOff>61912</xdr:rowOff>
    </xdr:from>
    <xdr:to>
      <xdr:col>21</xdr:col>
      <xdr:colOff>261937</xdr:colOff>
      <xdr:row>25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6.bin"/><Relationship Id="rId18" Type="http://schemas.openxmlformats.org/officeDocument/2006/relationships/oleObject" Target="../embeddings/oleObject9.bin"/><Relationship Id="rId26" Type="http://schemas.openxmlformats.org/officeDocument/2006/relationships/oleObject" Target="../embeddings/oleObject13.bin"/><Relationship Id="rId39" Type="http://schemas.openxmlformats.org/officeDocument/2006/relationships/oleObject" Target="../embeddings/oleObject21.bin"/><Relationship Id="rId21" Type="http://schemas.openxmlformats.org/officeDocument/2006/relationships/image" Target="../media/image8.emf"/><Relationship Id="rId34" Type="http://schemas.openxmlformats.org/officeDocument/2006/relationships/image" Target="../media/image14.emf"/><Relationship Id="rId42" Type="http://schemas.openxmlformats.org/officeDocument/2006/relationships/image" Target="../media/image16.emf"/><Relationship Id="rId47" Type="http://schemas.openxmlformats.org/officeDocument/2006/relationships/oleObject" Target="../embeddings/oleObject26.bin"/><Relationship Id="rId50" Type="http://schemas.openxmlformats.org/officeDocument/2006/relationships/image" Target="../media/image20.emf"/><Relationship Id="rId55" Type="http://schemas.openxmlformats.org/officeDocument/2006/relationships/oleObject" Target="../embeddings/oleObject30.bin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6.emf"/><Relationship Id="rId25" Type="http://schemas.openxmlformats.org/officeDocument/2006/relationships/image" Target="../media/image10.emf"/><Relationship Id="rId33" Type="http://schemas.openxmlformats.org/officeDocument/2006/relationships/oleObject" Target="../embeddings/oleObject17.bin"/><Relationship Id="rId38" Type="http://schemas.openxmlformats.org/officeDocument/2006/relationships/oleObject" Target="../embeddings/oleObject20.bin"/><Relationship Id="rId46" Type="http://schemas.openxmlformats.org/officeDocument/2006/relationships/image" Target="../media/image18.emf"/><Relationship Id="rId59" Type="http://schemas.openxmlformats.org/officeDocument/2006/relationships/image" Target="../media/image24.e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8.bin"/><Relationship Id="rId20" Type="http://schemas.openxmlformats.org/officeDocument/2006/relationships/oleObject" Target="../embeddings/oleObject10.bin"/><Relationship Id="rId29" Type="http://schemas.openxmlformats.org/officeDocument/2006/relationships/oleObject" Target="../embeddings/oleObject15.bin"/><Relationship Id="rId41" Type="http://schemas.openxmlformats.org/officeDocument/2006/relationships/oleObject" Target="../embeddings/oleObject23.bin"/><Relationship Id="rId54" Type="http://schemas.openxmlformats.org/officeDocument/2006/relationships/image" Target="../media/image22.emf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24" Type="http://schemas.openxmlformats.org/officeDocument/2006/relationships/oleObject" Target="../embeddings/oleObject12.bin"/><Relationship Id="rId32" Type="http://schemas.openxmlformats.org/officeDocument/2006/relationships/image" Target="../media/image13.emf"/><Relationship Id="rId37" Type="http://schemas.openxmlformats.org/officeDocument/2006/relationships/image" Target="../media/image15.emf"/><Relationship Id="rId40" Type="http://schemas.openxmlformats.org/officeDocument/2006/relationships/oleObject" Target="../embeddings/oleObject22.bin"/><Relationship Id="rId45" Type="http://schemas.openxmlformats.org/officeDocument/2006/relationships/oleObject" Target="../embeddings/oleObject25.bin"/><Relationship Id="rId53" Type="http://schemas.openxmlformats.org/officeDocument/2006/relationships/oleObject" Target="../embeddings/oleObject29.bin"/><Relationship Id="rId58" Type="http://schemas.openxmlformats.org/officeDocument/2006/relationships/oleObject" Target="../embeddings/oleObject32.bin"/><Relationship Id="rId5" Type="http://schemas.openxmlformats.org/officeDocument/2006/relationships/image" Target="../media/image1.emf"/><Relationship Id="rId15" Type="http://schemas.openxmlformats.org/officeDocument/2006/relationships/image" Target="../media/image5.emf"/><Relationship Id="rId23" Type="http://schemas.openxmlformats.org/officeDocument/2006/relationships/image" Target="../media/image9.emf"/><Relationship Id="rId28" Type="http://schemas.openxmlformats.org/officeDocument/2006/relationships/image" Target="../media/image11.emf"/><Relationship Id="rId36" Type="http://schemas.openxmlformats.org/officeDocument/2006/relationships/oleObject" Target="../embeddings/oleObject19.bin"/><Relationship Id="rId49" Type="http://schemas.openxmlformats.org/officeDocument/2006/relationships/oleObject" Target="../embeddings/oleObject27.bin"/><Relationship Id="rId57" Type="http://schemas.openxmlformats.org/officeDocument/2006/relationships/oleObject" Target="../embeddings/oleObject31.bin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7.emf"/><Relationship Id="rId31" Type="http://schemas.openxmlformats.org/officeDocument/2006/relationships/oleObject" Target="../embeddings/oleObject16.bin"/><Relationship Id="rId44" Type="http://schemas.openxmlformats.org/officeDocument/2006/relationships/image" Target="../media/image17.emf"/><Relationship Id="rId52" Type="http://schemas.openxmlformats.org/officeDocument/2006/relationships/image" Target="../media/image2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7.bin"/><Relationship Id="rId22" Type="http://schemas.openxmlformats.org/officeDocument/2006/relationships/oleObject" Target="../embeddings/oleObject11.bin"/><Relationship Id="rId27" Type="http://schemas.openxmlformats.org/officeDocument/2006/relationships/oleObject" Target="../embeddings/oleObject14.bin"/><Relationship Id="rId30" Type="http://schemas.openxmlformats.org/officeDocument/2006/relationships/image" Target="../media/image12.emf"/><Relationship Id="rId35" Type="http://schemas.openxmlformats.org/officeDocument/2006/relationships/oleObject" Target="../embeddings/oleObject18.bin"/><Relationship Id="rId43" Type="http://schemas.openxmlformats.org/officeDocument/2006/relationships/oleObject" Target="../embeddings/oleObject24.bin"/><Relationship Id="rId48" Type="http://schemas.openxmlformats.org/officeDocument/2006/relationships/image" Target="../media/image19.emf"/><Relationship Id="rId56" Type="http://schemas.openxmlformats.org/officeDocument/2006/relationships/image" Target="../media/image23.emf"/><Relationship Id="rId8" Type="http://schemas.openxmlformats.org/officeDocument/2006/relationships/oleObject" Target="../embeddings/oleObject3.bin"/><Relationship Id="rId51" Type="http://schemas.openxmlformats.org/officeDocument/2006/relationships/oleObject" Target="../embeddings/oleObject28.bin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5.bin"/><Relationship Id="rId13" Type="http://schemas.openxmlformats.org/officeDocument/2006/relationships/image" Target="../media/image28.emf"/><Relationship Id="rId18" Type="http://schemas.openxmlformats.org/officeDocument/2006/relationships/oleObject" Target="../embeddings/oleObject41.bin"/><Relationship Id="rId26" Type="http://schemas.openxmlformats.org/officeDocument/2006/relationships/image" Target="../media/image34.emf"/><Relationship Id="rId3" Type="http://schemas.openxmlformats.org/officeDocument/2006/relationships/vmlDrawing" Target="../drawings/vmlDrawing2.vml"/><Relationship Id="rId21" Type="http://schemas.openxmlformats.org/officeDocument/2006/relationships/oleObject" Target="../embeddings/oleObject43.bin"/><Relationship Id="rId34" Type="http://schemas.openxmlformats.org/officeDocument/2006/relationships/oleObject" Target="../embeddings/oleObject51.bin"/><Relationship Id="rId7" Type="http://schemas.openxmlformats.org/officeDocument/2006/relationships/image" Target="../media/image26.emf"/><Relationship Id="rId12" Type="http://schemas.openxmlformats.org/officeDocument/2006/relationships/oleObject" Target="../embeddings/oleObject38.bin"/><Relationship Id="rId17" Type="http://schemas.openxmlformats.org/officeDocument/2006/relationships/image" Target="../media/image30.emf"/><Relationship Id="rId25" Type="http://schemas.openxmlformats.org/officeDocument/2006/relationships/oleObject" Target="../embeddings/oleObject45.bin"/><Relationship Id="rId33" Type="http://schemas.openxmlformats.org/officeDocument/2006/relationships/image" Target="../media/image36.emf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40.bin"/><Relationship Id="rId20" Type="http://schemas.openxmlformats.org/officeDocument/2006/relationships/image" Target="../media/image31.emf"/><Relationship Id="rId29" Type="http://schemas.openxmlformats.org/officeDocument/2006/relationships/image" Target="../media/image35.emf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34.bin"/><Relationship Id="rId11" Type="http://schemas.openxmlformats.org/officeDocument/2006/relationships/oleObject" Target="../embeddings/oleObject37.bin"/><Relationship Id="rId24" Type="http://schemas.openxmlformats.org/officeDocument/2006/relationships/image" Target="../media/image33.emf"/><Relationship Id="rId32" Type="http://schemas.openxmlformats.org/officeDocument/2006/relationships/oleObject" Target="../embeddings/oleObject50.bin"/><Relationship Id="rId5" Type="http://schemas.openxmlformats.org/officeDocument/2006/relationships/image" Target="../media/image25.emf"/><Relationship Id="rId15" Type="http://schemas.openxmlformats.org/officeDocument/2006/relationships/image" Target="../media/image29.emf"/><Relationship Id="rId23" Type="http://schemas.openxmlformats.org/officeDocument/2006/relationships/oleObject" Target="../embeddings/oleObject44.bin"/><Relationship Id="rId28" Type="http://schemas.openxmlformats.org/officeDocument/2006/relationships/oleObject" Target="../embeddings/oleObject47.bin"/><Relationship Id="rId36" Type="http://schemas.openxmlformats.org/officeDocument/2006/relationships/oleObject" Target="../embeddings/oleObject52.bin"/><Relationship Id="rId10" Type="http://schemas.openxmlformats.org/officeDocument/2006/relationships/oleObject" Target="../embeddings/oleObject36.bin"/><Relationship Id="rId19" Type="http://schemas.openxmlformats.org/officeDocument/2006/relationships/oleObject" Target="../embeddings/oleObject42.bin"/><Relationship Id="rId31" Type="http://schemas.openxmlformats.org/officeDocument/2006/relationships/oleObject" Target="../embeddings/oleObject49.bin"/><Relationship Id="rId4" Type="http://schemas.openxmlformats.org/officeDocument/2006/relationships/oleObject" Target="../embeddings/oleObject33.bin"/><Relationship Id="rId9" Type="http://schemas.openxmlformats.org/officeDocument/2006/relationships/image" Target="../media/image27.emf"/><Relationship Id="rId14" Type="http://schemas.openxmlformats.org/officeDocument/2006/relationships/oleObject" Target="../embeddings/oleObject39.bin"/><Relationship Id="rId22" Type="http://schemas.openxmlformats.org/officeDocument/2006/relationships/image" Target="../media/image32.emf"/><Relationship Id="rId27" Type="http://schemas.openxmlformats.org/officeDocument/2006/relationships/oleObject" Target="../embeddings/oleObject46.bin"/><Relationship Id="rId30" Type="http://schemas.openxmlformats.org/officeDocument/2006/relationships/oleObject" Target="../embeddings/oleObject48.bin"/><Relationship Id="rId35" Type="http://schemas.openxmlformats.org/officeDocument/2006/relationships/image" Target="../media/image15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54.bin"/><Relationship Id="rId5" Type="http://schemas.openxmlformats.org/officeDocument/2006/relationships/image" Target="../media/image37.emf"/><Relationship Id="rId4" Type="http://schemas.openxmlformats.org/officeDocument/2006/relationships/oleObject" Target="../embeddings/oleObject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4"/>
  <sheetViews>
    <sheetView zoomScale="110" zoomScaleNormal="110" workbookViewId="0">
      <selection activeCell="O5" sqref="O5"/>
    </sheetView>
  </sheetViews>
  <sheetFormatPr defaultRowHeight="15"/>
  <cols>
    <col min="1" max="1" width="3.42578125" customWidth="1"/>
    <col min="2" max="3" width="7.28515625" customWidth="1"/>
    <col min="4" max="4" width="1" customWidth="1"/>
    <col min="5" max="5" width="11.5703125" customWidth="1"/>
    <col min="6" max="6" width="9.5703125" customWidth="1"/>
    <col min="7" max="7" width="11.42578125" customWidth="1"/>
    <col min="8" max="8" width="10.28515625" customWidth="1"/>
    <col min="9" max="9" width="6.85546875" customWidth="1"/>
    <col min="10" max="10" width="7.28515625" style="109" customWidth="1"/>
    <col min="11" max="11" width="8.85546875" style="109" customWidth="1"/>
    <col min="12" max="12" width="6" customWidth="1"/>
    <col min="13" max="14" width="6.140625" customWidth="1"/>
    <col min="15" max="16" width="6.7109375" customWidth="1"/>
    <col min="17" max="18" width="1.28515625" customWidth="1"/>
  </cols>
  <sheetData>
    <row r="1" spans="2:20" ht="15.75" thickBot="1">
      <c r="I1" s="12"/>
      <c r="J1" s="108"/>
      <c r="K1" s="108"/>
      <c r="L1" s="12"/>
      <c r="M1" s="12"/>
      <c r="N1" s="8"/>
    </row>
    <row r="2" spans="2:20" ht="16.5" thickBot="1">
      <c r="B2" s="23">
        <f>COUNT(B5:B60)</f>
        <v>10</v>
      </c>
      <c r="E2" s="518" t="s">
        <v>3</v>
      </c>
      <c r="F2" s="519"/>
      <c r="G2" s="520" t="s">
        <v>4</v>
      </c>
      <c r="H2" s="521"/>
      <c r="I2" s="12"/>
      <c r="J2" s="108"/>
      <c r="K2" s="108"/>
      <c r="L2" s="12"/>
      <c r="M2" s="12"/>
      <c r="N2" s="8"/>
      <c r="O2" s="62"/>
    </row>
    <row r="3" spans="2:20" ht="18" thickBot="1">
      <c r="B3" s="15" t="s">
        <v>3</v>
      </c>
      <c r="C3" s="15" t="s">
        <v>4</v>
      </c>
      <c r="D3" s="4"/>
      <c r="E3" s="9" t="s">
        <v>0</v>
      </c>
      <c r="F3" s="10" t="s">
        <v>1</v>
      </c>
      <c r="G3" s="9" t="s">
        <v>0</v>
      </c>
      <c r="H3" s="10" t="s">
        <v>1</v>
      </c>
      <c r="O3" s="18" t="s">
        <v>5</v>
      </c>
      <c r="P3" s="17" t="s">
        <v>6</v>
      </c>
      <c r="Q3" s="17"/>
      <c r="R3" s="4"/>
      <c r="S3" s="9" t="s">
        <v>0</v>
      </c>
      <c r="T3" s="10"/>
    </row>
    <row r="4" spans="2:20" ht="16.5" thickBot="1">
      <c r="B4" s="477"/>
      <c r="C4" s="477"/>
      <c r="D4" s="5"/>
      <c r="E4" s="20">
        <f>IF(B5="","",AVERAGE(B5:B60))</f>
        <v>31.8</v>
      </c>
      <c r="F4" s="19">
        <f>MEDIAN(B5:B60)</f>
        <v>32.5</v>
      </c>
      <c r="G4" s="20">
        <f>IF(C5="","",AVERAGE(C5:C60))</f>
        <v>70.333333333333329</v>
      </c>
      <c r="H4" s="19">
        <f>MEDIAN(C5:C60)</f>
        <v>67</v>
      </c>
      <c r="J4" s="424" t="s">
        <v>12</v>
      </c>
      <c r="K4" s="465"/>
      <c r="L4" s="23"/>
      <c r="M4" s="17" t="s">
        <v>7</v>
      </c>
      <c r="N4" s="17" t="s">
        <v>8</v>
      </c>
      <c r="O4" s="480"/>
      <c r="P4" s="480"/>
      <c r="R4" s="5">
        <f>SUM(R5:R20)</f>
        <v>175</v>
      </c>
      <c r="S4" s="51">
        <f>IF(O5="","",SUM(R5:R26)/SUM(P5:P26))</f>
        <v>4.6052631578947372</v>
      </c>
      <c r="T4" s="11"/>
    </row>
    <row r="5" spans="2:20" ht="16.5" thickBot="1">
      <c r="B5" s="490">
        <v>6</v>
      </c>
      <c r="C5" s="3">
        <v>79</v>
      </c>
      <c r="D5" s="5"/>
      <c r="E5" s="9" t="s">
        <v>2</v>
      </c>
      <c r="F5" s="14" t="s">
        <v>9</v>
      </c>
      <c r="G5" s="9" t="s">
        <v>2</v>
      </c>
      <c r="H5" s="14" t="s">
        <v>9</v>
      </c>
      <c r="J5" s="475">
        <f>SUM(J6:J16)</f>
        <v>87.95</v>
      </c>
      <c r="K5" s="464" t="s">
        <v>166</v>
      </c>
      <c r="M5">
        <v>1</v>
      </c>
      <c r="N5">
        <v>2</v>
      </c>
      <c r="O5" s="61">
        <f>SUM(M5:N5)/2</f>
        <v>1.5</v>
      </c>
      <c r="P5" s="479">
        <v>9</v>
      </c>
      <c r="Q5" s="12">
        <f>P5*O5^2</f>
        <v>20.25</v>
      </c>
      <c r="R5" s="5">
        <f>O5*P5</f>
        <v>13.5</v>
      </c>
      <c r="S5" s="9" t="s">
        <v>2</v>
      </c>
      <c r="T5" s="1"/>
    </row>
    <row r="6" spans="2:20" ht="16.5" thickBot="1">
      <c r="B6" s="490">
        <v>56</v>
      </c>
      <c r="C6" s="3">
        <v>65</v>
      </c>
      <c r="D6" s="5"/>
      <c r="E6" s="20">
        <f>_xlfn.STDEV.S(B5:B60)</f>
        <v>14.657572938397561</v>
      </c>
      <c r="F6" s="21">
        <f>E6^2</f>
        <v>214.84444444444449</v>
      </c>
      <c r="G6" s="20">
        <f>_xlfn.STDEV.S(C5:C60)</f>
        <v>7.5718777944003657</v>
      </c>
      <c r="H6" s="21">
        <f>G6^2</f>
        <v>57.33333333333335</v>
      </c>
      <c r="J6" s="457">
        <f>0.15*100</f>
        <v>15</v>
      </c>
      <c r="K6" s="462">
        <f>IF(J6="","",J6/J$5)</f>
        <v>0.17055144968732233</v>
      </c>
      <c r="M6">
        <v>3</v>
      </c>
      <c r="O6" s="61">
        <f>O5+M$6-M$5</f>
        <v>3.5</v>
      </c>
      <c r="P6" s="479">
        <v>12</v>
      </c>
      <c r="Q6" s="12">
        <f t="shared" ref="Q6:Q23" si="0">P6*O6^2</f>
        <v>147</v>
      </c>
      <c r="R6" s="5">
        <f t="shared" ref="R6:R25" si="1">O6*P6</f>
        <v>42</v>
      </c>
      <c r="S6" s="20">
        <f>SQRT( (T11*T10 - T9^2) / (T11*(T11-1)))</f>
        <v>2.5762897445347956</v>
      </c>
      <c r="T6" s="2"/>
    </row>
    <row r="7" spans="2:20" ht="15.75">
      <c r="B7" s="490">
        <v>16</v>
      </c>
      <c r="C7" s="3">
        <v>67</v>
      </c>
      <c r="D7" s="5"/>
      <c r="E7" s="10" t="s">
        <v>167</v>
      </c>
      <c r="F7" s="14" t="s">
        <v>9</v>
      </c>
      <c r="G7" s="10" t="s">
        <v>167</v>
      </c>
      <c r="H7" s="14" t="s">
        <v>9</v>
      </c>
      <c r="J7" s="456">
        <f>0.2*89</f>
        <v>17.8</v>
      </c>
      <c r="K7" s="462">
        <f t="shared" ref="K7:K14" si="2">IF(J7="","",J7/J$5)</f>
        <v>0.20238772029562252</v>
      </c>
      <c r="O7" s="61">
        <f t="shared" ref="O7:O18" si="3">O6+M$6-M$5</f>
        <v>5.5</v>
      </c>
      <c r="P7" s="479">
        <v>8</v>
      </c>
      <c r="Q7" s="12">
        <f t="shared" si="0"/>
        <v>242</v>
      </c>
      <c r="R7" s="5">
        <f t="shared" si="1"/>
        <v>44</v>
      </c>
    </row>
    <row r="8" spans="2:20" ht="16.5" thickBot="1">
      <c r="B8" s="490">
        <v>50</v>
      </c>
      <c r="C8" s="3"/>
      <c r="D8" s="5"/>
      <c r="E8" s="488">
        <f>_xlfn.STDEV.P(B5:B60)</f>
        <v>13.905394636614957</v>
      </c>
      <c r="F8" s="21">
        <f>E8^2</f>
        <v>193.36</v>
      </c>
      <c r="G8" s="488">
        <f>_xlfn.STDEV.P(C5:C60)</f>
        <v>6.1824123303304699</v>
      </c>
      <c r="H8" s="21">
        <f>G8^2</f>
        <v>38.222222222222229</v>
      </c>
      <c r="I8" s="7"/>
      <c r="J8" s="456">
        <f>0.5*86</f>
        <v>43</v>
      </c>
      <c r="K8" s="462">
        <f t="shared" si="2"/>
        <v>0.48891415577032404</v>
      </c>
      <c r="L8" s="7"/>
      <c r="M8" s="7"/>
      <c r="O8" s="61">
        <f t="shared" si="3"/>
        <v>7.5</v>
      </c>
      <c r="P8" s="479">
        <v>5</v>
      </c>
      <c r="Q8" s="12">
        <f t="shared" si="0"/>
        <v>281.25</v>
      </c>
      <c r="R8" s="5">
        <f t="shared" si="1"/>
        <v>37.5</v>
      </c>
    </row>
    <row r="9" spans="2:20" ht="15.75">
      <c r="B9" s="490">
        <v>38</v>
      </c>
      <c r="C9" s="3"/>
      <c r="D9" s="5"/>
      <c r="E9" s="9" t="s">
        <v>24</v>
      </c>
      <c r="G9" s="10" t="s">
        <v>24</v>
      </c>
      <c r="H9" s="24"/>
      <c r="J9" s="456">
        <f>0.15*81</f>
        <v>12.15</v>
      </c>
      <c r="K9" s="462">
        <f t="shared" si="2"/>
        <v>0.1381466742467311</v>
      </c>
      <c r="O9" s="61">
        <f t="shared" si="3"/>
        <v>9.5</v>
      </c>
      <c r="P9" s="479">
        <v>4</v>
      </c>
      <c r="Q9" s="12">
        <f t="shared" si="0"/>
        <v>361</v>
      </c>
      <c r="R9" s="5">
        <f t="shared" si="1"/>
        <v>38</v>
      </c>
      <c r="T9" s="63">
        <f>SUM(R5:R20)</f>
        <v>175</v>
      </c>
    </row>
    <row r="10" spans="2:20" ht="16.5" thickBot="1">
      <c r="B10" s="490">
        <v>26</v>
      </c>
      <c r="C10" s="3"/>
      <c r="D10" s="5"/>
      <c r="E10" s="64">
        <f>E6/E4</f>
        <v>0.4609299666162755</v>
      </c>
      <c r="G10" s="65">
        <f>G6/G4</f>
        <v>0.10765703025213791</v>
      </c>
      <c r="H10" s="22"/>
      <c r="J10" s="456"/>
      <c r="K10" s="462" t="str">
        <f t="shared" si="2"/>
        <v/>
      </c>
      <c r="O10" s="61">
        <f t="shared" si="3"/>
        <v>11.5</v>
      </c>
      <c r="P10" s="479"/>
      <c r="Q10" s="12">
        <f t="shared" si="0"/>
        <v>0</v>
      </c>
      <c r="R10" s="5">
        <f t="shared" si="1"/>
        <v>0</v>
      </c>
      <c r="T10" s="63">
        <f>SUM(Q5:Q26)</f>
        <v>1051.5</v>
      </c>
    </row>
    <row r="11" spans="2:20" ht="18.75">
      <c r="B11" s="490">
        <v>33</v>
      </c>
      <c r="C11" s="3"/>
      <c r="D11" s="5"/>
      <c r="E11" s="258" t="s">
        <v>108</v>
      </c>
      <c r="F11" s="245">
        <v>60</v>
      </c>
      <c r="G11" s="118"/>
      <c r="H11" s="118"/>
      <c r="J11" s="456"/>
      <c r="K11" s="462" t="str">
        <f t="shared" si="2"/>
        <v/>
      </c>
      <c r="O11" s="61">
        <f t="shared" si="3"/>
        <v>13.5</v>
      </c>
      <c r="P11" s="479"/>
      <c r="Q11" s="12">
        <f t="shared" si="0"/>
        <v>0</v>
      </c>
      <c r="R11" s="5">
        <f t="shared" si="1"/>
        <v>0</v>
      </c>
      <c r="T11" s="63">
        <f>SUM(P5:P26)</f>
        <v>38</v>
      </c>
    </row>
    <row r="12" spans="2:20" ht="15.75">
      <c r="B12" s="490">
        <v>32</v>
      </c>
      <c r="C12" s="3"/>
      <c r="D12" s="5"/>
      <c r="E12" s="244" t="s">
        <v>97</v>
      </c>
      <c r="F12" s="246">
        <f>(F11-E4)/(E6)</f>
        <v>1.9239201550296339</v>
      </c>
      <c r="G12" s="29"/>
      <c r="H12" s="119"/>
      <c r="J12" s="456"/>
      <c r="K12" s="462" t="str">
        <f t="shared" si="2"/>
        <v/>
      </c>
      <c r="O12" s="61">
        <f t="shared" si="3"/>
        <v>15.5</v>
      </c>
      <c r="P12" s="60"/>
      <c r="Q12" s="12">
        <f t="shared" si="0"/>
        <v>0</v>
      </c>
      <c r="R12" s="5">
        <f t="shared" si="1"/>
        <v>0</v>
      </c>
    </row>
    <row r="13" spans="2:20" ht="15.75">
      <c r="B13" s="490">
        <v>34</v>
      </c>
      <c r="C13" s="3"/>
      <c r="D13" s="5"/>
      <c r="E13" s="118"/>
      <c r="F13" s="110"/>
      <c r="G13" s="110"/>
      <c r="H13" s="120"/>
      <c r="J13" s="461"/>
      <c r="K13" s="462" t="str">
        <f t="shared" si="2"/>
        <v/>
      </c>
      <c r="O13" s="61">
        <f t="shared" si="3"/>
        <v>17.5</v>
      </c>
      <c r="P13" s="60"/>
      <c r="Q13" s="12">
        <f t="shared" si="0"/>
        <v>0</v>
      </c>
      <c r="R13" s="5">
        <f t="shared" si="1"/>
        <v>0</v>
      </c>
    </row>
    <row r="14" spans="2:20" ht="16.5" thickBot="1">
      <c r="B14" s="490">
        <v>27</v>
      </c>
      <c r="C14" s="3"/>
      <c r="D14" s="5"/>
      <c r="J14" s="461"/>
      <c r="K14" s="462" t="str">
        <f t="shared" si="2"/>
        <v/>
      </c>
      <c r="O14" s="61">
        <f t="shared" si="3"/>
        <v>19.5</v>
      </c>
      <c r="P14" s="60"/>
      <c r="Q14" s="12">
        <f t="shared" si="0"/>
        <v>0</v>
      </c>
      <c r="R14" s="5">
        <f t="shared" si="1"/>
        <v>0</v>
      </c>
    </row>
    <row r="15" spans="2:20" ht="15.75" thickBot="1">
      <c r="B15" s="490"/>
      <c r="C15" s="3"/>
      <c r="D15" s="5"/>
      <c r="E15" s="252" t="s">
        <v>25</v>
      </c>
      <c r="F15" s="54" t="s">
        <v>98</v>
      </c>
      <c r="G15" s="54" t="s">
        <v>99</v>
      </c>
      <c r="H15" s="54" t="s">
        <v>100</v>
      </c>
      <c r="I15" s="53" t="s">
        <v>26</v>
      </c>
      <c r="O15" s="61">
        <f t="shared" si="3"/>
        <v>21.5</v>
      </c>
      <c r="P15" s="60"/>
      <c r="Q15" s="12">
        <f t="shared" si="0"/>
        <v>0</v>
      </c>
      <c r="R15" s="5">
        <f t="shared" si="1"/>
        <v>0</v>
      </c>
    </row>
    <row r="16" spans="2:20" ht="15.75" thickBot="1">
      <c r="B16" s="490"/>
      <c r="C16" s="3"/>
      <c r="D16" s="5"/>
      <c r="E16" s="253">
        <f>MIN(B5:B60)</f>
        <v>6</v>
      </c>
      <c r="F16" s="55">
        <f>QUARTILE($B$5:$B$60, 1)</f>
        <v>26.25</v>
      </c>
      <c r="G16" s="55">
        <f>QUARTILE($B$5:$B$60, 2)</f>
        <v>32.5</v>
      </c>
      <c r="H16" s="55">
        <f>QUARTILE($B$5:$B$60, 3)</f>
        <v>37</v>
      </c>
      <c r="I16" s="249">
        <f>MAX(B5:B60)</f>
        <v>56</v>
      </c>
      <c r="O16" s="61">
        <f t="shared" si="3"/>
        <v>23.5</v>
      </c>
      <c r="P16" s="60"/>
      <c r="Q16" s="12">
        <f t="shared" si="0"/>
        <v>0</v>
      </c>
      <c r="R16" s="5">
        <f t="shared" si="1"/>
        <v>0</v>
      </c>
    </row>
    <row r="17" spans="2:18" ht="15.75" thickBot="1">
      <c r="B17" s="490"/>
      <c r="C17" s="3"/>
      <c r="D17" s="5"/>
      <c r="E17" s="254" t="s">
        <v>29</v>
      </c>
      <c r="F17" s="54" t="s">
        <v>28</v>
      </c>
      <c r="G17" s="10" t="s">
        <v>101</v>
      </c>
      <c r="H17" s="54" t="s">
        <v>102</v>
      </c>
      <c r="I17" s="9" t="s">
        <v>103</v>
      </c>
      <c r="O17" s="61">
        <f t="shared" si="3"/>
        <v>25.5</v>
      </c>
      <c r="P17" s="60"/>
      <c r="Q17" s="12">
        <f t="shared" si="0"/>
        <v>0</v>
      </c>
      <c r="R17" s="5">
        <f t="shared" si="1"/>
        <v>0</v>
      </c>
    </row>
    <row r="18" spans="2:18" ht="16.5" thickBot="1">
      <c r="B18" s="490"/>
      <c r="C18" s="3"/>
      <c r="D18" s="5"/>
      <c r="E18" s="255">
        <v>75</v>
      </c>
      <c r="F18" s="59">
        <f xml:space="preserve">  INDEX(B5:B260, $E$26) + (INDEX(B5:B60, 1+ $E$26) -INDEX(B5:B60, $E$26))*E25</f>
        <v>32.5</v>
      </c>
      <c r="G18" s="248">
        <f>H16-F16</f>
        <v>10.75</v>
      </c>
      <c r="H18" s="247">
        <f>F16-1.5*G18</f>
        <v>10.125</v>
      </c>
      <c r="I18" s="247">
        <f>H16+1.5*G18</f>
        <v>53.125</v>
      </c>
      <c r="O18" s="61">
        <f t="shared" si="3"/>
        <v>27.5</v>
      </c>
      <c r="P18" s="60"/>
      <c r="Q18" s="12">
        <f t="shared" si="0"/>
        <v>0</v>
      </c>
      <c r="R18" s="5">
        <f t="shared" si="1"/>
        <v>0</v>
      </c>
    </row>
    <row r="19" spans="2:18" ht="15.75" thickBot="1">
      <c r="B19" s="489"/>
      <c r="C19" s="3"/>
      <c r="D19" s="5"/>
      <c r="O19" s="61"/>
      <c r="P19" s="60"/>
      <c r="Q19" s="12">
        <f t="shared" si="0"/>
        <v>0</v>
      </c>
      <c r="R19" s="5">
        <f t="shared" si="1"/>
        <v>0</v>
      </c>
    </row>
    <row r="20" spans="2:18" ht="16.5" thickBot="1">
      <c r="B20" s="3"/>
      <c r="C20" s="3"/>
      <c r="D20" s="5"/>
      <c r="E20" s="256" t="s">
        <v>39</v>
      </c>
      <c r="F20" s="251">
        <v>55</v>
      </c>
      <c r="G20" s="220" t="s">
        <v>43</v>
      </c>
      <c r="O20" s="61"/>
      <c r="P20" s="52"/>
      <c r="Q20" s="12">
        <f t="shared" si="0"/>
        <v>0</v>
      </c>
      <c r="R20" s="5">
        <f t="shared" si="1"/>
        <v>0</v>
      </c>
    </row>
    <row r="21" spans="2:18" ht="15.75">
      <c r="B21" s="3"/>
      <c r="C21" s="3"/>
      <c r="D21" s="5"/>
      <c r="E21" s="256" t="s">
        <v>41</v>
      </c>
      <c r="F21" s="251">
        <v>95</v>
      </c>
      <c r="G21" s="250">
        <f xml:space="preserve"> (F20-F21)/F22</f>
        <v>-13.333333333333334</v>
      </c>
      <c r="K21" s="476"/>
      <c r="O21" s="61"/>
      <c r="P21" s="52"/>
      <c r="Q21" s="12">
        <f t="shared" si="0"/>
        <v>0</v>
      </c>
      <c r="R21" s="5">
        <f t="shared" si="1"/>
        <v>0</v>
      </c>
    </row>
    <row r="22" spans="2:18" ht="15.75">
      <c r="B22" s="3"/>
      <c r="C22" s="3"/>
      <c r="D22" s="5"/>
      <c r="E22" s="256" t="s">
        <v>42</v>
      </c>
      <c r="F22" s="251">
        <v>3</v>
      </c>
      <c r="G22" s="94"/>
      <c r="I22" s="487"/>
      <c r="O22" s="56"/>
      <c r="P22" s="52"/>
      <c r="Q22" s="12">
        <f t="shared" si="0"/>
        <v>0</v>
      </c>
      <c r="R22" s="5">
        <f t="shared" si="1"/>
        <v>0</v>
      </c>
    </row>
    <row r="23" spans="2:18">
      <c r="B23" s="3"/>
      <c r="C23" s="3"/>
      <c r="D23" s="5"/>
      <c r="O23" s="56"/>
      <c r="P23" s="52"/>
      <c r="Q23" s="12">
        <f t="shared" si="0"/>
        <v>0</v>
      </c>
      <c r="R23" s="5">
        <f t="shared" si="1"/>
        <v>0</v>
      </c>
    </row>
    <row r="24" spans="2:18" ht="18.75">
      <c r="B24" s="3"/>
      <c r="C24" s="3"/>
      <c r="D24" s="5"/>
      <c r="E24" s="57">
        <f>E18*B2/100</f>
        <v>7.5</v>
      </c>
      <c r="F24" s="47"/>
      <c r="G24" s="48">
        <f>529.1+1.5*256.3</f>
        <v>913.55000000000007</v>
      </c>
      <c r="H24" s="491"/>
      <c r="O24" s="56"/>
      <c r="P24" s="52"/>
      <c r="Q24" s="29"/>
      <c r="R24" s="5">
        <f t="shared" si="1"/>
        <v>0</v>
      </c>
    </row>
    <row r="25" spans="2:18" ht="15.75">
      <c r="B25" s="3"/>
      <c r="C25" s="3"/>
      <c r="D25" s="5"/>
      <c r="E25" s="58">
        <f>E24 - INT(E24)</f>
        <v>0.5</v>
      </c>
      <c r="F25" s="49"/>
      <c r="G25" s="50"/>
      <c r="H25" s="491"/>
      <c r="O25" s="56"/>
      <c r="P25" s="52"/>
      <c r="Q25" s="29"/>
      <c r="R25" s="5">
        <f t="shared" si="1"/>
        <v>0</v>
      </c>
    </row>
    <row r="26" spans="2:18" ht="16.5" thickBot="1">
      <c r="B26" s="3"/>
      <c r="C26" s="3"/>
      <c r="D26" s="5"/>
      <c r="E26" s="58">
        <f>E24-E25</f>
        <v>7</v>
      </c>
      <c r="F26" s="49"/>
      <c r="G26" s="50"/>
      <c r="H26" s="491"/>
      <c r="O26" s="56"/>
      <c r="P26" s="52"/>
      <c r="Q26" s="29"/>
      <c r="R26" s="6">
        <f t="shared" ref="R26" si="4">O26*P26</f>
        <v>0</v>
      </c>
    </row>
    <row r="27" spans="2:18" ht="15.75" customHeight="1">
      <c r="B27" s="3"/>
      <c r="C27" s="3"/>
      <c r="D27" s="5"/>
      <c r="E27" s="46"/>
      <c r="F27" s="49"/>
      <c r="G27" s="50"/>
      <c r="H27" s="491"/>
    </row>
    <row r="28" spans="2:18" ht="15.75">
      <c r="B28" s="3"/>
      <c r="C28" s="3"/>
      <c r="D28" s="5"/>
      <c r="E28" s="46"/>
      <c r="F28" s="49"/>
      <c r="G28" s="50"/>
      <c r="H28" s="491"/>
    </row>
    <row r="29" spans="2:18" ht="15.75">
      <c r="B29" s="3"/>
      <c r="C29" s="3"/>
      <c r="D29" s="5"/>
      <c r="E29" s="46"/>
      <c r="F29" s="49"/>
      <c r="G29" s="50"/>
      <c r="H29" s="491"/>
    </row>
    <row r="30" spans="2:18" ht="16.5" thickBot="1">
      <c r="B30" s="3"/>
      <c r="D30" s="6"/>
      <c r="E30" s="46"/>
      <c r="F30" s="49"/>
      <c r="G30" s="50"/>
      <c r="H30" s="491"/>
    </row>
    <row r="31" spans="2:18">
      <c r="B31" s="3"/>
      <c r="D31" s="5"/>
      <c r="E31" s="29"/>
      <c r="F31" s="29"/>
      <c r="G31" s="29"/>
      <c r="H31" s="491"/>
    </row>
    <row r="32" spans="2:18">
      <c r="B32" s="3"/>
      <c r="D32" s="5"/>
      <c r="H32" s="492"/>
    </row>
    <row r="33" spans="2:6">
      <c r="B33" s="3"/>
      <c r="D33" s="5"/>
    </row>
    <row r="34" spans="2:6">
      <c r="B34" s="3"/>
      <c r="D34" s="5"/>
    </row>
    <row r="35" spans="2:6" ht="15.75" thickBot="1">
      <c r="B35" s="3"/>
      <c r="D35" s="6"/>
    </row>
    <row r="36" spans="2:6">
      <c r="B36" s="3"/>
    </row>
    <row r="37" spans="2:6">
      <c r="B37" s="3"/>
    </row>
    <row r="38" spans="2:6">
      <c r="B38" s="3"/>
    </row>
    <row r="39" spans="2:6">
      <c r="B39" s="3"/>
    </row>
    <row r="40" spans="2:6">
      <c r="B40" s="3"/>
    </row>
    <row r="41" spans="2:6">
      <c r="B41" s="3"/>
    </row>
    <row r="42" spans="2:6" ht="15.75">
      <c r="B42" s="3"/>
      <c r="E42" s="46"/>
      <c r="F42" s="43"/>
    </row>
    <row r="43" spans="2:6" ht="15.75">
      <c r="B43" s="3"/>
      <c r="E43" s="46"/>
      <c r="F43" s="43"/>
    </row>
    <row r="44" spans="2:6" ht="15.75">
      <c r="B44" s="3"/>
      <c r="E44" s="46"/>
      <c r="F44" s="43"/>
    </row>
    <row r="45" spans="2:6" ht="15.75">
      <c r="B45" s="3"/>
      <c r="E45" s="46"/>
      <c r="F45" s="43"/>
    </row>
    <row r="46" spans="2:6" ht="15.75">
      <c r="B46" s="3"/>
      <c r="E46" s="46"/>
      <c r="F46" s="43"/>
    </row>
    <row r="47" spans="2:6" ht="15.75">
      <c r="B47" s="3"/>
      <c r="E47" s="46"/>
      <c r="F47" s="43"/>
    </row>
    <row r="48" spans="2:6">
      <c r="B48" s="3"/>
    </row>
    <row r="49" spans="2:2">
      <c r="B49" s="3"/>
    </row>
    <row r="50" spans="2:2">
      <c r="B50" s="3"/>
    </row>
    <row r="51" spans="2:2">
      <c r="B51" s="3"/>
    </row>
    <row r="52" spans="2:2">
      <c r="B52" s="3"/>
    </row>
    <row r="53" spans="2:2">
      <c r="B53" s="3"/>
    </row>
    <row r="54" spans="2:2">
      <c r="B54" s="3"/>
    </row>
  </sheetData>
  <sortState ref="B5:B19">
    <sortCondition ref="B5"/>
  </sortState>
  <mergeCells count="2">
    <mergeCell ref="E2:F2"/>
    <mergeCell ref="G2:H2"/>
  </mergeCells>
  <pageMargins left="0.7" right="0.7" top="0.75" bottom="0.75" header="0.3" footer="0.3"/>
  <pageSetup orientation="portrait" r:id="rId1"/>
  <ignoredErrors>
    <ignoredError sqref="G6 G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topLeftCell="H1" zoomScaleNormal="100" workbookViewId="0">
      <selection activeCell="M16" sqref="M16"/>
    </sheetView>
  </sheetViews>
  <sheetFormatPr defaultRowHeight="15"/>
  <cols>
    <col min="1" max="1" width="1.28515625" customWidth="1"/>
    <col min="2" max="2" width="6.140625" customWidth="1"/>
    <col min="3" max="3" width="11.5703125" bestFit="1" customWidth="1"/>
    <col min="4" max="4" width="0.5703125" style="82" customWidth="1"/>
    <col min="5" max="5" width="0.5703125" style="83" customWidth="1"/>
    <col min="6" max="6" width="10" customWidth="1"/>
    <col min="7" max="7" width="8.85546875" customWidth="1"/>
    <col min="8" max="8" width="0.28515625" customWidth="1"/>
    <col min="9" max="9" width="5.7109375" customWidth="1"/>
    <col min="10" max="10" width="8.7109375" customWidth="1"/>
    <col min="11" max="13" width="12.28515625" customWidth="1"/>
    <col min="14" max="15" width="10.42578125" customWidth="1"/>
    <col min="16" max="16" width="1.85546875" customWidth="1"/>
    <col min="17" max="17" width="6.5703125" customWidth="1"/>
    <col min="18" max="18" width="8.5703125" customWidth="1"/>
    <col min="19" max="19" width="8.140625" customWidth="1"/>
    <col min="20" max="20" width="9.7109375" customWidth="1"/>
    <col min="21" max="21" width="4.85546875" customWidth="1"/>
  </cols>
  <sheetData>
    <row r="1" spans="1:24" ht="16.5" thickBot="1">
      <c r="A1" s="66"/>
      <c r="B1" s="70" t="s">
        <v>30</v>
      </c>
      <c r="C1" s="101" t="s">
        <v>31</v>
      </c>
      <c r="D1" s="105"/>
      <c r="E1" s="84"/>
      <c r="F1" s="66"/>
      <c r="G1" s="66"/>
      <c r="H1" s="66"/>
      <c r="I1" s="66"/>
      <c r="J1" s="66"/>
      <c r="K1" s="259" t="s">
        <v>36</v>
      </c>
      <c r="L1" s="260" t="s">
        <v>37</v>
      </c>
      <c r="M1" s="261" t="s">
        <v>38</v>
      </c>
      <c r="N1" s="66"/>
      <c r="O1" s="66"/>
      <c r="V1" s="68" t="s">
        <v>124</v>
      </c>
    </row>
    <row r="2" spans="1:24" ht="16.5" thickBot="1">
      <c r="A2" s="66"/>
      <c r="B2" s="510">
        <v>0</v>
      </c>
      <c r="C2" s="510">
        <v>0.28000000000000003</v>
      </c>
      <c r="D2" s="433">
        <f>(B2-$G$2)^2 *C2</f>
        <v>0.90720000000000034</v>
      </c>
      <c r="E2" s="84">
        <f>B2*C2</f>
        <v>0</v>
      </c>
      <c r="F2" s="102" t="s">
        <v>32</v>
      </c>
      <c r="G2" s="71">
        <f>SUM(E2:E12)</f>
        <v>1.8000000000000003</v>
      </c>
      <c r="H2" s="262"/>
      <c r="I2" s="68" t="s">
        <v>34</v>
      </c>
      <c r="J2" s="76">
        <v>3</v>
      </c>
      <c r="K2" s="268">
        <f>PERMUT(J3,J2)</f>
        <v>120</v>
      </c>
      <c r="L2" s="269">
        <f>COMBIN(J3,J2)</f>
        <v>20</v>
      </c>
      <c r="M2" s="270">
        <f>FACT(J3)</f>
        <v>720</v>
      </c>
      <c r="N2" s="66"/>
      <c r="O2" s="66"/>
      <c r="Q2" s="424" t="s">
        <v>30</v>
      </c>
      <c r="R2" s="70" t="s">
        <v>156</v>
      </c>
      <c r="S2" s="70" t="s">
        <v>157</v>
      </c>
      <c r="T2" s="100" t="s">
        <v>155</v>
      </c>
      <c r="V2" s="507">
        <v>10</v>
      </c>
      <c r="W2" s="511" t="s">
        <v>32</v>
      </c>
      <c r="X2" s="71">
        <f>AVERAGE(V2:V111)</f>
        <v>3.09</v>
      </c>
    </row>
    <row r="3" spans="1:24" ht="16.5" thickBot="1">
      <c r="A3" s="66"/>
      <c r="B3" s="510">
        <v>1</v>
      </c>
      <c r="C3" s="510">
        <v>0.16</v>
      </c>
      <c r="D3" s="106">
        <f t="shared" ref="D3:D11" si="0">(B3-$G$2)^2 *C3</f>
        <v>0.10240000000000007</v>
      </c>
      <c r="E3" s="85">
        <f t="shared" ref="E3:E11" si="1">B3*C3</f>
        <v>0.16</v>
      </c>
      <c r="F3" s="103" t="s">
        <v>9</v>
      </c>
      <c r="G3" s="72">
        <f>SUM(D2:D11)</f>
        <v>2.2400000000000002</v>
      </c>
      <c r="H3" s="262"/>
      <c r="I3" s="68" t="s">
        <v>35</v>
      </c>
      <c r="J3" s="76">
        <v>6</v>
      </c>
      <c r="K3" s="94"/>
      <c r="L3" s="94"/>
      <c r="M3" s="94"/>
      <c r="N3" s="66"/>
      <c r="O3" s="66"/>
      <c r="Q3" s="425">
        <v>1</v>
      </c>
      <c r="R3" s="426">
        <v>38</v>
      </c>
      <c r="S3" s="427">
        <v>245</v>
      </c>
      <c r="T3" s="432">
        <f>S3*Q3/R3+S4*Q4/R4 + IF(R5 =0,R5=1, S5*Q5/R5)</f>
        <v>-0.36842105263157876</v>
      </c>
      <c r="V3" s="507">
        <v>10</v>
      </c>
      <c r="W3" s="512" t="s">
        <v>33</v>
      </c>
      <c r="X3" s="73">
        <f>_xlfn.STDEV.S(V2:V110)</f>
        <v>1.8537158968576135</v>
      </c>
    </row>
    <row r="4" spans="1:24" ht="16.5" thickBot="1">
      <c r="A4" s="66"/>
      <c r="B4" s="510">
        <v>2</v>
      </c>
      <c r="C4" s="510">
        <v>0.2</v>
      </c>
      <c r="D4" s="106">
        <f t="shared" si="0"/>
        <v>7.9999999999999793E-3</v>
      </c>
      <c r="E4" s="85">
        <f t="shared" si="1"/>
        <v>0.4</v>
      </c>
      <c r="F4" s="104" t="s">
        <v>33</v>
      </c>
      <c r="G4" s="73">
        <f>SQRT(G3)</f>
        <v>1.4966629547095767</v>
      </c>
      <c r="H4" s="262"/>
      <c r="I4" s="67"/>
      <c r="J4" s="76"/>
      <c r="K4" s="95"/>
      <c r="L4" s="95"/>
      <c r="M4" s="95"/>
      <c r="N4" s="66"/>
      <c r="O4" s="66"/>
      <c r="Q4" s="428">
        <v>37</v>
      </c>
      <c r="R4" s="251">
        <v>38</v>
      </c>
      <c r="S4" s="429">
        <v>-7</v>
      </c>
      <c r="T4" s="75"/>
      <c r="V4" s="507">
        <v>9</v>
      </c>
      <c r="W4" s="284"/>
    </row>
    <row r="5" spans="1:24" ht="16.5" thickBot="1">
      <c r="A5" s="66"/>
      <c r="B5" s="510">
        <v>3</v>
      </c>
      <c r="C5" s="510">
        <v>0.28000000000000003</v>
      </c>
      <c r="D5" s="106">
        <f t="shared" si="0"/>
        <v>0.40319999999999984</v>
      </c>
      <c r="E5" s="85">
        <f t="shared" si="1"/>
        <v>0.84000000000000008</v>
      </c>
      <c r="F5" s="66"/>
      <c r="G5" s="66">
        <v>6</v>
      </c>
      <c r="H5" s="262"/>
      <c r="I5" s="68" t="s">
        <v>35</v>
      </c>
      <c r="J5" s="76">
        <v>64</v>
      </c>
      <c r="K5" s="70" t="s">
        <v>31</v>
      </c>
      <c r="L5" s="101" t="s">
        <v>104</v>
      </c>
      <c r="M5" s="70" t="s">
        <v>49</v>
      </c>
      <c r="N5" s="198" t="s">
        <v>105</v>
      </c>
      <c r="O5" s="198" t="s">
        <v>107</v>
      </c>
      <c r="Q5" s="428"/>
      <c r="R5" s="251"/>
      <c r="S5" s="429"/>
      <c r="T5" s="75"/>
      <c r="V5" s="507">
        <v>8</v>
      </c>
    </row>
    <row r="6" spans="1:24" ht="16.5" thickBot="1">
      <c r="A6" s="66"/>
      <c r="B6" s="510">
        <v>5</v>
      </c>
      <c r="C6" s="510">
        <v>0.08</v>
      </c>
      <c r="D6" s="106">
        <f t="shared" si="0"/>
        <v>0.81919999999999993</v>
      </c>
      <c r="E6" s="85">
        <f t="shared" si="1"/>
        <v>0.4</v>
      </c>
      <c r="F6" s="66"/>
      <c r="G6" s="66">
        <v>2</v>
      </c>
      <c r="H6" s="262"/>
      <c r="I6" s="67" t="s">
        <v>40</v>
      </c>
      <c r="J6" s="273">
        <v>0.23</v>
      </c>
      <c r="K6" s="116">
        <f>_xlfn.BINOM.DIST(J7, J5, J6, FALSE)</f>
        <v>4.657076396434022E-2</v>
      </c>
      <c r="L6" s="176">
        <f>_xlfn.BINOM.DIST(J7, J5, J6, TRUE)</f>
        <v>0.10156460410175912</v>
      </c>
      <c r="M6" s="505">
        <f>1-L6+K6</f>
        <v>0.94500615986258107</v>
      </c>
      <c r="N6" s="89">
        <f>1-M6</f>
        <v>5.4993840137418926E-2</v>
      </c>
      <c r="O6" s="89">
        <f>_xlfn.BINOM.DIST(J8,J5, J6, TRUE)-N6</f>
        <v>-8.3266726846886741E-17</v>
      </c>
      <c r="P6" s="257"/>
      <c r="Q6" s="430"/>
      <c r="R6" s="514" t="s">
        <v>171</v>
      </c>
      <c r="S6" s="431">
        <v>1000</v>
      </c>
      <c r="T6" s="513">
        <f>T3*S6</f>
        <v>-368.42105263157873</v>
      </c>
      <c r="V6" s="507">
        <v>7</v>
      </c>
    </row>
    <row r="7" spans="1:24" ht="18" thickBot="1">
      <c r="A7" s="66"/>
      <c r="B7" s="510"/>
      <c r="C7" s="510"/>
      <c r="D7" s="106">
        <f t="shared" si="0"/>
        <v>0</v>
      </c>
      <c r="E7" s="85">
        <f>B7*C7</f>
        <v>0</v>
      </c>
      <c r="F7" s="66"/>
      <c r="G7" s="66">
        <v>4</v>
      </c>
      <c r="H7" s="262"/>
      <c r="I7" s="67" t="s">
        <v>39</v>
      </c>
      <c r="J7" s="76">
        <v>10</v>
      </c>
      <c r="K7" s="70" t="s">
        <v>41</v>
      </c>
      <c r="L7" s="101" t="s">
        <v>42</v>
      </c>
      <c r="M7" s="70" t="s">
        <v>43</v>
      </c>
      <c r="N7" s="506" t="s">
        <v>170</v>
      </c>
      <c r="O7" s="198" t="s">
        <v>169</v>
      </c>
      <c r="V7" s="507">
        <v>7</v>
      </c>
    </row>
    <row r="8" spans="1:24" ht="16.5" thickBot="1">
      <c r="A8" s="66"/>
      <c r="B8" s="77"/>
      <c r="C8" s="502"/>
      <c r="D8" s="106">
        <f t="shared" si="0"/>
        <v>0</v>
      </c>
      <c r="E8" s="85">
        <f t="shared" si="1"/>
        <v>0</v>
      </c>
      <c r="F8" s="486">
        <f>B2*C2+B3*C3+B4*C4</f>
        <v>0.56000000000000005</v>
      </c>
      <c r="G8" s="66"/>
      <c r="H8" s="262"/>
      <c r="I8" s="67" t="s">
        <v>106</v>
      </c>
      <c r="J8" s="76">
        <v>9</v>
      </c>
      <c r="K8" s="504">
        <f>J5*J6</f>
        <v>14.72</v>
      </c>
      <c r="L8" s="323">
        <f>SQRT(J5*J6*(1-J6))</f>
        <v>3.3666600660001302</v>
      </c>
      <c r="M8" s="117">
        <f>ROUND((J7 - K8)/L8, 2)</f>
        <v>-1.4</v>
      </c>
      <c r="N8" s="189">
        <f>J7/J6</f>
        <v>43.478260869565219</v>
      </c>
      <c r="O8" s="121">
        <f>1-L6</f>
        <v>0.89843539589824084</v>
      </c>
      <c r="V8" s="507">
        <v>7</v>
      </c>
    </row>
    <row r="9" spans="1:24" ht="15.75">
      <c r="A9" s="66"/>
      <c r="B9" s="77"/>
      <c r="C9" s="131"/>
      <c r="D9" s="106">
        <f t="shared" si="0"/>
        <v>0</v>
      </c>
      <c r="E9" s="85">
        <f t="shared" si="1"/>
        <v>0</v>
      </c>
      <c r="F9" s="66">
        <f>F8*G7-G6*G5</f>
        <v>-9.76</v>
      </c>
      <c r="G9" s="66"/>
      <c r="H9" s="262"/>
      <c r="I9" s="75"/>
      <c r="J9" s="75"/>
      <c r="K9" s="94"/>
      <c r="L9" s="66"/>
      <c r="M9" s="66"/>
      <c r="N9" s="503"/>
      <c r="O9" s="66"/>
      <c r="T9" s="501"/>
      <c r="V9" s="507">
        <v>6</v>
      </c>
    </row>
    <row r="10" spans="1:24" ht="16.5" thickBot="1">
      <c r="A10" s="66"/>
      <c r="B10" s="77"/>
      <c r="C10" s="91"/>
      <c r="D10" s="106">
        <f t="shared" si="0"/>
        <v>0</v>
      </c>
      <c r="E10" s="85">
        <f>B10*C10</f>
        <v>0</v>
      </c>
      <c r="F10" s="66"/>
      <c r="G10" s="66"/>
      <c r="H10" s="262"/>
      <c r="I10" s="68"/>
      <c r="J10" s="76"/>
      <c r="K10" s="94"/>
      <c r="L10" s="94"/>
      <c r="M10" s="94"/>
      <c r="N10" s="66"/>
      <c r="O10" s="66"/>
      <c r="V10" s="507">
        <v>6</v>
      </c>
    </row>
    <row r="11" spans="1:24" ht="16.5" thickBot="1">
      <c r="A11" s="66"/>
      <c r="B11" s="78"/>
      <c r="C11" s="97"/>
      <c r="D11" s="106">
        <f t="shared" si="0"/>
        <v>0</v>
      </c>
      <c r="E11" s="85">
        <f t="shared" si="1"/>
        <v>0</v>
      </c>
      <c r="F11" s="424" t="s">
        <v>12</v>
      </c>
      <c r="G11" s="465"/>
      <c r="H11" s="262"/>
      <c r="I11" s="67" t="s">
        <v>39</v>
      </c>
      <c r="J11" s="76">
        <v>60</v>
      </c>
      <c r="K11" s="70" t="s">
        <v>43</v>
      </c>
      <c r="L11" s="70" t="s">
        <v>44</v>
      </c>
      <c r="M11" s="70" t="s">
        <v>51</v>
      </c>
      <c r="N11" s="198" t="s">
        <v>107</v>
      </c>
      <c r="O11" s="66"/>
      <c r="V11" s="507">
        <v>5</v>
      </c>
    </row>
    <row r="12" spans="1:24" ht="16.5" thickBot="1">
      <c r="A12" s="66"/>
      <c r="B12" s="69"/>
      <c r="C12" s="69"/>
      <c r="D12" s="106"/>
      <c r="E12" s="85"/>
      <c r="F12" s="463">
        <f>SUM(F13:F28)</f>
        <v>100</v>
      </c>
      <c r="G12" s="464" t="s">
        <v>166</v>
      </c>
      <c r="H12" s="262"/>
      <c r="I12" s="67" t="s">
        <v>41</v>
      </c>
      <c r="J12" s="76">
        <v>57</v>
      </c>
      <c r="K12" s="266">
        <f xml:space="preserve"> (J11-J12)/J13</f>
        <v>0.25</v>
      </c>
      <c r="L12" s="267">
        <f xml:space="preserve"> _xlfn.NORM.DIST(J11,J12,J13, TRUE)</f>
        <v>0.5987063256829237</v>
      </c>
      <c r="M12" s="267">
        <f>1-L12</f>
        <v>0.4012936743170763</v>
      </c>
      <c r="N12" s="156">
        <f>_xlfn.NORM.DIST(J14,J12, J13, TRUE)-L12</f>
        <v>-6.5499573830301472E-2</v>
      </c>
      <c r="O12" s="66"/>
      <c r="V12" s="507">
        <v>5</v>
      </c>
    </row>
    <row r="13" spans="1:24" ht="15.75">
      <c r="A13" s="66"/>
      <c r="B13" s="94"/>
      <c r="C13" s="94"/>
      <c r="D13" s="106"/>
      <c r="E13" s="458"/>
      <c r="F13" s="507">
        <v>12</v>
      </c>
      <c r="G13" s="508">
        <f>IF(F13="","",F13/F$12)</f>
        <v>0.12</v>
      </c>
      <c r="H13" s="262"/>
      <c r="I13" s="67" t="s">
        <v>42</v>
      </c>
      <c r="J13" s="76">
        <v>12</v>
      </c>
      <c r="K13" s="94"/>
      <c r="L13" s="94"/>
      <c r="M13" s="91"/>
      <c r="N13" s="66"/>
      <c r="O13" s="66"/>
      <c r="V13" s="507">
        <v>5</v>
      </c>
    </row>
    <row r="14" spans="1:24" ht="15.75">
      <c r="A14" s="66"/>
      <c r="B14" s="69"/>
      <c r="C14" s="481"/>
      <c r="D14" s="106"/>
      <c r="E14" s="458"/>
      <c r="F14" s="507">
        <v>33</v>
      </c>
      <c r="G14" s="509">
        <f t="shared" ref="G14:G24" si="2">IF(F14="","",F14/F$12)</f>
        <v>0.33</v>
      </c>
      <c r="H14" s="262"/>
      <c r="I14" s="67" t="s">
        <v>106</v>
      </c>
      <c r="J14" s="76">
        <v>58</v>
      </c>
      <c r="K14" s="94"/>
      <c r="L14" s="94"/>
      <c r="M14" s="91"/>
      <c r="N14" s="66"/>
      <c r="O14" s="66"/>
      <c r="V14" s="507">
        <v>5</v>
      </c>
    </row>
    <row r="15" spans="1:24" ht="16.5" thickBot="1">
      <c r="A15" s="66"/>
      <c r="B15" s="69"/>
      <c r="C15" s="483"/>
      <c r="D15" s="107"/>
      <c r="E15" s="459"/>
      <c r="F15" s="507">
        <v>29</v>
      </c>
      <c r="G15" s="509">
        <f t="shared" si="2"/>
        <v>0.28999999999999998</v>
      </c>
      <c r="H15" s="262"/>
      <c r="I15" s="67"/>
      <c r="J15" s="76"/>
      <c r="K15" s="157" t="s">
        <v>154</v>
      </c>
      <c r="L15" s="157" t="s">
        <v>67</v>
      </c>
      <c r="M15" s="157" t="s">
        <v>173</v>
      </c>
      <c r="N15" s="162" t="s">
        <v>174</v>
      </c>
      <c r="O15" s="66"/>
      <c r="V15" s="507">
        <v>5</v>
      </c>
    </row>
    <row r="16" spans="1:24" ht="16.5" thickBot="1">
      <c r="A16" s="66"/>
      <c r="B16" s="66"/>
      <c r="C16" s="482"/>
      <c r="D16" s="79"/>
      <c r="E16" s="79"/>
      <c r="F16" s="507">
        <v>11</v>
      </c>
      <c r="G16" s="509">
        <f t="shared" si="2"/>
        <v>0.11</v>
      </c>
      <c r="H16" s="262"/>
      <c r="I16" s="87"/>
      <c r="J16" s="88"/>
      <c r="K16" s="70" t="s">
        <v>44</v>
      </c>
      <c r="L16" s="70" t="s">
        <v>51</v>
      </c>
      <c r="M16" s="516" t="s">
        <v>176</v>
      </c>
      <c r="N16" s="517" t="s">
        <v>175</v>
      </c>
      <c r="O16" s="66"/>
      <c r="V16" s="507">
        <v>5</v>
      </c>
    </row>
    <row r="17" spans="1:22" ht="16.5" thickBot="1">
      <c r="A17" s="66"/>
      <c r="B17" s="66"/>
      <c r="C17" s="75"/>
      <c r="D17" s="79"/>
      <c r="E17" s="79"/>
      <c r="F17" s="484">
        <v>6</v>
      </c>
      <c r="G17" s="460">
        <f t="shared" si="2"/>
        <v>0.06</v>
      </c>
      <c r="H17" s="262"/>
      <c r="I17" s="90" t="s">
        <v>50</v>
      </c>
      <c r="J17" s="91">
        <v>-0.19</v>
      </c>
      <c r="K17" s="121">
        <f>_xlfn.NORM.S.DIST(J17,TRUE)</f>
        <v>0.42465456526520451</v>
      </c>
      <c r="L17" s="96">
        <f>1-K17</f>
        <v>0.57534543473479549</v>
      </c>
      <c r="M17" s="121">
        <f>ABS(_xlfn.NORM.S.DIST(J17,TRUE) - _xlfn.NORM.S.DIST(J18,TRUE) )</f>
        <v>0.49458877550102442</v>
      </c>
      <c r="N17" s="121">
        <f>1-M17</f>
        <v>0.50541122449897558</v>
      </c>
      <c r="O17" s="66"/>
      <c r="V17" s="507">
        <v>4</v>
      </c>
    </row>
    <row r="18" spans="1:22" ht="20.25" thickBot="1">
      <c r="C18" s="29"/>
      <c r="D18" s="80"/>
      <c r="E18" s="80"/>
      <c r="F18" s="484">
        <v>2</v>
      </c>
      <c r="G18" s="460">
        <f t="shared" si="2"/>
        <v>0.02</v>
      </c>
      <c r="H18" s="263"/>
      <c r="I18" s="212" t="s">
        <v>172</v>
      </c>
      <c r="J18" s="213">
        <v>1.4</v>
      </c>
      <c r="K18" s="272" t="s">
        <v>43</v>
      </c>
      <c r="M18" s="257"/>
      <c r="O18" s="66"/>
      <c r="V18" s="507">
        <v>4</v>
      </c>
    </row>
    <row r="19" spans="1:22" ht="16.5" thickBot="1">
      <c r="C19" s="29"/>
      <c r="D19" s="80"/>
      <c r="E19" s="80"/>
      <c r="F19" s="485">
        <v>3</v>
      </c>
      <c r="G19" s="460">
        <f t="shared" si="2"/>
        <v>0.03</v>
      </c>
      <c r="H19" s="263"/>
      <c r="I19" s="515" t="s">
        <v>44</v>
      </c>
      <c r="J19" s="97">
        <v>0.11</v>
      </c>
      <c r="K19" s="343">
        <f>_xlfn.NORM.S.INV(J19)</f>
        <v>-1.2265281200366105</v>
      </c>
      <c r="O19" s="66"/>
      <c r="V19" s="507">
        <v>4</v>
      </c>
    </row>
    <row r="20" spans="1:22" ht="16.5" customHeight="1">
      <c r="C20" s="29"/>
      <c r="D20" s="80"/>
      <c r="E20" s="80"/>
      <c r="F20" s="485">
        <v>1</v>
      </c>
      <c r="G20" s="460">
        <f t="shared" si="2"/>
        <v>0.01</v>
      </c>
      <c r="H20" s="263"/>
      <c r="I20" s="67" t="s">
        <v>41</v>
      </c>
      <c r="J20" s="76">
        <v>2.2000000000000002</v>
      </c>
      <c r="K20" s="264" t="s">
        <v>109</v>
      </c>
      <c r="O20" s="66"/>
      <c r="V20" s="507">
        <v>4</v>
      </c>
    </row>
    <row r="21" spans="1:22" ht="16.5" thickBot="1">
      <c r="C21" s="29"/>
      <c r="D21" s="80"/>
      <c r="E21" s="80"/>
      <c r="F21" s="485">
        <v>1</v>
      </c>
      <c r="G21" s="460">
        <f t="shared" si="2"/>
        <v>0.01</v>
      </c>
      <c r="H21" s="263"/>
      <c r="I21" s="67" t="s">
        <v>42</v>
      </c>
      <c r="J21" s="76">
        <v>1.31</v>
      </c>
      <c r="K21" s="265">
        <f>K19*J21+J20</f>
        <v>0.59324816275204029</v>
      </c>
      <c r="O21" s="66"/>
      <c r="V21" s="507">
        <v>4</v>
      </c>
    </row>
    <row r="22" spans="1:22">
      <c r="C22" s="29"/>
      <c r="D22" s="80"/>
      <c r="E22" s="80"/>
      <c r="F22" s="485">
        <v>2</v>
      </c>
      <c r="G22" s="460">
        <f t="shared" si="2"/>
        <v>0.02</v>
      </c>
      <c r="H22" s="263"/>
      <c r="O22" s="66"/>
      <c r="V22" s="507">
        <v>4</v>
      </c>
    </row>
    <row r="23" spans="1:22" ht="15.75" thickBot="1">
      <c r="C23" s="29"/>
      <c r="D23" s="80"/>
      <c r="E23" s="80"/>
      <c r="F23" s="485"/>
      <c r="G23" s="460" t="str">
        <f t="shared" si="2"/>
        <v/>
      </c>
      <c r="H23" s="263"/>
      <c r="J23" s="522"/>
      <c r="K23" s="522"/>
      <c r="O23" s="66"/>
      <c r="V23" s="507">
        <v>4</v>
      </c>
    </row>
    <row r="24" spans="1:22" ht="16.5" thickBot="1">
      <c r="C24" s="29"/>
      <c r="D24" s="80"/>
      <c r="E24" s="80"/>
      <c r="F24" s="485"/>
      <c r="G24" s="460" t="str">
        <f t="shared" si="2"/>
        <v/>
      </c>
      <c r="H24" s="263"/>
      <c r="I24" s="67" t="s">
        <v>39</v>
      </c>
      <c r="J24" s="76">
        <v>76.400000000000006</v>
      </c>
      <c r="K24" s="70" t="s">
        <v>43</v>
      </c>
      <c r="L24" s="70" t="s">
        <v>44</v>
      </c>
      <c r="M24" s="70" t="s">
        <v>51</v>
      </c>
      <c r="O24" s="66"/>
      <c r="V24" s="507">
        <v>4</v>
      </c>
    </row>
    <row r="25" spans="1:22" ht="16.5" thickBot="1">
      <c r="C25" s="29"/>
      <c r="D25" s="80"/>
      <c r="E25" s="80"/>
      <c r="F25" s="81"/>
      <c r="H25" s="263"/>
      <c r="I25" s="67" t="s">
        <v>41</v>
      </c>
      <c r="J25" s="76">
        <v>74</v>
      </c>
      <c r="K25" s="266">
        <f xml:space="preserve"> (J24-J25)/K27</f>
        <v>7.2000000000000171</v>
      </c>
      <c r="L25" s="267">
        <f xml:space="preserve">  _xlfn.NORM.S.DIST(K25,TRUE)</f>
        <v>0.99999999999969891</v>
      </c>
      <c r="M25" s="96">
        <f>1-L25</f>
        <v>3.0109248427834245E-13</v>
      </c>
      <c r="V25" s="507">
        <v>4</v>
      </c>
    </row>
    <row r="26" spans="1:22" ht="16.5" thickBot="1">
      <c r="C26" s="29"/>
      <c r="D26" s="80"/>
      <c r="E26" s="80"/>
      <c r="F26" s="81"/>
      <c r="H26" s="263"/>
      <c r="I26" s="67" t="s">
        <v>42</v>
      </c>
      <c r="J26" s="76">
        <v>2</v>
      </c>
      <c r="K26" s="100" t="s">
        <v>53</v>
      </c>
      <c r="L26" s="94"/>
      <c r="M26" s="91"/>
      <c r="V26" s="507">
        <v>4</v>
      </c>
    </row>
    <row r="27" spans="1:22" ht="18" thickBot="1">
      <c r="C27" s="29"/>
      <c r="D27" s="80"/>
      <c r="E27" s="80"/>
      <c r="F27" s="81"/>
      <c r="H27" s="263"/>
      <c r="I27" s="98" t="s">
        <v>52</v>
      </c>
      <c r="J27" s="99">
        <v>36</v>
      </c>
      <c r="K27" s="130">
        <f>J26/SQRT(J27)</f>
        <v>0.33333333333333331</v>
      </c>
      <c r="V27" s="507">
        <v>4</v>
      </c>
    </row>
    <row r="28" spans="1:22">
      <c r="C28" s="29"/>
      <c r="D28" s="80"/>
      <c r="E28" s="80"/>
      <c r="F28" s="81"/>
      <c r="H28" s="263"/>
      <c r="V28" s="507">
        <v>3</v>
      </c>
    </row>
    <row r="29" spans="1:22">
      <c r="C29" s="29"/>
      <c r="D29" s="80"/>
      <c r="E29" s="80"/>
      <c r="F29" s="81"/>
      <c r="H29" s="263"/>
      <c r="V29" s="507">
        <v>3</v>
      </c>
    </row>
    <row r="30" spans="1:22">
      <c r="C30" s="29"/>
      <c r="D30" s="80"/>
      <c r="E30" s="80"/>
      <c r="F30" s="81"/>
      <c r="V30" s="507">
        <v>3</v>
      </c>
    </row>
    <row r="31" spans="1:22">
      <c r="C31" s="29"/>
      <c r="D31" s="80"/>
      <c r="E31" s="80"/>
      <c r="F31" s="81"/>
      <c r="V31" s="507">
        <v>3</v>
      </c>
    </row>
    <row r="32" spans="1:22">
      <c r="C32" s="29"/>
      <c r="D32" s="80"/>
      <c r="E32" s="80"/>
      <c r="F32" s="81"/>
      <c r="V32" s="507">
        <v>3</v>
      </c>
    </row>
    <row r="33" spans="3:22">
      <c r="C33" s="29"/>
      <c r="D33" s="80"/>
      <c r="E33" s="80"/>
      <c r="F33" s="81"/>
      <c r="V33" s="507">
        <v>3</v>
      </c>
    </row>
    <row r="34" spans="3:22">
      <c r="C34" s="29"/>
      <c r="D34" s="80"/>
      <c r="E34" s="80"/>
      <c r="F34" s="81"/>
      <c r="V34" s="507">
        <v>3</v>
      </c>
    </row>
    <row r="35" spans="3:22">
      <c r="C35" s="29"/>
      <c r="D35" s="80"/>
      <c r="E35" s="80"/>
      <c r="F35" s="81"/>
      <c r="V35" s="507">
        <v>3</v>
      </c>
    </row>
    <row r="36" spans="3:22">
      <c r="C36" s="29"/>
      <c r="D36" s="80"/>
      <c r="E36" s="80"/>
      <c r="F36" s="81"/>
      <c r="V36" s="507">
        <v>3</v>
      </c>
    </row>
    <row r="37" spans="3:22">
      <c r="C37" s="29"/>
      <c r="D37" s="80"/>
      <c r="E37" s="80"/>
      <c r="F37" s="81"/>
      <c r="V37" s="507">
        <v>3</v>
      </c>
    </row>
    <row r="38" spans="3:22">
      <c r="C38" s="29"/>
      <c r="D38" s="80"/>
      <c r="E38" s="80"/>
      <c r="F38" s="81"/>
      <c r="V38" s="507">
        <v>3</v>
      </c>
    </row>
    <row r="39" spans="3:22">
      <c r="C39" s="29"/>
      <c r="D39" s="80"/>
      <c r="E39" s="80"/>
      <c r="F39" s="81"/>
      <c r="V39" s="507">
        <v>3</v>
      </c>
    </row>
    <row r="40" spans="3:22">
      <c r="C40" s="29"/>
      <c r="D40" s="80"/>
      <c r="E40" s="80"/>
      <c r="F40" s="81"/>
      <c r="V40" s="507">
        <v>3</v>
      </c>
    </row>
    <row r="41" spans="3:22">
      <c r="C41" s="29"/>
      <c r="D41" s="80"/>
      <c r="E41" s="80"/>
      <c r="F41" s="81"/>
      <c r="V41" s="507">
        <v>3</v>
      </c>
    </row>
    <row r="42" spans="3:22">
      <c r="C42" s="29"/>
      <c r="D42" s="80"/>
      <c r="E42" s="80"/>
      <c r="F42" s="81"/>
      <c r="V42" s="507">
        <v>3</v>
      </c>
    </row>
    <row r="43" spans="3:22">
      <c r="C43" s="29"/>
      <c r="D43" s="80"/>
      <c r="E43" s="80"/>
      <c r="F43" s="81"/>
      <c r="V43" s="507">
        <v>3</v>
      </c>
    </row>
    <row r="44" spans="3:22">
      <c r="C44" s="29"/>
      <c r="D44" s="80"/>
      <c r="E44" s="80"/>
      <c r="F44" s="81"/>
      <c r="V44" s="507">
        <v>3</v>
      </c>
    </row>
    <row r="45" spans="3:22">
      <c r="C45" s="29"/>
      <c r="D45" s="80"/>
      <c r="E45" s="80"/>
      <c r="F45" s="81"/>
      <c r="V45" s="507">
        <v>3</v>
      </c>
    </row>
    <row r="46" spans="3:22">
      <c r="C46" s="29"/>
      <c r="D46" s="80"/>
      <c r="E46" s="80"/>
      <c r="F46" s="81"/>
      <c r="V46" s="507">
        <v>3</v>
      </c>
    </row>
    <row r="47" spans="3:22">
      <c r="C47" s="29"/>
      <c r="D47" s="80"/>
      <c r="E47" s="80"/>
      <c r="F47" s="81"/>
      <c r="V47" s="507">
        <v>3</v>
      </c>
    </row>
    <row r="48" spans="3:22">
      <c r="C48" s="29"/>
      <c r="D48" s="80"/>
      <c r="E48" s="80"/>
      <c r="F48" s="81"/>
      <c r="V48" s="507">
        <v>3</v>
      </c>
    </row>
    <row r="49" spans="3:22">
      <c r="C49" s="29"/>
      <c r="D49" s="80"/>
      <c r="E49" s="80"/>
      <c r="F49" s="81"/>
      <c r="V49" s="507">
        <v>3</v>
      </c>
    </row>
    <row r="50" spans="3:22">
      <c r="C50" s="29"/>
      <c r="D50" s="80"/>
      <c r="E50" s="80"/>
      <c r="F50" s="81"/>
      <c r="V50" s="507">
        <v>3</v>
      </c>
    </row>
    <row r="51" spans="3:22">
      <c r="C51" s="29"/>
      <c r="D51" s="80"/>
      <c r="E51" s="80"/>
      <c r="F51" s="81"/>
      <c r="V51" s="507">
        <v>3</v>
      </c>
    </row>
    <row r="52" spans="3:22">
      <c r="C52" s="29"/>
      <c r="D52" s="80"/>
      <c r="E52" s="80"/>
      <c r="F52" s="81"/>
      <c r="V52" s="507">
        <v>3</v>
      </c>
    </row>
    <row r="53" spans="3:22">
      <c r="C53" s="29"/>
      <c r="D53" s="80"/>
      <c r="E53" s="80"/>
      <c r="F53" s="81"/>
      <c r="V53" s="507">
        <v>3</v>
      </c>
    </row>
    <row r="54" spans="3:22">
      <c r="C54" s="29"/>
      <c r="D54" s="80"/>
      <c r="E54" s="80"/>
      <c r="F54" s="81"/>
      <c r="V54" s="507">
        <v>3</v>
      </c>
    </row>
    <row r="55" spans="3:22">
      <c r="C55" s="29"/>
      <c r="D55" s="80"/>
      <c r="E55" s="80"/>
      <c r="F55" s="81"/>
      <c r="V55" s="507">
        <v>3</v>
      </c>
    </row>
    <row r="56" spans="3:22">
      <c r="V56" s="507">
        <v>3</v>
      </c>
    </row>
    <row r="57" spans="3:22">
      <c r="V57" s="507">
        <v>2</v>
      </c>
    </row>
    <row r="58" spans="3:22">
      <c r="V58" s="507">
        <v>2</v>
      </c>
    </row>
    <row r="59" spans="3:22">
      <c r="V59" s="507">
        <v>2</v>
      </c>
    </row>
    <row r="60" spans="3:22">
      <c r="V60" s="507">
        <v>2</v>
      </c>
    </row>
    <row r="61" spans="3:22">
      <c r="V61" s="507">
        <v>2</v>
      </c>
    </row>
    <row r="62" spans="3:22">
      <c r="V62" s="507">
        <v>2</v>
      </c>
    </row>
    <row r="63" spans="3:22">
      <c r="V63" s="507">
        <v>2</v>
      </c>
    </row>
    <row r="64" spans="3:22">
      <c r="V64" s="507">
        <v>2</v>
      </c>
    </row>
    <row r="65" spans="22:22">
      <c r="V65" s="507">
        <v>2</v>
      </c>
    </row>
    <row r="66" spans="22:22">
      <c r="V66" s="507">
        <v>2</v>
      </c>
    </row>
    <row r="67" spans="22:22">
      <c r="V67" s="507">
        <v>2</v>
      </c>
    </row>
    <row r="68" spans="22:22">
      <c r="V68" s="507">
        <v>2</v>
      </c>
    </row>
    <row r="69" spans="22:22">
      <c r="V69" s="507">
        <v>2</v>
      </c>
    </row>
    <row r="70" spans="22:22">
      <c r="V70" s="507">
        <v>2</v>
      </c>
    </row>
    <row r="71" spans="22:22">
      <c r="V71" s="507">
        <v>2</v>
      </c>
    </row>
    <row r="72" spans="22:22">
      <c r="V72" s="507">
        <v>2</v>
      </c>
    </row>
    <row r="73" spans="22:22">
      <c r="V73" s="507">
        <v>2</v>
      </c>
    </row>
    <row r="74" spans="22:22">
      <c r="V74" s="507">
        <v>2</v>
      </c>
    </row>
    <row r="75" spans="22:22">
      <c r="V75" s="507">
        <v>2</v>
      </c>
    </row>
    <row r="76" spans="22:22">
      <c r="V76" s="507">
        <v>2</v>
      </c>
    </row>
    <row r="77" spans="22:22">
      <c r="V77" s="507">
        <v>2</v>
      </c>
    </row>
    <row r="78" spans="22:22">
      <c r="V78" s="507">
        <v>2</v>
      </c>
    </row>
    <row r="79" spans="22:22">
      <c r="V79" s="507">
        <v>2</v>
      </c>
    </row>
    <row r="80" spans="22:22">
      <c r="V80" s="507">
        <v>2</v>
      </c>
    </row>
    <row r="81" spans="22:22">
      <c r="V81" s="507">
        <v>2</v>
      </c>
    </row>
    <row r="82" spans="22:22">
      <c r="V82" s="507">
        <v>2</v>
      </c>
    </row>
    <row r="83" spans="22:22">
      <c r="V83" s="507">
        <v>2</v>
      </c>
    </row>
    <row r="84" spans="22:22">
      <c r="V84" s="507">
        <v>2</v>
      </c>
    </row>
    <row r="85" spans="22:22">
      <c r="V85" s="507">
        <v>2</v>
      </c>
    </row>
    <row r="86" spans="22:22">
      <c r="V86" s="507">
        <v>2</v>
      </c>
    </row>
    <row r="87" spans="22:22">
      <c r="V87" s="507">
        <v>2</v>
      </c>
    </row>
    <row r="88" spans="22:22">
      <c r="V88" s="507">
        <v>2</v>
      </c>
    </row>
    <row r="89" spans="22:22">
      <c r="V89" s="507">
        <v>2</v>
      </c>
    </row>
    <row r="90" spans="22:22">
      <c r="V90" s="507">
        <v>1</v>
      </c>
    </row>
    <row r="91" spans="22:22">
      <c r="V91" s="507">
        <v>1</v>
      </c>
    </row>
    <row r="92" spans="22:22">
      <c r="V92" s="507">
        <v>1</v>
      </c>
    </row>
    <row r="93" spans="22:22">
      <c r="V93" s="507">
        <v>1</v>
      </c>
    </row>
    <row r="94" spans="22:22">
      <c r="V94" s="507">
        <v>1</v>
      </c>
    </row>
    <row r="95" spans="22:22">
      <c r="V95" s="507">
        <v>1</v>
      </c>
    </row>
    <row r="96" spans="22:22">
      <c r="V96" s="507">
        <v>1</v>
      </c>
    </row>
    <row r="97" spans="22:22">
      <c r="V97" s="507">
        <v>1</v>
      </c>
    </row>
    <row r="98" spans="22:22">
      <c r="V98" s="507">
        <v>1</v>
      </c>
    </row>
    <row r="99" spans="22:22">
      <c r="V99" s="507">
        <v>1</v>
      </c>
    </row>
    <row r="100" spans="22:22">
      <c r="V100" s="507">
        <v>1</v>
      </c>
    </row>
    <row r="101" spans="22:22">
      <c r="V101" s="507">
        <v>1</v>
      </c>
    </row>
  </sheetData>
  <sortState ref="V2:V101">
    <sortCondition descending="1" ref="V2"/>
  </sortState>
  <mergeCells count="1">
    <mergeCell ref="J23:K23"/>
  </mergeCells>
  <pageMargins left="0.7" right="0.7" top="0.75" bottom="0.75" header="0.3" footer="0.3"/>
  <pageSetup orientation="portrait" horizontalDpi="200" verticalDpi="200" r:id="rId1"/>
  <ignoredErrors>
    <ignoredError sqref="M1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4"/>
  <sheetViews>
    <sheetView tabSelected="1" zoomScale="90" zoomScaleNormal="90" workbookViewId="0">
      <selection activeCell="F4" sqref="F4"/>
    </sheetView>
  </sheetViews>
  <sheetFormatPr defaultRowHeight="15.75"/>
  <cols>
    <col min="1" max="1" width="6.28515625" customWidth="1"/>
    <col min="2" max="2" width="8.85546875" customWidth="1"/>
    <col min="3" max="4" width="0.85546875" customWidth="1"/>
    <col min="5" max="5" width="9.42578125" customWidth="1"/>
    <col min="6" max="6" width="9.7109375" customWidth="1"/>
    <col min="7" max="7" width="6.85546875" customWidth="1"/>
    <col min="8" max="8" width="8.7109375" customWidth="1"/>
    <col min="10" max="10" width="10.85546875" customWidth="1"/>
    <col min="11" max="11" width="11.5703125" customWidth="1"/>
    <col min="12" max="12" width="10.7109375" customWidth="1"/>
    <col min="13" max="13" width="10.42578125" customWidth="1"/>
    <col min="14" max="14" width="0.7109375" customWidth="1"/>
    <col min="15" max="15" width="8.7109375" customWidth="1"/>
    <col min="16" max="16" width="8.28515625" customWidth="1"/>
    <col min="17" max="18" width="10" customWidth="1"/>
    <col min="19" max="19" width="9.85546875" customWidth="1"/>
    <col min="20" max="20" width="10.140625" customWidth="1"/>
    <col min="21" max="21" width="0.7109375" customWidth="1"/>
    <col min="22" max="22" width="6.7109375" style="30" customWidth="1"/>
    <col min="23" max="23" width="8" style="30" customWidth="1"/>
    <col min="24" max="24" width="9.85546875" customWidth="1"/>
    <col min="25" max="25" width="10.140625" customWidth="1"/>
    <col min="26" max="26" width="10.42578125" customWidth="1"/>
    <col min="27" max="27" width="4.140625" customWidth="1"/>
  </cols>
  <sheetData>
    <row r="1" spans="1:27" ht="21.75" customHeight="1" thickBot="1">
      <c r="A1" s="70" t="s">
        <v>30</v>
      </c>
      <c r="B1" s="220" t="s">
        <v>31</v>
      </c>
      <c r="C1" s="105"/>
      <c r="D1" s="84"/>
      <c r="E1" s="66"/>
      <c r="F1" s="66"/>
      <c r="K1" s="354" t="s">
        <v>56</v>
      </c>
      <c r="L1" s="355">
        <v>95</v>
      </c>
      <c r="N1" s="304"/>
      <c r="U1" s="339"/>
    </row>
    <row r="2" spans="1:27" ht="16.5" thickBot="1">
      <c r="A2" s="438">
        <v>35</v>
      </c>
      <c r="B2" s="439">
        <f>1/38</f>
        <v>2.6315789473684209E-2</v>
      </c>
      <c r="C2" s="106">
        <f>(A2-$F$2)^2 *B2</f>
        <v>32.333867910774167</v>
      </c>
      <c r="D2" s="85">
        <f>A2*B2</f>
        <v>0.92105263157894735</v>
      </c>
      <c r="E2" s="102" t="s">
        <v>32</v>
      </c>
      <c r="F2" s="351">
        <f>SUM(D2:D6)</f>
        <v>-5.2631578947368474E-2</v>
      </c>
      <c r="G2" s="358" t="s">
        <v>41</v>
      </c>
      <c r="H2" s="359">
        <v>3</v>
      </c>
      <c r="I2" s="100" t="s">
        <v>110</v>
      </c>
      <c r="J2" s="124">
        <f>H2</f>
        <v>3</v>
      </c>
      <c r="K2" s="360"/>
      <c r="L2" s="346"/>
      <c r="N2" s="305"/>
      <c r="O2" s="66"/>
      <c r="P2" s="66"/>
      <c r="Q2" s="66"/>
      <c r="R2" s="66"/>
      <c r="U2" s="340"/>
      <c r="X2" s="140"/>
    </row>
    <row r="3" spans="1:27" ht="16.5" thickBot="1">
      <c r="A3" s="440">
        <v>-1</v>
      </c>
      <c r="B3" s="441">
        <f>1-B2</f>
        <v>0.97368421052631582</v>
      </c>
      <c r="C3" s="106">
        <f t="shared" ref="C3:C4" si="0">(A3-$F$2)^2 *B3</f>
        <v>0.87388832191281518</v>
      </c>
      <c r="D3" s="85">
        <f t="shared" ref="D3:D4" si="1">A3*B3</f>
        <v>-0.97368421052631582</v>
      </c>
      <c r="E3" s="103" t="s">
        <v>9</v>
      </c>
      <c r="F3" s="352">
        <f>SUM(C2:C6)</f>
        <v>33.207756232686982</v>
      </c>
      <c r="G3" s="361" t="s">
        <v>42</v>
      </c>
      <c r="H3" s="362">
        <f>SQRT(3)</f>
        <v>1.7320508075688772</v>
      </c>
      <c r="I3" s="100" t="s">
        <v>53</v>
      </c>
      <c r="J3" s="121">
        <f>H3/SQRT(H4)</f>
        <v>0.19999999999999996</v>
      </c>
      <c r="K3" s="29"/>
      <c r="L3" s="316"/>
      <c r="N3" s="305"/>
      <c r="O3" s="293" t="s">
        <v>102</v>
      </c>
      <c r="P3" s="74">
        <v>0.48699999999999999</v>
      </c>
      <c r="Q3" s="160"/>
      <c r="R3" s="296">
        <f>(P3+P4)/2</f>
        <v>0.65999999999999992</v>
      </c>
      <c r="U3" s="340"/>
      <c r="V3" s="94"/>
      <c r="W3" s="76">
        <v>0.05</v>
      </c>
      <c r="X3" s="121"/>
      <c r="Y3" s="121"/>
      <c r="Z3" s="126"/>
    </row>
    <row r="4" spans="1:27" ht="18" thickBot="1">
      <c r="A4" s="440"/>
      <c r="B4" s="441"/>
      <c r="C4" s="106">
        <f t="shared" si="0"/>
        <v>0</v>
      </c>
      <c r="D4" s="85">
        <f t="shared" si="1"/>
        <v>0</v>
      </c>
      <c r="E4" s="104" t="s">
        <v>33</v>
      </c>
      <c r="F4" s="353">
        <f>SQRT(F3)</f>
        <v>5.7626171339667343</v>
      </c>
      <c r="G4" s="363" t="s">
        <v>52</v>
      </c>
      <c r="H4" s="289">
        <v>75</v>
      </c>
      <c r="I4" s="185"/>
      <c r="J4" s="443">
        <f>SQRT(H6*(1-H6)/H4)</f>
        <v>4.6188021535170057E-2</v>
      </c>
      <c r="K4" s="287"/>
      <c r="L4" s="274">
        <f>H6</f>
        <v>0.8</v>
      </c>
      <c r="N4" s="331"/>
      <c r="O4" s="293" t="s">
        <v>103</v>
      </c>
      <c r="P4" s="74">
        <v>0.83299999999999996</v>
      </c>
      <c r="Q4" s="295" t="s">
        <v>119</v>
      </c>
      <c r="R4" s="271">
        <f>(P4-P3)/2</f>
        <v>0.17299999999999999</v>
      </c>
      <c r="U4" s="340"/>
      <c r="V4" s="342" t="s">
        <v>122</v>
      </c>
      <c r="W4" s="76">
        <v>40</v>
      </c>
      <c r="X4" s="306">
        <f>_xlfn.CHISQ.INV(W3,W4)</f>
        <v>26.509303196693114</v>
      </c>
      <c r="Y4" s="121">
        <f>_xlfn.CHISQ.INV.RT(W3,W4)</f>
        <v>55.75847927888703</v>
      </c>
      <c r="Z4" s="121">
        <f>_xlfn.CHISQ.INV.RT(1-W3 / 2,W4)</f>
        <v>24.433039170807891</v>
      </c>
      <c r="AA4" s="1"/>
    </row>
    <row r="5" spans="1:27" ht="18" thickBot="1">
      <c r="A5" s="440"/>
      <c r="B5" s="441"/>
      <c r="C5" s="106"/>
      <c r="D5" s="85"/>
      <c r="E5" s="444">
        <f>A2*B2+A3*B3</f>
        <v>-5.2631578947368474E-2</v>
      </c>
      <c r="F5" s="218"/>
      <c r="G5" s="363" t="s">
        <v>116</v>
      </c>
      <c r="H5" s="289">
        <v>20000</v>
      </c>
      <c r="I5" s="286" t="s">
        <v>117</v>
      </c>
      <c r="J5" s="288">
        <f>H4*H6*(1-H6)</f>
        <v>11.999999999999996</v>
      </c>
      <c r="K5" s="283" t="s">
        <v>118</v>
      </c>
      <c r="L5" s="182">
        <f>H4/H5</f>
        <v>3.7499999999999999E-3</v>
      </c>
      <c r="N5" s="332"/>
      <c r="O5" s="294" t="s">
        <v>52</v>
      </c>
      <c r="P5" s="74">
        <v>2000</v>
      </c>
      <c r="Q5" s="283" t="s">
        <v>39</v>
      </c>
      <c r="R5" s="297">
        <f>P5*R3</f>
        <v>1319.9999999999998</v>
      </c>
      <c r="U5" s="340"/>
      <c r="V5" s="329" t="s">
        <v>125</v>
      </c>
      <c r="W5" s="235">
        <v>2.9</v>
      </c>
      <c r="X5" s="159"/>
      <c r="Z5" s="121">
        <f>_xlfn.CHISQ.INV.RT(W3/ 2,W4)</f>
        <v>59.341707143171199</v>
      </c>
      <c r="AA5" s="2"/>
    </row>
    <row r="6" spans="1:27" ht="20.25" thickBot="1">
      <c r="A6" s="442"/>
      <c r="B6" s="34"/>
      <c r="C6" s="106"/>
      <c r="D6" s="85"/>
      <c r="E6" s="284"/>
      <c r="F6" s="218"/>
      <c r="G6" s="363" t="s">
        <v>115</v>
      </c>
      <c r="H6" s="289">
        <v>0.8</v>
      </c>
      <c r="I6" s="168" t="s">
        <v>160</v>
      </c>
      <c r="J6" s="381">
        <f>ROUND(H8/H6, 0)</f>
        <v>4</v>
      </c>
      <c r="K6" s="168" t="s">
        <v>159</v>
      </c>
      <c r="L6" s="381">
        <f>ROUND(10/(H6*(1-H6)),0)</f>
        <v>63</v>
      </c>
      <c r="N6" s="332"/>
      <c r="O6" s="66"/>
      <c r="P6" s="66"/>
      <c r="Q6" s="66"/>
      <c r="R6" s="66"/>
      <c r="U6" s="340"/>
      <c r="V6" s="68"/>
      <c r="W6" s="235"/>
      <c r="X6" s="343">
        <f>(W7-1)*W5^2 / W8^2</f>
        <v>45.992187499999993</v>
      </c>
    </row>
    <row r="7" spans="1:27" ht="20.25" thickBot="1">
      <c r="A7" s="310"/>
      <c r="B7" s="314" t="s">
        <v>124</v>
      </c>
      <c r="C7" s="313"/>
      <c r="D7" s="85"/>
      <c r="E7" s="153" t="s">
        <v>0</v>
      </c>
      <c r="F7" s="66"/>
      <c r="G7" s="361" t="s">
        <v>111</v>
      </c>
      <c r="H7" s="302">
        <v>4.5999999999999999E-2</v>
      </c>
      <c r="I7" s="283" t="s">
        <v>42</v>
      </c>
      <c r="J7" s="274">
        <f>H7*SQRT(H4)</f>
        <v>0.39837168574084181</v>
      </c>
      <c r="K7" s="29"/>
      <c r="L7" s="316"/>
      <c r="N7" s="332"/>
      <c r="O7" s="178"/>
      <c r="P7" s="144">
        <v>0.25</v>
      </c>
      <c r="Q7" s="299" t="s">
        <v>72</v>
      </c>
      <c r="R7" s="300">
        <f>P7*(1-P7)* ((_xlfn.NORM.S.INV(1- (100-L1)/200))/P8)^2</f>
        <v>800.30392097794254</v>
      </c>
      <c r="U7" s="340"/>
      <c r="V7" s="127" t="s">
        <v>60</v>
      </c>
      <c r="W7" s="235">
        <v>15</v>
      </c>
      <c r="X7" s="527" t="s">
        <v>65</v>
      </c>
      <c r="Y7" s="528"/>
      <c r="Z7" s="529"/>
    </row>
    <row r="8" spans="1:27" ht="18" customHeight="1" thickBot="1">
      <c r="A8" s="280"/>
      <c r="B8" s="311"/>
      <c r="C8" s="313"/>
      <c r="D8" s="85"/>
      <c r="E8" s="155">
        <f>IF(B9="","",AVERAGE(B9:B30))</f>
        <v>5.8</v>
      </c>
      <c r="F8" s="66"/>
      <c r="G8" s="361" t="s">
        <v>39</v>
      </c>
      <c r="H8" s="289">
        <v>3.3</v>
      </c>
      <c r="I8" s="70" t="s">
        <v>43</v>
      </c>
      <c r="J8" s="70" t="s">
        <v>44</v>
      </c>
      <c r="K8" s="70" t="s">
        <v>51</v>
      </c>
      <c r="L8" s="198" t="s">
        <v>107</v>
      </c>
      <c r="N8" s="332"/>
      <c r="O8" s="328" t="s">
        <v>63</v>
      </c>
      <c r="P8" s="97">
        <v>0.03</v>
      </c>
      <c r="Q8" s="301" t="s">
        <v>121</v>
      </c>
      <c r="R8" s="300">
        <f>0.25* ((_xlfn.NORM.S.INV(1- (100-L$1)/200))/P8)^2</f>
        <v>1067.0718946372567</v>
      </c>
      <c r="U8" s="340"/>
      <c r="V8" s="281" t="s">
        <v>42</v>
      </c>
      <c r="W8" s="74">
        <v>1.6</v>
      </c>
      <c r="X8" s="344" t="s">
        <v>134</v>
      </c>
      <c r="Y8" s="347" t="s">
        <v>133</v>
      </c>
      <c r="Z8" s="349"/>
    </row>
    <row r="9" spans="1:27" ht="16.5" thickBot="1">
      <c r="A9" s="280"/>
      <c r="B9" s="285">
        <v>7</v>
      </c>
      <c r="C9" s="313"/>
      <c r="D9" s="85"/>
      <c r="E9" s="153" t="s">
        <v>2</v>
      </c>
      <c r="F9" s="66"/>
      <c r="G9" s="364" t="s">
        <v>106</v>
      </c>
      <c r="H9" s="290">
        <v>83.75</v>
      </c>
      <c r="I9" s="277">
        <f>ROUND((H8-H2)/H3,2)</f>
        <v>0.17</v>
      </c>
      <c r="J9" s="278">
        <f xml:space="preserve"> _xlfn.NORM.DIST(H8,H2,H3, TRUE)</f>
        <v>0.56875488493203918</v>
      </c>
      <c r="K9" s="278">
        <f>1-J9</f>
        <v>0.43124511506796082</v>
      </c>
      <c r="L9" s="279">
        <f>_xlfn.NORM.DIST(H9,H2, H3, TRUE)-J9</f>
        <v>0.43124511506796082</v>
      </c>
      <c r="N9" s="332"/>
      <c r="O9" s="94"/>
      <c r="P9" s="76">
        <v>0.01</v>
      </c>
      <c r="Q9" s="157" t="s">
        <v>67</v>
      </c>
      <c r="R9" s="140"/>
      <c r="U9" s="340"/>
      <c r="X9" s="186">
        <f>CHIDIST(X6,W7-1)</f>
        <v>2.8119835991838909E-5</v>
      </c>
      <c r="Y9" s="348">
        <f>1-X9</f>
        <v>0.99997188016400818</v>
      </c>
      <c r="Z9" s="73">
        <f>2*X9</f>
        <v>5.6239671983677817E-5</v>
      </c>
    </row>
    <row r="10" spans="1:27" ht="17.25" thickTop="1" thickBot="1">
      <c r="A10" s="280"/>
      <c r="B10" s="285">
        <v>9</v>
      </c>
      <c r="C10" s="313"/>
      <c r="D10" s="85"/>
      <c r="E10" s="350">
        <f>_xlfn.STDEV.S(B9:B30)</f>
        <v>2.3874672772626648</v>
      </c>
      <c r="G10" s="365"/>
      <c r="H10" s="282" t="s">
        <v>112</v>
      </c>
      <c r="I10" s="275" t="s">
        <v>43</v>
      </c>
      <c r="J10" s="275" t="s">
        <v>113</v>
      </c>
      <c r="K10" s="275" t="s">
        <v>114</v>
      </c>
      <c r="L10" s="276" t="s">
        <v>107</v>
      </c>
      <c r="N10" s="332"/>
      <c r="O10" s="308" t="s">
        <v>122</v>
      </c>
      <c r="P10" s="69">
        <v>40</v>
      </c>
      <c r="Q10" s="70" t="s">
        <v>123</v>
      </c>
      <c r="R10" s="111"/>
      <c r="S10" s="111"/>
      <c r="T10" s="29"/>
      <c r="U10" s="340"/>
      <c r="W10" s="91">
        <v>10.8</v>
      </c>
      <c r="X10" s="159"/>
      <c r="Y10" s="94"/>
    </row>
    <row r="11" spans="1:27" ht="16.5" thickBot="1">
      <c r="A11" s="280"/>
      <c r="B11" s="285">
        <v>3</v>
      </c>
      <c r="C11" s="313"/>
      <c r="D11" s="85"/>
      <c r="I11" s="356">
        <f>ROUND((H8-H2)/H7, 2)</f>
        <v>6.52</v>
      </c>
      <c r="J11" s="357">
        <f xml:space="preserve"> _xlfn.NORM.S.DIST(I11,TRUE)</f>
        <v>0.99999999996484634</v>
      </c>
      <c r="K11" s="357">
        <f>1-J11</f>
        <v>3.5153657762521107E-11</v>
      </c>
      <c r="L11" s="156">
        <f>_xlfn.NORM.DIST(H9,H2, J3, TRUE)-J11</f>
        <v>3.5153657762521107E-11</v>
      </c>
      <c r="N11" s="332"/>
      <c r="O11" s="308" t="s">
        <v>115</v>
      </c>
      <c r="P11" s="69">
        <v>0.2</v>
      </c>
      <c r="Q11" s="306">
        <f>TINV(2*P11, P10)</f>
        <v>0.85069979579045529</v>
      </c>
      <c r="R11" s="167"/>
      <c r="S11" s="111"/>
      <c r="T11" s="111"/>
      <c r="U11" s="340"/>
      <c r="W11" s="91">
        <v>9</v>
      </c>
      <c r="X11" s="139">
        <f>(W7-1)*W11/ W10</f>
        <v>11.666666666666666</v>
      </c>
      <c r="Y11" s="111"/>
    </row>
    <row r="12" spans="1:27" ht="16.5" thickBot="1">
      <c r="A12" s="280"/>
      <c r="B12" s="285">
        <v>4</v>
      </c>
      <c r="C12" s="313"/>
      <c r="D12" s="85"/>
      <c r="N12" s="332"/>
      <c r="O12" s="523" t="s">
        <v>126</v>
      </c>
      <c r="P12" s="524"/>
      <c r="Q12" s="121">
        <f>TINV(1-L$1/100, P10)</f>
        <v>2.0210753903062715</v>
      </c>
      <c r="R12" s="75"/>
      <c r="S12" s="29"/>
      <c r="T12" s="111"/>
      <c r="U12" s="340"/>
      <c r="W12" s="132"/>
      <c r="X12" s="29"/>
      <c r="Y12" s="29"/>
    </row>
    <row r="13" spans="1:27" ht="16.5" thickBot="1">
      <c r="A13" s="280"/>
      <c r="B13" s="285">
        <v>6</v>
      </c>
      <c r="C13" s="313"/>
      <c r="D13" s="85"/>
      <c r="G13" s="128"/>
      <c r="H13" s="144">
        <v>0.84</v>
      </c>
      <c r="I13" s="200"/>
      <c r="J13" s="190"/>
      <c r="K13" s="190"/>
      <c r="L13" s="201" t="s">
        <v>66</v>
      </c>
      <c r="M13" s="303" t="s">
        <v>67</v>
      </c>
      <c r="N13" s="332"/>
      <c r="O13" s="307"/>
      <c r="P13" s="74"/>
      <c r="Q13" s="111"/>
      <c r="R13" s="66"/>
      <c r="U13" s="340"/>
    </row>
    <row r="14" spans="1:27" ht="18" thickBot="1">
      <c r="A14" s="315"/>
      <c r="B14" s="312"/>
      <c r="C14" s="313"/>
      <c r="D14" s="85"/>
      <c r="G14" s="90"/>
      <c r="H14" s="91"/>
      <c r="I14" s="158" t="s">
        <v>138</v>
      </c>
      <c r="J14" s="70" t="s">
        <v>44</v>
      </c>
      <c r="K14" s="70" t="s">
        <v>51</v>
      </c>
      <c r="L14" s="70" t="s">
        <v>65</v>
      </c>
      <c r="M14" s="219" t="s">
        <v>65</v>
      </c>
      <c r="N14" s="332"/>
      <c r="O14" s="128" t="s">
        <v>32</v>
      </c>
      <c r="P14" s="319">
        <v>67.5</v>
      </c>
      <c r="Q14" s="70" t="s">
        <v>59</v>
      </c>
      <c r="R14" s="160"/>
      <c r="S14" s="160"/>
      <c r="T14" s="29"/>
      <c r="U14" s="340"/>
    </row>
    <row r="15" spans="1:27" ht="16.5" thickBot="1">
      <c r="A15" s="315"/>
      <c r="B15" s="312"/>
      <c r="C15" s="313"/>
      <c r="D15" s="85"/>
      <c r="G15" s="199"/>
      <c r="H15" s="97"/>
      <c r="I15" s="117">
        <f xml:space="preserve"> ROUND( (H13-H6) / SQRT(H6*(1-H6)/H4), 2)</f>
        <v>0.87</v>
      </c>
      <c r="J15" s="96">
        <f>_xlfn.NORM.S.DIST(I15,TRUE)</f>
        <v>0.80784979789630373</v>
      </c>
      <c r="K15" s="121">
        <f>1-J15</f>
        <v>0.19215020210369627</v>
      </c>
      <c r="L15" s="121">
        <f>2*J15</f>
        <v>1.6156995957926075</v>
      </c>
      <c r="M15" s="149">
        <f>2*K15</f>
        <v>0.38430040420739253</v>
      </c>
      <c r="N15" s="332"/>
      <c r="O15" s="169" t="s">
        <v>125</v>
      </c>
      <c r="P15" s="235">
        <v>3.6</v>
      </c>
      <c r="Q15" s="121">
        <f xml:space="preserve"> TINV(1-L$1/100, P16 -1 )* P15 / SQRT(P16)</f>
        <v>1.9183045910037968</v>
      </c>
      <c r="R15" s="117">
        <f>P14-Q15</f>
        <v>65.581695408996197</v>
      </c>
      <c r="S15" s="117">
        <f>P14+Q15</f>
        <v>69.418304591003803</v>
      </c>
      <c r="T15" s="123"/>
      <c r="U15" s="340"/>
    </row>
    <row r="16" spans="1:27" ht="18" customHeight="1" thickBot="1">
      <c r="A16" s="315"/>
      <c r="B16" s="312"/>
      <c r="C16" s="313"/>
      <c r="D16" s="85"/>
      <c r="N16" s="332"/>
      <c r="O16" s="309" t="s">
        <v>60</v>
      </c>
      <c r="P16" s="235">
        <v>16</v>
      </c>
      <c r="Q16" s="168" t="s">
        <v>72</v>
      </c>
      <c r="R16" s="117"/>
      <c r="S16" s="117"/>
      <c r="T16" s="29"/>
      <c r="U16" s="340"/>
    </row>
    <row r="17" spans="1:21" ht="19.5" customHeight="1" thickBot="1">
      <c r="A17" s="315"/>
      <c r="B17" s="312"/>
      <c r="C17" s="313"/>
      <c r="D17" s="85"/>
      <c r="G17" s="94"/>
      <c r="H17" s="91"/>
      <c r="I17" s="70"/>
      <c r="J17" s="111"/>
      <c r="K17" s="111"/>
      <c r="N17" s="332"/>
      <c r="O17" s="334" t="s">
        <v>64</v>
      </c>
      <c r="P17" s="335">
        <v>4</v>
      </c>
      <c r="Q17" s="189">
        <f>((_xlfn.NORM.S.INV(1- (100-L1)/200))*P15/P17)^2</f>
        <v>3.1115816447622398</v>
      </c>
      <c r="R17" s="123"/>
      <c r="S17" s="111"/>
      <c r="T17" s="29"/>
      <c r="U17" s="340"/>
    </row>
    <row r="18" spans="1:21" ht="19.5" customHeight="1" thickBot="1">
      <c r="A18" s="315"/>
      <c r="B18" s="312"/>
      <c r="C18" s="313"/>
      <c r="D18" s="85"/>
      <c r="G18" s="94"/>
      <c r="H18" s="91"/>
      <c r="I18" s="114">
        <f>-_xlfn.NORM.S.INV( (1-L1/100)/2)</f>
        <v>1.9599639845400536</v>
      </c>
      <c r="J18" s="218"/>
      <c r="K18" s="218"/>
      <c r="N18" s="332"/>
      <c r="O18" s="336"/>
      <c r="P18" s="338"/>
      <c r="Q18" s="177"/>
      <c r="R18" s="177"/>
      <c r="S18" s="337"/>
      <c r="T18" s="337"/>
      <c r="U18" s="340"/>
    </row>
    <row r="19" spans="1:21" ht="17.25" customHeight="1" thickBot="1">
      <c r="A19" s="315"/>
      <c r="B19" s="316"/>
      <c r="C19" s="313"/>
      <c r="D19" s="85"/>
      <c r="G19" s="91"/>
      <c r="H19" s="75"/>
      <c r="I19" s="94"/>
      <c r="J19" s="94"/>
      <c r="K19" s="140" t="s">
        <v>66</v>
      </c>
      <c r="L19" s="162" t="s">
        <v>67</v>
      </c>
      <c r="N19" s="332"/>
      <c r="O19" s="68"/>
      <c r="P19" s="66"/>
      <c r="Q19" s="114"/>
      <c r="R19" s="114"/>
      <c r="U19" s="340"/>
    </row>
    <row r="20" spans="1:21" ht="16.5" thickBot="1">
      <c r="A20" s="315"/>
      <c r="B20" s="316"/>
      <c r="C20" s="313"/>
      <c r="D20" s="85"/>
      <c r="G20" s="445"/>
      <c r="H20" s="446"/>
      <c r="I20" s="70" t="s">
        <v>44</v>
      </c>
      <c r="J20" s="70" t="s">
        <v>51</v>
      </c>
      <c r="K20" s="70" t="s">
        <v>65</v>
      </c>
      <c r="L20" s="70" t="s">
        <v>65</v>
      </c>
      <c r="N20" s="332"/>
      <c r="O20" s="127" t="s">
        <v>60</v>
      </c>
      <c r="P20" s="235">
        <v>16</v>
      </c>
      <c r="Q20" s="138">
        <f>_xlfn.CHISQ.INV((1-L1/100)/2,P20-1)</f>
        <v>6.2621377950432535</v>
      </c>
      <c r="R20" s="138">
        <f>_xlfn.CHISQ.INV.RT((1-L1/100)/2,P20-1)</f>
        <v>27.488392863442979</v>
      </c>
      <c r="U20" s="340"/>
    </row>
    <row r="21" spans="1:21" ht="21" thickBot="1">
      <c r="A21" s="315"/>
      <c r="B21" s="316"/>
      <c r="C21" s="313"/>
      <c r="D21" s="85"/>
      <c r="G21" s="291" t="s">
        <v>50</v>
      </c>
      <c r="H21" s="292">
        <v>-0.28000000000000003</v>
      </c>
      <c r="I21" s="121">
        <f>_xlfn.NORM.S.DIST(H21,TRUE)</f>
        <v>0.38973875244420275</v>
      </c>
      <c r="J21" s="121">
        <f>1-I21</f>
        <v>0.61026124755579725</v>
      </c>
      <c r="K21" s="324">
        <f>2*I21</f>
        <v>0.7794775048884055</v>
      </c>
      <c r="L21" s="324">
        <f>2*J21</f>
        <v>1.2205224951115945</v>
      </c>
      <c r="N21" s="332"/>
      <c r="O21" s="68" t="s">
        <v>127</v>
      </c>
      <c r="P21" s="76">
        <v>2.2999999999999998</v>
      </c>
      <c r="Q21" s="70" t="s">
        <v>102</v>
      </c>
      <c r="R21" s="70" t="s">
        <v>103</v>
      </c>
      <c r="U21" s="340"/>
    </row>
    <row r="22" spans="1:21" ht="16.5" thickBot="1">
      <c r="A22" s="315"/>
      <c r="B22" s="316"/>
      <c r="C22" s="313"/>
      <c r="D22" s="85"/>
      <c r="G22" s="92"/>
      <c r="H22" s="525">
        <v>2.9399999999999999E-2</v>
      </c>
      <c r="I22" s="70" t="s">
        <v>43</v>
      </c>
      <c r="J22" s="70" t="s">
        <v>130</v>
      </c>
      <c r="K22" s="325" t="s">
        <v>131</v>
      </c>
      <c r="L22" s="326" t="s">
        <v>132</v>
      </c>
      <c r="M22" s="327" t="s">
        <v>137</v>
      </c>
      <c r="N22" s="332"/>
      <c r="O22" s="66"/>
      <c r="P22" s="69"/>
      <c r="Q22" s="138">
        <f>(P20-1)*P21/R20</f>
        <v>1.2550751937877682</v>
      </c>
      <c r="R22" s="138">
        <f>(P20-1)*P21/Q20</f>
        <v>5.5093006780061922</v>
      </c>
      <c r="U22" s="340"/>
    </row>
    <row r="23" spans="1:21" ht="16.5" thickBot="1">
      <c r="A23" s="315"/>
      <c r="B23" s="316"/>
      <c r="C23" s="313"/>
      <c r="D23" s="85"/>
      <c r="G23" s="93" t="s">
        <v>44</v>
      </c>
      <c r="H23" s="526"/>
      <c r="I23" s="121">
        <f>_xlfn.NORM.S.INV(H22)</f>
        <v>-1.8896857578022153</v>
      </c>
      <c r="J23" s="121">
        <f>_xlfn.NORM.S.INV(H22/2)</f>
        <v>-2.1780810922893403</v>
      </c>
      <c r="K23" s="202">
        <f>-TINV(2*H22,H24)</f>
        <v>-2.0175492882337003</v>
      </c>
      <c r="L23" s="323">
        <f>TINV(2*H22,H24)</f>
        <v>2.0175492882337003</v>
      </c>
      <c r="M23" s="89">
        <f>TINV(H22,H24)</f>
        <v>2.3660751777643623</v>
      </c>
      <c r="N23" s="332"/>
      <c r="O23" s="152" t="s">
        <v>128</v>
      </c>
      <c r="P23" s="69">
        <v>2.8</v>
      </c>
      <c r="Q23" s="138">
        <f>SQRT((P20-1)*(P23^2)/R20)</f>
        <v>2.0683736017015146</v>
      </c>
      <c r="R23" s="138">
        <f>SQRT((P20-1)*(P23^2)/Q20)</f>
        <v>4.3335354236049</v>
      </c>
      <c r="U23" s="340"/>
    </row>
    <row r="24" spans="1:21" ht="16.5" customHeight="1" thickBot="1">
      <c r="A24" s="315"/>
      <c r="B24" s="316"/>
      <c r="C24" s="313"/>
      <c r="D24" s="85"/>
      <c r="G24" s="308" t="s">
        <v>122</v>
      </c>
      <c r="H24" s="69">
        <v>18</v>
      </c>
      <c r="K24" s="140" t="s">
        <v>66</v>
      </c>
      <c r="L24" s="162" t="s">
        <v>67</v>
      </c>
      <c r="M24" s="162" t="s">
        <v>129</v>
      </c>
      <c r="N24" s="332"/>
      <c r="P24" s="8"/>
      <c r="Q24" s="138">
        <f>Q23^2</f>
        <v>4.2781693562156962</v>
      </c>
      <c r="R24" s="138">
        <f>R23^2</f>
        <v>18.779529267638498</v>
      </c>
      <c r="U24" s="340"/>
    </row>
    <row r="25" spans="1:21" ht="16.5" thickBot="1">
      <c r="A25" s="315"/>
      <c r="B25" s="316"/>
      <c r="C25" s="313"/>
      <c r="D25" s="85"/>
      <c r="K25" s="121">
        <f>IF(J29 &gt;=10,  _xlfn.NORM.S.DIST(K27,TRUE), _xlfn.BINOM.DIST(H28, H26, H27, TRUE))</f>
        <v>0.91528746138612238</v>
      </c>
      <c r="L25" s="121">
        <f>1-K25</f>
        <v>8.4712538613877619E-2</v>
      </c>
      <c r="M25" s="121">
        <f>2*L25</f>
        <v>0.16942507722775524</v>
      </c>
      <c r="N25" s="332"/>
      <c r="P25" s="8"/>
      <c r="Q25" s="320"/>
      <c r="U25" s="340"/>
    </row>
    <row r="26" spans="1:21" ht="20.25" thickBot="1">
      <c r="A26" s="315"/>
      <c r="B26" s="316"/>
      <c r="C26" s="313"/>
      <c r="D26" s="85"/>
      <c r="G26" s="128" t="s">
        <v>35</v>
      </c>
      <c r="H26" s="144">
        <v>13</v>
      </c>
      <c r="I26" s="70" t="s">
        <v>32</v>
      </c>
      <c r="J26" s="220" t="s">
        <v>62</v>
      </c>
      <c r="K26" s="70" t="s">
        <v>43</v>
      </c>
      <c r="L26" s="70" t="s">
        <v>44</v>
      </c>
      <c r="M26" s="219" t="s">
        <v>51</v>
      </c>
      <c r="N26" s="332"/>
      <c r="O26" s="230" t="s">
        <v>68</v>
      </c>
      <c r="P26" s="144">
        <v>12</v>
      </c>
      <c r="Q26" s="113" t="s">
        <v>90</v>
      </c>
      <c r="R26" s="70" t="s">
        <v>65</v>
      </c>
      <c r="S26" s="345"/>
      <c r="T26" s="346"/>
      <c r="U26" s="340"/>
    </row>
    <row r="27" spans="1:21" ht="20.25" thickBot="1">
      <c r="A27" s="315"/>
      <c r="B27" s="316"/>
      <c r="C27" s="313"/>
      <c r="D27" s="85"/>
      <c r="G27" s="90" t="s">
        <v>40</v>
      </c>
      <c r="H27" s="131">
        <v>8.2000000000000003E-2</v>
      </c>
      <c r="I27" s="124">
        <f>H26*H27</f>
        <v>1.0660000000000001</v>
      </c>
      <c r="J27" s="321">
        <f>SQRT(H26*H27*(1-H27))</f>
        <v>0.98923606889356808</v>
      </c>
      <c r="K27" s="130">
        <f>ROUND((H28 - I27)/J27,2)</f>
        <v>0.94</v>
      </c>
      <c r="L27" s="121">
        <f>_xlfn.NORM.S.DIST(K27,TRUE)</f>
        <v>0.82639121966137541</v>
      </c>
      <c r="M27" s="149">
        <f>1-L27</f>
        <v>0.17360878033862459</v>
      </c>
      <c r="N27" s="332"/>
      <c r="O27" s="330" t="s">
        <v>69</v>
      </c>
      <c r="P27" s="91">
        <v>2.1</v>
      </c>
      <c r="Q27" s="121">
        <f xml:space="preserve"> (P28 - P29) * SQRT(P26) / P27</f>
        <v>-0.82478609884232246</v>
      </c>
      <c r="R27" s="121">
        <f>2*(_xlfn.T.DIST(Q27, P26-1, TRUE))</f>
        <v>0.42701688461349119</v>
      </c>
      <c r="S27" s="130">
        <f>P28-Q29*P27/SQRT(P26)</f>
        <v>14.965723656605658</v>
      </c>
      <c r="T27" s="130">
        <f>P28+Q29*P27/SQRT(P26)</f>
        <v>17.634276343394344</v>
      </c>
      <c r="U27" s="340"/>
    </row>
    <row r="28" spans="1:21" ht="16.5" thickBot="1">
      <c r="A28" s="315"/>
      <c r="B28" s="316"/>
      <c r="C28" s="313"/>
      <c r="D28" s="85"/>
      <c r="G28" s="90" t="s">
        <v>39</v>
      </c>
      <c r="H28" s="91">
        <v>2</v>
      </c>
      <c r="I28" s="126"/>
      <c r="J28" s="298" t="s">
        <v>120</v>
      </c>
      <c r="K28" s="555"/>
      <c r="M28" s="191" t="s">
        <v>107</v>
      </c>
      <c r="N28" s="332"/>
      <c r="O28" s="94"/>
      <c r="P28" s="99">
        <v>16.3</v>
      </c>
      <c r="Q28" s="70"/>
      <c r="R28" s="70" t="s">
        <v>136</v>
      </c>
      <c r="S28" s="70" t="s">
        <v>135</v>
      </c>
      <c r="U28" s="340"/>
    </row>
    <row r="29" spans="1:21" ht="16.5" thickBot="1">
      <c r="A29" s="315"/>
      <c r="B29" s="316"/>
      <c r="C29" s="313"/>
      <c r="D29" s="85"/>
      <c r="G29" s="364" t="s">
        <v>106</v>
      </c>
      <c r="H29" s="97">
        <v>6.5</v>
      </c>
      <c r="I29" s="138">
        <f xml:space="preserve"> H28/H26</f>
        <v>0.15384615384615385</v>
      </c>
      <c r="J29" s="117">
        <f>H26*I29*(1-I29)</f>
        <v>1.6923076923076923</v>
      </c>
      <c r="K29" s="553">
        <f>(H28+2)/(H26+4)</f>
        <v>0.23529411764705882</v>
      </c>
      <c r="M29" s="121">
        <f xml:space="preserve"> M27 - 1 + _xlfn.NORM.S.DIST(ROUND((H29 - I27)/J27,2),TRUE)</f>
        <v>0.1736087602419375</v>
      </c>
      <c r="N29" s="332"/>
      <c r="O29" s="177"/>
      <c r="P29" s="97">
        <v>16.8</v>
      </c>
      <c r="Q29" s="121">
        <f>TINV((100-L1)/100, P26-1)</f>
        <v>2.2009851600916384</v>
      </c>
      <c r="R29" s="121">
        <f>1-_xlfn.T.DIST(Q27, P26-1, TRUE)</f>
        <v>0.78649155769325441</v>
      </c>
      <c r="S29" s="121">
        <f>_xlfn.T.DIST(Q27, P26-1, TRUE)</f>
        <v>0.21350844230674559</v>
      </c>
      <c r="U29" s="340"/>
    </row>
    <row r="30" spans="1:21" ht="20.25" thickTop="1" thickBot="1">
      <c r="A30" s="317"/>
      <c r="B30" s="318"/>
      <c r="C30" s="313"/>
      <c r="D30" s="85"/>
      <c r="I30" s="128" t="s">
        <v>70</v>
      </c>
      <c r="J30" s="113" t="s">
        <v>57</v>
      </c>
      <c r="K30" s="115" t="s">
        <v>58</v>
      </c>
      <c r="M30" s="257"/>
      <c r="N30" s="332"/>
      <c r="O30" s="145"/>
      <c r="P30" s="123"/>
      <c r="Q30" s="94"/>
      <c r="R30" s="75"/>
      <c r="S30" s="322" t="s">
        <v>66</v>
      </c>
      <c r="T30" s="157" t="s">
        <v>67</v>
      </c>
      <c r="U30" s="340"/>
    </row>
    <row r="31" spans="1:21" ht="20.25" thickBot="1">
      <c r="I31" s="129">
        <f xml:space="preserve"> (100-L1)/200</f>
        <v>2.5000000000000001E-2</v>
      </c>
      <c r="J31" s="116">
        <f>1-I31</f>
        <v>0.97499999999999998</v>
      </c>
      <c r="K31" s="112">
        <f>_xlfn.NORM.S.INV(J31)</f>
        <v>1.9599639845400536</v>
      </c>
      <c r="N31" s="332"/>
      <c r="O31" s="147" t="s">
        <v>61</v>
      </c>
      <c r="P31" s="141">
        <v>2.9399999999999999E-2</v>
      </c>
      <c r="Q31" s="70" t="s">
        <v>65</v>
      </c>
      <c r="R31" s="70" t="s">
        <v>88</v>
      </c>
      <c r="S31" s="70" t="s">
        <v>65</v>
      </c>
      <c r="T31" s="219" t="s">
        <v>65</v>
      </c>
      <c r="U31" s="340"/>
    </row>
    <row r="32" spans="1:21" ht="20.25" thickBot="1">
      <c r="I32" s="113" t="s">
        <v>59</v>
      </c>
      <c r="J32" s="159"/>
      <c r="K32" s="159"/>
      <c r="L32" s="554" t="s">
        <v>177</v>
      </c>
      <c r="M32" s="153" t="s">
        <v>103</v>
      </c>
      <c r="N32" s="332"/>
      <c r="O32" s="148" t="s">
        <v>52</v>
      </c>
      <c r="P32" s="142">
        <v>19</v>
      </c>
      <c r="Q32" s="121">
        <f xml:space="preserve"> 1 -_xlfn.T.DIST(P31, P32-1, TRUE)</f>
        <v>0.4884345486908197</v>
      </c>
      <c r="R32" s="121">
        <f>_xlfn.T.DIST(P31, P32-1, TRUE)</f>
        <v>0.5115654513091803</v>
      </c>
      <c r="S32" s="121">
        <f>2*Q32</f>
        <v>0.97686909738163941</v>
      </c>
      <c r="T32" s="149">
        <f>2*R32</f>
        <v>1.0231309026183606</v>
      </c>
      <c r="U32" s="340"/>
    </row>
    <row r="33" spans="9:21" ht="16.5" thickBot="1">
      <c r="I33" s="114">
        <f>K31* SQRT(I29*(1-I29) / H26)</f>
        <v>0.19613016918857804</v>
      </c>
      <c r="J33" s="114">
        <f>I29-I33</f>
        <v>-4.228401534242418E-2</v>
      </c>
      <c r="K33" s="114">
        <f>I29+I33</f>
        <v>0.34997632303473192</v>
      </c>
      <c r="L33" s="202">
        <f>K29-K31*SQRT(K29*(1-K29)/(H26+4))</f>
        <v>3.3654260647468931E-2</v>
      </c>
      <c r="M33" s="89">
        <f>K29+K31*SQRT(K29*(1-K29)/(H26+4))</f>
        <v>0.43693397464664874</v>
      </c>
      <c r="N33" s="333"/>
      <c r="U33" s="340"/>
    </row>
    <row r="34" spans="9:21" ht="16.5" thickBot="1">
      <c r="U34" s="341"/>
    </row>
  </sheetData>
  <mergeCells count="3">
    <mergeCell ref="O12:P12"/>
    <mergeCell ref="H22:H23"/>
    <mergeCell ref="X7:Z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6385" r:id="rId4">
          <objectPr defaultSize="0" r:id="rId5">
            <anchor moveWithCells="1">
              <from>
                <xdr:col>8</xdr:col>
                <xdr:colOff>123825</xdr:colOff>
                <xdr:row>3</xdr:row>
                <xdr:rowOff>0</xdr:rowOff>
              </from>
              <to>
                <xdr:col>8</xdr:col>
                <xdr:colOff>504825</xdr:colOff>
                <xdr:row>4</xdr:row>
                <xdr:rowOff>28575</xdr:rowOff>
              </to>
            </anchor>
          </objectPr>
        </oleObject>
      </mc:Choice>
      <mc:Fallback>
        <oleObject progId="Equation.DSMT4" shapeId="16385" r:id="rId4"/>
      </mc:Fallback>
    </mc:AlternateContent>
    <mc:AlternateContent xmlns:mc="http://schemas.openxmlformats.org/markup-compatibility/2006">
      <mc:Choice Requires="x14">
        <oleObject progId="Equation.DSMT4" shapeId="16386" r:id="rId6">
          <objectPr defaultSize="0" r:id="rId7">
            <anchor moveWithCells="1">
              <from>
                <xdr:col>10</xdr:col>
                <xdr:colOff>123825</xdr:colOff>
                <xdr:row>3</xdr:row>
                <xdr:rowOff>0</xdr:rowOff>
              </from>
              <to>
                <xdr:col>10</xdr:col>
                <xdr:colOff>495300</xdr:colOff>
                <xdr:row>4</xdr:row>
                <xdr:rowOff>28575</xdr:rowOff>
              </to>
            </anchor>
          </objectPr>
        </oleObject>
      </mc:Choice>
      <mc:Fallback>
        <oleObject progId="Equation.DSMT4" shapeId="16386" r:id="rId6"/>
      </mc:Fallback>
    </mc:AlternateContent>
    <mc:AlternateContent xmlns:mc="http://schemas.openxmlformats.org/markup-compatibility/2006">
      <mc:Choice Requires="x14">
        <oleObject progId="Equation.DSMT4" shapeId="16391" r:id="rId8">
          <objectPr defaultSize="0" autoPict="0" r:id="rId9">
            <anchor moveWithCells="1">
              <from>
                <xdr:col>6</xdr:col>
                <xdr:colOff>171450</xdr:colOff>
                <xdr:row>12</xdr:row>
                <xdr:rowOff>0</xdr:rowOff>
              </from>
              <to>
                <xdr:col>6</xdr:col>
                <xdr:colOff>438150</xdr:colOff>
                <xdr:row>13</xdr:row>
                <xdr:rowOff>9525</xdr:rowOff>
              </to>
            </anchor>
          </objectPr>
        </oleObject>
      </mc:Choice>
      <mc:Fallback>
        <oleObject progId="Equation.DSMT4" shapeId="16391" r:id="rId8"/>
      </mc:Fallback>
    </mc:AlternateContent>
    <mc:AlternateContent xmlns:mc="http://schemas.openxmlformats.org/markup-compatibility/2006">
      <mc:Choice Requires="x14">
        <oleObject progId="Equation.DSMT4" shapeId="16392" r:id="rId10">
          <objectPr defaultSize="0" r:id="rId11">
            <anchor moveWithCells="1">
              <from>
                <xdr:col>8</xdr:col>
                <xdr:colOff>85725</xdr:colOff>
                <xdr:row>16</xdr:row>
                <xdr:rowOff>19050</xdr:rowOff>
              </from>
              <to>
                <xdr:col>8</xdr:col>
                <xdr:colOff>514350</xdr:colOff>
                <xdr:row>16</xdr:row>
                <xdr:rowOff>228600</xdr:rowOff>
              </to>
            </anchor>
          </objectPr>
        </oleObject>
      </mc:Choice>
      <mc:Fallback>
        <oleObject progId="Equation.DSMT4" shapeId="16392" r:id="rId10"/>
      </mc:Fallback>
    </mc:AlternateContent>
    <mc:AlternateContent xmlns:mc="http://schemas.openxmlformats.org/markup-compatibility/2006">
      <mc:Choice Requires="x14">
        <oleObject progId="Equation.DSMT4" shapeId="16393" r:id="rId12">
          <objectPr defaultSize="0" autoPict="0" r:id="rId9">
            <anchor moveWithCells="1">
              <from>
                <xdr:col>16</xdr:col>
                <xdr:colOff>95250</xdr:colOff>
                <xdr:row>2</xdr:row>
                <xdr:rowOff>0</xdr:rowOff>
              </from>
              <to>
                <xdr:col>16</xdr:col>
                <xdr:colOff>361950</xdr:colOff>
                <xdr:row>3</xdr:row>
                <xdr:rowOff>9525</xdr:rowOff>
              </to>
            </anchor>
          </objectPr>
        </oleObject>
      </mc:Choice>
      <mc:Fallback>
        <oleObject progId="Equation.DSMT4" shapeId="16393" r:id="rId12"/>
      </mc:Fallback>
    </mc:AlternateContent>
    <mc:AlternateContent xmlns:mc="http://schemas.openxmlformats.org/markup-compatibility/2006">
      <mc:Choice Requires="x14">
        <oleObject progId="Equation.DSMT4" shapeId="16398" r:id="rId13">
          <objectPr defaultSize="0" autoPict="0" r:id="rId9">
            <anchor moveWithCells="1">
              <from>
                <xdr:col>14</xdr:col>
                <xdr:colOff>219075</xdr:colOff>
                <xdr:row>6</xdr:row>
                <xdr:rowOff>47625</xdr:rowOff>
              </from>
              <to>
                <xdr:col>14</xdr:col>
                <xdr:colOff>485775</xdr:colOff>
                <xdr:row>6</xdr:row>
                <xdr:rowOff>247650</xdr:rowOff>
              </to>
            </anchor>
          </objectPr>
        </oleObject>
      </mc:Choice>
      <mc:Fallback>
        <oleObject progId="Equation.DSMT4" shapeId="16398" r:id="rId13"/>
      </mc:Fallback>
    </mc:AlternateContent>
    <mc:AlternateContent xmlns:mc="http://schemas.openxmlformats.org/markup-compatibility/2006">
      <mc:Choice Requires="x14">
        <oleObject progId="Equation.DSMT4" shapeId="16399" r:id="rId14">
          <objectPr defaultSize="0" autoPict="0" r:id="rId15">
            <anchor moveWithCells="1" sizeWithCells="1">
              <from>
                <xdr:col>17</xdr:col>
                <xdr:colOff>123825</xdr:colOff>
                <xdr:row>13</xdr:row>
                <xdr:rowOff>9525</xdr:rowOff>
              </from>
              <to>
                <xdr:col>17</xdr:col>
                <xdr:colOff>514350</xdr:colOff>
                <xdr:row>14</xdr:row>
                <xdr:rowOff>0</xdr:rowOff>
              </to>
            </anchor>
          </objectPr>
        </oleObject>
      </mc:Choice>
      <mc:Fallback>
        <oleObject progId="Equation.DSMT4" shapeId="16399" r:id="rId14"/>
      </mc:Fallback>
    </mc:AlternateContent>
    <mc:AlternateContent xmlns:mc="http://schemas.openxmlformats.org/markup-compatibility/2006">
      <mc:Choice Requires="x14">
        <oleObject progId="Equation.DSMT4" shapeId="16400" r:id="rId16">
          <objectPr defaultSize="0" autoPict="0" r:id="rId17">
            <anchor moveWithCells="1" sizeWithCells="1">
              <from>
                <xdr:col>18</xdr:col>
                <xdr:colOff>66675</xdr:colOff>
                <xdr:row>13</xdr:row>
                <xdr:rowOff>0</xdr:rowOff>
              </from>
              <to>
                <xdr:col>18</xdr:col>
                <xdr:colOff>457200</xdr:colOff>
                <xdr:row>13</xdr:row>
                <xdr:rowOff>200025</xdr:rowOff>
              </to>
            </anchor>
          </objectPr>
        </oleObject>
      </mc:Choice>
      <mc:Fallback>
        <oleObject progId="Equation.DSMT4" shapeId="16400" r:id="rId16"/>
      </mc:Fallback>
    </mc:AlternateContent>
    <mc:AlternateContent xmlns:mc="http://schemas.openxmlformats.org/markup-compatibility/2006">
      <mc:Choice Requires="x14">
        <oleObject progId="Equation.DSMT4" shapeId="16404" r:id="rId18">
          <objectPr defaultSize="0" autoPict="0" r:id="rId19">
            <anchor moveWithCells="1">
              <from>
                <xdr:col>17</xdr:col>
                <xdr:colOff>190500</xdr:colOff>
                <xdr:row>18</xdr:row>
                <xdr:rowOff>9525</xdr:rowOff>
              </from>
              <to>
                <xdr:col>17</xdr:col>
                <xdr:colOff>504825</xdr:colOff>
                <xdr:row>18</xdr:row>
                <xdr:rowOff>200025</xdr:rowOff>
              </to>
            </anchor>
          </objectPr>
        </oleObject>
      </mc:Choice>
      <mc:Fallback>
        <oleObject progId="Equation.DSMT4" shapeId="16404" r:id="rId18"/>
      </mc:Fallback>
    </mc:AlternateContent>
    <mc:AlternateContent xmlns:mc="http://schemas.openxmlformats.org/markup-compatibility/2006">
      <mc:Choice Requires="x14">
        <oleObject progId="Equation.DSMT4" shapeId="16405" r:id="rId20">
          <objectPr defaultSize="0" autoPict="0" r:id="rId21">
            <anchor moveWithCells="1">
              <from>
                <xdr:col>16</xdr:col>
                <xdr:colOff>161925</xdr:colOff>
                <xdr:row>18</xdr:row>
                <xdr:rowOff>9525</xdr:rowOff>
              </from>
              <to>
                <xdr:col>16</xdr:col>
                <xdr:colOff>476250</xdr:colOff>
                <xdr:row>18</xdr:row>
                <xdr:rowOff>200025</xdr:rowOff>
              </to>
            </anchor>
          </objectPr>
        </oleObject>
      </mc:Choice>
      <mc:Fallback>
        <oleObject progId="Equation.DSMT4" shapeId="16405" r:id="rId20"/>
      </mc:Fallback>
    </mc:AlternateContent>
    <mc:AlternateContent xmlns:mc="http://schemas.openxmlformats.org/markup-compatibility/2006">
      <mc:Choice Requires="x14">
        <oleObject progId="Equation.DSMT4" shapeId="16406" r:id="rId22">
          <objectPr defaultSize="0" r:id="rId23">
            <anchor moveWithCells="1">
              <from>
                <xdr:col>15</xdr:col>
                <xdr:colOff>209550</xdr:colOff>
                <xdr:row>23</xdr:row>
                <xdr:rowOff>0</xdr:rowOff>
              </from>
              <to>
                <xdr:col>15</xdr:col>
                <xdr:colOff>438150</xdr:colOff>
                <xdr:row>24</xdr:row>
                <xdr:rowOff>28575</xdr:rowOff>
              </to>
            </anchor>
          </objectPr>
        </oleObject>
      </mc:Choice>
      <mc:Fallback>
        <oleObject progId="Equation.DSMT4" shapeId="16406" r:id="rId22"/>
      </mc:Fallback>
    </mc:AlternateContent>
    <mc:AlternateContent xmlns:mc="http://schemas.openxmlformats.org/markup-compatibility/2006">
      <mc:Choice Requires="x14">
        <oleObject progId="Equation.DSMT4" shapeId="16407" r:id="rId24">
          <objectPr defaultSize="0" r:id="rId25">
            <anchor moveWithCells="1">
              <from>
                <xdr:col>6</xdr:col>
                <xdr:colOff>161925</xdr:colOff>
                <xdr:row>21</xdr:row>
                <xdr:rowOff>28575</xdr:rowOff>
              </from>
              <to>
                <xdr:col>6</xdr:col>
                <xdr:colOff>314325</xdr:colOff>
                <xdr:row>21</xdr:row>
                <xdr:rowOff>180975</xdr:rowOff>
              </to>
            </anchor>
          </objectPr>
        </oleObject>
      </mc:Choice>
      <mc:Fallback>
        <oleObject progId="Equation.DSMT4" shapeId="16407" r:id="rId24"/>
      </mc:Fallback>
    </mc:AlternateContent>
    <mc:AlternateContent xmlns:mc="http://schemas.openxmlformats.org/markup-compatibility/2006">
      <mc:Choice Requires="x14">
        <oleObject progId="Equation.DSMT4" shapeId="16408" r:id="rId26">
          <objectPr defaultSize="0" autoPict="0" r:id="rId9">
            <anchor moveWithCells="1">
              <from>
                <xdr:col>8</xdr:col>
                <xdr:colOff>171450</xdr:colOff>
                <xdr:row>27</xdr:row>
                <xdr:rowOff>0</xdr:rowOff>
              </from>
              <to>
                <xdr:col>8</xdr:col>
                <xdr:colOff>438150</xdr:colOff>
                <xdr:row>28</xdr:row>
                <xdr:rowOff>9525</xdr:rowOff>
              </to>
            </anchor>
          </objectPr>
        </oleObject>
      </mc:Choice>
      <mc:Fallback>
        <oleObject progId="Equation.DSMT4" shapeId="16408" r:id="rId26"/>
      </mc:Fallback>
    </mc:AlternateContent>
    <mc:AlternateContent xmlns:mc="http://schemas.openxmlformats.org/markup-compatibility/2006">
      <mc:Choice Requires="x14">
        <oleObject progId="Equation.DSMT4" shapeId="16409" r:id="rId27">
          <objectPr defaultSize="0" autoPict="0" r:id="rId28">
            <anchor moveWithCells="1" sizeWithCells="1">
              <from>
                <xdr:col>9</xdr:col>
                <xdr:colOff>123825</xdr:colOff>
                <xdr:row>31</xdr:row>
                <xdr:rowOff>9525</xdr:rowOff>
              </from>
              <to>
                <xdr:col>9</xdr:col>
                <xdr:colOff>514350</xdr:colOff>
                <xdr:row>32</xdr:row>
                <xdr:rowOff>0</xdr:rowOff>
              </to>
            </anchor>
          </objectPr>
        </oleObject>
      </mc:Choice>
      <mc:Fallback>
        <oleObject progId="Equation.DSMT4" shapeId="16409" r:id="rId27"/>
      </mc:Fallback>
    </mc:AlternateContent>
    <mc:AlternateContent xmlns:mc="http://schemas.openxmlformats.org/markup-compatibility/2006">
      <mc:Choice Requires="x14">
        <oleObject progId="Equation.DSMT4" shapeId="16410" r:id="rId29">
          <objectPr defaultSize="0" autoPict="0" r:id="rId30">
            <anchor moveWithCells="1" sizeWithCells="1">
              <from>
                <xdr:col>10</xdr:col>
                <xdr:colOff>66675</xdr:colOff>
                <xdr:row>31</xdr:row>
                <xdr:rowOff>19050</xdr:rowOff>
              </from>
              <to>
                <xdr:col>10</xdr:col>
                <xdr:colOff>457200</xdr:colOff>
                <xdr:row>31</xdr:row>
                <xdr:rowOff>219075</xdr:rowOff>
              </to>
            </anchor>
          </objectPr>
        </oleObject>
      </mc:Choice>
      <mc:Fallback>
        <oleObject progId="Equation.DSMT4" shapeId="16410" r:id="rId29"/>
      </mc:Fallback>
    </mc:AlternateContent>
    <mc:AlternateContent xmlns:mc="http://schemas.openxmlformats.org/markup-compatibility/2006">
      <mc:Choice Requires="x14">
        <oleObject progId="Equation.DSMT4" shapeId="16411" r:id="rId31">
          <objectPr defaultSize="0" autoPict="0" r:id="rId32">
            <anchor moveWithCells="1">
              <from>
                <xdr:col>14</xdr:col>
                <xdr:colOff>257175</xdr:colOff>
                <xdr:row>27</xdr:row>
                <xdr:rowOff>200025</xdr:rowOff>
              </from>
              <to>
                <xdr:col>14</xdr:col>
                <xdr:colOff>438150</xdr:colOff>
                <xdr:row>28</xdr:row>
                <xdr:rowOff>180975</xdr:rowOff>
              </to>
            </anchor>
          </objectPr>
        </oleObject>
      </mc:Choice>
      <mc:Fallback>
        <oleObject progId="Equation.DSMT4" shapeId="16411" r:id="rId31"/>
      </mc:Fallback>
    </mc:AlternateContent>
    <mc:AlternateContent xmlns:mc="http://schemas.openxmlformats.org/markup-compatibility/2006">
      <mc:Choice Requires="x14">
        <oleObject progId="Equation.DSMT4" shapeId="16412" r:id="rId33">
          <objectPr defaultSize="0" r:id="rId34">
            <anchor moveWithCells="1">
              <from>
                <xdr:col>14</xdr:col>
                <xdr:colOff>209550</xdr:colOff>
                <xdr:row>27</xdr:row>
                <xdr:rowOff>9525</xdr:rowOff>
              </from>
              <to>
                <xdr:col>14</xdr:col>
                <xdr:colOff>352425</xdr:colOff>
                <xdr:row>27</xdr:row>
                <xdr:rowOff>190500</xdr:rowOff>
              </to>
            </anchor>
          </objectPr>
        </oleObject>
      </mc:Choice>
      <mc:Fallback>
        <oleObject progId="Equation.DSMT4" shapeId="16412" r:id="rId33"/>
      </mc:Fallback>
    </mc:AlternateContent>
    <mc:AlternateContent xmlns:mc="http://schemas.openxmlformats.org/markup-compatibility/2006">
      <mc:Choice Requires="x14">
        <oleObject progId="Equation.DSMT4" shapeId="16415" r:id="rId35">
          <objectPr defaultSize="0" autoPict="0" r:id="rId25">
            <anchor moveWithCells="1">
              <from>
                <xdr:col>14</xdr:col>
                <xdr:colOff>161925</xdr:colOff>
                <xdr:row>8</xdr:row>
                <xdr:rowOff>28575</xdr:rowOff>
              </from>
              <to>
                <xdr:col>14</xdr:col>
                <xdr:colOff>314325</xdr:colOff>
                <xdr:row>8</xdr:row>
                <xdr:rowOff>180975</xdr:rowOff>
              </to>
            </anchor>
          </objectPr>
        </oleObject>
      </mc:Choice>
      <mc:Fallback>
        <oleObject progId="Equation.DSMT4" shapeId="16415" r:id="rId35"/>
      </mc:Fallback>
    </mc:AlternateContent>
    <mc:AlternateContent xmlns:mc="http://schemas.openxmlformats.org/markup-compatibility/2006">
      <mc:Choice Requires="x14">
        <oleObject progId="Equation.DSMT4" shapeId="16419" r:id="rId36">
          <objectPr defaultSize="0" autoPict="0" r:id="rId37">
            <anchor moveWithCells="1">
              <from>
                <xdr:col>23</xdr:col>
                <xdr:colOff>228600</xdr:colOff>
                <xdr:row>4</xdr:row>
                <xdr:rowOff>28575</xdr:rowOff>
              </from>
              <to>
                <xdr:col>23</xdr:col>
                <xdr:colOff>371475</xdr:colOff>
                <xdr:row>5</xdr:row>
                <xdr:rowOff>0</xdr:rowOff>
              </to>
            </anchor>
          </objectPr>
        </oleObject>
      </mc:Choice>
      <mc:Fallback>
        <oleObject progId="Equation.DSMT4" shapeId="16419" r:id="rId36"/>
      </mc:Fallback>
    </mc:AlternateContent>
    <mc:AlternateContent xmlns:mc="http://schemas.openxmlformats.org/markup-compatibility/2006">
      <mc:Choice Requires="x14">
        <oleObject progId="Equation.DSMT4" shapeId="16420" r:id="rId38">
          <objectPr defaultSize="0" autoPict="0" r:id="rId25">
            <anchor moveWithCells="1">
              <from>
                <xdr:col>21</xdr:col>
                <xdr:colOff>161925</xdr:colOff>
                <xdr:row>2</xdr:row>
                <xdr:rowOff>28575</xdr:rowOff>
              </from>
              <to>
                <xdr:col>21</xdr:col>
                <xdr:colOff>314325</xdr:colOff>
                <xdr:row>2</xdr:row>
                <xdr:rowOff>180975</xdr:rowOff>
              </to>
            </anchor>
          </objectPr>
        </oleObject>
      </mc:Choice>
      <mc:Fallback>
        <oleObject progId="Equation.DSMT4" shapeId="16420" r:id="rId38"/>
      </mc:Fallback>
    </mc:AlternateContent>
    <mc:AlternateContent xmlns:mc="http://schemas.openxmlformats.org/markup-compatibility/2006">
      <mc:Choice Requires="x14">
        <oleObject progId="Equation.DSMT4" shapeId="16421" r:id="rId39">
          <objectPr defaultSize="0" autoPict="0" r:id="rId19">
            <anchor moveWithCells="1">
              <from>
                <xdr:col>24</xdr:col>
                <xdr:colOff>190500</xdr:colOff>
                <xdr:row>2</xdr:row>
                <xdr:rowOff>9525</xdr:rowOff>
              </from>
              <to>
                <xdr:col>24</xdr:col>
                <xdr:colOff>504825</xdr:colOff>
                <xdr:row>2</xdr:row>
                <xdr:rowOff>200025</xdr:rowOff>
              </to>
            </anchor>
          </objectPr>
        </oleObject>
      </mc:Choice>
      <mc:Fallback>
        <oleObject progId="Equation.DSMT4" shapeId="16421" r:id="rId39"/>
      </mc:Fallback>
    </mc:AlternateContent>
    <mc:AlternateContent xmlns:mc="http://schemas.openxmlformats.org/markup-compatibility/2006">
      <mc:Choice Requires="x14">
        <oleObject progId="Equation.DSMT4" shapeId="16422" r:id="rId40">
          <objectPr defaultSize="0" autoPict="0" r:id="rId21">
            <anchor moveWithCells="1">
              <from>
                <xdr:col>23</xdr:col>
                <xdr:colOff>161925</xdr:colOff>
                <xdr:row>2</xdr:row>
                <xdr:rowOff>9525</xdr:rowOff>
              </from>
              <to>
                <xdr:col>23</xdr:col>
                <xdr:colOff>476250</xdr:colOff>
                <xdr:row>2</xdr:row>
                <xdr:rowOff>200025</xdr:rowOff>
              </to>
            </anchor>
          </objectPr>
        </oleObject>
      </mc:Choice>
      <mc:Fallback>
        <oleObject progId="Equation.DSMT4" shapeId="16422" r:id="rId40"/>
      </mc:Fallback>
    </mc:AlternateContent>
    <mc:AlternateContent xmlns:mc="http://schemas.openxmlformats.org/markup-compatibility/2006">
      <mc:Choice Requires="x14">
        <oleObject progId="Equation.DSMT4" shapeId="16423" r:id="rId41">
          <objectPr defaultSize="0" autoPict="0" r:id="rId42">
            <anchor moveWithCells="1">
              <from>
                <xdr:col>25</xdr:col>
                <xdr:colOff>190500</xdr:colOff>
                <xdr:row>2</xdr:row>
                <xdr:rowOff>9525</xdr:rowOff>
              </from>
              <to>
                <xdr:col>25</xdr:col>
                <xdr:colOff>504825</xdr:colOff>
                <xdr:row>2</xdr:row>
                <xdr:rowOff>200025</xdr:rowOff>
              </to>
            </anchor>
          </objectPr>
        </oleObject>
      </mc:Choice>
      <mc:Fallback>
        <oleObject progId="Equation.DSMT4" shapeId="16423" r:id="rId41"/>
      </mc:Fallback>
    </mc:AlternateContent>
    <mc:AlternateContent xmlns:mc="http://schemas.openxmlformats.org/markup-compatibility/2006">
      <mc:Choice Requires="x14">
        <oleObject progId="Equation.DSMT4" shapeId="16424" r:id="rId43">
          <objectPr defaultSize="0" autoPict="0" r:id="rId44">
            <anchor moveWithCells="1">
              <from>
                <xdr:col>26</xdr:col>
                <xdr:colOff>38100</xdr:colOff>
                <xdr:row>4</xdr:row>
                <xdr:rowOff>0</xdr:rowOff>
              </from>
              <to>
                <xdr:col>26</xdr:col>
                <xdr:colOff>228600</xdr:colOff>
                <xdr:row>4</xdr:row>
                <xdr:rowOff>190500</xdr:rowOff>
              </to>
            </anchor>
          </objectPr>
        </oleObject>
      </mc:Choice>
      <mc:Fallback>
        <oleObject progId="Equation.DSMT4" shapeId="16424" r:id="rId43"/>
      </mc:Fallback>
    </mc:AlternateContent>
    <mc:AlternateContent xmlns:mc="http://schemas.openxmlformats.org/markup-compatibility/2006">
      <mc:Choice Requires="x14">
        <oleObject progId="Equation.DSMT4" shapeId="16425" r:id="rId45">
          <objectPr defaultSize="0" autoPict="0" r:id="rId46">
            <anchor moveWithCells="1" sizeWithCells="1">
              <from>
                <xdr:col>18</xdr:col>
                <xdr:colOff>123825</xdr:colOff>
                <xdr:row>25</xdr:row>
                <xdr:rowOff>28575</xdr:rowOff>
              </from>
              <to>
                <xdr:col>18</xdr:col>
                <xdr:colOff>514350</xdr:colOff>
                <xdr:row>25</xdr:row>
                <xdr:rowOff>247650</xdr:rowOff>
              </to>
            </anchor>
          </objectPr>
        </oleObject>
      </mc:Choice>
      <mc:Fallback>
        <oleObject progId="Equation.DSMT4" shapeId="16425" r:id="rId45"/>
      </mc:Fallback>
    </mc:AlternateContent>
    <mc:AlternateContent xmlns:mc="http://schemas.openxmlformats.org/markup-compatibility/2006">
      <mc:Choice Requires="x14">
        <oleObject progId="Equation.DSMT4" shapeId="16426" r:id="rId47">
          <objectPr defaultSize="0" autoPict="0" r:id="rId48">
            <anchor moveWithCells="1" sizeWithCells="1">
              <from>
                <xdr:col>19</xdr:col>
                <xdr:colOff>123825</xdr:colOff>
                <xdr:row>25</xdr:row>
                <xdr:rowOff>38100</xdr:rowOff>
              </from>
              <to>
                <xdr:col>19</xdr:col>
                <xdr:colOff>514350</xdr:colOff>
                <xdr:row>26</xdr:row>
                <xdr:rowOff>0</xdr:rowOff>
              </to>
            </anchor>
          </objectPr>
        </oleObject>
      </mc:Choice>
      <mc:Fallback>
        <oleObject progId="Equation.DSMT4" shapeId="16426" r:id="rId47"/>
      </mc:Fallback>
    </mc:AlternateContent>
    <mc:AlternateContent xmlns:mc="http://schemas.openxmlformats.org/markup-compatibility/2006">
      <mc:Choice Requires="x14">
        <oleObject progId="Equation.DSMT4" shapeId="16427" r:id="rId49">
          <objectPr defaultSize="0" r:id="rId50">
            <anchor moveWithCells="1">
              <from>
                <xdr:col>16</xdr:col>
                <xdr:colOff>161925</xdr:colOff>
                <xdr:row>27</xdr:row>
                <xdr:rowOff>0</xdr:rowOff>
              </from>
              <to>
                <xdr:col>16</xdr:col>
                <xdr:colOff>381000</xdr:colOff>
                <xdr:row>27</xdr:row>
                <xdr:rowOff>200025</xdr:rowOff>
              </to>
            </anchor>
          </objectPr>
        </oleObject>
      </mc:Choice>
      <mc:Fallback>
        <oleObject progId="Equation.DSMT4" shapeId="16427" r:id="rId49"/>
      </mc:Fallback>
    </mc:AlternateContent>
    <mc:AlternateContent xmlns:mc="http://schemas.openxmlformats.org/markup-compatibility/2006">
      <mc:Choice Requires="x14">
        <oleObject progId="Equation.DSMT4" shapeId="16428" r:id="rId51">
          <objectPr defaultSize="0" r:id="rId52">
            <anchor moveWithCells="1">
              <from>
                <xdr:col>25</xdr:col>
                <xdr:colOff>304800</xdr:colOff>
                <xdr:row>7</xdr:row>
                <xdr:rowOff>38100</xdr:rowOff>
              </from>
              <to>
                <xdr:col>25</xdr:col>
                <xdr:colOff>457200</xdr:colOff>
                <xdr:row>7</xdr:row>
                <xdr:rowOff>190500</xdr:rowOff>
              </to>
            </anchor>
          </objectPr>
        </oleObject>
      </mc:Choice>
      <mc:Fallback>
        <oleObject progId="Equation.DSMT4" shapeId="16428" r:id="rId51"/>
      </mc:Fallback>
    </mc:AlternateContent>
    <mc:AlternateContent xmlns:mc="http://schemas.openxmlformats.org/markup-compatibility/2006">
      <mc:Choice Requires="x14">
        <oleObject progId="Equation.DSMT4" shapeId="16429" r:id="rId53">
          <objectPr defaultSize="0" r:id="rId54">
            <anchor moveWithCells="1">
              <from>
                <xdr:col>21</xdr:col>
                <xdr:colOff>76200</xdr:colOff>
                <xdr:row>8</xdr:row>
                <xdr:rowOff>161925</xdr:rowOff>
              </from>
              <to>
                <xdr:col>21</xdr:col>
                <xdr:colOff>438150</xdr:colOff>
                <xdr:row>9</xdr:row>
                <xdr:rowOff>190500</xdr:rowOff>
              </to>
            </anchor>
          </objectPr>
        </oleObject>
      </mc:Choice>
      <mc:Fallback>
        <oleObject progId="Equation.DSMT4" shapeId="16429" r:id="rId53"/>
      </mc:Fallback>
    </mc:AlternateContent>
    <mc:AlternateContent xmlns:mc="http://schemas.openxmlformats.org/markup-compatibility/2006">
      <mc:Choice Requires="x14">
        <oleObject progId="Equation.DSMT4" shapeId="16430" r:id="rId55">
          <objectPr defaultSize="0" r:id="rId56">
            <anchor moveWithCells="1">
              <from>
                <xdr:col>21</xdr:col>
                <xdr:colOff>95250</xdr:colOff>
                <xdr:row>9</xdr:row>
                <xdr:rowOff>200025</xdr:rowOff>
              </from>
              <to>
                <xdr:col>21</xdr:col>
                <xdr:colOff>409575</xdr:colOff>
                <xdr:row>11</xdr:row>
                <xdr:rowOff>9525</xdr:rowOff>
              </to>
            </anchor>
          </objectPr>
        </oleObject>
      </mc:Choice>
      <mc:Fallback>
        <oleObject progId="Equation.DSMT4" shapeId="16430" r:id="rId55"/>
      </mc:Fallback>
    </mc:AlternateContent>
    <mc:AlternateContent xmlns:mc="http://schemas.openxmlformats.org/markup-compatibility/2006">
      <mc:Choice Requires="x14">
        <oleObject progId="Equation.DSMT4" shapeId="16431" r:id="rId57">
          <objectPr defaultSize="0" autoPict="0" r:id="rId37">
            <anchor moveWithCells="1">
              <from>
                <xdr:col>23</xdr:col>
                <xdr:colOff>228600</xdr:colOff>
                <xdr:row>9</xdr:row>
                <xdr:rowOff>28575</xdr:rowOff>
              </from>
              <to>
                <xdr:col>23</xdr:col>
                <xdr:colOff>371475</xdr:colOff>
                <xdr:row>10</xdr:row>
                <xdr:rowOff>9525</xdr:rowOff>
              </to>
            </anchor>
          </objectPr>
        </oleObject>
      </mc:Choice>
      <mc:Fallback>
        <oleObject progId="Equation.DSMT4" shapeId="16431" r:id="rId57"/>
      </mc:Fallback>
    </mc:AlternateContent>
    <mc:AlternateContent xmlns:mc="http://schemas.openxmlformats.org/markup-compatibility/2006">
      <mc:Choice Requires="x14">
        <oleObject progId="Equation.DSMT4" shapeId="16435" r:id="rId58">
          <objectPr defaultSize="0" autoPict="0" r:id="rId59">
            <anchor moveWithCells="1">
              <from>
                <xdr:col>10</xdr:col>
                <xdr:colOff>171450</xdr:colOff>
                <xdr:row>27</xdr:row>
                <xdr:rowOff>0</xdr:rowOff>
              </from>
              <to>
                <xdr:col>10</xdr:col>
                <xdr:colOff>438150</xdr:colOff>
                <xdr:row>28</xdr:row>
                <xdr:rowOff>9525</xdr:rowOff>
              </to>
            </anchor>
          </objectPr>
        </oleObject>
      </mc:Choice>
      <mc:Fallback>
        <oleObject progId="Equation.DSMT4" shapeId="16435" r:id="rId5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6"/>
  <sheetViews>
    <sheetView zoomScale="90" zoomScaleNormal="90" workbookViewId="0">
      <selection activeCell="A3" sqref="A3:B3"/>
    </sheetView>
  </sheetViews>
  <sheetFormatPr defaultRowHeight="15.75"/>
  <cols>
    <col min="1" max="3" width="8.140625" customWidth="1"/>
    <col min="4" max="4" width="1.140625" customWidth="1"/>
    <col min="5" max="5" width="10" customWidth="1"/>
    <col min="6" max="6" width="9.140625" customWidth="1"/>
    <col min="7" max="7" width="10.5703125" bestFit="1" customWidth="1"/>
    <col min="8" max="8" width="12.28515625" customWidth="1"/>
    <col min="9" max="9" width="1.28515625" customWidth="1"/>
    <col min="10" max="10" width="11.5703125" style="91" customWidth="1"/>
    <col min="11" max="11" width="9.140625" style="91" customWidth="1"/>
    <col min="12" max="12" width="10.140625" style="132" bestFit="1" customWidth="1"/>
    <col min="13" max="14" width="9.7109375" style="132" customWidth="1"/>
    <col min="15" max="15" width="9.42578125" style="29" customWidth="1"/>
    <col min="16" max="16" width="9.140625" style="29"/>
    <col min="17" max="17" width="1.28515625" style="389" customWidth="1"/>
    <col min="18" max="18" width="7.28515625" style="29" customWidth="1"/>
    <col min="19" max="19" width="7.7109375" style="29" customWidth="1"/>
    <col min="20" max="20" width="7.5703125" style="29" customWidth="1"/>
    <col min="21" max="21" width="1" style="29" customWidth="1"/>
    <col min="22" max="22" width="10.28515625" style="29" customWidth="1"/>
    <col min="23" max="23" width="9.42578125" style="29" customWidth="1"/>
    <col min="24" max="24" width="10.7109375" style="29" customWidth="1"/>
    <col min="25" max="25" width="11.42578125" style="29" customWidth="1"/>
    <col min="26" max="29" width="9.140625" style="29"/>
    <col min="30" max="30" width="6.140625" style="29" customWidth="1"/>
    <col min="31" max="31" width="2.42578125" customWidth="1"/>
    <col min="32" max="32" width="1" style="109" customWidth="1"/>
    <col min="33" max="34" width="0.85546875" style="109" customWidth="1"/>
  </cols>
  <sheetData>
    <row r="1" spans="1:34" ht="20.25" thickBot="1">
      <c r="A1" s="164">
        <f>COUNT(A4:A39)</f>
        <v>8</v>
      </c>
      <c r="B1" s="164">
        <f>COUNT(B4:B39)</f>
        <v>8</v>
      </c>
      <c r="C1" s="164"/>
      <c r="D1" s="151"/>
      <c r="E1" s="374" t="s">
        <v>3</v>
      </c>
      <c r="F1" s="375" t="s">
        <v>4</v>
      </c>
      <c r="G1" s="530"/>
      <c r="H1" s="531"/>
      <c r="I1" s="195"/>
      <c r="J1" s="150"/>
      <c r="K1" s="99"/>
      <c r="L1" s="94"/>
      <c r="M1" s="94"/>
      <c r="O1" s="75"/>
      <c r="P1" s="75"/>
      <c r="Q1" s="195"/>
      <c r="R1" s="75" t="s">
        <v>162</v>
      </c>
      <c r="S1" s="448">
        <f>SUM(S4:S18)</f>
        <v>100</v>
      </c>
      <c r="T1" s="75"/>
      <c r="U1" s="151"/>
      <c r="V1" s="75"/>
      <c r="W1" s="75"/>
      <c r="X1" s="75"/>
      <c r="Y1" s="75"/>
      <c r="Z1" s="75"/>
      <c r="AA1" s="75"/>
      <c r="AB1" s="75"/>
      <c r="AC1" s="75"/>
      <c r="AD1" s="75"/>
    </row>
    <row r="2" spans="1:34" ht="20.25" thickBot="1">
      <c r="A2" s="152" t="s">
        <v>3</v>
      </c>
      <c r="B2" s="152" t="s">
        <v>4</v>
      </c>
      <c r="C2" s="152"/>
      <c r="D2" s="154"/>
      <c r="E2" s="153" t="s">
        <v>0</v>
      </c>
      <c r="F2" s="153" t="s">
        <v>0</v>
      </c>
      <c r="G2" s="380" t="s">
        <v>144</v>
      </c>
      <c r="H2" s="380" t="s">
        <v>146</v>
      </c>
      <c r="I2" s="154"/>
      <c r="J2" s="203" t="s">
        <v>56</v>
      </c>
      <c r="K2" s="197">
        <v>95</v>
      </c>
      <c r="L2" s="111"/>
      <c r="M2" s="111"/>
      <c r="N2" s="94"/>
      <c r="O2" s="75"/>
      <c r="P2" s="75"/>
      <c r="Q2" s="391"/>
      <c r="R2" s="390" t="s">
        <v>52</v>
      </c>
      <c r="S2" s="32">
        <v>100</v>
      </c>
      <c r="T2" s="132"/>
      <c r="U2" s="400"/>
      <c r="V2" s="3"/>
      <c r="W2" s="3"/>
      <c r="X2" s="3"/>
      <c r="Y2" s="3"/>
      <c r="Z2" s="3"/>
      <c r="AA2" s="3"/>
      <c r="AB2" s="3"/>
      <c r="AC2" s="3"/>
      <c r="AD2" s="75"/>
    </row>
    <row r="3" spans="1:34" ht="17.25" thickBot="1">
      <c r="A3" s="478"/>
      <c r="B3" s="478"/>
      <c r="C3" s="369" t="s">
        <v>10</v>
      </c>
      <c r="D3" s="154"/>
      <c r="E3" s="155">
        <f>IF(A4="","",AVERAGE(A4:A39))</f>
        <v>11.525</v>
      </c>
      <c r="F3" s="155">
        <f>IF(B4="","",AVERAGE(B4:B39))</f>
        <v>11.262500000000001</v>
      </c>
      <c r="G3" s="155">
        <f xml:space="preserve"> IF(G8&gt;0, 2*(1-_xlfn.T.DIST(G8,A1- 1, TRUE)), 2*(_xlfn.T.DIST(G8,A1- 1, TRUE)))</f>
        <v>0.85265327826320769</v>
      </c>
      <c r="H3" s="183">
        <f>_xlfn.T.DIST(G8,A1- 1, TRUE)</f>
        <v>0.57367336086839615</v>
      </c>
      <c r="I3" s="154"/>
      <c r="J3" s="125"/>
      <c r="K3" s="91" t="s">
        <v>139</v>
      </c>
      <c r="L3" s="161"/>
      <c r="M3" s="111"/>
      <c r="N3" s="123"/>
      <c r="O3" s="75"/>
      <c r="P3" s="75"/>
      <c r="Q3" s="391"/>
      <c r="R3" s="369" t="s">
        <v>147</v>
      </c>
      <c r="S3" s="369" t="s">
        <v>151</v>
      </c>
      <c r="T3" s="387" t="s">
        <v>148</v>
      </c>
      <c r="U3" s="400"/>
      <c r="V3" s="408"/>
      <c r="W3" s="409"/>
      <c r="X3" s="3"/>
      <c r="Y3" s="3"/>
      <c r="Z3" s="3"/>
      <c r="AA3" s="3"/>
      <c r="AB3" s="3"/>
      <c r="AC3" s="3"/>
      <c r="AD3" s="75"/>
      <c r="AF3" s="133"/>
      <c r="AG3" s="122" t="s">
        <v>10</v>
      </c>
      <c r="AH3" s="143" t="s">
        <v>11</v>
      </c>
    </row>
    <row r="4" spans="1:34" ht="20.25" customHeight="1" thickBot="1">
      <c r="A4" s="471">
        <v>9.1</v>
      </c>
      <c r="B4" s="471">
        <v>12.9</v>
      </c>
      <c r="C4" s="368">
        <f>A4-B4</f>
        <v>-3.8000000000000007</v>
      </c>
      <c r="D4" s="154">
        <f>IF(B4=0,0, C4^2 / B4)</f>
        <v>1.1193798449612407</v>
      </c>
      <c r="E4" s="153" t="s">
        <v>2</v>
      </c>
      <c r="F4" s="153" t="s">
        <v>2</v>
      </c>
      <c r="G4" s="153"/>
      <c r="H4" s="468"/>
      <c r="I4" s="154"/>
      <c r="J4" s="145"/>
      <c r="L4" s="111"/>
      <c r="O4" s="75"/>
      <c r="P4" s="75"/>
      <c r="Q4" s="391">
        <f>IF(S4=0,0, (R4-S4)^2 / S4)</f>
        <v>22.502717391304348</v>
      </c>
      <c r="R4" s="175">
        <f>1/4</f>
        <v>0.25</v>
      </c>
      <c r="S4" s="175">
        <v>23</v>
      </c>
      <c r="T4" s="381">
        <f>S$2*R4</f>
        <v>25</v>
      </c>
      <c r="U4" s="400">
        <f>IF(T4=0,0,IF(T4=S4,(S4-V$9)^2/V$9,(S4-T4)^2/T4))</f>
        <v>0.16</v>
      </c>
      <c r="V4" s="410">
        <f>SUM(Q4:Q15)</f>
        <v>98.010040218939679</v>
      </c>
      <c r="W4" s="411">
        <f>_xlfn.CHISQ.INV.RT((100-K2)/100,COUNT(R4:R25)-1)</f>
        <v>7.8147279032511792</v>
      </c>
      <c r="X4" s="3"/>
      <c r="Y4" s="3"/>
      <c r="Z4" s="3"/>
      <c r="AA4" s="3"/>
      <c r="AB4" s="3"/>
      <c r="AC4" s="3"/>
      <c r="AD4" s="75"/>
      <c r="AF4" s="133"/>
      <c r="AG4" s="134">
        <f>$A4-$B4</f>
        <v>-3.8000000000000007</v>
      </c>
      <c r="AH4" s="134">
        <f>IF(A4="",0, (AG4-$E$8)^2)</f>
        <v>16.50390625</v>
      </c>
    </row>
    <row r="5" spans="1:34" ht="16.5" thickBot="1">
      <c r="A5" s="471">
        <v>9</v>
      </c>
      <c r="B5" s="471">
        <v>13.8</v>
      </c>
      <c r="C5" s="368">
        <f t="shared" ref="C5:C15" si="0">A5-B5</f>
        <v>-4.8000000000000007</v>
      </c>
      <c r="D5" s="154">
        <f t="shared" ref="D5:D17" si="1">IF(B5=0,0, C5^2 / B5)</f>
        <v>1.6695652173913047</v>
      </c>
      <c r="E5" s="156">
        <f>_xlfn.STDEV.S(A4:A39)</f>
        <v>2.3310022369297374</v>
      </c>
      <c r="F5" s="156">
        <f>_xlfn.STDEV.S(B4:B39)</f>
        <v>2.6027114981989712</v>
      </c>
      <c r="G5" s="155"/>
      <c r="H5" s="183"/>
      <c r="I5" s="154"/>
      <c r="J5" s="176"/>
      <c r="K5" s="176"/>
      <c r="L5" s="123"/>
      <c r="O5" s="75"/>
      <c r="P5" s="75"/>
      <c r="Q5" s="391">
        <f t="shared" ref="Q5:Q23" si="2">IF(S5=0,0, (R5-S5)^2 / S5)</f>
        <v>23.502604166666668</v>
      </c>
      <c r="R5" s="175">
        <v>0.25</v>
      </c>
      <c r="S5" s="175">
        <v>24</v>
      </c>
      <c r="T5" s="381">
        <f t="shared" ref="T5:T15" si="3">S$2*R5</f>
        <v>25</v>
      </c>
      <c r="U5" s="400">
        <f t="shared" ref="U5:U17" si="4">IF(T5=0,0,IF(T5=S5,(S5-V$9)^2/V$9,(S5-T5)^2/T5))</f>
        <v>0.04</v>
      </c>
      <c r="V5" s="3"/>
      <c r="W5" s="3"/>
      <c r="X5" s="3"/>
      <c r="Y5" s="3"/>
      <c r="Z5" s="3"/>
      <c r="AA5" s="3"/>
      <c r="AB5" s="3"/>
      <c r="AC5" s="3"/>
      <c r="AD5" s="75"/>
      <c r="AF5" s="133"/>
      <c r="AG5" s="134">
        <f t="shared" ref="AG5:AG36" si="5">$A5-$B5</f>
        <v>-4.8000000000000007</v>
      </c>
      <c r="AH5" s="134">
        <f t="shared" ref="AH5:AH11" si="6">IF(A5="",0, (AG5-$E$8)^2)</f>
        <v>25.62890625</v>
      </c>
    </row>
    <row r="6" spans="1:34" ht="16.5" thickBot="1">
      <c r="A6" s="471">
        <v>12.7</v>
      </c>
      <c r="B6" s="471">
        <v>14</v>
      </c>
      <c r="C6" s="368">
        <f t="shared" si="0"/>
        <v>-1.3000000000000007</v>
      </c>
      <c r="D6" s="154">
        <f t="shared" si="1"/>
        <v>0.12071428571428586</v>
      </c>
      <c r="E6" s="125"/>
      <c r="F6" s="91"/>
      <c r="G6" s="66"/>
      <c r="H6" s="162"/>
      <c r="I6" s="154"/>
      <c r="O6" s="221" t="s">
        <v>141</v>
      </c>
      <c r="P6" s="140"/>
      <c r="Q6" s="391">
        <f t="shared" si="2"/>
        <v>25.502403846153847</v>
      </c>
      <c r="R6" s="175">
        <v>0.25</v>
      </c>
      <c r="S6" s="175">
        <v>26</v>
      </c>
      <c r="T6" s="381">
        <f t="shared" si="3"/>
        <v>25</v>
      </c>
      <c r="U6" s="400">
        <f t="shared" si="4"/>
        <v>0.04</v>
      </c>
      <c r="V6" s="412" t="s">
        <v>149</v>
      </c>
      <c r="W6" s="380" t="s">
        <v>146</v>
      </c>
      <c r="X6" s="3"/>
      <c r="Y6" s="3"/>
      <c r="Z6" s="3"/>
      <c r="AA6" s="3"/>
      <c r="AB6" s="3"/>
      <c r="AC6" s="3"/>
      <c r="AD6" s="162"/>
      <c r="AF6" s="133"/>
      <c r="AG6" s="134">
        <f t="shared" si="5"/>
        <v>-1.3000000000000007</v>
      </c>
      <c r="AH6" s="134">
        <f t="shared" si="6"/>
        <v>2.4414062500000013</v>
      </c>
    </row>
    <row r="7" spans="1:34" ht="18" customHeight="1" thickBot="1">
      <c r="A7" s="471">
        <v>11.8</v>
      </c>
      <c r="B7" s="471">
        <v>11.3</v>
      </c>
      <c r="C7" s="368">
        <f t="shared" si="0"/>
        <v>0.5</v>
      </c>
      <c r="D7" s="154">
        <f t="shared" si="1"/>
        <v>2.2123893805309734E-2</v>
      </c>
      <c r="E7" s="170"/>
      <c r="F7" s="66"/>
      <c r="G7" s="66"/>
      <c r="H7" s="70"/>
      <c r="I7" s="154"/>
      <c r="J7" s="230" t="s">
        <v>76</v>
      </c>
      <c r="K7" s="144">
        <v>118</v>
      </c>
      <c r="L7" s="100" t="s">
        <v>40</v>
      </c>
      <c r="M7" s="70"/>
      <c r="N7" s="70"/>
      <c r="O7" s="220" t="s">
        <v>79</v>
      </c>
      <c r="P7" s="373"/>
      <c r="Q7" s="391">
        <f t="shared" si="2"/>
        <v>26.502314814814813</v>
      </c>
      <c r="R7" s="175">
        <v>0.25</v>
      </c>
      <c r="S7" s="175">
        <v>27</v>
      </c>
      <c r="T7" s="381">
        <f t="shared" si="3"/>
        <v>25</v>
      </c>
      <c r="U7" s="400">
        <f t="shared" si="4"/>
        <v>0.16</v>
      </c>
      <c r="V7" s="413">
        <f>SUM(U4:U17)</f>
        <v>0.4</v>
      </c>
      <c r="W7" s="139">
        <f>CHIDIST(V7,COUNT(R4:R19)-1)</f>
        <v>0.94024249483936073</v>
      </c>
      <c r="X7" s="417">
        <f>1-W7</f>
        <v>5.9757505160639268E-2</v>
      </c>
      <c r="Y7" s="474">
        <f>2*W7</f>
        <v>1.8804849896787215</v>
      </c>
      <c r="Z7" s="3"/>
      <c r="AA7" s="3"/>
      <c r="AB7" s="3"/>
      <c r="AC7" s="3"/>
      <c r="AD7" s="3"/>
      <c r="AF7" s="135">
        <f>SUM(A4:A39)</f>
        <v>92.2</v>
      </c>
      <c r="AG7" s="134">
        <f t="shared" si="5"/>
        <v>0.5</v>
      </c>
      <c r="AH7" s="134">
        <f t="shared" si="6"/>
        <v>5.6406250000000178E-2</v>
      </c>
    </row>
    <row r="8" spans="1:34" ht="21" customHeight="1" thickBot="1">
      <c r="A8" s="471">
        <v>11.5</v>
      </c>
      <c r="B8" s="471">
        <v>7.7</v>
      </c>
      <c r="C8" s="368">
        <f t="shared" si="0"/>
        <v>3.8</v>
      </c>
      <c r="D8" s="154">
        <f t="shared" si="1"/>
        <v>1.8753246753246753</v>
      </c>
      <c r="E8" s="172">
        <f xml:space="preserve"> SUM(AG4:AG39)/A1</f>
        <v>0.26249999999999962</v>
      </c>
      <c r="F8" s="171">
        <f>SQRT(SUM(AH4:AH39) /(A1-1))</f>
        <v>3.8526197024140045</v>
      </c>
      <c r="G8" s="171">
        <f>E8*SQRT(A1)/F8</f>
        <v>0.19271617174689112</v>
      </c>
      <c r="H8" s="183"/>
      <c r="I8" s="154"/>
      <c r="J8" s="145" t="s">
        <v>75</v>
      </c>
      <c r="K8" s="91">
        <v>253</v>
      </c>
      <c r="L8" s="138">
        <f xml:space="preserve"> (K7+K10) / (K8+K11)</f>
        <v>0.45534150612959717</v>
      </c>
      <c r="M8" s="138">
        <f>K7/K8</f>
        <v>0.466403162055336</v>
      </c>
      <c r="N8" s="179">
        <f>K10/K11</f>
        <v>0.44654088050314467</v>
      </c>
      <c r="O8" s="138">
        <f>(ABS(K7-K10)-1)/SQRT(K7+K10)</f>
        <v>1.4263994477758974</v>
      </c>
      <c r="P8" s="111"/>
      <c r="Q8" s="391">
        <f t="shared" si="2"/>
        <v>0</v>
      </c>
      <c r="R8" s="175"/>
      <c r="S8" s="175"/>
      <c r="T8" s="381">
        <f t="shared" si="3"/>
        <v>0</v>
      </c>
      <c r="U8" s="400">
        <f t="shared" si="4"/>
        <v>0</v>
      </c>
      <c r="V8" s="414" t="s">
        <v>150</v>
      </c>
      <c r="W8" s="3"/>
      <c r="X8" s="3"/>
      <c r="Y8" s="3"/>
      <c r="Z8" s="3"/>
      <c r="AA8" s="3"/>
      <c r="AB8" s="3"/>
      <c r="AC8" s="3"/>
      <c r="AD8" s="3"/>
      <c r="AF8" s="135">
        <f>SUM(B4:B39)</f>
        <v>90.100000000000009</v>
      </c>
      <c r="AG8" s="134">
        <f t="shared" si="5"/>
        <v>3.8</v>
      </c>
      <c r="AH8" s="134">
        <f t="shared" si="6"/>
        <v>12.51390625</v>
      </c>
    </row>
    <row r="9" spans="1:34" ht="19.5" thickBot="1">
      <c r="A9" s="471">
        <v>9.1999999999999993</v>
      </c>
      <c r="B9" s="471">
        <v>8.9</v>
      </c>
      <c r="C9" s="368">
        <f t="shared" si="0"/>
        <v>0.29999999999999893</v>
      </c>
      <c r="D9" s="154">
        <f t="shared" si="1"/>
        <v>1.0112359550561726E-2</v>
      </c>
      <c r="E9" s="219" t="s">
        <v>78</v>
      </c>
      <c r="F9" s="242"/>
      <c r="G9" s="241"/>
      <c r="H9" s="194" t="s">
        <v>89</v>
      </c>
      <c r="I9" s="154"/>
      <c r="J9" s="145"/>
      <c r="K9" s="123"/>
      <c r="N9" s="94"/>
      <c r="O9" s="193" t="s">
        <v>66</v>
      </c>
      <c r="P9" s="157" t="s">
        <v>67</v>
      </c>
      <c r="Q9" s="391">
        <f t="shared" si="2"/>
        <v>0</v>
      </c>
      <c r="R9" s="175"/>
      <c r="S9" s="175"/>
      <c r="T9" s="381">
        <f t="shared" si="3"/>
        <v>0</v>
      </c>
      <c r="U9" s="400">
        <f t="shared" si="4"/>
        <v>0</v>
      </c>
      <c r="V9" s="415">
        <f>SUM(S4:S15)/COUNT(S4:S15)</f>
        <v>25</v>
      </c>
      <c r="W9" s="3"/>
      <c r="X9" s="3"/>
      <c r="Y9" s="3"/>
      <c r="Z9" s="3"/>
      <c r="AA9" s="3"/>
      <c r="AB9" s="3"/>
      <c r="AC9" s="3"/>
      <c r="AD9" s="3"/>
      <c r="AF9" s="133"/>
      <c r="AG9" s="134">
        <f t="shared" si="5"/>
        <v>0.29999999999999893</v>
      </c>
      <c r="AH9" s="134">
        <f t="shared" si="6"/>
        <v>1.4062499999999483E-3</v>
      </c>
    </row>
    <row r="10" spans="1:34" ht="20.25" thickBot="1">
      <c r="A10" s="471">
        <v>13.5</v>
      </c>
      <c r="B10" s="471">
        <v>13.2</v>
      </c>
      <c r="C10" s="368">
        <f t="shared" si="0"/>
        <v>0.30000000000000071</v>
      </c>
      <c r="D10" s="154">
        <f t="shared" si="1"/>
        <v>6.8181818181818508E-3</v>
      </c>
      <c r="E10" s="171">
        <f xml:space="preserve"> H10* F8 /SQRT(A1)</f>
        <v>3.2208706743009405</v>
      </c>
      <c r="F10" s="189">
        <f>E8-E10</f>
        <v>-2.9583706743009408</v>
      </c>
      <c r="G10" s="467">
        <f>E8+E10</f>
        <v>3.4833706743009403</v>
      </c>
      <c r="H10" s="184">
        <f>TINV(1-K2/100, A$1- 1)</f>
        <v>2.3646242515927849</v>
      </c>
      <c r="I10" s="154"/>
      <c r="J10" s="145" t="s">
        <v>77</v>
      </c>
      <c r="K10" s="91">
        <v>142</v>
      </c>
      <c r="L10" s="70" t="s">
        <v>79</v>
      </c>
      <c r="M10" s="70" t="s">
        <v>44</v>
      </c>
      <c r="N10" s="70" t="s">
        <v>51</v>
      </c>
      <c r="O10" s="70" t="s">
        <v>65</v>
      </c>
      <c r="P10" s="219" t="s">
        <v>65</v>
      </c>
      <c r="Q10" s="391">
        <f t="shared" si="2"/>
        <v>0</v>
      </c>
      <c r="R10" s="175"/>
      <c r="S10" s="175"/>
      <c r="T10" s="381">
        <f t="shared" si="3"/>
        <v>0</v>
      </c>
      <c r="U10" s="400">
        <f t="shared" si="4"/>
        <v>0</v>
      </c>
      <c r="V10" s="3"/>
      <c r="W10" s="3"/>
      <c r="X10" s="3"/>
      <c r="Y10" s="3"/>
      <c r="Z10" s="3"/>
      <c r="AA10" s="3"/>
      <c r="AB10" s="3"/>
      <c r="AC10" s="3"/>
      <c r="AD10" s="3"/>
      <c r="AF10" s="133"/>
      <c r="AG10" s="134">
        <f t="shared" si="5"/>
        <v>0.30000000000000071</v>
      </c>
      <c r="AH10" s="134">
        <f t="shared" si="6"/>
        <v>1.4062500000000817E-3</v>
      </c>
    </row>
    <row r="11" spans="1:34" ht="20.25" thickBot="1">
      <c r="A11" s="471">
        <v>15.4</v>
      </c>
      <c r="B11" s="471">
        <v>8.3000000000000007</v>
      </c>
      <c r="C11" s="368">
        <f t="shared" si="0"/>
        <v>7.1</v>
      </c>
      <c r="D11" s="154">
        <f t="shared" si="1"/>
        <v>6.073493975903614</v>
      </c>
      <c r="E11" s="167"/>
      <c r="F11" s="123"/>
      <c r="G11" s="384"/>
      <c r="H11" s="385"/>
      <c r="I11" s="154"/>
      <c r="J11" s="145" t="s">
        <v>74</v>
      </c>
      <c r="K11" s="91">
        <v>318</v>
      </c>
      <c r="L11" s="138">
        <f>(M8-N8 ) / (SQRT(L8*(1-L8)) * SQRT(1/K8+1/K11))</f>
        <v>0.47342821818183928</v>
      </c>
      <c r="M11" s="96">
        <f>_xlfn.NORM.S.DIST(L11,TRUE)</f>
        <v>0.68204614909276795</v>
      </c>
      <c r="N11" s="121">
        <f>1-M11</f>
        <v>0.31795385090723205</v>
      </c>
      <c r="O11" s="121">
        <f>2*M11</f>
        <v>1.3640922981855359</v>
      </c>
      <c r="P11" s="149">
        <f>2*N11</f>
        <v>0.6359077018144641</v>
      </c>
      <c r="Q11" s="391">
        <f t="shared" si="2"/>
        <v>0</v>
      </c>
      <c r="R11" s="175"/>
      <c r="S11" s="175"/>
      <c r="T11" s="381">
        <f t="shared" si="3"/>
        <v>0</v>
      </c>
      <c r="U11" s="400">
        <f t="shared" si="4"/>
        <v>0</v>
      </c>
      <c r="V11" s="111"/>
      <c r="W11" s="111"/>
      <c r="X11" s="449" t="s">
        <v>163</v>
      </c>
      <c r="Y11" s="3"/>
      <c r="Z11" s="3"/>
      <c r="AA11" s="3"/>
      <c r="AB11" s="3"/>
      <c r="AC11" s="3"/>
      <c r="AD11" s="3"/>
      <c r="AF11" s="133"/>
      <c r="AG11" s="134">
        <f t="shared" si="5"/>
        <v>7.1</v>
      </c>
      <c r="AH11" s="134">
        <f t="shared" si="6"/>
        <v>46.751406250000002</v>
      </c>
    </row>
    <row r="12" spans="1:34" ht="20.25" thickBot="1">
      <c r="A12" s="469"/>
      <c r="B12" s="470"/>
      <c r="C12" s="368">
        <f t="shared" si="0"/>
        <v>0</v>
      </c>
      <c r="D12" s="154">
        <f t="shared" si="1"/>
        <v>0</v>
      </c>
      <c r="E12" s="372" t="s">
        <v>54</v>
      </c>
      <c r="F12" s="228">
        <f>E$5^2/A$1</f>
        <v>0.67919642857142992</v>
      </c>
      <c r="G12" s="386">
        <f xml:space="preserve"> E3-G3 -H14</f>
        <v>8.7235800832978736</v>
      </c>
      <c r="H12" s="238">
        <f>E3-G3+H14</f>
        <v>12.621113360175711</v>
      </c>
      <c r="I12" s="154"/>
      <c r="J12" s="221"/>
      <c r="L12" s="180" t="s">
        <v>78</v>
      </c>
      <c r="M12" s="219" t="s">
        <v>80</v>
      </c>
      <c r="N12" s="532"/>
      <c r="O12" s="533"/>
      <c r="P12" s="70" t="s">
        <v>161</v>
      </c>
      <c r="Q12" s="391">
        <f t="shared" si="2"/>
        <v>0</v>
      </c>
      <c r="R12" s="175"/>
      <c r="S12" s="175"/>
      <c r="T12" s="381">
        <f t="shared" si="3"/>
        <v>0</v>
      </c>
      <c r="U12" s="400">
        <f t="shared" si="4"/>
        <v>0</v>
      </c>
      <c r="V12" s="418" t="s">
        <v>52</v>
      </c>
      <c r="W12" s="419">
        <v>769</v>
      </c>
      <c r="X12" s="451">
        <f>W12*W13</f>
        <v>107.66000000000001</v>
      </c>
      <c r="Y12" s="3"/>
      <c r="Z12" s="3"/>
      <c r="AA12" s="3"/>
      <c r="AB12" s="3"/>
      <c r="AC12" s="3"/>
      <c r="AD12" s="3"/>
      <c r="AF12" s="133"/>
      <c r="AG12" s="134">
        <f t="shared" si="5"/>
        <v>0</v>
      </c>
      <c r="AH12" s="134">
        <f t="shared" ref="AH12:AH35" si="7">IF(A12="",0, (AG12-$E$8)^2)</f>
        <v>0</v>
      </c>
    </row>
    <row r="13" spans="1:34" ht="20.25" thickBot="1">
      <c r="A13" s="466"/>
      <c r="B13" s="466"/>
      <c r="C13" s="368">
        <f t="shared" si="0"/>
        <v>0</v>
      </c>
      <c r="D13" s="154">
        <f t="shared" si="1"/>
        <v>0</v>
      </c>
      <c r="E13" s="70" t="s">
        <v>55</v>
      </c>
      <c r="F13" s="173">
        <f>G$5^2/B$1</f>
        <v>0</v>
      </c>
      <c r="G13" s="158" t="s">
        <v>71</v>
      </c>
      <c r="H13" s="70" t="s">
        <v>78</v>
      </c>
      <c r="I13" s="154"/>
      <c r="J13" s="94"/>
      <c r="K13" s="131"/>
      <c r="L13" s="86">
        <f>_xlfn.NORM.S.INV(1- (100-K2)/200) *SQRT(M8*(1-M8)/K8+N8*(1-N8)/K11)</f>
        <v>8.2245126945467512E-2</v>
      </c>
      <c r="M13" s="366">
        <f xml:space="preserve"> _xlfn.NORM.S.INV(1- (100-K2)/200)</f>
        <v>1.9599639845400536</v>
      </c>
      <c r="N13" s="186">
        <f>M8-N8-L13</f>
        <v>-6.2382845393276182E-2</v>
      </c>
      <c r="O13" s="187">
        <f>M8-N8+L13</f>
        <v>0.10210740849765884</v>
      </c>
      <c r="P13" s="447">
        <f>2*M11</f>
        <v>1.3640922981855359</v>
      </c>
      <c r="Q13" s="391">
        <f t="shared" si="2"/>
        <v>0</v>
      </c>
      <c r="R13" s="123"/>
      <c r="S13" s="123"/>
      <c r="T13" s="381">
        <f t="shared" si="3"/>
        <v>0</v>
      </c>
      <c r="U13" s="400">
        <f t="shared" si="4"/>
        <v>0</v>
      </c>
      <c r="V13" s="418" t="s">
        <v>115</v>
      </c>
      <c r="W13" s="450">
        <v>0.14000000000000001</v>
      </c>
      <c r="X13" s="453" t="s">
        <v>164</v>
      </c>
      <c r="Y13" s="3"/>
      <c r="Z13" s="3"/>
      <c r="AA13" s="3"/>
      <c r="AB13" s="3"/>
      <c r="AC13" s="3"/>
      <c r="AD13" s="3"/>
      <c r="AF13" s="136"/>
      <c r="AG13" s="134">
        <f t="shared" si="5"/>
        <v>0</v>
      </c>
      <c r="AH13" s="134">
        <f t="shared" si="7"/>
        <v>0</v>
      </c>
    </row>
    <row r="14" spans="1:34" ht="20.25" thickBot="1">
      <c r="A14" s="466"/>
      <c r="B14" s="466"/>
      <c r="C14" s="368">
        <f t="shared" si="0"/>
        <v>0</v>
      </c>
      <c r="D14" s="154">
        <f t="shared" si="1"/>
        <v>0</v>
      </c>
      <c r="E14" s="227" t="s">
        <v>73</v>
      </c>
      <c r="F14" s="174">
        <f>(F12+F13)^2 / ((F12^2/(A1-1)) + F13^2/(B1-1))</f>
        <v>7</v>
      </c>
      <c r="G14" s="121">
        <f>TINV(1-K2/100, F14)</f>
        <v>2.3646242515927849</v>
      </c>
      <c r="H14" s="121">
        <f xml:space="preserve"> G14 * SQRT( E5^2 /A1 + G5^2/B1)</f>
        <v>1.9487666384389182</v>
      </c>
      <c r="I14" s="154"/>
      <c r="J14" s="231" t="s">
        <v>82</v>
      </c>
      <c r="K14" s="367">
        <v>0.14000000000000001</v>
      </c>
      <c r="L14" s="70" t="s">
        <v>79</v>
      </c>
      <c r="M14" s="220"/>
      <c r="N14" s="94"/>
      <c r="O14" s="123"/>
      <c r="P14" s="123"/>
      <c r="Q14" s="391">
        <f t="shared" si="2"/>
        <v>0</v>
      </c>
      <c r="R14" s="123"/>
      <c r="S14" s="123"/>
      <c r="T14" s="381">
        <f t="shared" si="3"/>
        <v>0</v>
      </c>
      <c r="U14" s="400">
        <f t="shared" si="4"/>
        <v>0</v>
      </c>
      <c r="V14" s="420" t="s">
        <v>74</v>
      </c>
      <c r="W14" s="421">
        <v>30</v>
      </c>
      <c r="X14" s="452">
        <f>W12-X12</f>
        <v>661.34</v>
      </c>
      <c r="Y14" s="3"/>
      <c r="Z14" s="3"/>
      <c r="AA14" s="3"/>
      <c r="AB14" s="3"/>
      <c r="AC14" s="3"/>
      <c r="AD14" s="75"/>
      <c r="AF14" s="137"/>
      <c r="AG14" s="134">
        <f t="shared" si="5"/>
        <v>0</v>
      </c>
      <c r="AH14" s="134">
        <f t="shared" si="7"/>
        <v>0</v>
      </c>
    </row>
    <row r="15" spans="1:34" ht="18" thickBot="1">
      <c r="A15" s="466"/>
      <c r="B15" s="466"/>
      <c r="C15" s="368">
        <f t="shared" si="0"/>
        <v>0</v>
      </c>
      <c r="D15" s="382">
        <f t="shared" si="1"/>
        <v>0</v>
      </c>
      <c r="E15" s="211"/>
      <c r="F15" s="211"/>
      <c r="G15" s="534" t="s">
        <v>95</v>
      </c>
      <c r="H15" s="535"/>
      <c r="I15" s="154"/>
      <c r="J15" s="127"/>
      <c r="L15" s="138">
        <f xml:space="preserve"> (M8-N8-K14) /SQRT(M8*(1-M8)/K8 + N8*(1-N8)/K11)</f>
        <v>-2.8629732859266332</v>
      </c>
      <c r="M15" s="138"/>
      <c r="N15" s="218"/>
      <c r="O15" s="75"/>
      <c r="P15" s="75"/>
      <c r="Q15" s="391">
        <f t="shared" si="2"/>
        <v>0</v>
      </c>
      <c r="R15" s="396"/>
      <c r="S15" s="396"/>
      <c r="T15" s="381">
        <f t="shared" si="3"/>
        <v>0</v>
      </c>
      <c r="U15" s="400">
        <f t="shared" si="4"/>
        <v>0</v>
      </c>
      <c r="V15" s="75"/>
      <c r="W15" s="75"/>
      <c r="X15" s="75"/>
      <c r="Y15" s="75"/>
      <c r="Z15" s="3"/>
      <c r="AA15" s="3"/>
      <c r="AB15" s="3"/>
      <c r="AC15" s="3"/>
      <c r="AD15" s="75"/>
      <c r="AG15" s="134">
        <f t="shared" si="5"/>
        <v>0</v>
      </c>
      <c r="AH15" s="134">
        <f t="shared" si="7"/>
        <v>0</v>
      </c>
    </row>
    <row r="16" spans="1:34" ht="20.25" thickBot="1">
      <c r="A16" s="175"/>
      <c r="B16" s="175"/>
      <c r="C16" s="175"/>
      <c r="D16" s="382">
        <f t="shared" si="1"/>
        <v>0</v>
      </c>
      <c r="E16" s="383"/>
      <c r="F16" s="383"/>
      <c r="G16" s="191" t="s">
        <v>73</v>
      </c>
      <c r="H16" s="158" t="s">
        <v>89</v>
      </c>
      <c r="I16" s="154"/>
      <c r="K16" s="91">
        <v>0.215</v>
      </c>
      <c r="L16" s="188" t="s">
        <v>68</v>
      </c>
      <c r="M16" s="188" t="s">
        <v>140</v>
      </c>
      <c r="N16" s="222"/>
      <c r="O16" s="223"/>
      <c r="P16" s="223"/>
      <c r="Q16" s="391">
        <f t="shared" si="2"/>
        <v>0</v>
      </c>
      <c r="R16" s="397"/>
      <c r="S16" s="397"/>
      <c r="T16" s="381"/>
      <c r="U16" s="400">
        <f t="shared" si="4"/>
        <v>0</v>
      </c>
      <c r="V16" s="223"/>
      <c r="W16" s="380" t="s">
        <v>146</v>
      </c>
      <c r="X16" s="121">
        <f>CHIDIST( (W14-X12)^2 / X12 + (W12-W14-X14)^2 / X14,1)</f>
        <v>6.9792408532011301E-16</v>
      </c>
      <c r="Y16" s="223"/>
      <c r="Z16" s="3"/>
      <c r="AA16" s="3"/>
      <c r="AB16" s="3"/>
      <c r="AC16" s="3"/>
      <c r="AD16" s="224"/>
      <c r="AG16" s="134">
        <f t="shared" si="5"/>
        <v>0</v>
      </c>
      <c r="AH16" s="134">
        <f t="shared" si="7"/>
        <v>0</v>
      </c>
    </row>
    <row r="17" spans="1:34" ht="19.5" thickBot="1">
      <c r="A17" s="175"/>
      <c r="B17" s="175"/>
      <c r="C17" s="175"/>
      <c r="D17" s="154">
        <f t="shared" si="1"/>
        <v>0</v>
      </c>
      <c r="E17" s="75"/>
      <c r="F17" s="75"/>
      <c r="G17" s="192">
        <f xml:space="preserve"> (I19+I20)^2/(I19^2/(F19-1)+I20^2/(F22-1))</f>
        <v>13.833193466531478</v>
      </c>
      <c r="H17" s="121">
        <f>TINV(1-K2/100, G17)</f>
        <v>2.1603686564627917</v>
      </c>
      <c r="I17" s="154"/>
      <c r="J17" s="145"/>
      <c r="K17" s="91">
        <v>0.187</v>
      </c>
      <c r="L17" s="189">
        <f>(K16*(1-K16) + K17*(1-K17)) * (M13/K18)^2</f>
        <v>1369.2922649239993</v>
      </c>
      <c r="M17" s="189">
        <f xml:space="preserve"> 0.5* (M13/K18)^2</f>
        <v>2134.1437892745134</v>
      </c>
      <c r="N17" s="223"/>
      <c r="O17" s="223"/>
      <c r="P17" s="223"/>
      <c r="Q17" s="391">
        <f t="shared" si="2"/>
        <v>0</v>
      </c>
      <c r="R17" s="397"/>
      <c r="S17" s="397"/>
      <c r="T17" s="381"/>
      <c r="U17" s="400">
        <f t="shared" si="4"/>
        <v>0</v>
      </c>
      <c r="V17" s="223"/>
      <c r="W17" s="380" t="s">
        <v>153</v>
      </c>
      <c r="X17" s="218">
        <f>1-_xlfn.NORM.S.DIST(X20,TRUE)</f>
        <v>0.99999999999999967</v>
      </c>
      <c r="Y17" s="223"/>
      <c r="Z17" s="223"/>
      <c r="AA17" s="3"/>
      <c r="AB17" s="3"/>
      <c r="AC17" s="3"/>
      <c r="AD17" s="223"/>
      <c r="AG17" s="134">
        <f t="shared" si="5"/>
        <v>0</v>
      </c>
      <c r="AH17" s="134">
        <f t="shared" si="7"/>
        <v>0</v>
      </c>
    </row>
    <row r="18" spans="1:34" ht="21.75" customHeight="1" thickBot="1">
      <c r="A18" s="175"/>
      <c r="B18" s="175"/>
      <c r="C18" s="175"/>
      <c r="D18" s="154"/>
      <c r="E18" s="125"/>
      <c r="F18" s="91"/>
      <c r="G18" s="158" t="s">
        <v>87</v>
      </c>
      <c r="H18" s="70" t="s">
        <v>78</v>
      </c>
      <c r="I18" s="154"/>
      <c r="J18" s="145" t="s">
        <v>81</v>
      </c>
      <c r="K18" s="91">
        <v>0.03</v>
      </c>
      <c r="L18" s="165"/>
      <c r="M18" s="165"/>
      <c r="N18" s="225"/>
      <c r="O18" s="226"/>
      <c r="P18" s="226"/>
      <c r="Q18" s="391">
        <f t="shared" si="2"/>
        <v>0</v>
      </c>
      <c r="R18" s="398"/>
      <c r="S18" s="398"/>
      <c r="T18" s="226"/>
      <c r="U18" s="401"/>
      <c r="V18" s="226"/>
      <c r="W18" s="226"/>
      <c r="X18" s="226"/>
      <c r="Y18" s="226"/>
      <c r="Z18" s="226"/>
      <c r="AA18" s="3"/>
      <c r="AB18" s="3"/>
      <c r="AC18" s="3"/>
      <c r="AD18" s="226"/>
      <c r="AG18" s="134">
        <f t="shared" si="5"/>
        <v>0</v>
      </c>
      <c r="AH18" s="134">
        <f t="shared" si="7"/>
        <v>0</v>
      </c>
    </row>
    <row r="19" spans="1:34" ht="20.25" thickBot="1">
      <c r="A19" s="175"/>
      <c r="B19" s="175"/>
      <c r="C19" s="175"/>
      <c r="D19" s="154"/>
      <c r="E19" s="145" t="s">
        <v>83</v>
      </c>
      <c r="F19" s="91">
        <v>8</v>
      </c>
      <c r="G19" s="114">
        <f xml:space="preserve">  (F20-F23) / SQRT( F21^2 /F19 + F24^2/F22)</f>
        <v>0.21249942456754972</v>
      </c>
      <c r="H19" s="121">
        <f xml:space="preserve"> H17 * SQRT( F21^2 /F19 + F24^2/F22)</f>
        <v>2.6686979198911263</v>
      </c>
      <c r="I19" s="154">
        <f>F21^2 /F19</f>
        <v>0.67919642857142992</v>
      </c>
      <c r="J19" s="145"/>
      <c r="K19" s="123"/>
      <c r="L19" s="94"/>
      <c r="M19" s="75"/>
      <c r="N19" s="234" t="s">
        <v>66</v>
      </c>
      <c r="O19" s="157" t="s">
        <v>67</v>
      </c>
      <c r="P19" s="222"/>
      <c r="Q19" s="391">
        <f t="shared" si="2"/>
        <v>0</v>
      </c>
      <c r="R19" s="399"/>
      <c r="S19" s="399"/>
      <c r="T19" s="222"/>
      <c r="U19" s="402"/>
      <c r="V19" s="222"/>
      <c r="W19" s="222"/>
      <c r="X19" s="422"/>
      <c r="Y19" s="222"/>
      <c r="Z19" s="222"/>
      <c r="AA19" s="3"/>
      <c r="AB19" s="3"/>
      <c r="AC19" s="3"/>
      <c r="AD19" s="222"/>
      <c r="AG19" s="134">
        <f t="shared" si="5"/>
        <v>0</v>
      </c>
      <c r="AH19" s="134">
        <f t="shared" si="7"/>
        <v>0</v>
      </c>
    </row>
    <row r="20" spans="1:34" ht="20.25" thickBot="1">
      <c r="A20" s="175"/>
      <c r="B20" s="175"/>
      <c r="C20" s="175"/>
      <c r="D20" s="154"/>
      <c r="E20" s="146"/>
      <c r="F20" s="472">
        <f>E3</f>
        <v>11.525</v>
      </c>
      <c r="G20" s="537"/>
      <c r="H20" s="538"/>
      <c r="I20" s="154">
        <f>F24^2/F22</f>
        <v>0.84676339285714164</v>
      </c>
      <c r="J20" s="147" t="s">
        <v>61</v>
      </c>
      <c r="K20" s="141">
        <v>-2.0070000000000001</v>
      </c>
      <c r="L20" s="70" t="s">
        <v>65</v>
      </c>
      <c r="M20" s="70" t="s">
        <v>88</v>
      </c>
      <c r="N20" s="70" t="s">
        <v>65</v>
      </c>
      <c r="O20" s="70" t="s">
        <v>65</v>
      </c>
      <c r="P20" s="157"/>
      <c r="Q20" s="391">
        <f t="shared" si="2"/>
        <v>0</v>
      </c>
      <c r="R20" s="322"/>
      <c r="S20" s="322"/>
      <c r="T20" s="157"/>
      <c r="U20" s="403"/>
      <c r="V20" s="157"/>
      <c r="W20" s="397" t="s">
        <v>152</v>
      </c>
      <c r="X20" s="416">
        <f>(W14/W12-W13)/SQRT(W13*(1-W13)/W12)</f>
        <v>-8.070881536847379</v>
      </c>
      <c r="Y20" s="423"/>
      <c r="Z20" s="157"/>
      <c r="AA20" s="157"/>
      <c r="AB20" s="157"/>
      <c r="AC20" s="157"/>
      <c r="AD20" s="75"/>
      <c r="AG20" s="134">
        <f t="shared" si="5"/>
        <v>0</v>
      </c>
      <c r="AH20" s="134">
        <f t="shared" si="7"/>
        <v>0</v>
      </c>
    </row>
    <row r="21" spans="1:34" ht="20.25" thickBot="1">
      <c r="A21" s="175"/>
      <c r="B21" s="175"/>
      <c r="C21" s="175"/>
      <c r="D21" s="154"/>
      <c r="E21" s="146" t="s">
        <v>84</v>
      </c>
      <c r="F21" s="473">
        <f>E5</f>
        <v>2.3310022369297374</v>
      </c>
      <c r="G21" s="139">
        <f xml:space="preserve"> F20- F23 -H19</f>
        <v>-2.406197919891127</v>
      </c>
      <c r="H21" s="139">
        <f xml:space="preserve">  F20- F23 + H19</f>
        <v>2.9311979198911255</v>
      </c>
      <c r="I21" s="196"/>
      <c r="J21" s="148" t="s">
        <v>52</v>
      </c>
      <c r="K21" s="142">
        <v>21</v>
      </c>
      <c r="L21" s="121">
        <f xml:space="preserve"> 1 -_xlfn.T.DIST(K20, K21-1, TRUE)</f>
        <v>0.97077136051515134</v>
      </c>
      <c r="M21" s="121">
        <f>_xlfn.T.DIST(K20, K21-1, TRUE)</f>
        <v>2.9228639484848648E-2</v>
      </c>
      <c r="N21" s="121">
        <f>2*L21</f>
        <v>1.9415427210303027</v>
      </c>
      <c r="O21" s="121">
        <f>2*M21</f>
        <v>5.8457278969697296E-2</v>
      </c>
      <c r="P21" s="94"/>
      <c r="Q21" s="391">
        <f t="shared" si="2"/>
        <v>0</v>
      </c>
      <c r="R21" s="94"/>
      <c r="S21" s="94"/>
      <c r="T21" s="94"/>
      <c r="U21" s="404"/>
      <c r="V21" s="94"/>
      <c r="W21" s="94"/>
      <c r="X21" s="94"/>
      <c r="Y21" s="94"/>
      <c r="Z21" s="94"/>
      <c r="AA21" s="94"/>
      <c r="AB21" s="94"/>
      <c r="AC21" s="94"/>
      <c r="AD21" s="75"/>
      <c r="AG21" s="134">
        <f t="shared" si="5"/>
        <v>0</v>
      </c>
      <c r="AH21" s="134">
        <f t="shared" si="7"/>
        <v>0</v>
      </c>
    </row>
    <row r="22" spans="1:34" ht="20.25" thickBot="1">
      <c r="A22" s="175"/>
      <c r="B22" s="175"/>
      <c r="C22" s="175"/>
      <c r="D22" s="154"/>
      <c r="E22" s="145" t="s">
        <v>85</v>
      </c>
      <c r="F22" s="91">
        <v>8</v>
      </c>
      <c r="G22" s="536" t="s">
        <v>96</v>
      </c>
      <c r="H22" s="536"/>
      <c r="I22" s="196"/>
      <c r="J22" s="230" t="s">
        <v>68</v>
      </c>
      <c r="K22" s="236">
        <v>12</v>
      </c>
      <c r="L22" s="237" t="s">
        <v>89</v>
      </c>
      <c r="M22" s="121">
        <f xml:space="preserve"> TINV(1-K2/100, K22 -1)</f>
        <v>2.2009851600916384</v>
      </c>
      <c r="N22" s="111"/>
      <c r="O22" s="111"/>
      <c r="P22" s="111"/>
      <c r="Q22" s="391">
        <f t="shared" si="2"/>
        <v>0</v>
      </c>
      <c r="R22" s="111"/>
      <c r="S22" s="111"/>
      <c r="T22" s="111"/>
      <c r="U22" s="405"/>
      <c r="V22" s="111"/>
      <c r="W22" s="111"/>
      <c r="X22" s="111"/>
      <c r="Y22" s="111"/>
      <c r="Z22" s="111"/>
      <c r="AA22" s="111"/>
      <c r="AB22" s="111"/>
      <c r="AC22" s="111"/>
      <c r="AD22" s="75"/>
      <c r="AG22" s="134">
        <f t="shared" si="5"/>
        <v>0</v>
      </c>
      <c r="AH22" s="134">
        <f t="shared" si="7"/>
        <v>0</v>
      </c>
    </row>
    <row r="23" spans="1:34" ht="18.75" customHeight="1" thickBot="1">
      <c r="A23" s="175"/>
      <c r="B23" s="175"/>
      <c r="C23" s="175"/>
      <c r="D23" s="154"/>
      <c r="E23" s="146"/>
      <c r="F23" s="472">
        <f>F3</f>
        <v>11.262500000000001</v>
      </c>
      <c r="G23" s="191" t="s">
        <v>73</v>
      </c>
      <c r="H23" s="194" t="s">
        <v>89</v>
      </c>
      <c r="I23" s="196"/>
      <c r="J23" s="145"/>
      <c r="K23" s="235">
        <v>3.125</v>
      </c>
      <c r="L23" s="240"/>
      <c r="M23" s="241"/>
      <c r="O23" s="75"/>
      <c r="P23" s="75"/>
      <c r="Q23" s="391">
        <f t="shared" si="2"/>
        <v>0</v>
      </c>
      <c r="R23" s="396"/>
      <c r="S23" s="396"/>
      <c r="T23" s="75"/>
      <c r="U23" s="406"/>
      <c r="V23" s="75"/>
      <c r="W23" s="75"/>
      <c r="X23" s="75"/>
      <c r="Y23" s="75"/>
      <c r="Z23" s="75"/>
      <c r="AA23" s="75"/>
      <c r="AB23" s="75"/>
      <c r="AC23" s="75"/>
      <c r="AD23" s="75"/>
      <c r="AG23" s="134">
        <f t="shared" si="5"/>
        <v>0</v>
      </c>
      <c r="AH23" s="134">
        <f t="shared" si="7"/>
        <v>0</v>
      </c>
    </row>
    <row r="24" spans="1:34" ht="20.25" thickBot="1">
      <c r="A24" s="175"/>
      <c r="B24" s="175"/>
      <c r="C24" s="175"/>
      <c r="D24" s="154"/>
      <c r="E24" s="146" t="s">
        <v>86</v>
      </c>
      <c r="F24" s="473">
        <f>F5</f>
        <v>2.6027114981989712</v>
      </c>
      <c r="G24" s="192">
        <f xml:space="preserve"> IF(F19=F22,F19-1,(I19+I20)^2/(I19^2/(F19-1)+I20^2/(F22-1)))</f>
        <v>7</v>
      </c>
      <c r="H24" s="149">
        <f>TINV(1-K2/100, G24)</f>
        <v>2.3646242515927849</v>
      </c>
      <c r="I24" s="196"/>
      <c r="J24" s="148"/>
      <c r="K24" s="239">
        <v>2.911</v>
      </c>
      <c r="L24" s="238">
        <f>K23 - M22* K24 /SQRT(K22)</f>
        <v>1.2754388401805083</v>
      </c>
      <c r="M24" s="138">
        <f xml:space="preserve">  K23 + M22* K24 /SQRT(K22)</f>
        <v>4.9745611598194914</v>
      </c>
      <c r="N24" s="166"/>
      <c r="O24" s="157"/>
      <c r="P24" s="157"/>
      <c r="Q24" s="392"/>
      <c r="R24" s="157"/>
      <c r="S24" s="157"/>
      <c r="T24" s="157"/>
      <c r="U24" s="403"/>
      <c r="V24" s="157"/>
      <c r="W24" s="157"/>
      <c r="X24" s="157"/>
      <c r="Y24" s="157"/>
      <c r="Z24" s="157"/>
      <c r="AA24" s="157"/>
      <c r="AB24" s="157"/>
      <c r="AC24" s="157"/>
      <c r="AD24" s="75"/>
      <c r="AG24" s="134">
        <f t="shared" si="5"/>
        <v>0</v>
      </c>
      <c r="AH24" s="134">
        <f t="shared" si="7"/>
        <v>0</v>
      </c>
    </row>
    <row r="25" spans="1:34" ht="20.25" thickBot="1">
      <c r="A25" s="175"/>
      <c r="B25" s="175"/>
      <c r="C25" s="175"/>
      <c r="D25" s="154"/>
      <c r="E25" s="146"/>
      <c r="F25" s="99"/>
      <c r="G25" s="158" t="s">
        <v>87</v>
      </c>
      <c r="H25" s="219" t="s">
        <v>78</v>
      </c>
      <c r="I25" s="196"/>
      <c r="J25" s="75"/>
      <c r="K25" s="75"/>
      <c r="L25" s="94"/>
      <c r="M25" s="94"/>
      <c r="N25" s="94"/>
      <c r="O25" s="94"/>
      <c r="P25" s="94"/>
      <c r="Q25" s="393"/>
      <c r="R25" s="94"/>
      <c r="S25" s="94"/>
      <c r="T25" s="94"/>
      <c r="U25" s="404"/>
      <c r="V25" s="94"/>
      <c r="W25" s="94"/>
      <c r="X25" s="94"/>
      <c r="Y25" s="94"/>
      <c r="Z25" s="94"/>
      <c r="AA25" s="94"/>
      <c r="AB25" s="94"/>
      <c r="AC25" s="94"/>
      <c r="AD25" s="75"/>
      <c r="AG25" s="134">
        <f t="shared" si="5"/>
        <v>0</v>
      </c>
      <c r="AH25" s="134">
        <f t="shared" si="7"/>
        <v>0</v>
      </c>
    </row>
    <row r="26" spans="1:34" ht="20.25" thickBot="1">
      <c r="A26" s="175"/>
      <c r="B26" s="175"/>
      <c r="C26" s="175"/>
      <c r="D26" s="154"/>
      <c r="E26" s="150"/>
      <c r="F26" s="91"/>
      <c r="G26" s="114">
        <f xml:space="preserve">  (F20-F23) / SQRT( F21^2 /F19 + F24^2/F22)</f>
        <v>0.21249942456754972</v>
      </c>
      <c r="H26" s="149">
        <f xml:space="preserve"> H24 * SQRT( F21^2 /F19 + F24^2/F22)</f>
        <v>2.9210143383037286</v>
      </c>
      <c r="I26" s="196"/>
      <c r="J26" s="150"/>
      <c r="K26" s="54" t="s">
        <v>25</v>
      </c>
      <c r="L26" s="54" t="s">
        <v>98</v>
      </c>
      <c r="M26" s="54" t="s">
        <v>99</v>
      </c>
      <c r="N26" s="54" t="s">
        <v>100</v>
      </c>
      <c r="O26" s="53" t="s">
        <v>26</v>
      </c>
      <c r="P26" s="111"/>
      <c r="Q26" s="394"/>
      <c r="R26" s="111"/>
      <c r="S26" s="111"/>
      <c r="T26" s="111"/>
      <c r="U26" s="405"/>
      <c r="V26" s="111"/>
      <c r="W26" s="111"/>
      <c r="X26" s="111"/>
      <c r="Y26" s="111"/>
      <c r="Z26" s="111"/>
      <c r="AA26" s="111"/>
      <c r="AB26" s="111"/>
      <c r="AC26" s="111"/>
      <c r="AD26" s="75"/>
      <c r="AG26" s="134">
        <f t="shared" si="5"/>
        <v>0</v>
      </c>
      <c r="AH26" s="134">
        <f t="shared" si="7"/>
        <v>0</v>
      </c>
    </row>
    <row r="27" spans="1:34" ht="20.25" thickBot="1">
      <c r="A27" s="175"/>
      <c r="B27" s="175"/>
      <c r="C27" s="175"/>
      <c r="D27" s="154"/>
      <c r="E27" s="150"/>
      <c r="F27" s="76"/>
      <c r="G27" s="232"/>
      <c r="H27" s="233"/>
      <c r="I27" s="196"/>
      <c r="J27" s="94"/>
      <c r="K27" s="376">
        <f>MIN(C4:C28)</f>
        <v>-4.8000000000000007</v>
      </c>
      <c r="L27" s="377">
        <f>QUARTILE(C4:C27, 1)</f>
        <v>-0.32500000000000018</v>
      </c>
      <c r="M27" s="377">
        <f>QUARTILE(C4:C15, 2)</f>
        <v>0</v>
      </c>
      <c r="N27" s="377">
        <f>QUARTILE(C4:C15, 3)</f>
        <v>0.35000000000000053</v>
      </c>
      <c r="O27" s="378">
        <f>MAX(C4:C24)</f>
        <v>7.1</v>
      </c>
      <c r="P27" s="75"/>
      <c r="Q27" s="395"/>
      <c r="R27" s="75"/>
      <c r="S27" s="75"/>
      <c r="T27" s="75"/>
      <c r="U27" s="407"/>
      <c r="V27" s="75"/>
      <c r="W27" s="75"/>
      <c r="X27" s="75"/>
      <c r="Y27" s="75"/>
      <c r="Z27" s="75"/>
      <c r="AA27" s="75"/>
      <c r="AB27" s="75"/>
      <c r="AC27" s="75"/>
      <c r="AD27" s="75"/>
      <c r="AG27" s="134">
        <f t="shared" si="5"/>
        <v>0</v>
      </c>
      <c r="AH27" s="134">
        <f t="shared" si="7"/>
        <v>0</v>
      </c>
    </row>
    <row r="28" spans="1:34" ht="16.5" thickBot="1">
      <c r="A28" s="175"/>
      <c r="B28" s="175"/>
      <c r="C28" s="175"/>
      <c r="D28" s="154"/>
      <c r="E28" s="46"/>
      <c r="F28" s="99"/>
      <c r="G28" s="139">
        <f xml:space="preserve"> F20- F23 -H26</f>
        <v>-2.6585143383037293</v>
      </c>
      <c r="H28" s="229">
        <f xml:space="preserve">  F20- F23 + H26</f>
        <v>3.1835143383037279</v>
      </c>
      <c r="I28" s="196"/>
      <c r="J28" s="94"/>
      <c r="L28" s="111"/>
      <c r="M28" s="75"/>
      <c r="O28" s="75"/>
      <c r="P28" s="75"/>
      <c r="Q28" s="388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G28" s="134">
        <f t="shared" si="5"/>
        <v>0</v>
      </c>
      <c r="AH28" s="134">
        <f t="shared" si="7"/>
        <v>0</v>
      </c>
    </row>
    <row r="29" spans="1:34" ht="20.25" thickBot="1">
      <c r="A29" s="175"/>
      <c r="B29" s="175"/>
      <c r="C29" s="175"/>
      <c r="D29" s="154"/>
      <c r="E29" s="370" t="s">
        <v>133</v>
      </c>
      <c r="F29" s="371" t="s">
        <v>134</v>
      </c>
      <c r="G29" s="379" t="s">
        <v>145</v>
      </c>
      <c r="H29" s="157"/>
      <c r="I29" s="196"/>
      <c r="J29" s="150"/>
      <c r="K29" s="175"/>
      <c r="O29" s="75"/>
      <c r="P29" s="75"/>
      <c r="Q29" s="388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G29" s="134">
        <f t="shared" si="5"/>
        <v>0</v>
      </c>
      <c r="AH29" s="134">
        <f t="shared" si="7"/>
        <v>0</v>
      </c>
    </row>
    <row r="30" spans="1:34" ht="16.5" thickBot="1">
      <c r="A30" s="175"/>
      <c r="B30" s="175"/>
      <c r="C30" s="175"/>
      <c r="D30" s="154"/>
      <c r="E30" s="70" t="s">
        <v>65</v>
      </c>
      <c r="F30" s="70" t="s">
        <v>88</v>
      </c>
      <c r="G30" s="70" t="s">
        <v>65</v>
      </c>
      <c r="H30" s="70"/>
      <c r="I30" s="196"/>
      <c r="J30" s="454"/>
      <c r="K30" s="175"/>
      <c r="L30" s="381"/>
      <c r="O30" s="75"/>
      <c r="P30" s="75"/>
      <c r="Q30" s="388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G30" s="134">
        <f t="shared" si="5"/>
        <v>0</v>
      </c>
      <c r="AH30" s="134">
        <f t="shared" si="7"/>
        <v>0</v>
      </c>
    </row>
    <row r="31" spans="1:34" ht="16.5" thickBot="1">
      <c r="A31" s="175"/>
      <c r="B31" s="175"/>
      <c r="C31" s="99" t="s">
        <v>143</v>
      </c>
      <c r="D31" s="154"/>
      <c r="E31" s="121">
        <f xml:space="preserve"> _xlfn.T.DIST(G19,G17-1, TRUE)</f>
        <v>0.58235785295049602</v>
      </c>
      <c r="F31" s="121">
        <f>1-_xlfn.T.DIST(G19, G17-1, TRUE)</f>
        <v>0.41764214704950398</v>
      </c>
      <c r="G31" s="121">
        <f xml:space="preserve">  IF(G19&gt;0, 2*(1-_xlfn.T.DIST(G19,G17, TRUE)), 2*(_xlfn.T.DIST(G19,G17, TRUE)))</f>
        <v>0.83501316929174241</v>
      </c>
      <c r="H31" s="121"/>
      <c r="I31" s="196"/>
      <c r="J31" s="175"/>
      <c r="K31" s="175"/>
      <c r="L31" s="381"/>
      <c r="O31" s="75"/>
      <c r="P31" s="75"/>
      <c r="Q31" s="388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G31" s="134">
        <f t="shared" si="5"/>
        <v>0</v>
      </c>
      <c r="AH31" s="134">
        <f t="shared" si="7"/>
        <v>0</v>
      </c>
    </row>
    <row r="32" spans="1:34" ht="16.5" thickBot="1">
      <c r="A32" s="175"/>
      <c r="B32" s="175"/>
      <c r="C32" s="163" t="s">
        <v>142</v>
      </c>
      <c r="D32" s="154"/>
      <c r="E32" s="121">
        <f xml:space="preserve"> _xlfn.T.DIST(G19,G24-1, TRUE)</f>
        <v>0.58062356953387306</v>
      </c>
      <c r="F32" s="121">
        <f>1-_xlfn.T.DIST(G19, G24-1, TRUE)</f>
        <v>0.41937643046612694</v>
      </c>
      <c r="G32" s="121">
        <f xml:space="preserve"> IF(G26&gt;0, 2*(1-_xlfn.T.DIST(G26,G24, TRUE)), 2*(_xlfn.T.DIST(G26,G24, TRUE)))</f>
        <v>0.8377729102773297</v>
      </c>
      <c r="H32" s="121"/>
      <c r="I32" s="196"/>
      <c r="J32" s="175"/>
      <c r="K32" s="175"/>
      <c r="L32" s="381"/>
      <c r="O32" s="75"/>
      <c r="P32" s="75"/>
      <c r="Q32" s="388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G32" s="134">
        <f t="shared" si="5"/>
        <v>0</v>
      </c>
      <c r="AH32" s="134">
        <f t="shared" si="7"/>
        <v>0</v>
      </c>
    </row>
    <row r="33" spans="1:34">
      <c r="A33" s="175"/>
      <c r="B33" s="175"/>
      <c r="C33" s="175"/>
      <c r="D33" s="154"/>
      <c r="E33" s="46"/>
      <c r="F33" s="43"/>
      <c r="I33" s="196"/>
      <c r="J33" s="175"/>
      <c r="K33" s="175"/>
      <c r="L33" s="381"/>
      <c r="AG33" s="134">
        <f t="shared" si="5"/>
        <v>0</v>
      </c>
      <c r="AH33" s="134">
        <f t="shared" si="7"/>
        <v>0</v>
      </c>
    </row>
    <row r="34" spans="1:34">
      <c r="A34" s="175"/>
      <c r="B34" s="175"/>
      <c r="C34" s="175"/>
      <c r="D34" s="154"/>
      <c r="I34" s="196"/>
      <c r="J34" s="175"/>
      <c r="K34" s="175"/>
      <c r="L34" s="381"/>
      <c r="AG34" s="134">
        <f t="shared" si="5"/>
        <v>0</v>
      </c>
      <c r="AH34" s="134">
        <f t="shared" si="7"/>
        <v>0</v>
      </c>
    </row>
    <row r="35" spans="1:34">
      <c r="A35" s="243"/>
      <c r="B35" s="243"/>
      <c r="C35" s="243"/>
      <c r="D35" s="154"/>
      <c r="I35" s="196"/>
      <c r="L35" s="381"/>
      <c r="AG35" s="134">
        <f t="shared" si="5"/>
        <v>0</v>
      </c>
      <c r="AH35" s="134">
        <f t="shared" si="7"/>
        <v>0</v>
      </c>
    </row>
    <row r="36" spans="1:34">
      <c r="AG36" s="134">
        <f t="shared" si="5"/>
        <v>0</v>
      </c>
      <c r="AH36" s="134">
        <f t="shared" ref="AH36" si="8">IF(A36="",0, (AG36-$E$8)^2)</f>
        <v>0</v>
      </c>
    </row>
  </sheetData>
  <mergeCells count="5">
    <mergeCell ref="G1:H1"/>
    <mergeCell ref="N12:O12"/>
    <mergeCell ref="G15:H15"/>
    <mergeCell ref="G22:H22"/>
    <mergeCell ref="G20:H20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2308" r:id="rId4">
          <objectPr defaultSize="0" autoPict="0" r:id="rId5">
            <anchor moveWithCells="1">
              <from>
                <xdr:col>13</xdr:col>
                <xdr:colOff>504825</xdr:colOff>
                <xdr:row>11</xdr:row>
                <xdr:rowOff>28575</xdr:rowOff>
              </from>
              <to>
                <xdr:col>14</xdr:col>
                <xdr:colOff>123825</xdr:colOff>
                <xdr:row>11</xdr:row>
                <xdr:rowOff>228600</xdr:rowOff>
              </to>
            </anchor>
          </objectPr>
        </oleObject>
      </mc:Choice>
      <mc:Fallback>
        <oleObject progId="Equation.DSMT4" shapeId="12308" r:id="rId4"/>
      </mc:Fallback>
    </mc:AlternateContent>
    <mc:AlternateContent xmlns:mc="http://schemas.openxmlformats.org/markup-compatibility/2006">
      <mc:Choice Requires="x14">
        <oleObject progId="Equation.DSMT4" shapeId="12309" r:id="rId6">
          <objectPr defaultSize="0" autoPict="0" r:id="rId7">
            <anchor moveWithCells="1">
              <from>
                <xdr:col>9</xdr:col>
                <xdr:colOff>304800</xdr:colOff>
                <xdr:row>16</xdr:row>
                <xdr:rowOff>47625</xdr:rowOff>
              </from>
              <to>
                <xdr:col>9</xdr:col>
                <xdr:colOff>571500</xdr:colOff>
                <xdr:row>17</xdr:row>
                <xdr:rowOff>0</xdr:rowOff>
              </to>
            </anchor>
          </objectPr>
        </oleObject>
      </mc:Choice>
      <mc:Fallback>
        <oleObject progId="Equation.DSMT4" shapeId="12309" r:id="rId6"/>
      </mc:Fallback>
    </mc:AlternateContent>
    <mc:AlternateContent xmlns:mc="http://schemas.openxmlformats.org/markup-compatibility/2006">
      <mc:Choice Requires="x14">
        <oleObject progId="Equation.DSMT4" shapeId="12310" r:id="rId8">
          <objectPr defaultSize="0" autoPict="0" r:id="rId9">
            <anchor moveWithCells="1">
              <from>
                <xdr:col>12</xdr:col>
                <xdr:colOff>171450</xdr:colOff>
                <xdr:row>6</xdr:row>
                <xdr:rowOff>38100</xdr:rowOff>
              </from>
              <to>
                <xdr:col>12</xdr:col>
                <xdr:colOff>438150</xdr:colOff>
                <xdr:row>7</xdr:row>
                <xdr:rowOff>9525</xdr:rowOff>
              </to>
            </anchor>
          </objectPr>
        </oleObject>
      </mc:Choice>
      <mc:Fallback>
        <oleObject progId="Equation.DSMT4" shapeId="12310" r:id="rId8"/>
      </mc:Fallback>
    </mc:AlternateContent>
    <mc:AlternateContent xmlns:mc="http://schemas.openxmlformats.org/markup-compatibility/2006">
      <mc:Choice Requires="x14">
        <oleObject progId="Equation.DSMT4" shapeId="12311" r:id="rId10">
          <objectPr defaultSize="0" autoPict="0" r:id="rId7">
            <anchor moveWithCells="1">
              <from>
                <xdr:col>13</xdr:col>
                <xdr:colOff>142875</xdr:colOff>
                <xdr:row>6</xdr:row>
                <xdr:rowOff>47625</xdr:rowOff>
              </from>
              <to>
                <xdr:col>13</xdr:col>
                <xdr:colOff>409575</xdr:colOff>
                <xdr:row>7</xdr:row>
                <xdr:rowOff>19050</xdr:rowOff>
              </to>
            </anchor>
          </objectPr>
        </oleObject>
      </mc:Choice>
      <mc:Fallback>
        <oleObject progId="Equation.DSMT4" shapeId="12311" r:id="rId10"/>
      </mc:Fallback>
    </mc:AlternateContent>
    <mc:AlternateContent xmlns:mc="http://schemas.openxmlformats.org/markup-compatibility/2006">
      <mc:Choice Requires="x14">
        <oleObject progId="Equation.DSMT4" shapeId="12312" r:id="rId11">
          <objectPr defaultSize="0" autoPict="0" r:id="rId9">
            <anchor moveWithCells="1">
              <from>
                <xdr:col>9</xdr:col>
                <xdr:colOff>285750</xdr:colOff>
                <xdr:row>15</xdr:row>
                <xdr:rowOff>19050</xdr:rowOff>
              </from>
              <to>
                <xdr:col>9</xdr:col>
                <xdr:colOff>552450</xdr:colOff>
                <xdr:row>15</xdr:row>
                <xdr:rowOff>219075</xdr:rowOff>
              </to>
            </anchor>
          </objectPr>
        </oleObject>
      </mc:Choice>
      <mc:Fallback>
        <oleObject progId="Equation.DSMT4" shapeId="12312" r:id="rId11"/>
      </mc:Fallback>
    </mc:AlternateContent>
    <mc:AlternateContent xmlns:mc="http://schemas.openxmlformats.org/markup-compatibility/2006">
      <mc:Choice Requires="x14">
        <oleObject progId="Equation.DSMT4" shapeId="12316" r:id="rId12">
          <objectPr defaultSize="0" autoPict="0" r:id="rId13">
            <anchor moveWithCells="1">
              <from>
                <xdr:col>6</xdr:col>
                <xdr:colOff>476250</xdr:colOff>
                <xdr:row>19</xdr:row>
                <xdr:rowOff>19050</xdr:rowOff>
              </from>
              <to>
                <xdr:col>7</xdr:col>
                <xdr:colOff>219075</xdr:colOff>
                <xdr:row>19</xdr:row>
                <xdr:rowOff>247650</xdr:rowOff>
              </to>
            </anchor>
          </objectPr>
        </oleObject>
      </mc:Choice>
      <mc:Fallback>
        <oleObject progId="Equation.DSMT4" shapeId="12316" r:id="rId12"/>
      </mc:Fallback>
    </mc:AlternateContent>
    <mc:AlternateContent xmlns:mc="http://schemas.openxmlformats.org/markup-compatibility/2006">
      <mc:Choice Requires="x14">
        <oleObject progId="Equation.DSMT4" shapeId="12318" r:id="rId14">
          <objectPr defaultSize="0" r:id="rId15">
            <anchor moveWithCells="1">
              <from>
                <xdr:col>4</xdr:col>
                <xdr:colOff>180975</xdr:colOff>
                <xdr:row>19</xdr:row>
                <xdr:rowOff>9525</xdr:rowOff>
              </from>
              <to>
                <xdr:col>4</xdr:col>
                <xdr:colOff>381000</xdr:colOff>
                <xdr:row>20</xdr:row>
                <xdr:rowOff>19050</xdr:rowOff>
              </to>
            </anchor>
          </objectPr>
        </oleObject>
      </mc:Choice>
      <mc:Fallback>
        <oleObject progId="Equation.DSMT4" shapeId="12318" r:id="rId14"/>
      </mc:Fallback>
    </mc:AlternateContent>
    <mc:AlternateContent xmlns:mc="http://schemas.openxmlformats.org/markup-compatibility/2006">
      <mc:Choice Requires="x14">
        <oleObject progId="Equation.DSMT4" shapeId="12319" r:id="rId16">
          <objectPr defaultSize="0" r:id="rId17">
            <anchor moveWithCells="1">
              <from>
                <xdr:col>4</xdr:col>
                <xdr:colOff>257175</xdr:colOff>
                <xdr:row>22</xdr:row>
                <xdr:rowOff>9525</xdr:rowOff>
              </from>
              <to>
                <xdr:col>4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Equation.DSMT4" shapeId="12319" r:id="rId16"/>
      </mc:Fallback>
    </mc:AlternateContent>
    <mc:AlternateContent xmlns:mc="http://schemas.openxmlformats.org/markup-compatibility/2006">
      <mc:Choice Requires="x14">
        <oleObject progId="Equation.DSMT4" shapeId="12322" r:id="rId18">
          <objectPr defaultSize="0" autoPict="0" r:id="rId13">
            <anchor moveWithCells="1">
              <from>
                <xdr:col>6</xdr:col>
                <xdr:colOff>504825</xdr:colOff>
                <xdr:row>10</xdr:row>
                <xdr:rowOff>9525</xdr:rowOff>
              </from>
              <to>
                <xdr:col>7</xdr:col>
                <xdr:colOff>247650</xdr:colOff>
                <xdr:row>10</xdr:row>
                <xdr:rowOff>228600</xdr:rowOff>
              </to>
            </anchor>
          </objectPr>
        </oleObject>
      </mc:Choice>
      <mc:Fallback>
        <oleObject progId="Equation.DSMT4" shapeId="12322" r:id="rId18"/>
      </mc:Fallback>
    </mc:AlternateContent>
    <mc:AlternateContent xmlns:mc="http://schemas.openxmlformats.org/markup-compatibility/2006">
      <mc:Choice Requires="x14">
        <oleObject progId="Equation.DSMT4" shapeId="12334" r:id="rId19">
          <objectPr defaultSize="0" r:id="rId20">
            <anchor moveWithCells="1">
              <from>
                <xdr:col>4</xdr:col>
                <xdr:colOff>266700</xdr:colOff>
                <xdr:row>5</xdr:row>
                <xdr:rowOff>200025</xdr:rowOff>
              </from>
              <to>
                <xdr:col>4</xdr:col>
                <xdr:colOff>419100</xdr:colOff>
                <xdr:row>6</xdr:row>
                <xdr:rowOff>209550</xdr:rowOff>
              </to>
            </anchor>
          </objectPr>
        </oleObject>
      </mc:Choice>
      <mc:Fallback>
        <oleObject progId="Equation.DSMT4" shapeId="12334" r:id="rId19"/>
      </mc:Fallback>
    </mc:AlternateContent>
    <mc:AlternateContent xmlns:mc="http://schemas.openxmlformats.org/markup-compatibility/2006">
      <mc:Choice Requires="x14">
        <oleObject progId="Equation.DSMT4" shapeId="12335" r:id="rId21">
          <objectPr defaultSize="0" r:id="rId22">
            <anchor moveWithCells="1">
              <from>
                <xdr:col>5</xdr:col>
                <xdr:colOff>304800</xdr:colOff>
                <xdr:row>5</xdr:row>
                <xdr:rowOff>209550</xdr:rowOff>
              </from>
              <to>
                <xdr:col>5</xdr:col>
                <xdr:colOff>466725</xdr:colOff>
                <xdr:row>6</xdr:row>
                <xdr:rowOff>200025</xdr:rowOff>
              </to>
            </anchor>
          </objectPr>
        </oleObject>
      </mc:Choice>
      <mc:Fallback>
        <oleObject progId="Equation.DSMT4" shapeId="12335" r:id="rId21"/>
      </mc:Fallback>
    </mc:AlternateContent>
    <mc:AlternateContent xmlns:mc="http://schemas.openxmlformats.org/markup-compatibility/2006">
      <mc:Choice Requires="x14">
        <oleObject progId="Equation.DSMT4" shapeId="12336" r:id="rId23">
          <objectPr defaultSize="0" r:id="rId24">
            <anchor moveWithCells="1">
              <from>
                <xdr:col>6</xdr:col>
                <xdr:colOff>219075</xdr:colOff>
                <xdr:row>6</xdr:row>
                <xdr:rowOff>0</xdr:rowOff>
              </from>
              <to>
                <xdr:col>6</xdr:col>
                <xdr:colOff>371475</xdr:colOff>
                <xdr:row>6</xdr:row>
                <xdr:rowOff>209550</xdr:rowOff>
              </to>
            </anchor>
          </objectPr>
        </oleObject>
      </mc:Choice>
      <mc:Fallback>
        <oleObject progId="Equation.DSMT4" shapeId="12336" r:id="rId23"/>
      </mc:Fallback>
    </mc:AlternateContent>
    <mc:AlternateContent xmlns:mc="http://schemas.openxmlformats.org/markup-compatibility/2006">
      <mc:Choice Requires="x14">
        <oleObject progId="Equation.DSMT4" shapeId="12337" r:id="rId25">
          <objectPr defaultSize="0" autoPict="0" r:id="rId26">
            <anchor moveWithCells="1">
              <from>
                <xdr:col>5</xdr:col>
                <xdr:colOff>542925</xdr:colOff>
                <xdr:row>8</xdr:row>
                <xdr:rowOff>9525</xdr:rowOff>
              </from>
              <to>
                <xdr:col>6</xdr:col>
                <xdr:colOff>114300</xdr:colOff>
                <xdr:row>8</xdr:row>
                <xdr:rowOff>209550</xdr:rowOff>
              </to>
            </anchor>
          </objectPr>
        </oleObject>
      </mc:Choice>
      <mc:Fallback>
        <oleObject progId="Equation.DSMT4" shapeId="12337" r:id="rId25"/>
      </mc:Fallback>
    </mc:AlternateContent>
    <mc:AlternateContent xmlns:mc="http://schemas.openxmlformats.org/markup-compatibility/2006">
      <mc:Choice Requires="x14">
        <oleObject progId="Equation.DSMT4" shapeId="12341" r:id="rId27">
          <objectPr defaultSize="0" autoPict="0" r:id="rId13">
            <anchor moveWithCells="1">
              <from>
                <xdr:col>6</xdr:col>
                <xdr:colOff>476250</xdr:colOff>
                <xdr:row>26</xdr:row>
                <xdr:rowOff>19050</xdr:rowOff>
              </from>
              <to>
                <xdr:col>7</xdr:col>
                <xdr:colOff>219075</xdr:colOff>
                <xdr:row>26</xdr:row>
                <xdr:rowOff>247650</xdr:rowOff>
              </to>
            </anchor>
          </objectPr>
        </oleObject>
      </mc:Choice>
      <mc:Fallback>
        <oleObject progId="Equation.DSMT4" shapeId="12341" r:id="rId27"/>
      </mc:Fallback>
    </mc:AlternateContent>
    <mc:AlternateContent xmlns:mc="http://schemas.openxmlformats.org/markup-compatibility/2006">
      <mc:Choice Requires="x14">
        <oleObject progId="Equation.DSMT4" shapeId="12342" r:id="rId28">
          <objectPr defaultSize="0" autoPict="0" r:id="rId29">
            <anchor moveWithCells="1">
              <from>
                <xdr:col>9</xdr:col>
                <xdr:colOff>342900</xdr:colOff>
                <xdr:row>22</xdr:row>
                <xdr:rowOff>19050</xdr:rowOff>
              </from>
              <to>
                <xdr:col>9</xdr:col>
                <xdr:colOff>476250</xdr:colOff>
                <xdr:row>22</xdr:row>
                <xdr:rowOff>209550</xdr:rowOff>
              </to>
            </anchor>
          </objectPr>
        </oleObject>
      </mc:Choice>
      <mc:Fallback>
        <oleObject progId="Equation.DSMT4" shapeId="12342" r:id="rId28"/>
      </mc:Fallback>
    </mc:AlternateContent>
    <mc:AlternateContent xmlns:mc="http://schemas.openxmlformats.org/markup-compatibility/2006">
      <mc:Choice Requires="x14">
        <oleObject progId="Equation.DSMT4" shapeId="12343" r:id="rId30">
          <objectPr defaultSize="0" autoPict="0" r:id="rId22">
            <anchor moveWithCells="1">
              <from>
                <xdr:col>9</xdr:col>
                <xdr:colOff>304800</xdr:colOff>
                <xdr:row>23</xdr:row>
                <xdr:rowOff>9525</xdr:rowOff>
              </from>
              <to>
                <xdr:col>9</xdr:col>
                <xdr:colOff>466725</xdr:colOff>
                <xdr:row>23</xdr:row>
                <xdr:rowOff>209550</xdr:rowOff>
              </to>
            </anchor>
          </objectPr>
        </oleObject>
      </mc:Choice>
      <mc:Fallback>
        <oleObject progId="Equation.DSMT4" shapeId="12343" r:id="rId30"/>
      </mc:Fallback>
    </mc:AlternateContent>
    <mc:AlternateContent xmlns:mc="http://schemas.openxmlformats.org/markup-compatibility/2006">
      <mc:Choice Requires="x14">
        <oleObject progId="Equation.DSMT4" shapeId="12344" r:id="rId31">
          <objectPr defaultSize="0" autoPict="0" r:id="rId26">
            <anchor moveWithCells="1">
              <from>
                <xdr:col>11</xdr:col>
                <xdr:colOff>542925</xdr:colOff>
                <xdr:row>22</xdr:row>
                <xdr:rowOff>9525</xdr:rowOff>
              </from>
              <to>
                <xdr:col>12</xdr:col>
                <xdr:colOff>57150</xdr:colOff>
                <xdr:row>22</xdr:row>
                <xdr:rowOff>209550</xdr:rowOff>
              </to>
            </anchor>
          </objectPr>
        </oleObject>
      </mc:Choice>
      <mc:Fallback>
        <oleObject progId="Equation.DSMT4" shapeId="12344" r:id="rId31"/>
      </mc:Fallback>
    </mc:AlternateContent>
    <mc:AlternateContent xmlns:mc="http://schemas.openxmlformats.org/markup-compatibility/2006">
      <mc:Choice Requires="x14">
        <oleObject progId="Equation.DSMT4" shapeId="12347" r:id="rId32">
          <objectPr defaultSize="0" autoPict="0" r:id="rId33">
            <anchor moveWithCells="1">
              <from>
                <xdr:col>22</xdr:col>
                <xdr:colOff>238125</xdr:colOff>
                <xdr:row>2</xdr:row>
                <xdr:rowOff>66675</xdr:rowOff>
              </from>
              <to>
                <xdr:col>22</xdr:col>
                <xdr:colOff>476250</xdr:colOff>
                <xdr:row>2</xdr:row>
                <xdr:rowOff>209550</xdr:rowOff>
              </to>
            </anchor>
          </objectPr>
        </oleObject>
      </mc:Choice>
      <mc:Fallback>
        <oleObject progId="Equation.DSMT4" shapeId="12347" r:id="rId32"/>
      </mc:Fallback>
    </mc:AlternateContent>
    <mc:AlternateContent xmlns:mc="http://schemas.openxmlformats.org/markup-compatibility/2006">
      <mc:Choice Requires="x14">
        <oleObject progId="Equation.DSMT4" shapeId="12348" r:id="rId34">
          <objectPr defaultSize="0" autoPict="0" r:id="rId35">
            <anchor moveWithCells="1">
              <from>
                <xdr:col>21</xdr:col>
                <xdr:colOff>285750</xdr:colOff>
                <xdr:row>2</xdr:row>
                <xdr:rowOff>19050</xdr:rowOff>
              </from>
              <to>
                <xdr:col>21</xdr:col>
                <xdr:colOff>428625</xdr:colOff>
                <xdr:row>3</xdr:row>
                <xdr:rowOff>0</xdr:rowOff>
              </to>
            </anchor>
          </objectPr>
        </oleObject>
      </mc:Choice>
      <mc:Fallback>
        <oleObject progId="Equation.DSMT4" shapeId="12348" r:id="rId34"/>
      </mc:Fallback>
    </mc:AlternateContent>
    <mc:AlternateContent xmlns:mc="http://schemas.openxmlformats.org/markup-compatibility/2006">
      <mc:Choice Requires="x14">
        <oleObject progId="Equation.DSMT4" shapeId="12349" r:id="rId36">
          <objectPr defaultSize="0" autoPict="0" r:id="rId35">
            <anchor moveWithCells="1">
              <from>
                <xdr:col>21</xdr:col>
                <xdr:colOff>66675</xdr:colOff>
                <xdr:row>5</xdr:row>
                <xdr:rowOff>19050</xdr:rowOff>
              </from>
              <to>
                <xdr:col>21</xdr:col>
                <xdr:colOff>209550</xdr:colOff>
                <xdr:row>6</xdr:row>
                <xdr:rowOff>9525</xdr:rowOff>
              </to>
            </anchor>
          </objectPr>
        </oleObject>
      </mc:Choice>
      <mc:Fallback>
        <oleObject progId="Equation.DSMT4" shapeId="12349" r:id="rId36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3"/>
  <sheetViews>
    <sheetView workbookViewId="0">
      <selection activeCell="G10" sqref="G10"/>
    </sheetView>
  </sheetViews>
  <sheetFormatPr defaultRowHeight="15"/>
  <cols>
    <col min="3" max="3" width="0.85546875" customWidth="1"/>
    <col min="4" max="4" width="13.140625" customWidth="1"/>
    <col min="5" max="5" width="11.7109375" customWidth="1"/>
    <col min="6" max="6" width="13.140625" customWidth="1"/>
    <col min="7" max="7" width="11.85546875" customWidth="1"/>
    <col min="8" max="8" width="8" customWidth="1"/>
    <col min="11" max="12" width="0.85546875" style="435" customWidth="1"/>
  </cols>
  <sheetData>
    <row r="1" spans="1:13" ht="20.25" thickBot="1">
      <c r="A1" s="164">
        <f>COUNT(A4:A25)</f>
        <v>10</v>
      </c>
      <c r="B1" s="164">
        <f>COUNT(B4:B25)</f>
        <v>10</v>
      </c>
      <c r="C1" s="206"/>
      <c r="D1" s="205" t="s">
        <v>91</v>
      </c>
      <c r="E1" s="208" t="s">
        <v>45</v>
      </c>
      <c r="G1" s="209" t="s">
        <v>56</v>
      </c>
      <c r="H1" s="197">
        <v>95</v>
      </c>
      <c r="K1" s="436"/>
      <c r="L1" s="436"/>
    </row>
    <row r="2" spans="1:13" ht="16.5" thickBot="1">
      <c r="A2" s="152" t="s">
        <v>3</v>
      </c>
      <c r="B2" s="152" t="s">
        <v>4</v>
      </c>
      <c r="C2" s="207"/>
      <c r="D2" s="181">
        <f>CORREL(A3:A33, B3:B33)</f>
        <v>0.9896545822453271</v>
      </c>
      <c r="E2" s="86">
        <f>D2^2</f>
        <v>0.97941619215917286</v>
      </c>
      <c r="K2" s="436"/>
      <c r="L2" s="436"/>
    </row>
    <row r="3" spans="1:13" ht="18.75" customHeight="1" thickBot="1">
      <c r="A3" s="478"/>
      <c r="B3" s="478"/>
      <c r="C3" s="207"/>
      <c r="D3" s="205" t="s">
        <v>92</v>
      </c>
      <c r="E3" s="138">
        <f>(_xlfn.T.INV((1-(100 -$H$1)/200), $A$1-2)) / SQRT((_xlfn.T.INV((1-(100 -$H$1)/200), $A$1-2))^2 + $A$1-2)</f>
        <v>0.63189686471983386</v>
      </c>
      <c r="G3" s="212" t="s">
        <v>80</v>
      </c>
      <c r="H3" s="179">
        <f>_xlfn.NORM.S.INV(1- (100-H1)/200)</f>
        <v>1.9599639845400536</v>
      </c>
      <c r="I3" s="30"/>
      <c r="J3" s="30"/>
      <c r="K3" s="437"/>
      <c r="L3" s="437"/>
      <c r="M3" s="30"/>
    </row>
    <row r="4" spans="1:13" ht="16.5" thickBot="1">
      <c r="A4" s="499">
        <v>-5</v>
      </c>
      <c r="B4" s="499">
        <v>-10</v>
      </c>
      <c r="C4" s="207">
        <f>A4*B4</f>
        <v>50</v>
      </c>
      <c r="D4" s="546" t="s">
        <v>48</v>
      </c>
      <c r="E4" s="547"/>
      <c r="G4" s="94"/>
      <c r="H4" s="204"/>
      <c r="I4" s="30"/>
      <c r="J4" s="30"/>
      <c r="K4" s="437">
        <f>IF( A4="",0, A4*E$6+D$6)</f>
        <v>-11.036363636363637</v>
      </c>
      <c r="L4" s="437">
        <f>(K4-B4)^2</f>
        <v>1.0740495867768609</v>
      </c>
      <c r="M4" s="30"/>
    </row>
    <row r="5" spans="1:13" ht="16.5" thickBot="1">
      <c r="A5" s="499">
        <v>-3</v>
      </c>
      <c r="B5" s="499">
        <v>-8</v>
      </c>
      <c r="C5" s="207">
        <f t="shared" ref="C5:C33" si="0">A5*B5</f>
        <v>24</v>
      </c>
      <c r="D5" s="205" t="s">
        <v>46</v>
      </c>
      <c r="E5" s="70" t="s">
        <v>47</v>
      </c>
      <c r="F5" s="210"/>
      <c r="G5" s="29"/>
      <c r="I5" s="30"/>
      <c r="J5" s="30"/>
      <c r="K5" s="437">
        <f t="shared" ref="K5:K18" si="1">IF( A5="",0, A5*E$6+D$6)</f>
        <v>-6.8424242424242427</v>
      </c>
      <c r="L5" s="437">
        <f t="shared" ref="L5:L18" si="2">(K5-B5)^2</f>
        <v>1.3399816345270883</v>
      </c>
      <c r="M5" s="30"/>
    </row>
    <row r="6" spans="1:13" ht="16.5" thickBot="1">
      <c r="A6" s="499">
        <v>4</v>
      </c>
      <c r="B6" s="499">
        <v>9</v>
      </c>
      <c r="C6" s="207">
        <f t="shared" si="0"/>
        <v>36</v>
      </c>
      <c r="D6" s="182">
        <f xml:space="preserve"> (SUM($B$4:$B$33)*SUMSQ($A$4:$A$33) - SUM(A4:A33)*SUM(C4:C33) ) / (COUNT(A4:A33)*SUMSQ(A4:A33) - SUM(A4:A33)^2 )</f>
        <v>-0.55151515151515151</v>
      </c>
      <c r="E6" s="121">
        <f xml:space="preserve">  (COUNT(A4:A33) *SUM(C4:C33) - SUM(A4:A33)*SUM(B4:B33) ) / (COUNT(A4:A33)*SUMSQ(A4:A33) - SUM(A4:A33)^2 )</f>
        <v>2.0969696969696972</v>
      </c>
      <c r="F6" s="117">
        <f>IF(D2 &gt; E3, D6+E6*E7, AVERAGE(B4:B33))</f>
        <v>7.8363636363636369</v>
      </c>
      <c r="G6" s="123"/>
      <c r="I6" s="30"/>
      <c r="J6" s="30"/>
      <c r="K6" s="437">
        <f t="shared" si="1"/>
        <v>7.8363636363636369</v>
      </c>
      <c r="L6" s="437">
        <f t="shared" si="2"/>
        <v>1.3540495867768583</v>
      </c>
      <c r="M6" s="30"/>
    </row>
    <row r="7" spans="1:13" ht="16.5" thickBot="1">
      <c r="A7" s="499">
        <v>1</v>
      </c>
      <c r="B7" s="499">
        <v>1</v>
      </c>
      <c r="C7" s="207">
        <f t="shared" si="0"/>
        <v>1</v>
      </c>
      <c r="D7" s="101" t="s">
        <v>94</v>
      </c>
      <c r="E7" s="213">
        <v>4</v>
      </c>
      <c r="F7" s="121">
        <f>E7*E6+D6</f>
        <v>7.8363636363636369</v>
      </c>
      <c r="I7" s="30"/>
      <c r="J7" s="94"/>
      <c r="K7" s="437">
        <f t="shared" si="1"/>
        <v>1.5454545454545456</v>
      </c>
      <c r="L7" s="437">
        <f t="shared" si="2"/>
        <v>0.29752066115702497</v>
      </c>
      <c r="M7" s="204"/>
    </row>
    <row r="8" spans="1:13" ht="16.5" thickBot="1">
      <c r="A8" s="499">
        <v>-1</v>
      </c>
      <c r="B8" s="499">
        <v>-2</v>
      </c>
      <c r="C8" s="207">
        <f t="shared" si="0"/>
        <v>2</v>
      </c>
      <c r="D8" s="30"/>
      <c r="E8" s="30"/>
      <c r="F8" s="30"/>
      <c r="I8" s="30"/>
      <c r="J8" s="132"/>
      <c r="K8" s="437">
        <f t="shared" si="1"/>
        <v>-2.6484848484848484</v>
      </c>
      <c r="L8" s="437">
        <f t="shared" si="2"/>
        <v>0.42053259871441684</v>
      </c>
      <c r="M8" s="132"/>
    </row>
    <row r="9" spans="1:13" ht="16.5" thickBot="1">
      <c r="A9" s="499">
        <v>-2</v>
      </c>
      <c r="B9" s="499">
        <v>-6</v>
      </c>
      <c r="C9" s="434">
        <f t="shared" si="0"/>
        <v>12</v>
      </c>
      <c r="D9" s="542" t="s">
        <v>158</v>
      </c>
      <c r="E9" s="543"/>
      <c r="F9" s="70" t="s">
        <v>165</v>
      </c>
      <c r="G9" s="218"/>
      <c r="I9" s="30"/>
      <c r="J9" s="132"/>
      <c r="K9" s="437">
        <f t="shared" si="1"/>
        <v>-4.745454545454546</v>
      </c>
      <c r="L9" s="437">
        <f t="shared" si="2"/>
        <v>1.5738842975206597</v>
      </c>
      <c r="M9" s="132"/>
    </row>
    <row r="10" spans="1:13" ht="16.5" thickBot="1">
      <c r="A10" s="499">
        <v>0</v>
      </c>
      <c r="B10" s="499">
        <v>-1</v>
      </c>
      <c r="C10" s="434">
        <f t="shared" si="0"/>
        <v>0</v>
      </c>
      <c r="D10" s="548">
        <f>SUM(L4:L17)</f>
        <v>7.6242424242424223</v>
      </c>
      <c r="E10" s="549"/>
      <c r="F10" s="117">
        <f>VLOOKUP(E7,A4:B20,2,FALSE)-F7</f>
        <v>1.1636363636363631</v>
      </c>
      <c r="G10" s="29"/>
      <c r="I10" s="30"/>
      <c r="J10" s="132"/>
      <c r="K10" s="437">
        <f t="shared" si="1"/>
        <v>-0.55151515151515151</v>
      </c>
      <c r="L10" s="437">
        <f t="shared" si="2"/>
        <v>0.2011386593204775</v>
      </c>
      <c r="M10" s="132"/>
    </row>
    <row r="11" spans="1:13" ht="16.5" thickBot="1">
      <c r="A11" s="499">
        <v>2</v>
      </c>
      <c r="B11" s="499">
        <v>3</v>
      </c>
      <c r="C11" s="207">
        <f t="shared" si="0"/>
        <v>6</v>
      </c>
      <c r="D11" s="214"/>
      <c r="E11" s="214"/>
      <c r="I11" s="30"/>
      <c r="J11" s="132"/>
      <c r="K11" s="437">
        <f t="shared" si="1"/>
        <v>3.6424242424242426</v>
      </c>
      <c r="L11" s="437">
        <f t="shared" si="2"/>
        <v>0.41270890725436199</v>
      </c>
      <c r="M11" s="132"/>
    </row>
    <row r="12" spans="1:13" ht="16.5" thickBot="1">
      <c r="A12" s="499">
        <v>3</v>
      </c>
      <c r="B12" s="499">
        <v>6</v>
      </c>
      <c r="C12" s="207">
        <f t="shared" si="0"/>
        <v>18</v>
      </c>
      <c r="D12" s="101" t="s">
        <v>35</v>
      </c>
      <c r="E12" s="213">
        <v>10</v>
      </c>
      <c r="F12" s="70" t="s">
        <v>93</v>
      </c>
      <c r="G12" s="138">
        <f>(_xlfn.T.INV((1-(100 -$H$1)/200), E12-2)) / SQRT((_xlfn.T.INV((1-(100 -$H$1)/200), E12-2))^2 + E12-2)</f>
        <v>0.63189686471983386</v>
      </c>
      <c r="I12" s="30"/>
      <c r="J12" s="132"/>
      <c r="K12" s="437">
        <f t="shared" si="1"/>
        <v>5.7393939393939393</v>
      </c>
      <c r="L12" s="437">
        <f t="shared" si="2"/>
        <v>6.7915518824609805E-2</v>
      </c>
      <c r="M12" s="132"/>
    </row>
    <row r="13" spans="1:13" ht="16.5" thickBot="1">
      <c r="A13" s="499">
        <v>-4</v>
      </c>
      <c r="B13" s="499">
        <v>-8</v>
      </c>
      <c r="C13" s="207">
        <f t="shared" si="0"/>
        <v>32</v>
      </c>
      <c r="D13" s="215" t="s">
        <v>34</v>
      </c>
      <c r="E13" s="216">
        <v>0.21149999999999999</v>
      </c>
      <c r="I13" s="30"/>
      <c r="J13" s="132"/>
      <c r="K13" s="437">
        <f t="shared" si="1"/>
        <v>-8.9393939393939394</v>
      </c>
      <c r="L13" s="437">
        <f t="shared" si="2"/>
        <v>0.88246097337006435</v>
      </c>
      <c r="M13" s="132"/>
    </row>
    <row r="14" spans="1:13" ht="16.5" thickBot="1">
      <c r="A14" s="498"/>
      <c r="B14" s="498"/>
      <c r="C14" s="207">
        <f t="shared" si="0"/>
        <v>0</v>
      </c>
      <c r="D14" s="30"/>
      <c r="E14" s="76"/>
      <c r="I14" s="30"/>
      <c r="J14" s="30"/>
      <c r="K14" s="437">
        <f t="shared" si="1"/>
        <v>0</v>
      </c>
      <c r="L14" s="437">
        <f t="shared" si="2"/>
        <v>0</v>
      </c>
      <c r="M14" s="30"/>
    </row>
    <row r="15" spans="1:13" ht="16.5" thickBot="1">
      <c r="A15" s="498"/>
      <c r="B15" s="498"/>
      <c r="C15" s="207">
        <f t="shared" si="0"/>
        <v>0</v>
      </c>
      <c r="D15" s="550" t="s">
        <v>48</v>
      </c>
      <c r="E15" s="551"/>
      <c r="I15" s="30"/>
      <c r="J15" s="30"/>
      <c r="K15" s="437">
        <f t="shared" si="1"/>
        <v>0</v>
      </c>
      <c r="L15" s="437">
        <f t="shared" si="2"/>
        <v>0</v>
      </c>
      <c r="M15" s="30"/>
    </row>
    <row r="16" spans="1:13" ht="16.5" thickBot="1">
      <c r="A16" s="498"/>
      <c r="B16" s="498"/>
      <c r="C16" s="207">
        <f t="shared" si="0"/>
        <v>0</v>
      </c>
      <c r="D16" s="220" t="s">
        <v>46</v>
      </c>
      <c r="E16" s="70" t="s">
        <v>47</v>
      </c>
      <c r="F16" s="210"/>
      <c r="I16" s="30"/>
      <c r="J16" s="30"/>
      <c r="K16" s="437">
        <f t="shared" si="1"/>
        <v>0</v>
      </c>
      <c r="L16" s="437">
        <f t="shared" si="2"/>
        <v>0</v>
      </c>
      <c r="M16" s="30"/>
    </row>
    <row r="17" spans="1:13" ht="16.5" thickBot="1">
      <c r="A17" s="498"/>
      <c r="B17" s="498"/>
      <c r="C17" s="207">
        <f t="shared" si="0"/>
        <v>0</v>
      </c>
      <c r="D17" s="455">
        <v>2.097</v>
      </c>
      <c r="E17" s="455">
        <v>-0.20599999999999999</v>
      </c>
      <c r="F17" s="117">
        <f xml:space="preserve"> D17+E17*E18</f>
        <v>1.4790000000000001</v>
      </c>
      <c r="I17" s="30"/>
      <c r="J17" s="30"/>
      <c r="K17" s="437">
        <f t="shared" si="1"/>
        <v>0</v>
      </c>
      <c r="L17" s="437">
        <f t="shared" si="2"/>
        <v>0</v>
      </c>
      <c r="M17" s="30"/>
    </row>
    <row r="18" spans="1:13" ht="16.5" thickBot="1">
      <c r="A18" s="498"/>
      <c r="B18" s="498"/>
      <c r="C18" s="207">
        <f t="shared" si="0"/>
        <v>0</v>
      </c>
      <c r="D18" s="101" t="s">
        <v>94</v>
      </c>
      <c r="E18" s="213">
        <v>3</v>
      </c>
      <c r="F18" s="121"/>
      <c r="K18" s="437">
        <f t="shared" si="1"/>
        <v>0</v>
      </c>
      <c r="L18" s="500">
        <f t="shared" si="2"/>
        <v>0</v>
      </c>
    </row>
    <row r="19" spans="1:13" ht="15.75" thickBot="1">
      <c r="C19" s="207">
        <f t="shared" si="0"/>
        <v>0</v>
      </c>
      <c r="K19" s="493">
        <f>IF(A4="",0,D$21*A4+E$21)</f>
        <v>-11.0365</v>
      </c>
      <c r="L19" s="493">
        <f>(B4-K19)^2</f>
        <v>1.0743322500000003</v>
      </c>
    </row>
    <row r="20" spans="1:13" ht="18" customHeight="1" thickBot="1">
      <c r="C20" s="434">
        <f t="shared" si="0"/>
        <v>0</v>
      </c>
      <c r="D20" s="540" t="s">
        <v>168</v>
      </c>
      <c r="E20" s="541"/>
      <c r="F20" s="539"/>
      <c r="G20" s="539"/>
      <c r="K20" s="493">
        <f t="shared" ref="K20:K30" si="3">IF(A5="",0,D$21*A5+E$21)</f>
        <v>-6.8425000000000002</v>
      </c>
      <c r="L20" s="493">
        <f t="shared" ref="L20:L30" si="4">(B5-K20)^2</f>
        <v>1.3398062499999994</v>
      </c>
    </row>
    <row r="21" spans="1:13" ht="18" customHeight="1" thickBot="1">
      <c r="C21" s="434">
        <f t="shared" si="0"/>
        <v>0</v>
      </c>
      <c r="D21" s="430">
        <v>2.097</v>
      </c>
      <c r="E21" s="431">
        <v>-0.55149999999999999</v>
      </c>
      <c r="F21" s="494"/>
      <c r="G21" s="494"/>
      <c r="K21" s="493">
        <f t="shared" si="3"/>
        <v>7.8365</v>
      </c>
      <c r="L21" s="493">
        <f t="shared" si="4"/>
        <v>1.35373225</v>
      </c>
    </row>
    <row r="22" spans="1:13" ht="18" customHeight="1">
      <c r="C22" s="434">
        <f t="shared" si="0"/>
        <v>0</v>
      </c>
      <c r="D22" s="542" t="s">
        <v>158</v>
      </c>
      <c r="E22" s="543"/>
      <c r="F22" s="495"/>
      <c r="G22" s="495"/>
      <c r="K22" s="493">
        <f t="shared" si="3"/>
        <v>1.5455000000000001</v>
      </c>
      <c r="L22" s="493">
        <f t="shared" si="4"/>
        <v>0.29757025000000009</v>
      </c>
    </row>
    <row r="23" spans="1:13" ht="18" customHeight="1" thickBot="1">
      <c r="C23" s="434">
        <f t="shared" si="0"/>
        <v>0</v>
      </c>
      <c r="D23" s="544">
        <f>SUM(L19:L30)</f>
        <v>7.624242500000002</v>
      </c>
      <c r="E23" s="545"/>
      <c r="F23" s="496"/>
      <c r="G23" s="497"/>
      <c r="K23" s="493">
        <f t="shared" si="3"/>
        <v>-2.6484999999999999</v>
      </c>
      <c r="L23" s="493">
        <f t="shared" si="4"/>
        <v>0.42055224999999979</v>
      </c>
    </row>
    <row r="24" spans="1:13">
      <c r="C24" s="207">
        <f t="shared" si="0"/>
        <v>0</v>
      </c>
      <c r="K24" s="493">
        <f t="shared" si="3"/>
        <v>-4.7454999999999998</v>
      </c>
      <c r="L24" s="493">
        <f t="shared" si="4"/>
        <v>1.5737702500000004</v>
      </c>
    </row>
    <row r="25" spans="1:13">
      <c r="C25" s="207">
        <f t="shared" si="0"/>
        <v>0</v>
      </c>
      <c r="K25" s="493">
        <f t="shared" si="3"/>
        <v>-0.55149999999999999</v>
      </c>
      <c r="L25" s="493">
        <f t="shared" si="4"/>
        <v>0.20115225</v>
      </c>
    </row>
    <row r="26" spans="1:13">
      <c r="C26" s="207">
        <f t="shared" si="0"/>
        <v>0</v>
      </c>
      <c r="K26" s="493">
        <f t="shared" si="3"/>
        <v>3.6425000000000001</v>
      </c>
      <c r="L26" s="493">
        <f t="shared" si="4"/>
        <v>0.4128062500000001</v>
      </c>
    </row>
    <row r="27" spans="1:13">
      <c r="C27" s="207">
        <f t="shared" si="0"/>
        <v>0</v>
      </c>
      <c r="K27" s="493">
        <f t="shared" si="3"/>
        <v>5.7395000000000005</v>
      </c>
      <c r="L27" s="493">
        <f t="shared" si="4"/>
        <v>6.7860249999999747E-2</v>
      </c>
    </row>
    <row r="28" spans="1:13">
      <c r="C28" s="207">
        <f t="shared" si="0"/>
        <v>0</v>
      </c>
      <c r="K28" s="493">
        <f t="shared" si="3"/>
        <v>-8.9395000000000007</v>
      </c>
      <c r="L28" s="493">
        <f t="shared" si="4"/>
        <v>0.88266025000000126</v>
      </c>
    </row>
    <row r="29" spans="1:13">
      <c r="C29" s="207">
        <f t="shared" si="0"/>
        <v>0</v>
      </c>
      <c r="K29" s="493">
        <f t="shared" si="3"/>
        <v>0</v>
      </c>
      <c r="L29" s="493">
        <f t="shared" si="4"/>
        <v>0</v>
      </c>
    </row>
    <row r="30" spans="1:13">
      <c r="C30" s="207">
        <f t="shared" si="0"/>
        <v>0</v>
      </c>
      <c r="K30" s="493">
        <f t="shared" si="3"/>
        <v>0</v>
      </c>
      <c r="L30" s="493">
        <f t="shared" si="4"/>
        <v>0</v>
      </c>
    </row>
    <row r="31" spans="1:13">
      <c r="C31" s="207">
        <f t="shared" si="0"/>
        <v>0</v>
      </c>
      <c r="K31" s="493"/>
      <c r="L31" s="493"/>
    </row>
    <row r="32" spans="1:13">
      <c r="C32" s="207">
        <f t="shared" si="0"/>
        <v>0</v>
      </c>
      <c r="K32" s="493"/>
      <c r="L32" s="493"/>
    </row>
    <row r="33" spans="3:12" ht="15.75" thickBot="1">
      <c r="C33" s="217">
        <f t="shared" si="0"/>
        <v>0</v>
      </c>
      <c r="K33" s="436"/>
      <c r="L33" s="436"/>
    </row>
  </sheetData>
  <dataConsolidate/>
  <mergeCells count="8">
    <mergeCell ref="F20:G20"/>
    <mergeCell ref="D20:E20"/>
    <mergeCell ref="D22:E22"/>
    <mergeCell ref="D23:E23"/>
    <mergeCell ref="D4:E4"/>
    <mergeCell ref="D9:E9"/>
    <mergeCell ref="D10:E10"/>
    <mergeCell ref="D15:E15"/>
  </mergeCells>
  <pageMargins left="0.7" right="0.7" top="0.75" bottom="0.75" header="0.3" footer="0.3"/>
  <pageSetup orientation="portrait" horizontalDpi="4294967293" verticalDpi="4294967293" r:id="rId1"/>
  <drawing r:id="rId2"/>
  <legacyDrawing r:id="rId3"/>
  <oleObjects>
    <mc:AlternateContent xmlns:mc="http://schemas.openxmlformats.org/markup-compatibility/2006">
      <mc:Choice Requires="x14">
        <oleObject progId="Equation.DSMT4" shapeId="13316" r:id="rId4">
          <objectPr defaultSize="0" autoPict="0" r:id="rId5">
            <anchor moveWithCells="1">
              <from>
                <xdr:col>5</xdr:col>
                <xdr:colOff>200025</xdr:colOff>
                <xdr:row>4</xdr:row>
                <xdr:rowOff>9525</xdr:rowOff>
              </from>
              <to>
                <xdr:col>5</xdr:col>
                <xdr:colOff>447675</xdr:colOff>
                <xdr:row>4</xdr:row>
                <xdr:rowOff>171450</xdr:rowOff>
              </to>
            </anchor>
          </objectPr>
        </oleObject>
      </mc:Choice>
      <mc:Fallback>
        <oleObject progId="Equation.DSMT4" shapeId="13316" r:id="rId4"/>
      </mc:Fallback>
    </mc:AlternateContent>
    <mc:AlternateContent xmlns:mc="http://schemas.openxmlformats.org/markup-compatibility/2006">
      <mc:Choice Requires="x14">
        <oleObject progId="Equation.DSMT4" shapeId="13317" r:id="rId6">
          <objectPr defaultSize="0" autoPict="0" r:id="rId5">
            <anchor moveWithCells="1">
              <from>
                <xdr:col>5</xdr:col>
                <xdr:colOff>200025</xdr:colOff>
                <xdr:row>15</xdr:row>
                <xdr:rowOff>9525</xdr:rowOff>
              </from>
              <to>
                <xdr:col>5</xdr:col>
                <xdr:colOff>447675</xdr:colOff>
                <xdr:row>15</xdr:row>
                <xdr:rowOff>171450</xdr:rowOff>
              </to>
            </anchor>
          </objectPr>
        </oleObject>
      </mc:Choice>
      <mc:Fallback>
        <oleObject progId="Equation.DSMT4" shapeId="13317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1"/>
  <sheetViews>
    <sheetView workbookViewId="0">
      <selection activeCell="A4" sqref="A4"/>
    </sheetView>
  </sheetViews>
  <sheetFormatPr defaultRowHeight="15"/>
  <sheetData>
    <row r="3" spans="1:4" ht="19.5" thickBot="1">
      <c r="B3" s="25" t="s">
        <v>12</v>
      </c>
      <c r="C3" s="44" t="s">
        <v>19</v>
      </c>
    </row>
    <row r="4" spans="1:4" ht="16.5" thickBot="1">
      <c r="A4" s="40" t="s">
        <v>20</v>
      </c>
      <c r="B4" s="32">
        <v>18</v>
      </c>
      <c r="C4" s="16">
        <f xml:space="preserve"> B4/B$14</f>
        <v>0.36</v>
      </c>
      <c r="D4" s="45">
        <f>C4</f>
        <v>0.36</v>
      </c>
    </row>
    <row r="5" spans="1:4" ht="16.5" thickBot="1">
      <c r="A5" s="41" t="s">
        <v>21</v>
      </c>
      <c r="B5" s="34">
        <v>4</v>
      </c>
      <c r="C5" s="16">
        <f t="shared" ref="C5:C13" si="0" xml:space="preserve"> B5/B$14</f>
        <v>0.08</v>
      </c>
      <c r="D5" s="45">
        <f t="shared" ref="D5:D13" si="1">C5</f>
        <v>0.08</v>
      </c>
    </row>
    <row r="6" spans="1:4" ht="16.5" thickBot="1">
      <c r="A6" s="41" t="s">
        <v>22</v>
      </c>
      <c r="B6" s="34">
        <v>6</v>
      </c>
      <c r="C6" s="16">
        <f t="shared" si="0"/>
        <v>0.12</v>
      </c>
      <c r="D6" s="45">
        <f t="shared" si="1"/>
        <v>0.12</v>
      </c>
    </row>
    <row r="7" spans="1:4" ht="16.5" thickBot="1">
      <c r="A7" s="41" t="s">
        <v>23</v>
      </c>
      <c r="B7" s="34">
        <v>22</v>
      </c>
      <c r="C7" s="16">
        <f t="shared" si="0"/>
        <v>0.44</v>
      </c>
      <c r="D7" s="45">
        <f t="shared" si="1"/>
        <v>0.44</v>
      </c>
    </row>
    <row r="8" spans="1:4" ht="16.5" thickBot="1">
      <c r="A8" s="41"/>
      <c r="B8" s="34"/>
      <c r="C8" s="16">
        <f t="shared" si="0"/>
        <v>0</v>
      </c>
      <c r="D8" s="45">
        <f t="shared" si="1"/>
        <v>0</v>
      </c>
    </row>
    <row r="9" spans="1:4" ht="16.5" thickBot="1">
      <c r="A9" s="41"/>
      <c r="B9" s="42"/>
      <c r="C9" s="16">
        <f t="shared" si="0"/>
        <v>0</v>
      </c>
      <c r="D9" s="45">
        <f t="shared" si="1"/>
        <v>0</v>
      </c>
    </row>
    <row r="10" spans="1:4">
      <c r="C10" s="16">
        <f t="shared" si="0"/>
        <v>0</v>
      </c>
      <c r="D10" s="45">
        <f>C10</f>
        <v>0</v>
      </c>
    </row>
    <row r="11" spans="1:4">
      <c r="C11" s="16">
        <f t="shared" si="0"/>
        <v>0</v>
      </c>
      <c r="D11" s="45">
        <f t="shared" si="1"/>
        <v>0</v>
      </c>
    </row>
    <row r="12" spans="1:4">
      <c r="C12" s="16">
        <f t="shared" si="0"/>
        <v>0</v>
      </c>
      <c r="D12" s="45">
        <f>C12</f>
        <v>0</v>
      </c>
    </row>
    <row r="13" spans="1:4">
      <c r="C13" s="16">
        <f t="shared" si="0"/>
        <v>0</v>
      </c>
      <c r="D13" s="45">
        <f t="shared" si="1"/>
        <v>0</v>
      </c>
    </row>
    <row r="14" spans="1:4">
      <c r="A14" s="13" t="s">
        <v>27</v>
      </c>
      <c r="B14" s="13">
        <f>SUM(B4:B13)</f>
        <v>50</v>
      </c>
      <c r="C14" s="16"/>
      <c r="D14" s="45"/>
    </row>
    <row r="15" spans="1:4">
      <c r="C15" s="16"/>
      <c r="D15" s="45"/>
    </row>
    <row r="16" spans="1:4">
      <c r="C16" s="16"/>
      <c r="D16" s="45"/>
    </row>
    <row r="17" spans="3:4">
      <c r="C17" s="16"/>
      <c r="D17" s="45"/>
    </row>
    <row r="18" spans="3:4">
      <c r="C18" s="16"/>
      <c r="D18" s="45"/>
    </row>
    <row r="19" spans="3:4">
      <c r="C19" s="16"/>
      <c r="D19" s="45"/>
    </row>
    <row r="20" spans="3:4">
      <c r="C20" s="16"/>
      <c r="D20" s="45"/>
    </row>
    <row r="21" spans="3:4">
      <c r="C21" s="16"/>
      <c r="D21" s="4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"/>
  <sheetViews>
    <sheetView workbookViewId="0">
      <selection activeCell="C11" sqref="C11"/>
    </sheetView>
  </sheetViews>
  <sheetFormatPr defaultRowHeight="15"/>
  <cols>
    <col min="1" max="1" width="5.42578125" customWidth="1"/>
    <col min="2" max="8" width="5.7109375" customWidth="1"/>
    <col min="11" max="11" width="12.28515625" customWidth="1"/>
    <col min="12" max="12" width="12" customWidth="1"/>
  </cols>
  <sheetData>
    <row r="1" spans="2:13" ht="279" customHeight="1">
      <c r="B1" s="26" t="str">
        <f>REPT("*",COUNTIF(A2:A58,A1))</f>
        <v/>
      </c>
      <c r="C1" s="26" t="str">
        <f>REPT("*",COUNTIF('Lecture 1'!$A$4:$A$58,C$2))</f>
        <v/>
      </c>
      <c r="D1" s="26" t="str">
        <f>REPT("*",COUNTIF('Lecture 1'!$A$4:$A$58,D$2))</f>
        <v/>
      </c>
      <c r="E1" s="26" t="str">
        <f>REPT("*",COUNTIF('Lecture 1'!$A$4:$A$58,E$2))</f>
        <v/>
      </c>
      <c r="F1" s="26" t="str">
        <f>REPT("*",COUNTIF('Lecture 1'!$A$4:$A$58,F$2))</f>
        <v/>
      </c>
      <c r="G1" s="26" t="str">
        <f>REPT("*",COUNTIF('Lecture 1'!$A$4:$A$58,G$2))</f>
        <v/>
      </c>
      <c r="H1" s="26" t="str">
        <f>REPT("*",COUNTIF('Lecture 1'!$A$4:$A$58,H$2))</f>
        <v/>
      </c>
    </row>
    <row r="2" spans="2:13" ht="18.75">
      <c r="B2" s="27">
        <v>0</v>
      </c>
      <c r="C2" s="27">
        <v>1</v>
      </c>
      <c r="D2" s="27">
        <v>2</v>
      </c>
      <c r="E2" s="27">
        <v>3</v>
      </c>
      <c r="F2" s="27">
        <v>4</v>
      </c>
      <c r="G2" s="27">
        <v>5</v>
      </c>
      <c r="H2" s="27">
        <v>6</v>
      </c>
    </row>
    <row r="3" spans="2:13" ht="16.5" thickBot="1">
      <c r="K3" s="30">
        <v>670</v>
      </c>
      <c r="L3" s="30">
        <v>0</v>
      </c>
      <c r="M3" s="30">
        <v>0</v>
      </c>
    </row>
    <row r="4" spans="2:13" ht="16.5" thickBot="1">
      <c r="K4" s="31">
        <v>675</v>
      </c>
      <c r="L4" s="32">
        <v>2</v>
      </c>
      <c r="M4" s="32">
        <v>4.3999999999999997E-2</v>
      </c>
    </row>
    <row r="5" spans="2:13" ht="16.5" thickBot="1">
      <c r="K5" s="33">
        <v>685</v>
      </c>
      <c r="L5" s="34">
        <v>0</v>
      </c>
      <c r="M5" s="34">
        <v>0</v>
      </c>
    </row>
    <row r="6" spans="2:13" ht="16.5" thickBot="1">
      <c r="K6" s="33">
        <v>695</v>
      </c>
      <c r="L6" s="34">
        <v>7</v>
      </c>
      <c r="M6" s="35">
        <v>0.15659999999999999</v>
      </c>
    </row>
    <row r="7" spans="2:13" ht="16.5" thickBot="1">
      <c r="K7" s="33">
        <v>705</v>
      </c>
      <c r="L7" s="34">
        <v>9</v>
      </c>
      <c r="M7" s="35">
        <v>0.2</v>
      </c>
    </row>
    <row r="8" spans="2:13" ht="16.5" thickBot="1">
      <c r="B8" s="28"/>
      <c r="C8" s="28"/>
      <c r="D8" s="28"/>
      <c r="E8" s="28"/>
      <c r="F8" s="28"/>
      <c r="G8" s="28"/>
      <c r="H8" s="28"/>
      <c r="I8" s="28"/>
      <c r="K8" s="33">
        <v>715</v>
      </c>
      <c r="L8" s="34">
        <v>9</v>
      </c>
      <c r="M8" s="35">
        <v>0.2</v>
      </c>
    </row>
    <row r="9" spans="2:13" ht="16.5" thickBot="1">
      <c r="B9" s="28"/>
      <c r="C9" s="28"/>
      <c r="D9" s="28"/>
      <c r="E9" s="28"/>
      <c r="F9" s="28"/>
      <c r="G9" s="28"/>
      <c r="H9" s="28"/>
      <c r="I9" s="28"/>
      <c r="K9" s="33">
        <v>725</v>
      </c>
      <c r="L9" s="34">
        <v>11</v>
      </c>
      <c r="M9" s="35">
        <v>0.24399999999999999</v>
      </c>
    </row>
    <row r="10" spans="2:13" ht="16.5" thickBot="1">
      <c r="B10" s="28"/>
      <c r="C10" s="28"/>
      <c r="D10" s="28"/>
      <c r="E10" s="28"/>
      <c r="F10" s="28"/>
      <c r="G10" s="28"/>
      <c r="H10" s="28"/>
      <c r="I10" s="28"/>
      <c r="K10" s="33">
        <v>735</v>
      </c>
      <c r="L10" s="34">
        <v>7</v>
      </c>
      <c r="M10" s="35">
        <v>0.15659999999999999</v>
      </c>
    </row>
    <row r="11" spans="2:13" ht="15.75">
      <c r="B11" s="28"/>
      <c r="C11" s="28"/>
      <c r="D11" s="28"/>
      <c r="E11" s="28"/>
      <c r="F11" s="28"/>
      <c r="G11" s="28"/>
      <c r="H11" s="28"/>
      <c r="I11" s="28"/>
      <c r="K11" s="36">
        <v>740</v>
      </c>
      <c r="L11" s="37">
        <v>0</v>
      </c>
      <c r="M11" s="38">
        <v>0</v>
      </c>
    </row>
    <row r="12" spans="2:13" ht="15.75">
      <c r="B12" s="28"/>
      <c r="C12" s="28"/>
      <c r="D12" s="28"/>
      <c r="E12" s="28"/>
      <c r="F12" s="28"/>
      <c r="G12" s="28"/>
      <c r="H12" s="28"/>
      <c r="I12" s="28"/>
    </row>
    <row r="15" spans="2:13" ht="15.75">
      <c r="B15" s="28"/>
    </row>
    <row r="16" spans="2:13" ht="15.75">
      <c r="B16" s="28"/>
    </row>
    <row r="17" spans="2:12" ht="15.75">
      <c r="B17" s="28"/>
    </row>
    <row r="18" spans="2:12" ht="15.75">
      <c r="B18" s="28"/>
    </row>
    <row r="19" spans="2:12" ht="15.75">
      <c r="B19" s="28"/>
    </row>
    <row r="20" spans="2:12" ht="15.75">
      <c r="B20" s="28"/>
      <c r="K20" s="552" t="s">
        <v>13</v>
      </c>
      <c r="L20" s="552"/>
    </row>
    <row r="21" spans="2:12" ht="15.75">
      <c r="B21" s="28"/>
      <c r="K21" s="39" t="s">
        <v>14</v>
      </c>
      <c r="L21" s="39" t="s">
        <v>15</v>
      </c>
    </row>
    <row r="22" spans="2:12" ht="30">
      <c r="B22" s="29"/>
      <c r="K22" s="39" t="s">
        <v>16</v>
      </c>
      <c r="L22" s="39">
        <v>9</v>
      </c>
    </row>
    <row r="23" spans="2:12" ht="30">
      <c r="K23" s="39" t="s">
        <v>17</v>
      </c>
      <c r="L23" s="39">
        <v>23</v>
      </c>
    </row>
    <row r="24" spans="2:12" ht="30">
      <c r="K24" s="39" t="s">
        <v>18</v>
      </c>
      <c r="L24" s="39">
        <v>69</v>
      </c>
    </row>
  </sheetData>
  <mergeCells count="1">
    <mergeCell ref="K20:L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Lecture 1</vt:lpstr>
      <vt:lpstr>Lecture 2</vt:lpstr>
      <vt:lpstr>Lecture 3</vt:lpstr>
      <vt:lpstr>Lecture 4</vt:lpstr>
      <vt:lpstr>Correlation</vt:lpstr>
      <vt:lpstr>Graphs</vt:lpstr>
      <vt:lpstr>dot</vt:lpstr>
    </vt:vector>
  </TitlesOfParts>
  <Company>Galveston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Khoury</dc:creator>
  <cp:lastModifiedBy>Fred Khoury</cp:lastModifiedBy>
  <cp:lastPrinted>2015-11-19T21:18:17Z</cp:lastPrinted>
  <dcterms:created xsi:type="dcterms:W3CDTF">2014-09-25T19:49:16Z</dcterms:created>
  <dcterms:modified xsi:type="dcterms:W3CDTF">2017-11-07T13:55:12Z</dcterms:modified>
</cp:coreProperties>
</file>