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20730" windowHeight="11760" tabRatio="841"/>
  </bookViews>
  <sheets>
    <sheet name="基础估算" sheetId="17" r:id="rId1"/>
    <sheet name="项目参数页" sheetId="16" r:id="rId2"/>
    <sheet name="项目财务评价主要数据汇总表（表8-1、9-9）" sheetId="2" r:id="rId3"/>
    <sheet name="投资计划与资金筹措表（表8-3）" sheetId="3" r:id="rId4"/>
    <sheet name="总成本费用估算表（表9-1、2）" sheetId="4" r:id="rId5"/>
    <sheet name="销售收入、销售税金及附加和增值税估算表（表9-3）" sheetId="5" r:id="rId6"/>
    <sheet name="损益和利润分配表（表9-4）" sheetId="6" r:id="rId7"/>
    <sheet name="项目财务现金流量表（表9-5、6）" sheetId="7" r:id="rId8"/>
    <sheet name="项目资本金财务现金流量表（表9-7）" sheetId="8" r:id="rId9"/>
  </sheets>
  <calcPr calcId="125725"/>
</workbook>
</file>

<file path=xl/calcChain.xml><?xml version="1.0" encoding="utf-8"?>
<calcChain xmlns="http://schemas.openxmlformats.org/spreadsheetml/2006/main">
  <c r="D5" i="17"/>
  <c r="D18"/>
  <c r="D17"/>
  <c r="D24"/>
  <c r="D36"/>
  <c r="D16" l="1"/>
  <c r="D27"/>
  <c r="L12" s="1"/>
  <c r="N44"/>
  <c r="N43"/>
  <c r="N41"/>
  <c r="N40"/>
  <c r="M44"/>
  <c r="M43"/>
  <c r="M41"/>
  <c r="M40"/>
  <c r="B4" i="2" l="1"/>
  <c r="Q2" i="5"/>
  <c r="B10" l="1"/>
  <c r="A10"/>
  <c r="D2" i="8"/>
  <c r="E4"/>
  <c r="F4"/>
  <c r="G4"/>
  <c r="H4"/>
  <c r="I4"/>
  <c r="J4"/>
  <c r="K4"/>
  <c r="L4"/>
  <c r="M4"/>
  <c r="D4"/>
  <c r="D3"/>
  <c r="E3"/>
  <c r="F3"/>
  <c r="G3"/>
  <c r="H3"/>
  <c r="I3"/>
  <c r="J3"/>
  <c r="K3"/>
  <c r="L3"/>
  <c r="M3"/>
  <c r="C3"/>
  <c r="C2"/>
  <c r="E3" i="7"/>
  <c r="E4"/>
  <c r="F4"/>
  <c r="G4"/>
  <c r="H4"/>
  <c r="I4"/>
  <c r="J4"/>
  <c r="K4"/>
  <c r="L4"/>
  <c r="M4"/>
  <c r="N4"/>
  <c r="D4"/>
  <c r="D3"/>
  <c r="E2" i="6"/>
  <c r="E3"/>
  <c r="F3"/>
  <c r="G3"/>
  <c r="H3"/>
  <c r="I3"/>
  <c r="J3"/>
  <c r="K3"/>
  <c r="L3"/>
  <c r="M3"/>
  <c r="N3"/>
  <c r="D3"/>
  <c r="D2"/>
  <c r="D2" i="5"/>
  <c r="B4"/>
  <c r="D3"/>
  <c r="E3"/>
  <c r="F3"/>
  <c r="G3"/>
  <c r="H3"/>
  <c r="I3"/>
  <c r="J3"/>
  <c r="K3"/>
  <c r="L3"/>
  <c r="M3"/>
  <c r="C3"/>
  <c r="C2"/>
  <c r="D3" i="4"/>
  <c r="E3"/>
  <c r="F3"/>
  <c r="G3"/>
  <c r="H3"/>
  <c r="I3"/>
  <c r="J3"/>
  <c r="K3"/>
  <c r="L3"/>
  <c r="C3"/>
  <c r="N32" i="17"/>
  <c r="S61" i="16" l="1"/>
  <c r="J38"/>
  <c r="J39"/>
  <c r="J35"/>
  <c r="J36"/>
  <c r="I36"/>
  <c r="I38"/>
  <c r="I39"/>
  <c r="I35"/>
  <c r="W10" l="1"/>
  <c r="D37" i="17" l="1"/>
  <c r="C15" i="3"/>
  <c r="E6"/>
  <c r="F50" i="16"/>
  <c r="D24" l="1"/>
  <c r="D25"/>
  <c r="D23"/>
  <c r="D15"/>
  <c r="D37"/>
  <c r="D38"/>
  <c r="D36"/>
  <c r="D9" l="1"/>
  <c r="D5" i="2" s="1"/>
  <c r="N28" i="17"/>
  <c r="O28" s="1"/>
  <c r="N29"/>
  <c r="O29" s="1"/>
  <c r="N30"/>
  <c r="O30" s="1"/>
  <c r="N31"/>
  <c r="O31" s="1"/>
  <c r="N27"/>
  <c r="N15"/>
  <c r="N14"/>
  <c r="M13"/>
  <c r="M12"/>
  <c r="M6"/>
  <c r="M5"/>
  <c r="L6"/>
  <c r="L5"/>
  <c r="D28" l="1"/>
  <c r="D25"/>
  <c r="O27"/>
  <c r="D8" i="16"/>
  <c r="H39" s="1"/>
  <c r="K39" s="1"/>
  <c r="N5" i="17"/>
  <c r="L44"/>
  <c r="O44" s="1"/>
  <c r="N6"/>
  <c r="L7"/>
  <c r="O32"/>
  <c r="N7" l="1"/>
  <c r="L13"/>
  <c r="D26"/>
  <c r="L24" s="1"/>
  <c r="O24" s="1"/>
  <c r="D19"/>
  <c r="N26"/>
  <c r="D7" i="16" s="1"/>
  <c r="H38" l="1"/>
  <c r="H37" s="1"/>
  <c r="L43" i="17"/>
  <c r="L42" s="1"/>
  <c r="O26"/>
  <c r="N25"/>
  <c r="L22"/>
  <c r="W43"/>
  <c r="L38" i="16" l="1"/>
  <c r="L37" s="1"/>
  <c r="K62" s="1"/>
  <c r="L62" s="1"/>
  <c r="K38"/>
  <c r="K37" s="1"/>
  <c r="F62" s="1"/>
  <c r="O43" i="17"/>
  <c r="O42" s="1"/>
  <c r="P43"/>
  <c r="P42" s="1"/>
  <c r="Q43"/>
  <c r="Q42" s="1"/>
  <c r="O22"/>
  <c r="L21"/>
  <c r="D5" i="16" s="1"/>
  <c r="O25" i="17"/>
  <c r="N13"/>
  <c r="D35"/>
  <c r="D34" i="16" s="1"/>
  <c r="D33" i="17"/>
  <c r="M23" s="1"/>
  <c r="N12"/>
  <c r="H35" i="16" l="1"/>
  <c r="M38"/>
  <c r="M37" s="1"/>
  <c r="M21" i="17"/>
  <c r="O21" s="1"/>
  <c r="O23"/>
  <c r="L40"/>
  <c r="O40" s="1"/>
  <c r="Q40" s="1"/>
  <c r="N16"/>
  <c r="L41" l="1"/>
  <c r="D6" i="16"/>
  <c r="D4" s="1"/>
  <c r="K35"/>
  <c r="M35" s="1"/>
  <c r="P40" i="17"/>
  <c r="O33"/>
  <c r="H57" i="16"/>
  <c r="D35"/>
  <c r="F54"/>
  <c r="F57"/>
  <c r="F58"/>
  <c r="D12"/>
  <c r="F64"/>
  <c r="I57"/>
  <c r="J64"/>
  <c r="I64"/>
  <c r="H64"/>
  <c r="G64"/>
  <c r="F52"/>
  <c r="G58"/>
  <c r="D51"/>
  <c r="F74"/>
  <c r="F79" s="1"/>
  <c r="D39"/>
  <c r="G45" l="1"/>
  <c r="H36"/>
  <c r="H34" s="1"/>
  <c r="E45"/>
  <c r="Q41" i="17"/>
  <c r="Q39" s="1"/>
  <c r="Q45" s="1"/>
  <c r="O41"/>
  <c r="L39"/>
  <c r="L35" i="16"/>
  <c r="G50"/>
  <c r="G49" s="1"/>
  <c r="G48" s="1"/>
  <c r="F65"/>
  <c r="F63" s="1"/>
  <c r="I123"/>
  <c r="J122" s="1"/>
  <c r="F69"/>
  <c r="F68"/>
  <c r="F67"/>
  <c r="P32" i="17"/>
  <c r="P27"/>
  <c r="P29"/>
  <c r="P28"/>
  <c r="P33"/>
  <c r="M34"/>
  <c r="P23"/>
  <c r="P30"/>
  <c r="P31"/>
  <c r="P24"/>
  <c r="N34"/>
  <c r="P26"/>
  <c r="P25"/>
  <c r="L34"/>
  <c r="P22"/>
  <c r="P21"/>
  <c r="F56" i="16"/>
  <c r="F71" s="1"/>
  <c r="F96"/>
  <c r="F75"/>
  <c r="I4" i="2"/>
  <c r="I5"/>
  <c r="F59" i="16"/>
  <c r="D4" i="2" l="1"/>
  <c r="D3" s="1"/>
  <c r="D5" i="3"/>
  <c r="P41" i="17"/>
  <c r="P39" s="1"/>
  <c r="O39"/>
  <c r="O45" s="1"/>
  <c r="M36" i="16"/>
  <c r="M34" s="1"/>
  <c r="M40" s="1"/>
  <c r="K36"/>
  <c r="O34" i="17"/>
  <c r="F84" i="16"/>
  <c r="F78"/>
  <c r="F77"/>
  <c r="E44"/>
  <c r="D10"/>
  <c r="D11" s="1"/>
  <c r="K61" l="1"/>
  <c r="P45" i="17"/>
  <c r="L36" i="16"/>
  <c r="L34" s="1"/>
  <c r="L40" s="1"/>
  <c r="K34"/>
  <c r="D45"/>
  <c r="E101"/>
  <c r="E100" s="1"/>
  <c r="E106" s="1"/>
  <c r="E108" s="1"/>
  <c r="E50"/>
  <c r="E49" s="1"/>
  <c r="E48" s="1"/>
  <c r="F61" l="1"/>
  <c r="K40"/>
  <c r="L61"/>
  <c r="K60"/>
  <c r="W33"/>
  <c r="V33"/>
  <c r="L60" l="1"/>
  <c r="M61"/>
  <c r="G61"/>
  <c r="F60"/>
  <c r="V61"/>
  <c r="V62"/>
  <c r="H61" l="1"/>
  <c r="G60"/>
  <c r="N61"/>
  <c r="M60"/>
  <c r="V63"/>
  <c r="W62"/>
  <c r="W61"/>
  <c r="U62"/>
  <c r="U61"/>
  <c r="S62"/>
  <c r="W26"/>
  <c r="W59"/>
  <c r="V59"/>
  <c r="W22"/>
  <c r="M58"/>
  <c r="O61" l="1"/>
  <c r="O60" s="1"/>
  <c r="N60"/>
  <c r="H60"/>
  <c r="I61"/>
  <c r="W63"/>
  <c r="H58"/>
  <c r="L58"/>
  <c r="J58"/>
  <c r="I58"/>
  <c r="K58"/>
  <c r="O58"/>
  <c r="N58"/>
  <c r="G57"/>
  <c r="M57"/>
  <c r="L57"/>
  <c r="K57"/>
  <c r="J57"/>
  <c r="O57"/>
  <c r="N57"/>
  <c r="J61" l="1"/>
  <c r="J60" s="1"/>
  <c r="I60"/>
  <c r="B21" i="8"/>
  <c r="B20"/>
  <c r="B19"/>
  <c r="A19"/>
  <c r="C18"/>
  <c r="B18"/>
  <c r="A18"/>
  <c r="C17"/>
  <c r="B17"/>
  <c r="A17"/>
  <c r="C16"/>
  <c r="B16"/>
  <c r="A16"/>
  <c r="M15"/>
  <c r="L15"/>
  <c r="K15"/>
  <c r="J15"/>
  <c r="I15"/>
  <c r="H15"/>
  <c r="F15"/>
  <c r="E15"/>
  <c r="D15"/>
  <c r="C15"/>
  <c r="B15"/>
  <c r="A15"/>
  <c r="M14"/>
  <c r="L14"/>
  <c r="K14"/>
  <c r="J14"/>
  <c r="I14"/>
  <c r="H14"/>
  <c r="F14"/>
  <c r="E14"/>
  <c r="D14"/>
  <c r="C14"/>
  <c r="B14"/>
  <c r="A14"/>
  <c r="M13"/>
  <c r="L13"/>
  <c r="K13"/>
  <c r="J13"/>
  <c r="I13"/>
  <c r="C13"/>
  <c r="B13"/>
  <c r="A13"/>
  <c r="C12"/>
  <c r="B12"/>
  <c r="A12"/>
  <c r="M11"/>
  <c r="L11"/>
  <c r="K11"/>
  <c r="J11"/>
  <c r="I11"/>
  <c r="H11"/>
  <c r="D11"/>
  <c r="B11"/>
  <c r="A11"/>
  <c r="B10"/>
  <c r="A10"/>
  <c r="L9"/>
  <c r="K9"/>
  <c r="J9"/>
  <c r="I9"/>
  <c r="H9"/>
  <c r="G9"/>
  <c r="F9"/>
  <c r="E9"/>
  <c r="D9"/>
  <c r="C9"/>
  <c r="B9"/>
  <c r="A9"/>
  <c r="L8"/>
  <c r="K8"/>
  <c r="J8"/>
  <c r="I8"/>
  <c r="H8"/>
  <c r="G8"/>
  <c r="F8"/>
  <c r="E8"/>
  <c r="D8"/>
  <c r="C8"/>
  <c r="B8"/>
  <c r="A8"/>
  <c r="C7"/>
  <c r="B7"/>
  <c r="A7"/>
  <c r="C6"/>
  <c r="B6"/>
  <c r="A6"/>
  <c r="C5"/>
  <c r="B5"/>
  <c r="A5"/>
  <c r="B24" i="7"/>
  <c r="B23"/>
  <c r="B22"/>
  <c r="D21"/>
  <c r="C21"/>
  <c r="C20"/>
  <c r="B20"/>
  <c r="A20"/>
  <c r="C19"/>
  <c r="B19"/>
  <c r="A19"/>
  <c r="C18"/>
  <c r="B18"/>
  <c r="A18"/>
  <c r="B17"/>
  <c r="A17"/>
  <c r="D16"/>
  <c r="B16"/>
  <c r="A16"/>
  <c r="D15"/>
  <c r="B15"/>
  <c r="A15"/>
  <c r="D14"/>
  <c r="B14"/>
  <c r="A14"/>
  <c r="N13"/>
  <c r="M13"/>
  <c r="L13"/>
  <c r="K13"/>
  <c r="J13"/>
  <c r="I13"/>
  <c r="D13"/>
  <c r="B13"/>
  <c r="A13"/>
  <c r="N12"/>
  <c r="M12"/>
  <c r="L12"/>
  <c r="K12"/>
  <c r="J12"/>
  <c r="I12"/>
  <c r="B12"/>
  <c r="A12"/>
  <c r="B11"/>
  <c r="A11"/>
  <c r="N10"/>
  <c r="M10"/>
  <c r="L10"/>
  <c r="K10"/>
  <c r="J10"/>
  <c r="I10"/>
  <c r="H10"/>
  <c r="G10"/>
  <c r="F10"/>
  <c r="E10"/>
  <c r="D10"/>
  <c r="B10"/>
  <c r="A10"/>
  <c r="M9"/>
  <c r="L9"/>
  <c r="K9"/>
  <c r="J9"/>
  <c r="I9"/>
  <c r="H9"/>
  <c r="G9"/>
  <c r="F9"/>
  <c r="E9"/>
  <c r="D9"/>
  <c r="B9"/>
  <c r="A9"/>
  <c r="D8"/>
  <c r="B8"/>
  <c r="A8"/>
  <c r="D7"/>
  <c r="B7"/>
  <c r="A7"/>
  <c r="D6"/>
  <c r="B6"/>
  <c r="A6"/>
  <c r="N5"/>
  <c r="M5"/>
  <c r="L5"/>
  <c r="K5"/>
  <c r="J5"/>
  <c r="I5"/>
  <c r="H5"/>
  <c r="G5"/>
  <c r="F5"/>
  <c r="E5"/>
  <c r="D5"/>
  <c r="B18" i="6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P10" i="5"/>
  <c r="O10"/>
  <c r="B9"/>
  <c r="P9" s="1"/>
  <c r="A9"/>
  <c r="O9" s="1"/>
  <c r="B8"/>
  <c r="P8" s="1"/>
  <c r="A8"/>
  <c r="O8" s="1"/>
  <c r="B7"/>
  <c r="P7" s="1"/>
  <c r="A7"/>
  <c r="O7" s="1"/>
  <c r="B6"/>
  <c r="P6" s="1"/>
  <c r="A6"/>
  <c r="O6" s="1"/>
  <c r="B5"/>
  <c r="P5" s="1"/>
  <c r="A5"/>
  <c r="O5" s="1"/>
  <c r="M4"/>
  <c r="L4"/>
  <c r="K4"/>
  <c r="J4"/>
  <c r="I4"/>
  <c r="H4"/>
  <c r="G4"/>
  <c r="F4"/>
  <c r="S4" s="1"/>
  <c r="E4"/>
  <c r="R4" s="1"/>
  <c r="D4"/>
  <c r="Q4" s="1"/>
  <c r="P4"/>
  <c r="B22" i="4"/>
  <c r="A22"/>
  <c r="B21"/>
  <c r="A21"/>
  <c r="B20"/>
  <c r="A20"/>
  <c r="B19"/>
  <c r="B18"/>
  <c r="A18"/>
  <c r="B17"/>
  <c r="A17"/>
  <c r="B16"/>
  <c r="A16"/>
  <c r="B15"/>
  <c r="A15"/>
  <c r="B14"/>
  <c r="A14"/>
  <c r="L13"/>
  <c r="K13"/>
  <c r="J13"/>
  <c r="I13"/>
  <c r="H13"/>
  <c r="B13"/>
  <c r="A13"/>
  <c r="B12"/>
  <c r="A12"/>
  <c r="B11"/>
  <c r="A11"/>
  <c r="B10"/>
  <c r="A10"/>
  <c r="B9"/>
  <c r="A9"/>
  <c r="B8"/>
  <c r="A8"/>
  <c r="B7"/>
  <c r="O9" s="1"/>
  <c r="A7"/>
  <c r="N9" s="1"/>
  <c r="B6"/>
  <c r="O8" s="1"/>
  <c r="A6"/>
  <c r="N8" s="1"/>
  <c r="B5"/>
  <c r="O7" s="1"/>
  <c r="A5"/>
  <c r="N7" s="1"/>
  <c r="L4"/>
  <c r="K4"/>
  <c r="J4"/>
  <c r="I4"/>
  <c r="H4"/>
  <c r="G4"/>
  <c r="F4"/>
  <c r="E4"/>
  <c r="R6" s="1"/>
  <c r="D4"/>
  <c r="Q6" s="1"/>
  <c r="C4"/>
  <c r="P6" s="1"/>
  <c r="B4"/>
  <c r="O6" s="1"/>
  <c r="B15" i="3"/>
  <c r="B14"/>
  <c r="E12"/>
  <c r="B12"/>
  <c r="A12"/>
  <c r="G11"/>
  <c r="E11"/>
  <c r="B11"/>
  <c r="A11"/>
  <c r="B10"/>
  <c r="A10"/>
  <c r="B9"/>
  <c r="A9"/>
  <c r="B8"/>
  <c r="A8"/>
  <c r="G7"/>
  <c r="F7"/>
  <c r="E7"/>
  <c r="B7"/>
  <c r="A7"/>
  <c r="B6"/>
  <c r="A6"/>
  <c r="G5"/>
  <c r="F5"/>
  <c r="B5"/>
  <c r="A5"/>
  <c r="B4"/>
  <c r="A4"/>
  <c r="I122" i="16"/>
  <c r="G13" i="8" s="1"/>
  <c r="H122" i="16"/>
  <c r="F13" i="8" s="1"/>
  <c r="G122" i="16"/>
  <c r="E13" i="8" s="1"/>
  <c r="F122" i="16"/>
  <c r="D13" i="8" s="1"/>
  <c r="O118" i="16"/>
  <c r="M9" i="8" s="1"/>
  <c r="I102" i="16"/>
  <c r="H102"/>
  <c r="G13" i="7" s="1"/>
  <c r="I101" i="16"/>
  <c r="H12" i="7" s="1"/>
  <c r="H101" i="16"/>
  <c r="G12" i="7" s="1"/>
  <c r="G101" i="16"/>
  <c r="F101"/>
  <c r="D99"/>
  <c r="C10" i="7" s="1"/>
  <c r="O65" i="16"/>
  <c r="L14" i="4" s="1"/>
  <c r="N65" i="16"/>
  <c r="K14" i="4" s="1"/>
  <c r="M65" i="16"/>
  <c r="J14" i="4" s="1"/>
  <c r="L65" i="16"/>
  <c r="K65"/>
  <c r="H14" i="4" s="1"/>
  <c r="T59" i="16"/>
  <c r="J53"/>
  <c r="J52" s="1"/>
  <c r="I53"/>
  <c r="I52" s="1"/>
  <c r="H53"/>
  <c r="H52" s="1"/>
  <c r="G10" i="3"/>
  <c r="I49" i="16"/>
  <c r="H49"/>
  <c r="D47"/>
  <c r="D7" i="3" s="1"/>
  <c r="I44" i="16"/>
  <c r="H44"/>
  <c r="C13" i="4"/>
  <c r="H11"/>
  <c r="W18" i="16"/>
  <c r="I6" i="2"/>
  <c r="H120" i="16" l="1"/>
  <c r="H48"/>
  <c r="F10" i="3"/>
  <c r="F49" i="16"/>
  <c r="D49" s="1"/>
  <c r="D40" s="1"/>
  <c r="O63"/>
  <c r="L12" i="4" s="1"/>
  <c r="J59" i="16"/>
  <c r="G8" i="4" s="1"/>
  <c r="U63" i="16"/>
  <c r="K59"/>
  <c r="F11" i="3"/>
  <c r="D11"/>
  <c r="G9"/>
  <c r="I59" i="16"/>
  <c r="F8" i="4" s="1"/>
  <c r="S63" i="16"/>
  <c r="M63"/>
  <c r="J12" i="4" s="1"/>
  <c r="E12" i="7"/>
  <c r="F11" i="8"/>
  <c r="F12" i="7"/>
  <c r="I48" i="16"/>
  <c r="I120"/>
  <c r="D7" i="4"/>
  <c r="Q9" s="1"/>
  <c r="C7"/>
  <c r="P9" s="1"/>
  <c r="L59" i="16"/>
  <c r="C8" i="4"/>
  <c r="I14"/>
  <c r="L63" i="16"/>
  <c r="K74"/>
  <c r="D6" i="2"/>
  <c r="O74" i="16"/>
  <c r="M74"/>
  <c r="L74"/>
  <c r="H13" i="7"/>
  <c r="G59" i="16"/>
  <c r="D8" i="4" s="1"/>
  <c r="K63" i="16"/>
  <c r="G74"/>
  <c r="H59"/>
  <c r="E8" i="4" s="1"/>
  <c r="H74" i="16"/>
  <c r="I74"/>
  <c r="J74"/>
  <c r="G13" i="4"/>
  <c r="D15" i="3"/>
  <c r="D6"/>
  <c r="N74" i="16"/>
  <c r="J4" i="2"/>
  <c r="D6" i="4"/>
  <c r="Q8" s="1"/>
  <c r="G56" i="16"/>
  <c r="M59"/>
  <c r="E13" i="4"/>
  <c r="N59" i="16"/>
  <c r="F13" i="4"/>
  <c r="D101" i="16"/>
  <c r="C12" i="7" s="1"/>
  <c r="C6" i="4"/>
  <c r="P8" s="1"/>
  <c r="D13"/>
  <c r="O59" i="16"/>
  <c r="N63"/>
  <c r="O121" l="1"/>
  <c r="H8" i="4"/>
  <c r="K8"/>
  <c r="L8"/>
  <c r="J8"/>
  <c r="I8"/>
  <c r="N75" i="16"/>
  <c r="N67"/>
  <c r="N68"/>
  <c r="N69"/>
  <c r="I69"/>
  <c r="I67"/>
  <c r="I68"/>
  <c r="L75"/>
  <c r="L68"/>
  <c r="L67"/>
  <c r="L69"/>
  <c r="M75"/>
  <c r="M68"/>
  <c r="M67"/>
  <c r="M69"/>
  <c r="J75"/>
  <c r="J68"/>
  <c r="J69"/>
  <c r="J67"/>
  <c r="H75"/>
  <c r="H67"/>
  <c r="E16" i="4" s="1"/>
  <c r="H69" i="16"/>
  <c r="H68"/>
  <c r="O75"/>
  <c r="O68"/>
  <c r="O67"/>
  <c r="O69"/>
  <c r="K75"/>
  <c r="K68"/>
  <c r="K67"/>
  <c r="K69"/>
  <c r="G75"/>
  <c r="G68"/>
  <c r="D17" i="4" s="1"/>
  <c r="G69" i="16"/>
  <c r="D18" i="4" s="1"/>
  <c r="G67" i="16"/>
  <c r="D16" i="4" s="1"/>
  <c r="I75" i="16"/>
  <c r="C16" i="4"/>
  <c r="C18"/>
  <c r="C17"/>
  <c r="D74" i="16"/>
  <c r="M121"/>
  <c r="K12" i="8" s="1"/>
  <c r="G120" i="16"/>
  <c r="E11" i="8" s="1"/>
  <c r="J5" i="2"/>
  <c r="K5" i="5"/>
  <c r="M79" i="16"/>
  <c r="K10" i="5" s="1"/>
  <c r="M80" i="16"/>
  <c r="M96"/>
  <c r="E7" i="4"/>
  <c r="R9" s="1"/>
  <c r="I11"/>
  <c r="M62" i="16"/>
  <c r="M5" i="5"/>
  <c r="O96" i="16"/>
  <c r="O80"/>
  <c r="O79"/>
  <c r="M10" i="5" s="1"/>
  <c r="G14" i="8"/>
  <c r="F5" i="5"/>
  <c r="S5" s="1"/>
  <c r="H80" i="16"/>
  <c r="H96"/>
  <c r="H79"/>
  <c r="F9" i="3"/>
  <c r="G46" i="16"/>
  <c r="F6" i="3"/>
  <c r="F102" i="16"/>
  <c r="F44"/>
  <c r="F4" i="3" s="1"/>
  <c r="D5" i="5"/>
  <c r="Q5" s="1"/>
  <c r="F80" i="16"/>
  <c r="D9" i="5"/>
  <c r="Q9" s="1"/>
  <c r="D10"/>
  <c r="Q10" s="1"/>
  <c r="C11" i="4"/>
  <c r="G62" i="16"/>
  <c r="I5" i="5"/>
  <c r="K79" i="16"/>
  <c r="I10" i="5" s="1"/>
  <c r="K96" i="16"/>
  <c r="K80"/>
  <c r="G11" i="8"/>
  <c r="E6" i="4"/>
  <c r="R8" s="1"/>
  <c r="H56" i="16"/>
  <c r="D5" i="4"/>
  <c r="Q7" s="1"/>
  <c r="G71" i="16"/>
  <c r="D20" i="4" s="1"/>
  <c r="H5" i="5"/>
  <c r="J79" i="16"/>
  <c r="H10" i="5" s="1"/>
  <c r="J96" i="16"/>
  <c r="J80"/>
  <c r="G80"/>
  <c r="G96"/>
  <c r="E5" i="5"/>
  <c r="R5" s="1"/>
  <c r="G79" i="16"/>
  <c r="E10" i="5" s="1"/>
  <c r="R10" s="1"/>
  <c r="K121" i="16"/>
  <c r="H12" i="4"/>
  <c r="C10"/>
  <c r="G5" i="5"/>
  <c r="I79" i="16"/>
  <c r="G10" i="5" s="1"/>
  <c r="I96" i="16"/>
  <c r="I80"/>
  <c r="K12" i="4"/>
  <c r="N121" i="16"/>
  <c r="M12" i="8"/>
  <c r="I12" i="4"/>
  <c r="L121" i="16"/>
  <c r="L5" i="5"/>
  <c r="N80" i="16"/>
  <c r="N96"/>
  <c r="N79"/>
  <c r="L10" i="5" s="1"/>
  <c r="J5"/>
  <c r="L80" i="16"/>
  <c r="L79"/>
  <c r="J10" i="5" s="1"/>
  <c r="L96" i="16"/>
  <c r="D46" l="1"/>
  <c r="G44"/>
  <c r="H78"/>
  <c r="F9" i="5" s="1"/>
  <c r="S9" s="1"/>
  <c r="H77" i="16"/>
  <c r="F8" i="5" s="1"/>
  <c r="S8" s="1"/>
  <c r="I77" i="16"/>
  <c r="G8" i="5" s="1"/>
  <c r="I78" i="16"/>
  <c r="G9" i="5" s="1"/>
  <c r="G77" i="16"/>
  <c r="G78"/>
  <c r="E9" i="5" s="1"/>
  <c r="R9" s="1"/>
  <c r="K77" i="16"/>
  <c r="I8" i="5" s="1"/>
  <c r="K78" i="16"/>
  <c r="I9" i="5" s="1"/>
  <c r="O77" i="16"/>
  <c r="O78"/>
  <c r="M9" i="5" s="1"/>
  <c r="J78" i="16"/>
  <c r="H9" i="5" s="1"/>
  <c r="J77" i="16"/>
  <c r="H8" i="5" s="1"/>
  <c r="M78" i="16"/>
  <c r="K9" i="5" s="1"/>
  <c r="M77" i="16"/>
  <c r="K8" i="5" s="1"/>
  <c r="L77" i="16"/>
  <c r="J8" i="5" s="1"/>
  <c r="L78" i="16"/>
  <c r="J9" i="5" s="1"/>
  <c r="N78" i="16"/>
  <c r="L9" i="5" s="1"/>
  <c r="N77" i="16"/>
  <c r="L8" i="5" s="1"/>
  <c r="H66" i="16"/>
  <c r="E15" i="4" s="1"/>
  <c r="D9" i="2"/>
  <c r="H84" i="16"/>
  <c r="G8" i="6" s="1"/>
  <c r="F66" i="16"/>
  <c r="F70" s="1"/>
  <c r="D80"/>
  <c r="C4" i="6" s="1"/>
  <c r="G66" i="16"/>
  <c r="D15" i="4" s="1"/>
  <c r="F10" i="5"/>
  <c r="S10" s="1"/>
  <c r="D79" i="16"/>
  <c r="E6" i="5"/>
  <c r="R6" s="1"/>
  <c r="G81" i="16"/>
  <c r="G84"/>
  <c r="F8" i="6" s="1"/>
  <c r="D4" i="3"/>
  <c r="J11" i="4"/>
  <c r="N62" i="16"/>
  <c r="E5" i="3"/>
  <c r="O117" i="16"/>
  <c r="F6" i="5"/>
  <c r="S6" s="1"/>
  <c r="H81" i="16"/>
  <c r="E13" i="7"/>
  <c r="F7" i="4"/>
  <c r="L12" i="8"/>
  <c r="F4" i="6"/>
  <c r="D11" i="4"/>
  <c r="H62" i="16"/>
  <c r="G7" i="7"/>
  <c r="H115" i="16"/>
  <c r="G4" i="6"/>
  <c r="C5" i="4"/>
  <c r="P7" s="1"/>
  <c r="E18"/>
  <c r="I66" i="16"/>
  <c r="F15" i="4" s="1"/>
  <c r="N4" i="6"/>
  <c r="L7" i="7"/>
  <c r="M115" i="16"/>
  <c r="H4" i="6"/>
  <c r="E17" i="4"/>
  <c r="L4" i="6"/>
  <c r="M4"/>
  <c r="I4"/>
  <c r="N7" i="7"/>
  <c r="O115" i="16"/>
  <c r="F7" i="7"/>
  <c r="G115" i="16"/>
  <c r="M7" i="7"/>
  <c r="N115" i="16"/>
  <c r="H7" i="7"/>
  <c r="I115" i="16"/>
  <c r="I7" i="7"/>
  <c r="J115" i="16"/>
  <c r="E7" i="7"/>
  <c r="F115" i="16"/>
  <c r="D96"/>
  <c r="C7" i="7" s="1"/>
  <c r="K7"/>
  <c r="L115" i="16"/>
  <c r="G6" i="3"/>
  <c r="G102" i="16"/>
  <c r="J12" i="8"/>
  <c r="D10" i="4"/>
  <c r="E4" i="6"/>
  <c r="I12" i="8"/>
  <c r="F6" i="4"/>
  <c r="I56" i="16"/>
  <c r="J4" i="6"/>
  <c r="D8" i="5"/>
  <c r="Q8" s="1"/>
  <c r="F76" i="16"/>
  <c r="F83" s="1"/>
  <c r="F82" s="1"/>
  <c r="K4" i="6"/>
  <c r="F16" i="4"/>
  <c r="E5"/>
  <c r="R7" s="1"/>
  <c r="H71" i="16"/>
  <c r="K115"/>
  <c r="J7" i="7"/>
  <c r="G52" i="16" l="1"/>
  <c r="G54"/>
  <c r="G65" s="1"/>
  <c r="K76"/>
  <c r="I7" i="5" s="1"/>
  <c r="I76" i="16"/>
  <c r="I83" s="1"/>
  <c r="M76"/>
  <c r="H76"/>
  <c r="D10" i="2" s="1"/>
  <c r="O76" i="16"/>
  <c r="M7" i="5" s="1"/>
  <c r="L76" i="16"/>
  <c r="J7" i="5" s="1"/>
  <c r="M8"/>
  <c r="J76" i="16"/>
  <c r="G76"/>
  <c r="G83" s="1"/>
  <c r="G82" s="1"/>
  <c r="D77"/>
  <c r="D78"/>
  <c r="N76"/>
  <c r="L7" i="5" s="1"/>
  <c r="E8"/>
  <c r="R8" s="1"/>
  <c r="G8" i="3"/>
  <c r="D52" i="16"/>
  <c r="D12" i="3" s="1"/>
  <c r="G4"/>
  <c r="D44" i="16"/>
  <c r="E20" i="4"/>
  <c r="G73" i="16"/>
  <c r="G125" s="1"/>
  <c r="E16" i="8" s="1"/>
  <c r="C15" i="4"/>
  <c r="F73" i="16"/>
  <c r="C20" i="4"/>
  <c r="G6" i="8"/>
  <c r="D53" i="16"/>
  <c r="K7" i="5"/>
  <c r="M83" i="16"/>
  <c r="E6" i="8"/>
  <c r="M8"/>
  <c r="O98" i="16"/>
  <c r="D12" i="7"/>
  <c r="E10" i="3"/>
  <c r="D50" i="16"/>
  <c r="D10" i="3" s="1"/>
  <c r="D9"/>
  <c r="G116" i="16"/>
  <c r="E7" i="8" s="1"/>
  <c r="G97" i="16"/>
  <c r="D7" i="5"/>
  <c r="Q7" s="1"/>
  <c r="E4" i="3"/>
  <c r="M6" i="8"/>
  <c r="F17" i="4"/>
  <c r="G16"/>
  <c r="F13" i="7"/>
  <c r="F5" i="4"/>
  <c r="I71" i="16"/>
  <c r="F20" i="4" s="1"/>
  <c r="G6"/>
  <c r="D9"/>
  <c r="D6" i="8"/>
  <c r="E10" i="4"/>
  <c r="K6" i="8"/>
  <c r="H97" i="16"/>
  <c r="H116"/>
  <c r="F7" i="8" s="1"/>
  <c r="F6"/>
  <c r="G12" i="3"/>
  <c r="D102" i="16"/>
  <c r="C13" i="7" s="1"/>
  <c r="J6" i="8"/>
  <c r="L6"/>
  <c r="F18" i="4"/>
  <c r="E11"/>
  <c r="I62" i="16"/>
  <c r="J62" s="1"/>
  <c r="F121"/>
  <c r="H6" i="8"/>
  <c r="I6"/>
  <c r="D6" i="5"/>
  <c r="Q6" s="1"/>
  <c r="F81" i="16"/>
  <c r="F12" i="3"/>
  <c r="F8"/>
  <c r="K11" i="4"/>
  <c r="O62" i="16"/>
  <c r="L11" i="4" s="1"/>
  <c r="G7" i="5" l="1"/>
  <c r="F7"/>
  <c r="S7" s="1"/>
  <c r="O83" i="16"/>
  <c r="N7" i="6" s="1"/>
  <c r="K83" i="16"/>
  <c r="J7" i="6" s="1"/>
  <c r="L83" i="16"/>
  <c r="K7" i="6" s="1"/>
  <c r="G63" i="16"/>
  <c r="G70" s="1"/>
  <c r="E7" i="5"/>
  <c r="R7" s="1"/>
  <c r="N83" i="16"/>
  <c r="M7" i="6" s="1"/>
  <c r="H83" i="16"/>
  <c r="H82" s="1"/>
  <c r="D76"/>
  <c r="J83"/>
  <c r="H7" i="5"/>
  <c r="G103" i="16"/>
  <c r="F14" i="7" s="1"/>
  <c r="D22" i="4"/>
  <c r="H6"/>
  <c r="K56" i="16"/>
  <c r="G6" i="5"/>
  <c r="I84" i="16"/>
  <c r="H8" i="6" s="1"/>
  <c r="I81" i="16"/>
  <c r="E7" i="6"/>
  <c r="H7" i="4"/>
  <c r="F7" i="6"/>
  <c r="F8" i="7"/>
  <c r="G95" i="16"/>
  <c r="G18" i="4"/>
  <c r="C14"/>
  <c r="H7" i="6"/>
  <c r="H54" i="16"/>
  <c r="G8" i="7"/>
  <c r="H95" i="16"/>
  <c r="N9" i="7"/>
  <c r="D98" i="16"/>
  <c r="C9" i="7" s="1"/>
  <c r="J66" i="16"/>
  <c r="G15" i="4" s="1"/>
  <c r="E9" i="3"/>
  <c r="H16" i="4"/>
  <c r="E9"/>
  <c r="H73" i="16"/>
  <c r="D8" i="2" s="1"/>
  <c r="C9" i="4"/>
  <c r="G114" i="16"/>
  <c r="F11" i="4"/>
  <c r="G11"/>
  <c r="F116" i="16"/>
  <c r="F97"/>
  <c r="F95" s="1"/>
  <c r="E8" i="6"/>
  <c r="H114" i="16"/>
  <c r="F10" i="4"/>
  <c r="G17"/>
  <c r="D11" i="7"/>
  <c r="L7" i="6"/>
  <c r="D83" i="16" l="1"/>
  <c r="C7" i="6" s="1"/>
  <c r="H65" i="16"/>
  <c r="H63" s="1"/>
  <c r="H70" s="1"/>
  <c r="H85" s="1"/>
  <c r="H86" s="1"/>
  <c r="G7" i="6"/>
  <c r="I7"/>
  <c r="I82" i="16"/>
  <c r="F72"/>
  <c r="F85"/>
  <c r="F86" s="1"/>
  <c r="K66"/>
  <c r="D17" i="7"/>
  <c r="E107" i="16"/>
  <c r="F6" i="7"/>
  <c r="G6" i="6"/>
  <c r="H104" i="16"/>
  <c r="I116"/>
  <c r="I97"/>
  <c r="E5" i="8"/>
  <c r="C22" i="4"/>
  <c r="F125" i="16"/>
  <c r="D16" i="8" s="1"/>
  <c r="F103" i="16"/>
  <c r="D14" i="4"/>
  <c r="F6" i="6"/>
  <c r="G104" i="16"/>
  <c r="C12" i="4"/>
  <c r="E8" i="7"/>
  <c r="I54" i="16"/>
  <c r="I65" s="1"/>
  <c r="H5" i="4"/>
  <c r="K71" i="16"/>
  <c r="H20" i="4" s="1"/>
  <c r="E8" i="3"/>
  <c r="D48" i="16"/>
  <c r="D8" i="3" s="1"/>
  <c r="G10" i="4"/>
  <c r="D7" i="8"/>
  <c r="F114" i="16"/>
  <c r="I6" i="4"/>
  <c r="L56" i="16"/>
  <c r="I16" i="4"/>
  <c r="L66" i="16"/>
  <c r="G6" i="7"/>
  <c r="E22" i="4"/>
  <c r="H125" i="16"/>
  <c r="F16" i="8" s="1"/>
  <c r="H103" i="16"/>
  <c r="I7" i="4"/>
  <c r="H17"/>
  <c r="F9"/>
  <c r="I73" i="16"/>
  <c r="H18" i="4"/>
  <c r="E6" i="6"/>
  <c r="F104" i="16"/>
  <c r="F5" i="8"/>
  <c r="H15" i="4" l="1"/>
  <c r="K70" i="16"/>
  <c r="I15" i="4"/>
  <c r="L70" i="16"/>
  <c r="F87"/>
  <c r="F88" s="1"/>
  <c r="I63"/>
  <c r="I70" s="1"/>
  <c r="C19" i="4"/>
  <c r="E14" i="7"/>
  <c r="H10" i="4"/>
  <c r="H8" i="7"/>
  <c r="I95" i="16"/>
  <c r="D19" i="7"/>
  <c r="E109" i="16"/>
  <c r="G9" i="4"/>
  <c r="G7" i="8"/>
  <c r="I114" i="16"/>
  <c r="J16" i="4"/>
  <c r="I17"/>
  <c r="F15" i="7"/>
  <c r="G126" i="16"/>
  <c r="E17" i="8" s="1"/>
  <c r="I5" i="4"/>
  <c r="L71" i="16"/>
  <c r="I20" i="4" s="1"/>
  <c r="G15" i="7"/>
  <c r="H126" i="16"/>
  <c r="F17" i="8" s="1"/>
  <c r="I6" i="5"/>
  <c r="K84" i="16"/>
  <c r="K82" s="1"/>
  <c r="K81"/>
  <c r="J7" i="4"/>
  <c r="D12"/>
  <c r="G121" i="16"/>
  <c r="I18" i="4"/>
  <c r="H6" i="6"/>
  <c r="I104" i="16"/>
  <c r="J6" i="4"/>
  <c r="M56" i="16"/>
  <c r="E14" i="4"/>
  <c r="D5" i="8"/>
  <c r="D12"/>
  <c r="E15" i="7"/>
  <c r="F126" i="16"/>
  <c r="D17" i="8" s="1"/>
  <c r="G14" i="7"/>
  <c r="J54" i="16"/>
  <c r="J65" s="1"/>
  <c r="F22" i="4"/>
  <c r="I125" i="16"/>
  <c r="G16" i="8" s="1"/>
  <c r="I103" i="16"/>
  <c r="E6" i="7"/>
  <c r="D18"/>
  <c r="J63" i="16" l="1"/>
  <c r="C21" i="4"/>
  <c r="H6" i="7"/>
  <c r="I10" i="4"/>
  <c r="G5" i="8"/>
  <c r="J17" i="4"/>
  <c r="H14" i="7"/>
  <c r="D19" i="4"/>
  <c r="G85" i="16"/>
  <c r="G72"/>
  <c r="H9" i="4"/>
  <c r="K73" i="16"/>
  <c r="E9" i="6"/>
  <c r="J6" i="5"/>
  <c r="L84" i="16"/>
  <c r="L82" s="1"/>
  <c r="L81"/>
  <c r="F14" i="4"/>
  <c r="H15" i="7"/>
  <c r="I126" i="16"/>
  <c r="G17" i="8" s="1"/>
  <c r="E12"/>
  <c r="N56" i="16"/>
  <c r="K6" i="4"/>
  <c r="L7"/>
  <c r="K7"/>
  <c r="K116" i="16"/>
  <c r="K97"/>
  <c r="K16" i="4"/>
  <c r="J5"/>
  <c r="M71" i="16"/>
  <c r="J20" i="4" s="1"/>
  <c r="J8" i="6"/>
  <c r="M66" i="16"/>
  <c r="D20" i="7"/>
  <c r="E12" i="4"/>
  <c r="H121" i="16"/>
  <c r="D7" i="2"/>
  <c r="J18" i="4"/>
  <c r="N66" i="16"/>
  <c r="J15" i="4" l="1"/>
  <c r="M70" i="16"/>
  <c r="K15" i="4"/>
  <c r="N70" i="16"/>
  <c r="F9" i="6"/>
  <c r="G86" i="16"/>
  <c r="L16" i="4"/>
  <c r="L97" i="16"/>
  <c r="L116"/>
  <c r="E10" i="6"/>
  <c r="K17" i="4"/>
  <c r="L17"/>
  <c r="J10"/>
  <c r="J6" i="6"/>
  <c r="K104" i="16"/>
  <c r="K8" i="6"/>
  <c r="G14" i="4"/>
  <c r="I121" i="16"/>
  <c r="F12" i="4"/>
  <c r="J8" i="7"/>
  <c r="K95" i="16"/>
  <c r="H22" i="4"/>
  <c r="K125" i="16"/>
  <c r="K103"/>
  <c r="G15" i="8"/>
  <c r="H13"/>
  <c r="K6" i="5"/>
  <c r="M81" i="16"/>
  <c r="M84"/>
  <c r="M82" s="1"/>
  <c r="H19" i="4"/>
  <c r="K85" i="16"/>
  <c r="J9" i="6" s="1"/>
  <c r="K72" i="16"/>
  <c r="H21" i="4" s="1"/>
  <c r="I9"/>
  <c r="M73" i="16"/>
  <c r="L73"/>
  <c r="L6" i="4"/>
  <c r="O56" i="16"/>
  <c r="K18" i="4"/>
  <c r="L18"/>
  <c r="K5"/>
  <c r="N71" i="16"/>
  <c r="K20" i="4" s="1"/>
  <c r="I7" i="8"/>
  <c r="K114" i="16"/>
  <c r="H72"/>
  <c r="E21" i="4" s="1"/>
  <c r="E19"/>
  <c r="F12" i="8"/>
  <c r="D21" i="4"/>
  <c r="O66" i="16" l="1"/>
  <c r="J7" i="8"/>
  <c r="L114" i="16"/>
  <c r="K8" i="7"/>
  <c r="L95" i="16"/>
  <c r="J14" i="7"/>
  <c r="L6" i="5"/>
  <c r="N84" i="16"/>
  <c r="N82" s="1"/>
  <c r="N81"/>
  <c r="J22" i="4"/>
  <c r="M125" i="16"/>
  <c r="M103"/>
  <c r="F10" i="6"/>
  <c r="G87" i="16"/>
  <c r="G88" s="1"/>
  <c r="J6" i="7"/>
  <c r="G9" i="6"/>
  <c r="L5" i="4"/>
  <c r="O71" i="16"/>
  <c r="L20" i="4" s="1"/>
  <c r="K6" i="6"/>
  <c r="L104" i="16"/>
  <c r="K86"/>
  <c r="L8" i="6"/>
  <c r="I22" i="4"/>
  <c r="L125" i="16"/>
  <c r="L103"/>
  <c r="M97"/>
  <c r="M116"/>
  <c r="F19" i="4"/>
  <c r="I72" i="16"/>
  <c r="F21" i="4" s="1"/>
  <c r="I85" i="16"/>
  <c r="J15" i="7"/>
  <c r="K126" i="16"/>
  <c r="I17" i="8" s="1"/>
  <c r="E11" i="6"/>
  <c r="F105" i="16"/>
  <c r="F100" s="1"/>
  <c r="K10" i="4"/>
  <c r="I16" i="8"/>
  <c r="G12"/>
  <c r="F90" i="16"/>
  <c r="I5" i="8"/>
  <c r="I19" i="4"/>
  <c r="L85" i="16"/>
  <c r="L72"/>
  <c r="I21" i="4" s="1"/>
  <c r="J9"/>
  <c r="G12"/>
  <c r="J121" i="16"/>
  <c r="L15" i="4" l="1"/>
  <c r="O70" i="16"/>
  <c r="H87"/>
  <c r="D11" i="2"/>
  <c r="L10" i="4"/>
  <c r="K7" i="8"/>
  <c r="M114" i="16"/>
  <c r="F11" i="6"/>
  <c r="G105" i="16"/>
  <c r="K15" i="7"/>
  <c r="L126" i="16"/>
  <c r="J17" i="8" s="1"/>
  <c r="K6" i="7"/>
  <c r="K9" i="4"/>
  <c r="N73" i="16"/>
  <c r="J16" i="8"/>
  <c r="K9" i="6"/>
  <c r="L86" i="16"/>
  <c r="J10" i="6"/>
  <c r="K87" i="16"/>
  <c r="K88" s="1"/>
  <c r="L6" i="6"/>
  <c r="M104" i="16"/>
  <c r="M6" i="5"/>
  <c r="O84" i="16"/>
  <c r="O82" s="1"/>
  <c r="O81"/>
  <c r="J5" i="8"/>
  <c r="E12" i="6"/>
  <c r="F91" i="16"/>
  <c r="F89"/>
  <c r="H12" i="8"/>
  <c r="L14" i="7"/>
  <c r="H9" i="6"/>
  <c r="I86" i="16"/>
  <c r="K16" i="8"/>
  <c r="L8" i="7"/>
  <c r="M95" i="16"/>
  <c r="J19" i="4"/>
  <c r="M85" i="16"/>
  <c r="M72"/>
  <c r="G10" i="6"/>
  <c r="N97" i="16"/>
  <c r="N116"/>
  <c r="K14" i="7"/>
  <c r="E16"/>
  <c r="F127" i="16"/>
  <c r="M8" i="6"/>
  <c r="J21" i="4" l="1"/>
  <c r="H105" i="16"/>
  <c r="D12" i="2"/>
  <c r="O116" i="16"/>
  <c r="O97"/>
  <c r="M6" i="6"/>
  <c r="N104" i="16"/>
  <c r="K5" i="8"/>
  <c r="K10" i="6"/>
  <c r="L87" i="16"/>
  <c r="K22" i="4"/>
  <c r="N103" i="16"/>
  <c r="N125"/>
  <c r="L9" i="4"/>
  <c r="O73" i="16"/>
  <c r="K19" i="4"/>
  <c r="N85" i="16"/>
  <c r="N72"/>
  <c r="K21" i="4" s="1"/>
  <c r="N8" i="6"/>
  <c r="G11"/>
  <c r="E11" i="7"/>
  <c r="F106" i="16"/>
  <c r="J12" i="6"/>
  <c r="K89" i="16"/>
  <c r="K90"/>
  <c r="J14" i="6" s="1"/>
  <c r="K91" i="16"/>
  <c r="F12" i="6"/>
  <c r="G91" i="16"/>
  <c r="G90"/>
  <c r="F14" i="6" s="1"/>
  <c r="G89" i="16"/>
  <c r="L9" i="6"/>
  <c r="M86" i="16"/>
  <c r="F92"/>
  <c r="J11" i="6"/>
  <c r="K105" i="16"/>
  <c r="E14" i="6"/>
  <c r="L7" i="8"/>
  <c r="N114" i="16"/>
  <c r="L15" i="7"/>
  <c r="M126" i="16"/>
  <c r="H10" i="6"/>
  <c r="I87" i="16"/>
  <c r="I88" s="1"/>
  <c r="M8" i="7"/>
  <c r="N95" i="16"/>
  <c r="H88"/>
  <c r="D13" i="2" s="1"/>
  <c r="D18" i="8"/>
  <c r="F119" i="16"/>
  <c r="L6" i="7"/>
  <c r="F16"/>
  <c r="G127" i="16"/>
  <c r="G100"/>
  <c r="F108" l="1"/>
  <c r="G92"/>
  <c r="F16" i="6" s="1"/>
  <c r="K92" i="16"/>
  <c r="K93" s="1"/>
  <c r="J17" i="6" s="1"/>
  <c r="L10"/>
  <c r="M87" i="16"/>
  <c r="M88" s="1"/>
  <c r="G12" i="6"/>
  <c r="H90" i="16"/>
  <c r="H91"/>
  <c r="H89"/>
  <c r="N6" i="6"/>
  <c r="O104" i="16"/>
  <c r="L16" i="8"/>
  <c r="M14" i="7"/>
  <c r="L5" i="8"/>
  <c r="H12" i="6"/>
  <c r="I90" i="16"/>
  <c r="H14" i="6" s="1"/>
  <c r="I91" i="16"/>
  <c r="I89"/>
  <c r="M15" i="7"/>
  <c r="N126" i="16"/>
  <c r="L17" i="8" s="1"/>
  <c r="M6" i="7"/>
  <c r="M9" i="6"/>
  <c r="N86" i="16"/>
  <c r="H11" i="6"/>
  <c r="I105" i="16"/>
  <c r="I100" s="1"/>
  <c r="I106" s="1"/>
  <c r="L19" i="4"/>
  <c r="O72" i="16"/>
  <c r="O85"/>
  <c r="L22" i="4"/>
  <c r="O103" i="16"/>
  <c r="O125"/>
  <c r="N8" i="7"/>
  <c r="O95" i="16"/>
  <c r="F11" i="7"/>
  <c r="G106" i="16"/>
  <c r="E18" i="8"/>
  <c r="G119" i="16"/>
  <c r="E17" i="7"/>
  <c r="F107" i="16"/>
  <c r="M7" i="8"/>
  <c r="O114" i="16"/>
  <c r="J16" i="7"/>
  <c r="K127" i="16"/>
  <c r="K100"/>
  <c r="K17" i="8"/>
  <c r="K11" i="6"/>
  <c r="L105" i="16"/>
  <c r="D10" i="8"/>
  <c r="F128" i="16"/>
  <c r="E16" i="6"/>
  <c r="F93" i="16"/>
  <c r="G16" i="7"/>
  <c r="H127" i="16"/>
  <c r="H100"/>
  <c r="L88"/>
  <c r="G93" l="1"/>
  <c r="F17" i="6" s="1"/>
  <c r="J16"/>
  <c r="L21" i="4"/>
  <c r="H92" i="16"/>
  <c r="G16" i="6" s="1"/>
  <c r="I92" i="16"/>
  <c r="H16" i="6" s="1"/>
  <c r="N9"/>
  <c r="J11" i="7"/>
  <c r="K106" i="16"/>
  <c r="G14" i="6"/>
  <c r="F17" i="7"/>
  <c r="G108" i="16"/>
  <c r="F19" i="7" s="1"/>
  <c r="N6"/>
  <c r="L12" i="6"/>
  <c r="M91" i="16"/>
  <c r="M89"/>
  <c r="M90"/>
  <c r="L14" i="6" s="1"/>
  <c r="D19" i="8"/>
  <c r="K16" i="7"/>
  <c r="L127" i="16"/>
  <c r="L100"/>
  <c r="H16" i="7"/>
  <c r="I127" i="16"/>
  <c r="L11" i="6"/>
  <c r="M105" i="16"/>
  <c r="K12" i="6"/>
  <c r="L89" i="16"/>
  <c r="L90"/>
  <c r="K14" i="6" s="1"/>
  <c r="L91" i="16"/>
  <c r="M5" i="8"/>
  <c r="M16"/>
  <c r="N14" i="7"/>
  <c r="I18" i="8"/>
  <c r="K119" i="16"/>
  <c r="G11" i="7"/>
  <c r="H106" i="16"/>
  <c r="E18" i="7"/>
  <c r="G107" i="16"/>
  <c r="N15" i="7"/>
  <c r="O126" i="16"/>
  <c r="M17" i="8" s="1"/>
  <c r="M10" i="6"/>
  <c r="N87" i="16"/>
  <c r="E19" i="7"/>
  <c r="F109" i="16"/>
  <c r="E10" i="8"/>
  <c r="G128" i="16"/>
  <c r="E19" i="8" s="1"/>
  <c r="F18"/>
  <c r="H119" i="16"/>
  <c r="E17" i="6"/>
  <c r="F94" i="16"/>
  <c r="O86"/>
  <c r="I93" l="1"/>
  <c r="H17" i="6" s="1"/>
  <c r="H93" i="16"/>
  <c r="G17" i="6" s="1"/>
  <c r="M92" i="16"/>
  <c r="L16" i="6" s="1"/>
  <c r="L92" i="16"/>
  <c r="L93" s="1"/>
  <c r="K17" i="6" s="1"/>
  <c r="L16" i="7"/>
  <c r="M127" i="16"/>
  <c r="M100"/>
  <c r="J17" i="7"/>
  <c r="K108" i="16"/>
  <c r="J19" i="7" s="1"/>
  <c r="J18" i="8"/>
  <c r="L119" i="16"/>
  <c r="F18" i="7"/>
  <c r="H107" i="16"/>
  <c r="G18" i="8"/>
  <c r="I119" i="16"/>
  <c r="G17" i="7"/>
  <c r="H108" i="16"/>
  <c r="E18" i="6"/>
  <c r="G94" i="16"/>
  <c r="H11" i="7"/>
  <c r="E20"/>
  <c r="G109" i="16"/>
  <c r="F10" i="8"/>
  <c r="H128" i="16"/>
  <c r="I10" i="8"/>
  <c r="K128" i="16"/>
  <c r="I19" i="8" s="1"/>
  <c r="K11" i="7"/>
  <c r="L106" i="16"/>
  <c r="N10" i="6"/>
  <c r="O87" i="16"/>
  <c r="M11" i="6"/>
  <c r="N105" i="16"/>
  <c r="N88"/>
  <c r="M93" l="1"/>
  <c r="L17" i="6" s="1"/>
  <c r="K16"/>
  <c r="G19" i="7"/>
  <c r="L11"/>
  <c r="M106" i="16"/>
  <c r="K17" i="7"/>
  <c r="L108" i="16"/>
  <c r="K19" i="7" s="1"/>
  <c r="F20"/>
  <c r="H109" i="16"/>
  <c r="K18" i="8"/>
  <c r="M119" i="16"/>
  <c r="M16" i="7"/>
  <c r="N127" i="16"/>
  <c r="N100"/>
  <c r="N11" i="6"/>
  <c r="O105" i="16"/>
  <c r="M12" i="6"/>
  <c r="N91" i="16"/>
  <c r="N90"/>
  <c r="N89"/>
  <c r="F19" i="8"/>
  <c r="G10"/>
  <c r="I128" i="16"/>
  <c r="H17" i="7"/>
  <c r="I108" i="16"/>
  <c r="H19" i="7" s="1"/>
  <c r="G18"/>
  <c r="I107" i="16"/>
  <c r="O88"/>
  <c r="F18" i="6"/>
  <c r="H94" i="16"/>
  <c r="J10" i="8"/>
  <c r="L128" i="16"/>
  <c r="J19" i="8" s="1"/>
  <c r="N92" i="16" l="1"/>
  <c r="M16" i="6" s="1"/>
  <c r="G18"/>
  <c r="I94" i="16"/>
  <c r="K10" i="8"/>
  <c r="M128" i="16"/>
  <c r="K19" i="8" s="1"/>
  <c r="G19"/>
  <c r="L18"/>
  <c r="N119" i="16"/>
  <c r="L17" i="7"/>
  <c r="M108" i="16"/>
  <c r="L19" i="7" s="1"/>
  <c r="N16"/>
  <c r="O127" i="16"/>
  <c r="O100"/>
  <c r="M11" i="7"/>
  <c r="N106" i="16"/>
  <c r="N108" s="1"/>
  <c r="N12" i="6"/>
  <c r="O91" i="16"/>
  <c r="O89"/>
  <c r="O90"/>
  <c r="N14" i="6" s="1"/>
  <c r="G20" i="7"/>
  <c r="I109" i="16"/>
  <c r="H18" i="7"/>
  <c r="M14" i="6"/>
  <c r="N93" i="16" l="1"/>
  <c r="M17" i="6" s="1"/>
  <c r="O92" i="16"/>
  <c r="O93" s="1"/>
  <c r="H18" i="6"/>
  <c r="M18" i="8"/>
  <c r="O119" i="16"/>
  <c r="M17" i="7"/>
  <c r="N11"/>
  <c r="O106" i="16"/>
  <c r="H20" i="7"/>
  <c r="L10" i="8"/>
  <c r="N128" i="16"/>
  <c r="N16" i="6" l="1"/>
  <c r="L19" i="8"/>
  <c r="M19" i="7"/>
  <c r="N17"/>
  <c r="O108" i="16"/>
  <c r="M10" i="8"/>
  <c r="O128" i="16"/>
  <c r="N17" i="6"/>
  <c r="N19" i="7" l="1"/>
  <c r="G7" i="4"/>
  <c r="J56" i="16"/>
  <c r="J70" s="1"/>
  <c r="M19" i="8"/>
  <c r="G5" i="4" l="1"/>
  <c r="J71" i="16"/>
  <c r="D75"/>
  <c r="J73"/>
  <c r="D73" s="1"/>
  <c r="D70"/>
  <c r="G20" i="4" l="1"/>
  <c r="D71" i="16"/>
  <c r="G19" i="4"/>
  <c r="J72" i="16"/>
  <c r="J85"/>
  <c r="J125"/>
  <c r="G22" i="4"/>
  <c r="J103" i="16"/>
  <c r="D103" s="1"/>
  <c r="C14" i="7" s="1"/>
  <c r="J81" i="16"/>
  <c r="D81" s="1"/>
  <c r="J84"/>
  <c r="H6" i="5"/>
  <c r="D84" i="16" l="1"/>
  <c r="C8" i="6" s="1"/>
  <c r="J82" i="16"/>
  <c r="D82" s="1"/>
  <c r="C6" i="6" s="1"/>
  <c r="G21" i="4"/>
  <c r="D72" i="16"/>
  <c r="I9" i="6"/>
  <c r="D85" i="16"/>
  <c r="C9" i="6" s="1"/>
  <c r="J116" i="16"/>
  <c r="J97"/>
  <c r="D97" s="1"/>
  <c r="C8" i="7" s="1"/>
  <c r="I8" i="6"/>
  <c r="I14" i="7"/>
  <c r="H16" i="8"/>
  <c r="D27" i="2" l="1"/>
  <c r="J104" i="16"/>
  <c r="I6" i="6"/>
  <c r="J95" i="16"/>
  <c r="D95" s="1"/>
  <c r="C6" i="7" s="1"/>
  <c r="I8"/>
  <c r="J86" i="16"/>
  <c r="D86" s="1"/>
  <c r="H7" i="8"/>
  <c r="J114" i="16"/>
  <c r="D19" i="2" l="1"/>
  <c r="D15"/>
  <c r="D18"/>
  <c r="D14"/>
  <c r="D16"/>
  <c r="D17"/>
  <c r="C10" i="6"/>
  <c r="D104" i="16"/>
  <c r="C15" i="7" s="1"/>
  <c r="I6"/>
  <c r="H5" i="8"/>
  <c r="J87" i="16"/>
  <c r="D87" s="1"/>
  <c r="I10" i="6"/>
  <c r="I15" i="7"/>
  <c r="J126" i="16"/>
  <c r="C11" i="6" l="1"/>
  <c r="H17" i="8"/>
  <c r="J88" i="16"/>
  <c r="D88" s="1"/>
  <c r="D20" i="2" s="1"/>
  <c r="J105" i="16"/>
  <c r="I11" i="6"/>
  <c r="C12" l="1"/>
  <c r="D105" i="16"/>
  <c r="C16" i="7" s="1"/>
  <c r="J100" i="16"/>
  <c r="I16" i="7"/>
  <c r="J127" i="16"/>
  <c r="J90"/>
  <c r="J91"/>
  <c r="D91" s="1"/>
  <c r="J89"/>
  <c r="D89" s="1"/>
  <c r="I12" i="6"/>
  <c r="J92" i="16" l="1"/>
  <c r="D92" s="1"/>
  <c r="C16" i="6" s="1"/>
  <c r="I14"/>
  <c r="D90" i="16"/>
  <c r="C14" i="6" s="1"/>
  <c r="H18" i="8"/>
  <c r="J119" i="16"/>
  <c r="I11" i="7"/>
  <c r="D100" i="16"/>
  <c r="C11" i="7" s="1"/>
  <c r="J106" i="16"/>
  <c r="D111" s="1"/>
  <c r="I16" i="6" l="1"/>
  <c r="J93" i="16"/>
  <c r="D93" s="1"/>
  <c r="C17" i="6" s="1"/>
  <c r="D112" i="16"/>
  <c r="D106"/>
  <c r="C17" i="7" s="1"/>
  <c r="D21" i="2"/>
  <c r="J107" i="16"/>
  <c r="J108"/>
  <c r="E111" s="1"/>
  <c r="I17" i="7"/>
  <c r="H10" i="8"/>
  <c r="J128" i="16"/>
  <c r="C23" i="7" l="1"/>
  <c r="Q11" s="1"/>
  <c r="D23" i="2"/>
  <c r="C22" i="7"/>
  <c r="Q10" s="1"/>
  <c r="T4" i="16"/>
  <c r="T10" s="1"/>
  <c r="J94"/>
  <c r="I18" i="6" s="1"/>
  <c r="I17"/>
  <c r="H19" i="8"/>
  <c r="E112" i="16"/>
  <c r="I19" i="7"/>
  <c r="J109" i="16"/>
  <c r="K107"/>
  <c r="I18" i="7"/>
  <c r="D22" l="1"/>
  <c r="R10" s="1"/>
  <c r="D22" i="2"/>
  <c r="D23" i="7"/>
  <c r="R11" s="1"/>
  <c r="D24" i="2"/>
  <c r="T26" i="16"/>
  <c r="V34" s="1"/>
  <c r="T22"/>
  <c r="W34" s="1"/>
  <c r="T18"/>
  <c r="U34" s="1"/>
  <c r="T14"/>
  <c r="T34" s="1"/>
  <c r="T16"/>
  <c r="T36" s="1"/>
  <c r="T15"/>
  <c r="T35" s="1"/>
  <c r="T29"/>
  <c r="V37" s="1"/>
  <c r="T25"/>
  <c r="W37" s="1"/>
  <c r="T21"/>
  <c r="U37" s="1"/>
  <c r="T17"/>
  <c r="T37" s="1"/>
  <c r="T13"/>
  <c r="S37" s="1"/>
  <c r="T28"/>
  <c r="V36" s="1"/>
  <c r="T24"/>
  <c r="W36" s="1"/>
  <c r="T20"/>
  <c r="U36" s="1"/>
  <c r="T12"/>
  <c r="S36" s="1"/>
  <c r="T27"/>
  <c r="V35" s="1"/>
  <c r="T23"/>
  <c r="W35" s="1"/>
  <c r="T19"/>
  <c r="U35" s="1"/>
  <c r="T11"/>
  <c r="S35" s="1"/>
  <c r="K94"/>
  <c r="J18" i="6" s="1"/>
  <c r="I20" i="7"/>
  <c r="K109" i="16"/>
  <c r="L107"/>
  <c r="J18" i="7"/>
  <c r="U22" i="16" l="1"/>
  <c r="W38"/>
  <c r="U18"/>
  <c r="V38"/>
  <c r="T38"/>
  <c r="U38"/>
  <c r="U14"/>
  <c r="U26"/>
  <c r="U10"/>
  <c r="S34"/>
  <c r="S38" s="1"/>
  <c r="L94"/>
  <c r="M94" s="1"/>
  <c r="L109"/>
  <c r="J20" i="7"/>
  <c r="K18"/>
  <c r="M107" i="16"/>
  <c r="N107" s="1"/>
  <c r="T62" l="1"/>
  <c r="T61"/>
  <c r="W14"/>
  <c r="K18" i="6"/>
  <c r="L18" i="7"/>
  <c r="K20"/>
  <c r="M109" i="16"/>
  <c r="N94"/>
  <c r="L18" i="6"/>
  <c r="T63" i="16" l="1"/>
  <c r="N109"/>
  <c r="L20" i="7"/>
  <c r="M18"/>
  <c r="O107" i="16"/>
  <c r="D113" s="1" a="1"/>
  <c r="D113" s="1"/>
  <c r="M18" i="6"/>
  <c r="O94" i="16"/>
  <c r="N18" i="6" s="1"/>
  <c r="T5" i="16" l="1"/>
  <c r="D25" i="2"/>
  <c r="N18" i="7"/>
  <c r="O109" i="16"/>
  <c r="E113" s="1" a="1"/>
  <c r="E113" s="1"/>
  <c r="M20" i="7"/>
  <c r="N20" l="1"/>
  <c r="D26" i="2"/>
  <c r="C24" i="7"/>
  <c r="Q12" s="1"/>
  <c r="D24" l="1"/>
  <c r="R12" s="1"/>
  <c r="E120" i="16" l="1"/>
  <c r="D14" i="3"/>
  <c r="D13" s="1"/>
  <c r="C11" i="8" l="1"/>
  <c r="E119" i="16"/>
  <c r="E128" s="1"/>
  <c r="D130" s="1"/>
  <c r="C21" i="8" l="1"/>
  <c r="C10"/>
  <c r="D129" i="16"/>
  <c r="C20" i="8" s="1"/>
  <c r="C19"/>
</calcChain>
</file>

<file path=xl/comments1.xml><?xml version="1.0" encoding="utf-8"?>
<comments xmlns="http://schemas.openxmlformats.org/spreadsheetml/2006/main">
  <authors>
    <author>微软用户</author>
    <author>xbany</author>
    <author>lenovo</author>
    <author>Administrator</author>
  </authors>
  <commentList>
    <comment ref="D10" authorId="0">
      <text>
        <r>
          <rPr>
            <b/>
            <sz val="9"/>
            <rFont val="宋体"/>
            <family val="3"/>
            <charset val="134"/>
          </rPr>
          <t xml:space="preserve">1700X:
</t>
        </r>
        <r>
          <rPr>
            <sz val="9"/>
            <rFont val="宋体"/>
            <family val="3"/>
            <charset val="134"/>
          </rPr>
          <t>含建设期（无产出年）利息；</t>
        </r>
      </text>
    </comment>
    <comment ref="D11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含建设期（无产出年）利息准备；</t>
        </r>
      </text>
    </comment>
    <comment ref="C38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此项为煤、油、气与水、电、汽等</t>
        </r>
      </text>
    </comment>
    <comment ref="C45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1700X:
</t>
        </r>
        <r>
          <rPr>
            <sz val="9"/>
            <color indexed="81"/>
            <rFont val="宋体"/>
            <family val="3"/>
            <charset val="134"/>
          </rPr>
          <t>固定资产投入中的设备投入分两阶段：
建设期——设备投入的60%；
第3年——设备投入的40%。</t>
        </r>
      </text>
    </comment>
    <comment ref="E45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1700X:
</t>
        </r>
        <r>
          <rPr>
            <sz val="9"/>
            <color indexed="81"/>
            <rFont val="宋体"/>
            <family val="3"/>
            <charset val="134"/>
          </rPr>
          <t xml:space="preserve">建设期设备投入60%
</t>
        </r>
      </text>
    </comment>
    <comment ref="G45" authorId="1">
      <text>
        <r>
          <rPr>
            <b/>
            <sz val="9"/>
            <color indexed="81"/>
            <rFont val="宋体"/>
            <family val="3"/>
            <charset val="134"/>
          </rPr>
          <t xml:space="preserve">1700X:
</t>
        </r>
        <r>
          <rPr>
            <sz val="9"/>
            <color indexed="81"/>
            <rFont val="宋体"/>
            <family val="3"/>
            <charset val="134"/>
          </rPr>
          <t xml:space="preserve">第3年设备投入40%。
</t>
        </r>
      </text>
    </comment>
    <comment ref="C52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不含铺底流动资金贷款；</t>
        </r>
      </text>
    </comment>
    <comment ref="J54" author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年底还本付息</t>
        </r>
      </text>
    </comment>
    <comment ref="C57" authorId="2">
      <text>
        <r>
          <rPr>
            <b/>
            <sz val="9"/>
            <rFont val="宋体"/>
            <family val="3"/>
            <charset val="134"/>
          </rPr>
          <t xml:space="preserve">1700X：
</t>
        </r>
        <r>
          <rPr>
            <sz val="9"/>
            <rFont val="宋体"/>
            <family val="3"/>
            <charset val="134"/>
          </rPr>
          <t>此项为主要材料费用</t>
        </r>
      </text>
    </comment>
    <comment ref="C58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此项为煤、油、气与水、电、汽等</t>
        </r>
      </text>
    </comment>
    <comment ref="C65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不含铺底流动资金贷款利息</t>
        </r>
      </text>
    </comment>
    <comment ref="C66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不含上述已经列明的费用；</t>
        </r>
      </text>
    </comment>
    <comment ref="C73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付现成本</t>
        </r>
      </text>
    </comment>
    <comment ref="C76" authorId="2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城市维护建设税按增值税税额的7％计算，教育费附加按增值税税额的3％计算。</t>
        </r>
      </text>
    </comment>
    <comment ref="C79" authorId="3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销售收入*0.03%</t>
        </r>
      </text>
    </comment>
    <comment ref="O99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流动资金回收含在营业收入中</t>
        </r>
      </text>
    </comment>
    <comment ref="C120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含有建设期（无产出年）利息</t>
        </r>
      </text>
    </comment>
    <comment ref="C121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利息支出,不含建设期利息</t>
        </r>
      </text>
    </comment>
    <comment ref="C124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不含铺底流动资金贷款本金偿还</t>
        </r>
      </text>
    </comment>
    <comment ref="C125" authorId="0">
      <text>
        <r>
          <rPr>
            <b/>
            <sz val="9"/>
            <rFont val="宋体"/>
            <family val="3"/>
            <charset val="134"/>
          </rPr>
          <t>1700X:</t>
        </r>
        <r>
          <rPr>
            <sz val="9"/>
            <rFont val="宋体"/>
            <family val="3"/>
            <charset val="134"/>
          </rPr>
          <t xml:space="preserve">
付现成本</t>
        </r>
      </text>
    </comment>
  </commentList>
</comments>
</file>

<file path=xl/sharedStrings.xml><?xml version="1.0" encoding="utf-8"?>
<sst xmlns="http://schemas.openxmlformats.org/spreadsheetml/2006/main" count="482" uniqueCount="361">
  <si>
    <t>项目基本要素</t>
  </si>
  <si>
    <t>总   项</t>
  </si>
  <si>
    <t>序号</t>
  </si>
  <si>
    <t>项目名称</t>
  </si>
  <si>
    <t>数量</t>
  </si>
  <si>
    <t>固定资产投资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</si>
  <si>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固定资产建设投资</t>
    </r>
  </si>
  <si>
    <t>项  目</t>
  </si>
  <si>
    <t>固定资产</t>
  </si>
  <si>
    <t>其他</t>
  </si>
  <si>
    <t>基建投资</t>
  </si>
  <si>
    <t>变化范围</t>
  </si>
  <si>
    <t>收益率</t>
  </si>
  <si>
    <t>增减比例</t>
  </si>
  <si>
    <t>增减幅度</t>
  </si>
  <si>
    <t>回收期</t>
  </si>
  <si>
    <t>回收期差距</t>
  </si>
  <si>
    <t>设备投资</t>
  </si>
  <si>
    <t>摊销</t>
  </si>
  <si>
    <t>土地费用</t>
  </si>
  <si>
    <t>征地费</t>
  </si>
  <si>
    <t>其他费用</t>
  </si>
  <si>
    <t>折旧</t>
  </si>
  <si>
    <t>铺底流动资金</t>
  </si>
  <si>
    <t>设备费用</t>
  </si>
  <si>
    <t>项目总投资</t>
  </si>
  <si>
    <t>销售收入</t>
  </si>
  <si>
    <t>资金来源</t>
  </si>
  <si>
    <t>自筹资本金</t>
  </si>
  <si>
    <t>银行贷款</t>
  </si>
  <si>
    <t>修理费</t>
  </si>
  <si>
    <t>短期贷款</t>
  </si>
  <si>
    <t>长期贷款</t>
  </si>
  <si>
    <t>经营成本</t>
  </si>
  <si>
    <t>工资与福利</t>
  </si>
  <si>
    <t>工资及福利费</t>
  </si>
  <si>
    <t>生产人员（人数）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</si>
  <si>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销售费用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</si>
  <si>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管理费用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</si>
  <si>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研发费用</t>
    </r>
  </si>
  <si>
    <t>月工资（万元）</t>
  </si>
  <si>
    <t>福利系数（%）</t>
  </si>
  <si>
    <t>直接成本</t>
  </si>
  <si>
    <t>财务参数</t>
  </si>
  <si>
    <t>短期贷款利率</t>
  </si>
  <si>
    <t>长期贷款利率</t>
  </si>
  <si>
    <t>奖励及福利基金</t>
  </si>
  <si>
    <t>所得税率</t>
  </si>
  <si>
    <t>税后</t>
  </si>
  <si>
    <t>税前</t>
  </si>
  <si>
    <t>增值税退税率</t>
  </si>
  <si>
    <t>财务内部收益率</t>
  </si>
  <si>
    <t>收入补贴率</t>
  </si>
  <si>
    <t>净现值</t>
  </si>
  <si>
    <t>盈余公积金</t>
  </si>
  <si>
    <t>投资回收期</t>
  </si>
  <si>
    <t>公益金</t>
  </si>
  <si>
    <t>贴现率</t>
  </si>
  <si>
    <t>偏差幅度</t>
  </si>
  <si>
    <t>从价消费税率</t>
  </si>
  <si>
    <t>主要材料年采购</t>
  </si>
  <si>
    <t>税金及附加</t>
  </si>
  <si>
    <t>所得税</t>
  </si>
  <si>
    <t>辅助材料年采购</t>
  </si>
  <si>
    <t>税后财务内部收益率</t>
  </si>
  <si>
    <t>燃料及动力费</t>
  </si>
  <si>
    <t>铺底比率</t>
  </si>
  <si>
    <t>流动资金</t>
  </si>
  <si>
    <t>建设期</t>
  </si>
  <si>
    <t>生产经营期</t>
  </si>
  <si>
    <t>项目投入总资金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</si>
  <si>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流动资金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</si>
  <si>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投资方向调节税</t>
    </r>
  </si>
  <si>
    <t>资金筹措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</si>
  <si>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项目总投资</t>
    </r>
  </si>
  <si>
    <t>2.1.1</t>
  </si>
  <si>
    <r>
      <rPr>
        <sz val="10"/>
        <color indexed="8"/>
        <rFont val="Calibri"/>
        <family val="2"/>
      </rPr>
      <t xml:space="preserve">   </t>
    </r>
    <r>
      <rPr>
        <sz val="10"/>
        <color indexed="8"/>
        <rFont val="宋体"/>
        <family val="3"/>
        <charset val="134"/>
      </rPr>
      <t>固定资产建设投资</t>
    </r>
  </si>
  <si>
    <t>2.1.2</t>
  </si>
  <si>
    <r>
      <rPr>
        <sz val="10"/>
        <color indexed="8"/>
        <rFont val="Calibri"/>
        <family val="2"/>
      </rPr>
      <t xml:space="preserve">   </t>
    </r>
    <r>
      <rPr>
        <sz val="10"/>
        <color indexed="8"/>
        <rFont val="宋体"/>
        <family val="3"/>
        <charset val="134"/>
      </rPr>
      <t>铺底流动资金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</si>
  <si>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流动资金贷款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</si>
  <si>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当期流动资金贷款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</si>
  <si>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累积流动资金贷款</t>
    </r>
  </si>
  <si>
    <t>生产负荷</t>
  </si>
  <si>
    <t>回收期差别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</si>
  <si>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燃料及动力费</t>
    </r>
  </si>
  <si>
    <t>折旧费</t>
  </si>
  <si>
    <t>摊销费</t>
  </si>
  <si>
    <t>利息支出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</si>
  <si>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总投资贷款利息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</si>
  <si>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流动资金贷款利息</t>
    </r>
  </si>
  <si>
    <t>经营管理费用</t>
  </si>
  <si>
    <t>总成本费用</t>
  </si>
  <si>
    <t>可变成本</t>
  </si>
  <si>
    <t>固定成本</t>
  </si>
  <si>
    <t>销售税金及附加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</si>
  <si>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城市维护建设税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</si>
  <si>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教育费附加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</si>
  <si>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印花税</t>
    </r>
  </si>
  <si>
    <t>退税及补贴</t>
  </si>
  <si>
    <t>应缴增值税、税金及附加</t>
  </si>
  <si>
    <t>利润总额</t>
  </si>
  <si>
    <t>税后利润</t>
  </si>
  <si>
    <t>盈余公益金</t>
  </si>
  <si>
    <t>可供投资者分配的利润</t>
  </si>
  <si>
    <t>未分配利润</t>
  </si>
  <si>
    <t>累计未分配利润</t>
  </si>
  <si>
    <t>项目财务现金流量表</t>
  </si>
  <si>
    <t>现金流入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</si>
  <si>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退税及补贴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</si>
  <si>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回收固定资产余值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</si>
  <si>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回收流动资金</t>
    </r>
  </si>
  <si>
    <t>现金流出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</si>
  <si>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固定资产投资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</si>
  <si>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经营成本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</si>
  <si>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所得税</t>
    </r>
  </si>
  <si>
    <t>税后净现金流量</t>
  </si>
  <si>
    <t>累计税后净现金流量</t>
  </si>
  <si>
    <t>税前净现金流量</t>
  </si>
  <si>
    <t>累计税前净现金流量</t>
  </si>
  <si>
    <r>
      <rPr>
        <sz val="10"/>
        <color rgb="FF000000"/>
        <rFont val="宋体"/>
        <family val="3"/>
        <charset val="134"/>
      </rPr>
      <t>净现值</t>
    </r>
    <r>
      <rPr>
        <sz val="10"/>
        <color rgb="FF000000"/>
        <rFont val="Calibri"/>
        <family val="2"/>
      </rPr>
      <t>(ic=12%)</t>
    </r>
  </si>
  <si>
    <t>项目资本金财务现金流量表</t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</si>
  <si>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项目资本金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</si>
  <si>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借款利息支付</t>
    </r>
  </si>
  <si>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宋体"/>
        <family val="3"/>
        <charset val="134"/>
      </rPr>
      <t>借款本金偿还</t>
    </r>
  </si>
  <si>
    <t>2.3.1</t>
  </si>
  <si>
    <r>
      <rPr>
        <sz val="10"/>
        <color indexed="8"/>
        <rFont val="Calibri"/>
        <family val="2"/>
      </rPr>
      <t xml:space="preserve">  </t>
    </r>
    <r>
      <rPr>
        <sz val="10"/>
        <color indexed="8"/>
        <rFont val="宋体"/>
        <family val="3"/>
        <charset val="134"/>
      </rPr>
      <t>总投资借款本金偿还</t>
    </r>
  </si>
  <si>
    <t>运营第5年</t>
  </si>
  <si>
    <t>2.3.2</t>
  </si>
  <si>
    <r>
      <rPr>
        <sz val="10"/>
        <color indexed="8"/>
        <rFont val="Calibri"/>
        <family val="2"/>
      </rPr>
      <t xml:space="preserve">  </t>
    </r>
    <r>
      <rPr>
        <sz val="10"/>
        <color indexed="8"/>
        <rFont val="宋体"/>
        <family val="3"/>
        <charset val="134"/>
      </rPr>
      <t>流动资金借款本金偿还</t>
    </r>
  </si>
  <si>
    <r>
      <rPr>
        <sz val="10"/>
        <color rgb="FF000000"/>
        <rFont val="宋体"/>
        <family val="3"/>
        <charset val="134"/>
      </rPr>
      <t>税后财务净现值</t>
    </r>
    <r>
      <rPr>
        <sz val="10"/>
        <color rgb="FF000000"/>
        <rFont val="Calibri"/>
        <family val="2"/>
      </rPr>
      <t>(i=12%)</t>
    </r>
  </si>
  <si>
    <t>数值</t>
  </si>
  <si>
    <t>预备费</t>
  </si>
  <si>
    <t>项目财务评价主要数据汇总表</t>
  </si>
  <si>
    <t>名称</t>
  </si>
  <si>
    <t>单位</t>
  </si>
  <si>
    <t>备注</t>
  </si>
  <si>
    <t>万元</t>
  </si>
  <si>
    <t>投资额</t>
  </si>
  <si>
    <t>所占比例</t>
  </si>
  <si>
    <t>土建工程费（含配套设施）</t>
  </si>
  <si>
    <t>设备投资费（含设备安装费）</t>
  </si>
  <si>
    <t>固定资产投资合计</t>
  </si>
  <si>
    <t>年营业收入（正常年份）</t>
  </si>
  <si>
    <t>年总成本费用（正常年份）</t>
  </si>
  <si>
    <t>年经营成本（正常年份）</t>
  </si>
  <si>
    <t>年应缴增值税（正常年份）</t>
  </si>
  <si>
    <t>年销售税金及附加（正常年份）</t>
  </si>
  <si>
    <t>年利润总额（正常年份）</t>
  </si>
  <si>
    <t>所得税（正常年份）</t>
  </si>
  <si>
    <t>年税后利润（正常年份）</t>
  </si>
  <si>
    <t>投资利润率（％）</t>
  </si>
  <si>
    <t>％</t>
  </si>
  <si>
    <t>投资利税率（％）</t>
  </si>
  <si>
    <t>资本金投资利润率（％）</t>
  </si>
  <si>
    <t>资本金投资利税率（％）</t>
  </si>
  <si>
    <t>销售利润率（％）</t>
  </si>
  <si>
    <t>税后财务内部收益率（全部投资）</t>
  </si>
  <si>
    <t>税前财务内部收益率（全部投资）</t>
  </si>
  <si>
    <t>税后财务净现值FNPV（ic=12%）</t>
  </si>
  <si>
    <t>税前财务净现值FNPV（ic=12%）</t>
  </si>
  <si>
    <t>税后投资回收期</t>
  </si>
  <si>
    <t>年</t>
  </si>
  <si>
    <t>含建设期1年</t>
  </si>
  <si>
    <t>税前投资回收期</t>
  </si>
  <si>
    <t>盈亏平衡点（生产能力利用率）</t>
  </si>
  <si>
    <t>利率</t>
  </si>
  <si>
    <t>合计</t>
  </si>
  <si>
    <t>项目总投资来源</t>
  </si>
  <si>
    <t>总　成　本　费　用　估　算　表（单位:万元）</t>
  </si>
  <si>
    <t>项 目</t>
  </si>
  <si>
    <t>生 产 经 营 期</t>
  </si>
  <si>
    <t>表9-1 主要原辅材料和动力成本表</t>
  </si>
  <si>
    <t>表9-3 营业收入、销售税金及附加估算表</t>
  </si>
  <si>
    <t>损益和利润分配表</t>
  </si>
  <si>
    <t>项　目</t>
  </si>
  <si>
    <t>合　计</t>
  </si>
  <si>
    <t>项　　目</t>
  </si>
  <si>
    <t>表9-5 财务评价指标一览表</t>
  </si>
  <si>
    <t>指标</t>
  </si>
  <si>
    <t>内部收益率</t>
  </si>
  <si>
    <t>表9-7 项目资本金财务现金流量表（单位：万元）</t>
  </si>
  <si>
    <t>税后财务内部收益率</t>
    <phoneticPr fontId="40" type="noConversion"/>
  </si>
  <si>
    <t>税后投资回收期（年）</t>
    <phoneticPr fontId="40" type="noConversion"/>
  </si>
  <si>
    <t>合计</t>
    <phoneticPr fontId="40" type="noConversion"/>
  </si>
  <si>
    <t>工资福利</t>
    <phoneticPr fontId="40" type="noConversion"/>
  </si>
  <si>
    <t>经营管理费用</t>
    <phoneticPr fontId="40" type="noConversion"/>
  </si>
  <si>
    <t>敏感性分析——税后财务内部收益率与回收期指标</t>
    <phoneticPr fontId="40" type="noConversion"/>
  </si>
  <si>
    <t>敏感性分析——税后财务内部收益率</t>
    <phoneticPr fontId="40" type="noConversion"/>
  </si>
  <si>
    <t>敏感性分析——税后投资回收期</t>
    <phoneticPr fontId="40" type="noConversion"/>
  </si>
  <si>
    <t>最长投资回收期</t>
  </si>
  <si>
    <t>最短投资回收期</t>
  </si>
  <si>
    <r>
      <t>-10%</t>
    </r>
    <r>
      <rPr>
        <sz val="11"/>
        <rFont val="楷体"/>
        <family val="3"/>
        <charset val="134"/>
      </rPr>
      <t>至</t>
    </r>
    <r>
      <rPr>
        <sz val="11"/>
        <rFont val="Calibri"/>
        <family val="2"/>
      </rPr>
      <t>+10%</t>
    </r>
    <r>
      <rPr>
        <sz val="11"/>
        <rFont val="楷体"/>
        <family val="3"/>
        <charset val="134"/>
      </rPr>
      <t>变化</t>
    </r>
    <phoneticPr fontId="40" type="noConversion"/>
  </si>
  <si>
    <t>综合增值税率</t>
    <phoneticPr fontId="40" type="noConversion"/>
  </si>
  <si>
    <t>综合增值税、税金及附加</t>
    <phoneticPr fontId="40" type="noConversion"/>
  </si>
  <si>
    <t>综合增值税</t>
    <phoneticPr fontId="40" type="noConversion"/>
  </si>
  <si>
    <r>
      <t xml:space="preserve"> </t>
    </r>
    <r>
      <rPr>
        <sz val="10"/>
        <color indexed="8"/>
        <rFont val="宋体"/>
        <family val="3"/>
        <charset val="134"/>
      </rPr>
      <t>外购原</t>
    </r>
    <r>
      <rPr>
        <sz val="10"/>
        <color indexed="8"/>
        <rFont val="宋体"/>
        <family val="3"/>
        <charset val="134"/>
      </rPr>
      <t>材</t>
    </r>
    <r>
      <rPr>
        <sz val="10"/>
        <color indexed="8"/>
        <rFont val="宋体"/>
        <family val="3"/>
        <charset val="134"/>
      </rPr>
      <t>料</t>
    </r>
    <phoneticPr fontId="40" type="noConversion"/>
  </si>
  <si>
    <t>单价     （元/㎡）</t>
  </si>
  <si>
    <t>金额    （万元）</t>
  </si>
  <si>
    <t>备  注</t>
  </si>
  <si>
    <t>产品名称</t>
  </si>
  <si>
    <t>产能（万）</t>
  </si>
  <si>
    <t>销售量 （万）</t>
  </si>
  <si>
    <t>单位          销售均价</t>
  </si>
  <si>
    <t>销售收入（万元）</t>
  </si>
  <si>
    <r>
      <rPr>
        <sz val="10"/>
        <color theme="1"/>
        <rFont val="楷体"/>
        <family val="3"/>
        <charset val="134"/>
      </rPr>
      <t>合计</t>
    </r>
  </si>
  <si>
    <t>设备名称</t>
  </si>
  <si>
    <t>数量     （台套）</t>
  </si>
  <si>
    <t>单价          （万元/台套）</t>
  </si>
  <si>
    <t>小计     （万元）</t>
  </si>
  <si>
    <t>数 额</t>
    <phoneticPr fontId="5" type="noConversion"/>
  </si>
  <si>
    <t>土地税率(%)</t>
    <phoneticPr fontId="5" type="noConversion"/>
  </si>
  <si>
    <t>印花税(%)</t>
    <phoneticPr fontId="5" type="noConversion"/>
  </si>
  <si>
    <t>类别</t>
    <phoneticPr fontId="5" type="noConversion"/>
  </si>
  <si>
    <t>项  目</t>
    <phoneticPr fontId="5" type="noConversion"/>
  </si>
  <si>
    <t>土地费用(万元)</t>
    <phoneticPr fontId="5" type="noConversion"/>
  </si>
  <si>
    <t>咨询评估费(万元)</t>
    <phoneticPr fontId="5" type="noConversion"/>
  </si>
  <si>
    <t>勘察、设计费(万元)</t>
    <phoneticPr fontId="5" type="noConversion"/>
  </si>
  <si>
    <t>建设管理费(万元)</t>
    <phoneticPr fontId="5" type="noConversion"/>
  </si>
  <si>
    <t>环评、水评、安评等(万元)</t>
    <phoneticPr fontId="5" type="noConversion"/>
  </si>
  <si>
    <t>场地及临时设施费(万元)</t>
    <phoneticPr fontId="5" type="noConversion"/>
  </si>
  <si>
    <t>预备费(万元)</t>
    <phoneticPr fontId="5" type="noConversion"/>
  </si>
  <si>
    <t>一、建设用地</t>
    <phoneticPr fontId="5" type="noConversion"/>
  </si>
  <si>
    <t>二、建筑工程</t>
    <phoneticPr fontId="5" type="noConversion"/>
  </si>
  <si>
    <t>面积    （㎡）</t>
    <phoneticPr fontId="5" type="noConversion"/>
  </si>
  <si>
    <t>建筑面积合计(㎡)</t>
    <phoneticPr fontId="5" type="noConversion"/>
  </si>
  <si>
    <t>厂房建筑单价(元/㎡)</t>
    <phoneticPr fontId="5" type="noConversion"/>
  </si>
  <si>
    <t>办公及辅助建筑单价(元/㎡)</t>
    <phoneticPr fontId="5" type="noConversion"/>
  </si>
  <si>
    <t>金额    （万元）</t>
    <phoneticPr fontId="5" type="noConversion"/>
  </si>
  <si>
    <t>厂房建筑投资(万元)</t>
    <phoneticPr fontId="5" type="noConversion"/>
  </si>
  <si>
    <t>办公及辅助建筑投资(万元)</t>
    <phoneticPr fontId="5" type="noConversion"/>
  </si>
  <si>
    <t>三、其他工程</t>
    <phoneticPr fontId="5" type="noConversion"/>
  </si>
  <si>
    <t>面积（亩）</t>
    <phoneticPr fontId="5" type="noConversion"/>
  </si>
  <si>
    <t>单价(万元/亩)</t>
    <phoneticPr fontId="5" type="noConversion"/>
  </si>
  <si>
    <t>厂房建筑面积(㎡)</t>
    <phoneticPr fontId="5" type="noConversion"/>
  </si>
  <si>
    <t>三通一平面积(㎡)</t>
    <phoneticPr fontId="56" type="noConversion"/>
  </si>
  <si>
    <t>建筑投资估算金额(万元)</t>
    <phoneticPr fontId="5" type="noConversion"/>
  </si>
  <si>
    <t>三通一平单价(元/㎡)</t>
    <phoneticPr fontId="56" type="noConversion"/>
  </si>
  <si>
    <t>绿化单价(元/㎡)</t>
    <phoneticPr fontId="5" type="noConversion"/>
  </si>
  <si>
    <t>围、挡墙预估(万元)</t>
    <phoneticPr fontId="5" type="noConversion"/>
  </si>
  <si>
    <t>水、电、管道管网预估(万元)</t>
    <phoneticPr fontId="5" type="noConversion"/>
  </si>
  <si>
    <t>绿化面积[按1项20%绿化](㎡)</t>
    <phoneticPr fontId="56" type="noConversion"/>
  </si>
  <si>
    <t>绿化投资(万元)</t>
    <phoneticPr fontId="5" type="noConversion"/>
  </si>
  <si>
    <t>三通一平投资(万元)</t>
    <phoneticPr fontId="56" type="noConversion"/>
  </si>
  <si>
    <t>四、设备投资</t>
    <phoneticPr fontId="5" type="noConversion"/>
  </si>
  <si>
    <t xml:space="preserve">   建筑投资估算表</t>
    <phoneticPr fontId="5" type="noConversion"/>
  </si>
  <si>
    <t>年销售收入估算表</t>
    <phoneticPr fontId="5" type="noConversion"/>
  </si>
  <si>
    <t xml:space="preserve">  其他工程投资估算表</t>
    <phoneticPr fontId="5" type="noConversion"/>
  </si>
  <si>
    <t xml:space="preserve">  设备投资估算表</t>
    <phoneticPr fontId="5" type="noConversion"/>
  </si>
  <si>
    <t>工程和费用名称</t>
  </si>
  <si>
    <t>土建</t>
  </si>
  <si>
    <t>设备</t>
  </si>
  <si>
    <t>比例</t>
  </si>
  <si>
    <t>工程费用</t>
  </si>
  <si>
    <t>建筑工程</t>
  </si>
  <si>
    <t>咨询评估费</t>
  </si>
  <si>
    <t>勘察、设计费</t>
  </si>
  <si>
    <t>建设管理费</t>
  </si>
  <si>
    <t>环评、水评、安评等</t>
  </si>
  <si>
    <t>场地及临时设施费</t>
  </si>
  <si>
    <t>固定资产投资（1+2+3）</t>
  </si>
  <si>
    <t>比例（%）</t>
  </si>
  <si>
    <t>固定资产投资估算表</t>
    <phoneticPr fontId="5" type="noConversion"/>
  </si>
  <si>
    <t>设备投资估算(万元)</t>
    <phoneticPr fontId="5" type="noConversion"/>
  </si>
  <si>
    <t>其他建筑工程</t>
    <phoneticPr fontId="5" type="noConversion"/>
  </si>
  <si>
    <t>其他建筑工程投资估算(万元)</t>
    <phoneticPr fontId="5" type="noConversion"/>
  </si>
  <si>
    <t>费用原值</t>
  </si>
  <si>
    <t>年限</t>
  </si>
  <si>
    <t>第2～6年</t>
  </si>
  <si>
    <t>第7～11年</t>
  </si>
  <si>
    <t>建筑</t>
  </si>
  <si>
    <t>征地费用</t>
  </si>
  <si>
    <t>合计（1+2）</t>
  </si>
  <si>
    <t>折旧与摊销估算表</t>
    <phoneticPr fontId="5" type="noConversion"/>
  </si>
  <si>
    <t>残值比例</t>
    <phoneticPr fontId="5" type="noConversion"/>
  </si>
  <si>
    <t xml:space="preserve">余值 </t>
    <phoneticPr fontId="5" type="noConversion"/>
  </si>
  <si>
    <t>办公及辅助建筑面积(㎡)</t>
    <phoneticPr fontId="5" type="noConversion"/>
  </si>
  <si>
    <t>五、铺底资金</t>
    <phoneticPr fontId="5" type="noConversion"/>
  </si>
  <si>
    <t>铺底流动资金(万元)</t>
    <phoneticPr fontId="5" type="noConversion"/>
  </si>
  <si>
    <t>六、销售收入</t>
    <phoneticPr fontId="5" type="noConversion"/>
  </si>
  <si>
    <t>销售收入(万元)</t>
    <phoneticPr fontId="5" type="noConversion"/>
  </si>
  <si>
    <t>销售费用占销售收入%</t>
    <phoneticPr fontId="40" type="noConversion"/>
  </si>
  <si>
    <t>管理费用占销售收入%</t>
    <phoneticPr fontId="40" type="noConversion"/>
  </si>
  <si>
    <t>研发费用占销售收入%</t>
    <phoneticPr fontId="40" type="noConversion"/>
  </si>
  <si>
    <t>修理费占折旧%</t>
    <phoneticPr fontId="40" type="noConversion"/>
  </si>
  <si>
    <t>销售收入</t>
    <phoneticPr fontId="40" type="noConversion"/>
  </si>
  <si>
    <t>直接成本</t>
    <phoneticPr fontId="40" type="noConversion"/>
  </si>
  <si>
    <t>固定资产</t>
    <phoneticPr fontId="40" type="noConversion"/>
  </si>
  <si>
    <t>工资福利</t>
  </si>
  <si>
    <t>经营管理</t>
    <phoneticPr fontId="40" type="noConversion"/>
  </si>
  <si>
    <t>七、直接成本</t>
    <phoneticPr fontId="5" type="noConversion"/>
  </si>
  <si>
    <t>销售费用占销售收入%</t>
  </si>
  <si>
    <t>管理费用占销售收入%</t>
  </si>
  <si>
    <t>研发费用占销售收入%</t>
  </si>
  <si>
    <t>八、经营管理费比例</t>
    <phoneticPr fontId="5" type="noConversion"/>
  </si>
  <si>
    <t>估算仅调整变动项，其他为1</t>
    <phoneticPr fontId="40" type="noConversion"/>
  </si>
  <si>
    <t>说明</t>
    <phoneticPr fontId="5" type="noConversion"/>
  </si>
  <si>
    <t>=2x3x(1.00+4+5)</t>
    <phoneticPr fontId="5" type="noConversion"/>
  </si>
  <si>
    <t>=13+14</t>
    <phoneticPr fontId="5" type="noConversion"/>
  </si>
  <si>
    <t>为设备投资估算表中的合计金额</t>
    <phoneticPr fontId="5" type="noConversion"/>
  </si>
  <si>
    <t>原材料名称</t>
    <phoneticPr fontId="5" type="noConversion"/>
  </si>
  <si>
    <t>金额(万元)</t>
    <phoneticPr fontId="5" type="noConversion"/>
  </si>
  <si>
    <t>销售利税率（％）</t>
    <phoneticPr fontId="40" type="noConversion"/>
  </si>
  <si>
    <t>主要材料采购金额估算表</t>
    <phoneticPr fontId="5" type="noConversion"/>
  </si>
  <si>
    <t>类别</t>
  </si>
  <si>
    <t>为年销售收入估算表中合计数额</t>
    <phoneticPr fontId="5" type="noConversion"/>
  </si>
  <si>
    <t>为主要材料采购金额估算表中合计数额</t>
    <phoneticPr fontId="5" type="noConversion"/>
  </si>
  <si>
    <t>合计</t>
    <phoneticPr fontId="5" type="noConversion"/>
  </si>
  <si>
    <t>建设项目投资基础参数设置</t>
  </si>
  <si>
    <t>说明：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</si>
  <si>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</si>
  <si>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</si>
  <si>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</si>
  <si>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 xml:space="preserve">    3、C块为与项目运行相关的设备、主要原材料、年销售收入估算设置。</t>
    <phoneticPr fontId="5" type="noConversion"/>
  </si>
  <si>
    <r>
      <t xml:space="preserve">    1、A块“</t>
    </r>
    <r>
      <rPr>
        <sz val="10"/>
        <color rgb="FFFF0000"/>
        <rFont val="楷体"/>
        <family val="3"/>
        <charset val="134"/>
      </rPr>
      <t>建设项目投资基础参数设置</t>
    </r>
    <r>
      <rPr>
        <sz val="10"/>
        <rFont val="楷体"/>
        <family val="3"/>
        <charset val="134"/>
      </rPr>
      <t>”中的亮单元格中的红色为需要输入的基础参数数值。</t>
    </r>
    <phoneticPr fontId="5" type="noConversion"/>
  </si>
  <si>
    <t xml:space="preserve">    4、所有价格为含税价。</t>
    <phoneticPr fontId="5" type="noConversion"/>
  </si>
  <si>
    <r>
      <rPr>
        <sz val="10"/>
        <color theme="3" tint="-0.249977111117893"/>
        <rFont val="宋体"/>
        <family val="3"/>
        <charset val="134"/>
      </rPr>
      <t>敏感性分析</t>
    </r>
    <r>
      <rPr>
        <sz val="10"/>
        <rFont val="宋体"/>
        <family val="3"/>
        <charset val="134"/>
      </rPr>
      <t xml:space="preserve">   </t>
    </r>
    <r>
      <rPr>
        <b/>
        <sz val="10"/>
        <rFont val="宋体"/>
        <family val="3"/>
        <charset val="134"/>
      </rPr>
      <t>系数设置</t>
    </r>
    <phoneticPr fontId="40" type="noConversion"/>
  </si>
  <si>
    <t>折旧与摊销估算表</t>
    <phoneticPr fontId="5" type="noConversion"/>
  </si>
  <si>
    <t>说明：</t>
    <phoneticPr fontId="40" type="noConversion"/>
  </si>
  <si>
    <t>表内容</t>
    <phoneticPr fontId="40" type="noConversion"/>
  </si>
  <si>
    <t>说明</t>
    <phoneticPr fontId="40" type="noConversion"/>
  </si>
  <si>
    <t>项   目</t>
    <phoneticPr fontId="40" type="noConversion"/>
  </si>
  <si>
    <t>建设投资包含建设期（无产出年）利息。</t>
    <phoneticPr fontId="40" type="noConversion"/>
  </si>
  <si>
    <t>第2年</t>
  </si>
  <si>
    <t>第3年</t>
  </si>
  <si>
    <r>
      <rPr>
        <b/>
        <sz val="10"/>
        <rFont val="楷体"/>
        <family val="3"/>
        <charset val="134"/>
      </rPr>
      <t>第</t>
    </r>
    <r>
      <rPr>
        <b/>
        <sz val="10"/>
        <rFont val="Calibri"/>
        <family val="2"/>
      </rPr>
      <t>3</t>
    </r>
    <r>
      <rPr>
        <b/>
        <sz val="10"/>
        <rFont val="楷体"/>
        <family val="3"/>
        <charset val="134"/>
      </rPr>
      <t>年</t>
    </r>
  </si>
  <si>
    <r>
      <rPr>
        <b/>
        <sz val="10"/>
        <rFont val="楷体"/>
        <family val="3"/>
        <charset val="134"/>
      </rPr>
      <t>第</t>
    </r>
    <r>
      <rPr>
        <b/>
        <sz val="10"/>
        <rFont val="Calibri"/>
        <family val="2"/>
      </rPr>
      <t>4-11</t>
    </r>
    <r>
      <rPr>
        <b/>
        <sz val="10"/>
        <rFont val="楷体"/>
        <family val="3"/>
        <charset val="134"/>
      </rPr>
      <t>年</t>
    </r>
  </si>
  <si>
    <r>
      <rPr>
        <b/>
        <sz val="10"/>
        <rFont val="楷体"/>
        <family val="3"/>
        <charset val="134"/>
      </rPr>
      <t>第</t>
    </r>
    <r>
      <rPr>
        <b/>
        <sz val="10"/>
        <rFont val="Calibri"/>
        <family val="2"/>
      </rPr>
      <t>2</t>
    </r>
    <r>
      <rPr>
        <b/>
        <sz val="10"/>
        <rFont val="楷体"/>
        <family val="3"/>
        <charset val="134"/>
      </rPr>
      <t>年</t>
    </r>
    <phoneticPr fontId="40" type="noConversion"/>
  </si>
  <si>
    <t>第4-11年</t>
    <phoneticPr fontId="40" type="noConversion"/>
  </si>
  <si>
    <t xml:space="preserve"> 铺底流动资金</t>
    <phoneticPr fontId="40" type="noConversion"/>
  </si>
  <si>
    <t xml:space="preserve">   从所粘贴的表中引用。</t>
    <phoneticPr fontId="40" type="noConversion"/>
  </si>
  <si>
    <t>建筑折旧年限（年）</t>
    <phoneticPr fontId="5" type="noConversion"/>
  </si>
  <si>
    <t>设备折旧年限（年）</t>
    <phoneticPr fontId="5" type="noConversion"/>
  </si>
  <si>
    <t>征地费用摊销年限（年）</t>
    <phoneticPr fontId="5" type="noConversion"/>
  </si>
  <si>
    <t>其他费用摊销年限（年）</t>
    <phoneticPr fontId="5" type="noConversion"/>
  </si>
  <si>
    <t>建筑残值比例（%）</t>
    <phoneticPr fontId="5" type="noConversion"/>
  </si>
  <si>
    <t>设备残值比例（%）</t>
    <phoneticPr fontId="5" type="noConversion"/>
  </si>
  <si>
    <t>征地费用余值比例（%）</t>
    <phoneticPr fontId="5" type="noConversion"/>
  </si>
  <si>
    <t>其他费用余值比例（%）</t>
    <phoneticPr fontId="5" type="noConversion"/>
  </si>
  <si>
    <t xml:space="preserve">    2、B块为依据A表数据自动生成。</t>
    <phoneticPr fontId="5" type="noConversion"/>
  </si>
  <si>
    <t>九、折旧、摊销系数</t>
    <phoneticPr fontId="5" type="noConversion"/>
  </si>
  <si>
    <t xml:space="preserve">   性分析的系数设置，在进行项目投资财务计算时“敏感性分析系数设置”中的系数须全部设置为1.00。</t>
    <phoneticPr fontId="40" type="noConversion"/>
  </si>
  <si>
    <t>3、进行敏感性分析的数据采集时，依次设置分析项下的系数儿其它项保持为1.00，将计算结果的数值粘贴到分析表</t>
    <phoneticPr fontId="40" type="noConversion"/>
  </si>
  <si>
    <t>销售净利润率（％）</t>
    <phoneticPr fontId="40" type="noConversion"/>
  </si>
  <si>
    <t>厂房建筑费用</t>
    <phoneticPr fontId="5" type="noConversion"/>
  </si>
  <si>
    <t>办公及辅助建筑费用</t>
    <phoneticPr fontId="5" type="noConversion"/>
  </si>
  <si>
    <t>三通一平费用</t>
    <phoneticPr fontId="56" type="noConversion"/>
  </si>
  <si>
    <t>绿化费用</t>
    <phoneticPr fontId="56" type="noConversion"/>
  </si>
  <si>
    <t>围、挡墙费用</t>
    <phoneticPr fontId="5" type="noConversion"/>
  </si>
  <si>
    <t>水、电、管道管网费用</t>
    <phoneticPr fontId="5" type="noConversion"/>
  </si>
  <si>
    <r>
      <t>2</t>
    </r>
    <r>
      <rPr>
        <sz val="10"/>
        <color theme="3" tint="-0.499984740745262"/>
        <rFont val="宋体"/>
        <family val="3"/>
        <charset val="134"/>
      </rPr>
      <t>、涉及销售收入、直接成本、固定资产、工资福利与经营管理的数据在引用“基础估算”表对应项数据时皆引入了敏感性分析</t>
    </r>
    <phoneticPr fontId="40" type="noConversion"/>
  </si>
  <si>
    <r>
      <t>1</t>
    </r>
    <r>
      <rPr>
        <sz val="10"/>
        <color theme="3" tint="-0.499984740745262"/>
        <rFont val="宋体"/>
        <family val="3"/>
        <charset val="134"/>
      </rPr>
      <t>、“项目基本要素”表中浅色处的红色为需要设置的数据，其余数据从“基础估算”表中引用、生成。</t>
    </r>
    <phoneticPr fontId="40" type="noConversion"/>
  </si>
  <si>
    <t>附表3：成本表</t>
  </si>
  <si>
    <t>附表4：销售收入、销售税金及附加和增值税估算表</t>
    <phoneticPr fontId="40" type="noConversion"/>
  </si>
  <si>
    <t>附表2：投 资 计 划 与 资 金 筹 措 表</t>
    <phoneticPr fontId="40" type="noConversion"/>
  </si>
  <si>
    <t>附表5：损益和利润分配表</t>
    <phoneticPr fontId="40" type="noConversion"/>
  </si>
  <si>
    <t>=33+34+35</t>
    <phoneticPr fontId="5" type="noConversion"/>
  </si>
  <si>
    <t>=21+22+27+28</t>
    <phoneticPr fontId="5" type="noConversion"/>
  </si>
  <si>
    <t>表8—3  投资计划与资金筹措表（单位：万元）</t>
  </si>
  <si>
    <t>营业收入、销售税金及附加估算表（单位：万元）</t>
  </si>
  <si>
    <t>表8-1 固定资产投资              单位:万元</t>
    <phoneticPr fontId="40" type="noConversion"/>
  </si>
  <si>
    <r>
      <rPr>
        <sz val="10"/>
        <color rgb="FFFF0000"/>
        <rFont val="宋体"/>
        <family val="3"/>
        <charset val="134"/>
      </rPr>
      <t>此表用于引用计算，比例系数如需更改在</t>
    </r>
    <r>
      <rPr>
        <sz val="10"/>
        <color rgb="FFFF0000"/>
        <rFont val="Calibri"/>
        <family val="2"/>
      </rPr>
      <t>“</t>
    </r>
    <r>
      <rPr>
        <sz val="10"/>
        <color rgb="FFFF0000"/>
        <rFont val="宋体"/>
        <family val="3"/>
        <charset val="134"/>
      </rPr>
      <t>基础估算</t>
    </r>
    <r>
      <rPr>
        <sz val="10"/>
        <color rgb="FFFF0000"/>
        <rFont val="Calibri"/>
        <family val="2"/>
      </rPr>
      <t>”</t>
    </r>
    <r>
      <rPr>
        <sz val="10"/>
        <color rgb="FFFF0000"/>
        <rFont val="宋体"/>
        <family val="3"/>
        <charset val="134"/>
      </rPr>
      <t>中设置。</t>
    </r>
    <phoneticPr fontId="40" type="noConversion"/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</si>
</sst>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%"/>
    <numFmt numFmtId="178" formatCode="0_ "/>
    <numFmt numFmtId="179" formatCode="0.00_ "/>
    <numFmt numFmtId="180" formatCode="0.00_);[Red]\(0.00\)"/>
    <numFmt numFmtId="181" formatCode="#,##0.00_ "/>
    <numFmt numFmtId="182" formatCode="0_);[Red]\(0\)"/>
    <numFmt numFmtId="183" formatCode="#,##0.00_);[Red]\(#,##0.00\)"/>
    <numFmt numFmtId="184" formatCode="0.0000_ "/>
    <numFmt numFmtId="185" formatCode="#,##0_);[Red]\(#,##0\)"/>
  </numFmts>
  <fonts count="88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Calibri"/>
      <family val="2"/>
    </font>
    <font>
      <sz val="12"/>
      <name val="Calibri"/>
      <family val="2"/>
    </font>
    <font>
      <sz val="12"/>
      <name val="楷体"/>
      <family val="3"/>
      <charset val="134"/>
    </font>
    <font>
      <sz val="9.5"/>
      <color indexed="8"/>
      <name val="楷体"/>
      <family val="3"/>
      <charset val="134"/>
    </font>
    <font>
      <sz val="9.5"/>
      <name val="楷体"/>
      <family val="3"/>
      <charset val="134"/>
    </font>
    <font>
      <sz val="9.5"/>
      <color indexed="8"/>
      <name val="楷体"/>
      <family val="3"/>
      <charset val="134"/>
    </font>
    <font>
      <sz val="9.5"/>
      <color indexed="8"/>
      <name val="Calibri"/>
      <family val="2"/>
    </font>
    <font>
      <b/>
      <sz val="9.5"/>
      <color indexed="8"/>
      <name val="宋体"/>
      <family val="3"/>
      <charset val="134"/>
    </font>
    <font>
      <b/>
      <sz val="9.5"/>
      <color indexed="8"/>
      <name val="Calibri"/>
      <family val="2"/>
    </font>
    <font>
      <b/>
      <sz val="9.5"/>
      <name val="Calibri"/>
      <family val="2"/>
    </font>
    <font>
      <sz val="9.5"/>
      <name val="Calibri"/>
      <family val="2"/>
    </font>
    <font>
      <sz val="12"/>
      <name val="楷体"/>
      <family val="3"/>
      <charset val="134"/>
    </font>
    <font>
      <sz val="10"/>
      <color indexed="8"/>
      <name val="楷体"/>
      <family val="3"/>
      <charset val="134"/>
    </font>
    <font>
      <sz val="10"/>
      <color indexed="8"/>
      <name val="楷体"/>
      <family val="3"/>
      <charset val="134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2"/>
      <name val="楷体"/>
      <family val="3"/>
      <charset val="134"/>
    </font>
    <font>
      <b/>
      <sz val="10"/>
      <color indexed="8"/>
      <name val="楷体"/>
      <family val="3"/>
      <charset val="134"/>
    </font>
    <font>
      <sz val="10"/>
      <name val="Calibri"/>
      <family val="2"/>
    </font>
    <font>
      <sz val="14"/>
      <color indexed="8"/>
      <name val="楷体"/>
      <family val="3"/>
      <charset val="134"/>
    </font>
    <font>
      <sz val="12"/>
      <color indexed="8"/>
      <name val="楷体"/>
      <family val="3"/>
      <charset val="134"/>
    </font>
    <font>
      <sz val="12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楷体"/>
      <family val="3"/>
      <charset val="134"/>
    </font>
    <font>
      <sz val="10.5"/>
      <color indexed="8"/>
      <name val="楷体"/>
      <family val="3"/>
      <charset val="134"/>
    </font>
    <font>
      <sz val="10.5"/>
      <color indexed="8"/>
      <name val="Calibri"/>
      <family val="2"/>
    </font>
    <font>
      <sz val="10.5"/>
      <color indexed="8"/>
      <name val="楷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2"/>
      <name val="宋体"/>
      <family val="3"/>
      <charset val="134"/>
    </font>
    <font>
      <sz val="10"/>
      <color rgb="FF000000"/>
      <name val="Calibri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楷体"/>
      <family val="3"/>
      <charset val="134"/>
    </font>
    <font>
      <sz val="10"/>
      <color indexed="8"/>
      <name val="楷体"/>
      <family val="3"/>
      <charset val="134"/>
    </font>
    <font>
      <sz val="11"/>
      <name val="楷体"/>
      <family val="3"/>
      <charset val="134"/>
    </font>
    <font>
      <sz val="12"/>
      <name val="楷体"/>
      <family val="3"/>
      <charset val="134"/>
    </font>
    <font>
      <sz val="11"/>
      <name val="Calibri"/>
      <family val="2"/>
    </font>
    <font>
      <sz val="10"/>
      <color rgb="FF000000"/>
      <name val="宋体"/>
      <family val="3"/>
      <charset val="134"/>
    </font>
    <font>
      <sz val="12"/>
      <color theme="1"/>
      <name val="楷体"/>
      <family val="3"/>
      <charset val="134"/>
    </font>
    <font>
      <sz val="9"/>
      <color theme="1"/>
      <name val="楷体"/>
      <family val="3"/>
      <charset val="134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楷体"/>
      <family val="3"/>
      <charset val="134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楷体"/>
      <family val="3"/>
      <charset val="134"/>
    </font>
    <font>
      <sz val="9"/>
      <name val="Calibri"/>
      <family val="2"/>
    </font>
    <font>
      <sz val="9"/>
      <name val="等线"/>
      <family val="3"/>
      <charset val="134"/>
    </font>
    <font>
      <sz val="9"/>
      <color theme="1"/>
      <name val="等线"/>
      <family val="3"/>
      <charset val="134"/>
    </font>
    <font>
      <b/>
      <sz val="9"/>
      <name val="楷体"/>
      <family val="3"/>
      <charset val="134"/>
    </font>
    <font>
      <b/>
      <sz val="10"/>
      <name val="楷体"/>
      <family val="3"/>
      <charset val="134"/>
    </font>
    <font>
      <b/>
      <sz val="9"/>
      <name val="Calibri"/>
      <family val="2"/>
    </font>
    <font>
      <b/>
      <sz val="10"/>
      <color theme="2" tint="-0.89999084444715716"/>
      <name val="Calibri"/>
      <family val="2"/>
    </font>
    <font>
      <b/>
      <sz val="9"/>
      <color theme="5" tint="0.79998168889431442"/>
      <name val="宋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楷体"/>
      <family val="3"/>
      <charset val="134"/>
    </font>
    <font>
      <b/>
      <sz val="14"/>
      <name val="楷体"/>
      <family val="3"/>
      <charset val="134"/>
    </font>
    <font>
      <b/>
      <sz val="14"/>
      <color rgb="FFFF0000"/>
      <name val="楷体"/>
      <family val="3"/>
      <charset val="134"/>
    </font>
    <font>
      <sz val="10"/>
      <color rgb="FFFF0000"/>
      <name val="楷体"/>
      <family val="3"/>
      <charset val="134"/>
    </font>
    <font>
      <b/>
      <sz val="9"/>
      <color rgb="FFFF0000"/>
      <name val="Calibri"/>
      <family val="2"/>
    </font>
    <font>
      <sz val="12"/>
      <color rgb="FFFF0000"/>
      <name val="Calibri"/>
      <family val="2"/>
    </font>
    <font>
      <sz val="10"/>
      <color theme="3" tint="-0.249977111117893"/>
      <name val="宋体"/>
      <family val="3"/>
      <charset val="134"/>
    </font>
    <font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0"/>
      <color rgb="FF000000"/>
      <name val="楷体"/>
      <family val="3"/>
      <charset val="134"/>
    </font>
    <font>
      <sz val="10"/>
      <color theme="3" tint="-0.499984740745262"/>
      <name val="宋体"/>
      <family val="3"/>
      <charset val="134"/>
    </font>
    <font>
      <sz val="10"/>
      <color theme="3" tint="-0.499984740745262"/>
      <name val="Calibri"/>
      <family val="2"/>
    </font>
    <font>
      <sz val="10"/>
      <color indexed="8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4"/>
      <color rgb="FF000000"/>
      <name val="楷体"/>
      <family val="3"/>
      <charset val="134"/>
    </font>
    <font>
      <sz val="14"/>
      <name val="楷体"/>
      <family val="3"/>
      <charset val="134"/>
    </font>
    <font>
      <sz val="11"/>
      <color indexed="8"/>
      <name val="楷体"/>
      <family val="3"/>
      <charset val="134"/>
    </font>
    <font>
      <sz val="14"/>
      <name val="宋体"/>
      <family val="3"/>
      <charset val="134"/>
    </font>
    <font>
      <b/>
      <sz val="14"/>
      <color theme="3" tint="-0.249977111117893"/>
      <name val="楷体"/>
      <family val="3"/>
      <charset val="134"/>
    </font>
    <font>
      <sz val="10"/>
      <color rgb="FF00206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10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/>
      <right style="medium">
        <color rgb="FF0070C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0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0"/>
      </left>
      <right style="thin">
        <color theme="8" tint="0.59996337778862885"/>
      </right>
      <top style="thin">
        <color theme="0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0"/>
      </top>
      <bottom style="thin">
        <color theme="8" tint="0.59996337778862885"/>
      </bottom>
      <diagonal/>
    </border>
    <border>
      <left style="thin">
        <color theme="0"/>
      </left>
      <right style="thin">
        <color theme="9" tint="0.79998168889431442"/>
      </right>
      <top style="thin">
        <color theme="0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0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0"/>
      </right>
      <top style="thin">
        <color theme="0"/>
      </top>
      <bottom style="thin">
        <color theme="9" tint="0.79998168889431442"/>
      </bottom>
      <diagonal/>
    </border>
    <border>
      <left style="thin">
        <color theme="0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auto="1"/>
      </bottom>
      <diagonal/>
    </border>
    <border>
      <left/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0"/>
      </right>
      <top style="thin">
        <color theme="9" tint="0.79998168889431442"/>
      </top>
      <bottom style="thin">
        <color theme="0"/>
      </bottom>
      <diagonal/>
    </border>
    <border>
      <left style="thin">
        <color theme="9" tint="0.79998168889431442"/>
      </left>
      <right style="thin">
        <color theme="9" tint="0.79998168889431442"/>
      </right>
      <top/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0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auto="1"/>
      </top>
      <bottom style="thin">
        <color theme="9" tint="0.79998168889431442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0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0"/>
      </left>
      <right style="thin">
        <color auto="1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/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/>
      <top style="thin">
        <color theme="9" tint="0.79998168889431442"/>
      </top>
      <bottom style="thin">
        <color theme="0"/>
      </bottom>
      <diagonal/>
    </border>
    <border>
      <left style="thin">
        <color theme="0"/>
      </left>
      <right style="thin">
        <color theme="9" tint="0.79998168889431442"/>
      </right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0"/>
      </top>
      <bottom style="thin">
        <color theme="0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0"/>
      </bottom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0"/>
      </top>
      <bottom style="thin">
        <color auto="1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auto="1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/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auto="1"/>
      </right>
      <top style="thin">
        <color auto="1"/>
      </top>
      <bottom/>
      <diagonal/>
    </border>
    <border>
      <left style="thin">
        <color theme="4" tint="0.59996337778862885"/>
      </left>
      <right style="thin">
        <color auto="1"/>
      </right>
      <top/>
      <bottom style="thin">
        <color auto="1"/>
      </bottom>
      <diagonal/>
    </border>
    <border>
      <left style="thin">
        <color theme="4" tint="0.59996337778862885"/>
      </left>
      <right style="thin">
        <color auto="1"/>
      </right>
      <top/>
      <bottom/>
      <diagonal/>
    </border>
    <border>
      <left style="thin">
        <color theme="4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/>
      <diagonal/>
    </border>
    <border>
      <left/>
      <right/>
      <top style="thin">
        <color theme="4" tint="0.59996337778862885"/>
      </top>
      <bottom/>
      <diagonal/>
    </border>
    <border>
      <left style="thin">
        <color theme="4" tint="0.59996337778862885"/>
      </left>
      <right/>
      <top/>
      <bottom style="thin">
        <color auto="1"/>
      </bottom>
      <diagonal/>
    </border>
    <border>
      <left/>
      <right style="thin">
        <color theme="4" tint="0.59996337778862885"/>
      </right>
      <top/>
      <bottom style="thin">
        <color auto="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/>
      </left>
      <right/>
      <top/>
      <bottom style="thin">
        <color theme="9" tint="0.79998168889431442"/>
      </bottom>
      <diagonal/>
    </border>
    <border>
      <left/>
      <right style="thin">
        <color theme="9" tint="0.79998168889431442"/>
      </right>
      <top/>
      <bottom style="thin">
        <color theme="9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/>
      <diagonal/>
    </border>
    <border>
      <left style="medium">
        <color rgb="FF0070C0"/>
      </left>
      <right style="thin">
        <color auto="1"/>
      </right>
      <top/>
      <bottom/>
      <diagonal/>
    </border>
    <border>
      <left style="medium">
        <color rgb="FF0070C0"/>
      </left>
      <right style="thin">
        <color auto="1"/>
      </right>
      <top/>
      <bottom style="medium">
        <color rgb="FF0070C0"/>
      </bottom>
      <diagonal/>
    </border>
    <border>
      <left style="thin">
        <color theme="8" tint="0.59996337778862885"/>
      </left>
      <right style="thin">
        <color theme="0"/>
      </right>
      <top style="thin">
        <color theme="0"/>
      </top>
      <bottom/>
      <diagonal/>
    </border>
    <border>
      <left style="thin">
        <color theme="8" tint="0.59996337778862885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3"/>
      </left>
      <right style="medium">
        <color theme="9" tint="0.59996337778862885"/>
      </right>
      <top style="medium">
        <color theme="3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3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3"/>
      </right>
      <top style="medium">
        <color theme="3"/>
      </top>
      <bottom style="medium">
        <color theme="9" tint="0.59996337778862885"/>
      </bottom>
      <diagonal/>
    </border>
    <border>
      <left style="medium">
        <color theme="3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3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3"/>
      </left>
      <right style="medium">
        <color theme="9" tint="0.59996337778862885"/>
      </right>
      <top style="medium">
        <color theme="9" tint="0.59996337778862885"/>
      </top>
      <bottom style="medium">
        <color theme="3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3"/>
      </bottom>
      <diagonal/>
    </border>
    <border>
      <left style="medium">
        <color theme="9" tint="0.59996337778862885"/>
      </left>
      <right style="medium">
        <color theme="3"/>
      </right>
      <top style="medium">
        <color theme="9" tint="0.59996337778862885"/>
      </top>
      <bottom style="medium">
        <color theme="3"/>
      </bottom>
      <diagonal/>
    </border>
  </borders>
  <cellStyleXfs count="2">
    <xf numFmtId="0" fontId="0" fillId="0" borderId="0">
      <alignment vertical="center"/>
    </xf>
    <xf numFmtId="9" fontId="38" fillId="0" borderId="0" applyFont="0" applyFill="0" applyBorder="0" applyAlignment="0" applyProtection="0">
      <alignment vertical="center"/>
    </xf>
  </cellStyleXfs>
  <cellXfs count="647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9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10" fontId="13" fillId="0" borderId="1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181" fontId="13" fillId="0" borderId="1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0" fontId="17" fillId="0" borderId="1" xfId="0" applyNumberFormat="1" applyFont="1" applyBorder="1" applyAlignment="1">
      <alignment horizontal="center" vertical="center"/>
    </xf>
    <xf numFmtId="181" fontId="17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81" fontId="13" fillId="0" borderId="1" xfId="0" applyNumberFormat="1" applyFont="1" applyBorder="1" applyAlignment="1">
      <alignment horizontal="right" vertical="center" wrapText="1"/>
    </xf>
    <xf numFmtId="0" fontId="2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81" fontId="1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 vertical="center" wrapText="1"/>
    </xf>
    <xf numFmtId="0" fontId="25" fillId="0" borderId="1" xfId="0" applyFont="1" applyBorder="1" applyAlignment="1">
      <alignment horizontal="left"/>
    </xf>
    <xf numFmtId="9" fontId="2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1" xfId="0" applyFont="1" applyBorder="1" applyAlignment="1">
      <alignment horizontal="left"/>
    </xf>
    <xf numFmtId="9" fontId="7" fillId="0" borderId="1" xfId="1" applyNumberFormat="1" applyFont="1" applyBorder="1" applyAlignment="1">
      <alignment horizontal="center"/>
    </xf>
    <xf numFmtId="181" fontId="7" fillId="0" borderId="1" xfId="1" applyNumberFormat="1" applyFont="1" applyBorder="1" applyAlignment="1">
      <alignment horizontal="right" vertical="center"/>
    </xf>
    <xf numFmtId="181" fontId="22" fillId="0" borderId="1" xfId="0" applyNumberFormat="1" applyFont="1" applyBorder="1" applyAlignment="1">
      <alignment horizontal="center" vertical="center"/>
    </xf>
    <xf numFmtId="9" fontId="25" fillId="0" borderId="1" xfId="0" applyNumberFormat="1" applyFont="1" applyBorder="1" applyAlignment="1">
      <alignment horizontal="center"/>
    </xf>
    <xf numFmtId="181" fontId="25" fillId="0" borderId="1" xfId="0" applyNumberFormat="1" applyFont="1" applyBorder="1" applyAlignment="1">
      <alignment horizontal="right"/>
    </xf>
    <xf numFmtId="0" fontId="28" fillId="0" borderId="0" xfId="0" applyFont="1" applyAlignment="1">
      <alignment horizontal="left"/>
    </xf>
    <xf numFmtId="0" fontId="30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181" fontId="7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25" fillId="0" borderId="1" xfId="0" applyFont="1" applyBorder="1" applyAlignment="1">
      <alignment horizontal="right" vertical="center"/>
    </xf>
    <xf numFmtId="181" fontId="25" fillId="0" borderId="1" xfId="0" applyNumberFormat="1" applyFont="1" applyBorder="1" applyAlignment="1">
      <alignment vertical="center"/>
    </xf>
    <xf numFmtId="10" fontId="25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183" fontId="33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horizontal="left" vertical="center"/>
    </xf>
    <xf numFmtId="10" fontId="33" fillId="0" borderId="1" xfId="1" applyNumberFormat="1" applyFont="1" applyBorder="1" applyAlignment="1">
      <alignment horizontal="center" vertical="center" wrapText="1"/>
    </xf>
    <xf numFmtId="10" fontId="33" fillId="0" borderId="1" xfId="0" applyNumberFormat="1" applyFont="1" applyBorder="1" applyAlignment="1">
      <alignment horizontal="center" vertical="center" wrapText="1"/>
    </xf>
    <xf numFmtId="181" fontId="33" fillId="0" borderId="1" xfId="0" applyNumberFormat="1" applyFont="1" applyBorder="1" applyAlignment="1">
      <alignment horizontal="right" vertical="center"/>
    </xf>
    <xf numFmtId="181" fontId="33" fillId="0" borderId="1" xfId="0" applyNumberFormat="1" applyFont="1" applyFill="1" applyBorder="1" applyAlignment="1">
      <alignment horizontal="right" vertical="center"/>
    </xf>
    <xf numFmtId="0" fontId="19" fillId="0" borderId="1" xfId="0" applyFont="1" applyFill="1" applyBorder="1" applyAlignment="1">
      <alignment horizontal="left" vertical="center"/>
    </xf>
    <xf numFmtId="10" fontId="33" fillId="0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center"/>
    </xf>
    <xf numFmtId="10" fontId="25" fillId="0" borderId="1" xfId="0" applyNumberFormat="1" applyFont="1" applyBorder="1" applyAlignment="1">
      <alignment horizontal="center" vertical="center" wrapText="1"/>
    </xf>
    <xf numFmtId="10" fontId="35" fillId="0" borderId="1" xfId="0" applyNumberFormat="1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9" fontId="35" fillId="0" borderId="16" xfId="0" applyNumberFormat="1" applyFont="1" applyBorder="1" applyAlignment="1">
      <alignment horizontal="left" vertical="center" wrapText="1"/>
    </xf>
    <xf numFmtId="176" fontId="25" fillId="0" borderId="16" xfId="0" applyNumberFormat="1" applyFont="1" applyBorder="1" applyAlignment="1">
      <alignment horizontal="left" vertical="center" wrapText="1"/>
    </xf>
    <xf numFmtId="10" fontId="35" fillId="0" borderId="16" xfId="0" applyNumberFormat="1" applyFont="1" applyBorder="1" applyAlignment="1">
      <alignment horizontal="left" vertical="center" wrapText="1"/>
    </xf>
    <xf numFmtId="9" fontId="35" fillId="0" borderId="17" xfId="0" applyNumberFormat="1" applyFont="1" applyBorder="1" applyAlignment="1">
      <alignment horizontal="left" vertical="center" wrapText="1"/>
    </xf>
    <xf numFmtId="176" fontId="25" fillId="0" borderId="18" xfId="0" applyNumberFormat="1" applyFont="1" applyBorder="1" applyAlignment="1">
      <alignment horizontal="left" vertical="center" wrapText="1"/>
    </xf>
    <xf numFmtId="9" fontId="35" fillId="0" borderId="20" xfId="0" applyNumberFormat="1" applyFont="1" applyBorder="1" applyAlignment="1">
      <alignment horizontal="left" vertical="center" wrapText="1"/>
    </xf>
    <xf numFmtId="179" fontId="37" fillId="0" borderId="18" xfId="0" applyNumberFormat="1" applyFont="1" applyFill="1" applyBorder="1" applyAlignment="1">
      <alignment horizontal="left" vertical="center" wrapText="1"/>
    </xf>
    <xf numFmtId="0" fontId="29" fillId="0" borderId="1" xfId="0" applyFont="1" applyBorder="1" applyAlignment="1" applyProtection="1">
      <alignment horizontal="left" vertical="center" wrapText="1"/>
    </xf>
    <xf numFmtId="0" fontId="29" fillId="0" borderId="1" xfId="0" applyFont="1" applyFill="1" applyBorder="1" applyAlignment="1" applyProtection="1">
      <alignment horizontal="left" vertical="center" wrapText="1"/>
    </xf>
    <xf numFmtId="9" fontId="35" fillId="0" borderId="18" xfId="0" applyNumberFormat="1" applyFont="1" applyBorder="1" applyAlignment="1">
      <alignment horizontal="left" vertical="center" wrapText="1"/>
    </xf>
    <xf numFmtId="181" fontId="7" fillId="2" borderId="1" xfId="0" applyNumberFormat="1" applyFont="1" applyFill="1" applyBorder="1" applyAlignment="1" applyProtection="1">
      <alignment horizontal="left" vertical="center" wrapText="1"/>
    </xf>
    <xf numFmtId="181" fontId="35" fillId="2" borderId="1" xfId="0" applyNumberFormat="1" applyFont="1" applyFill="1" applyBorder="1" applyAlignment="1" applyProtection="1">
      <alignment horizontal="left" vertical="center" wrapText="1"/>
    </xf>
    <xf numFmtId="181" fontId="36" fillId="0" borderId="1" xfId="0" applyNumberFormat="1" applyFont="1" applyFill="1" applyBorder="1" applyAlignment="1" applyProtection="1">
      <alignment horizontal="left" vertical="center" wrapText="1"/>
    </xf>
    <xf numFmtId="181" fontId="35" fillId="0" borderId="1" xfId="0" applyNumberFormat="1" applyFont="1" applyBorder="1" applyAlignment="1" applyProtection="1">
      <alignment horizontal="left" vertical="center" wrapText="1"/>
    </xf>
    <xf numFmtId="181" fontId="35" fillId="3" borderId="1" xfId="0" applyNumberFormat="1" applyFont="1" applyFill="1" applyBorder="1" applyAlignment="1" applyProtection="1">
      <alignment horizontal="left" vertical="center" wrapText="1"/>
    </xf>
    <xf numFmtId="181" fontId="35" fillId="0" borderId="1" xfId="0" applyNumberFormat="1" applyFont="1" applyFill="1" applyBorder="1" applyAlignment="1" applyProtection="1">
      <alignment horizontal="left" vertical="center" wrapText="1"/>
    </xf>
    <xf numFmtId="181" fontId="7" fillId="3" borderId="1" xfId="0" applyNumberFormat="1" applyFont="1" applyFill="1" applyBorder="1" applyAlignment="1" applyProtection="1">
      <alignment horizontal="left" vertical="center" wrapText="1"/>
    </xf>
    <xf numFmtId="181" fontId="25" fillId="2" borderId="1" xfId="0" applyNumberFormat="1" applyFont="1" applyFill="1" applyBorder="1" applyAlignment="1" applyProtection="1">
      <alignment horizontal="left" vertical="center" wrapText="1"/>
    </xf>
    <xf numFmtId="181" fontId="7" fillId="0" borderId="1" xfId="0" applyNumberFormat="1" applyFont="1" applyFill="1" applyBorder="1" applyAlignment="1" applyProtection="1">
      <alignment horizontal="left" vertical="center" wrapText="1"/>
    </xf>
    <xf numFmtId="181" fontId="7" fillId="0" borderId="1" xfId="0" applyNumberFormat="1" applyFont="1" applyBorder="1" applyAlignment="1" applyProtection="1">
      <alignment horizontal="left" vertical="center" wrapText="1"/>
    </xf>
    <xf numFmtId="10" fontId="35" fillId="0" borderId="1" xfId="1" applyNumberFormat="1" applyFont="1" applyFill="1" applyBorder="1" applyAlignment="1" applyProtection="1">
      <alignment horizontal="left" vertical="center" wrapText="1"/>
    </xf>
    <xf numFmtId="10" fontId="35" fillId="0" borderId="1" xfId="1" applyNumberFormat="1" applyFont="1" applyBorder="1" applyAlignment="1" applyProtection="1">
      <alignment horizontal="left" vertical="center" wrapText="1"/>
    </xf>
    <xf numFmtId="179" fontId="25" fillId="0" borderId="16" xfId="0" applyNumberFormat="1" applyFont="1" applyBorder="1" applyAlignment="1">
      <alignment horizontal="left" vertical="center" wrapText="1"/>
    </xf>
    <xf numFmtId="177" fontId="25" fillId="0" borderId="16" xfId="0" applyNumberFormat="1" applyFont="1" applyBorder="1" applyAlignment="1">
      <alignment horizontal="left" vertical="center" wrapText="1"/>
    </xf>
    <xf numFmtId="176" fontId="25" fillId="0" borderId="20" xfId="0" applyNumberFormat="1" applyFont="1" applyBorder="1" applyAlignment="1">
      <alignment horizontal="left" vertical="center" wrapText="1"/>
    </xf>
    <xf numFmtId="9" fontId="35" fillId="0" borderId="22" xfId="0" applyNumberFormat="1" applyFont="1" applyBorder="1" applyAlignment="1">
      <alignment horizontal="left" vertical="center" wrapText="1"/>
    </xf>
    <xf numFmtId="179" fontId="37" fillId="0" borderId="16" xfId="0" applyNumberFormat="1" applyFont="1" applyFill="1" applyBorder="1" applyAlignment="1">
      <alignment horizontal="left" vertical="center" wrapText="1"/>
    </xf>
    <xf numFmtId="179" fontId="37" fillId="0" borderId="16" xfId="0" applyNumberFormat="1" applyFont="1" applyFill="1" applyBorder="1" applyAlignment="1" applyProtection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181" fontId="25" fillId="0" borderId="1" xfId="0" applyNumberFormat="1" applyFont="1" applyBorder="1" applyAlignment="1" applyProtection="1">
      <alignment horizontal="left" vertical="center" wrapText="1"/>
    </xf>
    <xf numFmtId="181" fontId="7" fillId="0" borderId="1" xfId="1" applyNumberFormat="1" applyFont="1" applyBorder="1" applyAlignment="1" applyProtection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right" vertical="center" wrapText="1"/>
    </xf>
    <xf numFmtId="0" fontId="1" fillId="0" borderId="19" xfId="0" applyFont="1" applyBorder="1" applyAlignment="1">
      <alignment horizontal="left" vertical="center" wrapText="1"/>
    </xf>
    <xf numFmtId="184" fontId="25" fillId="0" borderId="16" xfId="0" applyNumberFormat="1" applyFont="1" applyBorder="1" applyAlignment="1">
      <alignment horizontal="left" vertical="center" wrapText="1"/>
    </xf>
    <xf numFmtId="180" fontId="25" fillId="0" borderId="1" xfId="0" applyNumberFormat="1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10" fontId="35" fillId="0" borderId="1" xfId="0" applyNumberFormat="1" applyFont="1" applyBorder="1" applyAlignment="1" applyProtection="1">
      <alignment horizontal="left" vertical="center" wrapText="1"/>
    </xf>
    <xf numFmtId="10" fontId="25" fillId="2" borderId="1" xfId="0" applyNumberFormat="1" applyFont="1" applyFill="1" applyBorder="1" applyAlignment="1" applyProtection="1">
      <alignment horizontal="left" vertical="center" wrapText="1"/>
    </xf>
    <xf numFmtId="179" fontId="7" fillId="2" borderId="1" xfId="0" applyNumberFormat="1" applyFont="1" applyFill="1" applyBorder="1" applyAlignment="1" applyProtection="1">
      <alignment horizontal="left" vertical="center" wrapText="1"/>
    </xf>
    <xf numFmtId="181" fontId="29" fillId="0" borderId="1" xfId="0" applyNumberFormat="1" applyFont="1" applyBorder="1" applyAlignment="1" applyProtection="1">
      <alignment horizontal="left" vertical="center" wrapText="1"/>
    </xf>
    <xf numFmtId="176" fontId="2" fillId="0" borderId="18" xfId="0" applyNumberFormat="1" applyFont="1" applyFill="1" applyBorder="1" applyAlignment="1">
      <alignment horizontal="left" vertical="center" wrapText="1"/>
    </xf>
    <xf numFmtId="181" fontId="36" fillId="5" borderId="1" xfId="0" applyNumberFormat="1" applyFont="1" applyFill="1" applyBorder="1" applyAlignment="1" applyProtection="1">
      <alignment horizontal="left" vertical="center" wrapText="1"/>
    </xf>
    <xf numFmtId="181" fontId="7" fillId="5" borderId="1" xfId="0" applyNumberFormat="1" applyFont="1" applyFill="1" applyBorder="1" applyAlignment="1" applyProtection="1">
      <alignment horizontal="left" vertical="center" wrapText="1"/>
    </xf>
    <xf numFmtId="0" fontId="49" fillId="0" borderId="1" xfId="0" applyFont="1" applyBorder="1" applyAlignment="1" applyProtection="1">
      <alignment horizontal="left" vertical="center" wrapText="1"/>
    </xf>
    <xf numFmtId="10" fontId="7" fillId="0" borderId="1" xfId="0" applyNumberFormat="1" applyFont="1" applyBorder="1" applyAlignment="1" applyProtection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3" fillId="0" borderId="16" xfId="0" applyFont="1" applyBorder="1">
      <alignment vertical="center"/>
    </xf>
    <xf numFmtId="0" fontId="53" fillId="0" borderId="19" xfId="0" applyFont="1" applyBorder="1">
      <alignment vertical="center"/>
    </xf>
    <xf numFmtId="0" fontId="25" fillId="0" borderId="19" xfId="0" applyFont="1" applyBorder="1" applyAlignment="1">
      <alignment horizontal="left" vertical="center" wrapText="1"/>
    </xf>
    <xf numFmtId="0" fontId="53" fillId="0" borderId="22" xfId="0" applyFont="1" applyBorder="1">
      <alignment vertical="center"/>
    </xf>
    <xf numFmtId="0" fontId="25" fillId="0" borderId="16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left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25" fillId="0" borderId="16" xfId="0" applyFont="1" applyFill="1" applyBorder="1" applyAlignment="1">
      <alignment horizontal="left" vertical="center" wrapText="1"/>
    </xf>
    <xf numFmtId="180" fontId="25" fillId="0" borderId="18" xfId="0" applyNumberFormat="1" applyFont="1" applyBorder="1" applyAlignment="1">
      <alignment horizontal="left" vertical="center" wrapText="1"/>
    </xf>
    <xf numFmtId="177" fontId="25" fillId="0" borderId="18" xfId="0" applyNumberFormat="1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176" fontId="25" fillId="0" borderId="19" xfId="0" applyNumberFormat="1" applyFont="1" applyBorder="1" applyAlignment="1">
      <alignment horizontal="left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5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180" fontId="37" fillId="0" borderId="22" xfId="0" applyNumberFormat="1" applyFont="1" applyFill="1" applyBorder="1" applyAlignment="1">
      <alignment horizontal="left" vertical="center" wrapText="1"/>
    </xf>
    <xf numFmtId="180" fontId="25" fillId="0" borderId="16" xfId="0" applyNumberFormat="1" applyFont="1" applyBorder="1" applyAlignment="1">
      <alignment horizontal="left" vertical="center" wrapText="1"/>
    </xf>
    <xf numFmtId="10" fontId="25" fillId="0" borderId="16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179" fontId="65" fillId="6" borderId="1" xfId="0" applyNumberFormat="1" applyFont="1" applyFill="1" applyBorder="1" applyAlignment="1">
      <alignment horizontal="center" vertical="center" wrapText="1"/>
    </xf>
    <xf numFmtId="0" fontId="44" fillId="0" borderId="19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 wrapText="1"/>
    </xf>
    <xf numFmtId="9" fontId="4" fillId="0" borderId="27" xfId="0" applyNumberFormat="1" applyFont="1" applyBorder="1" applyAlignment="1">
      <alignment horizontal="center" vertical="center" wrapText="1"/>
    </xf>
    <xf numFmtId="9" fontId="4" fillId="0" borderId="28" xfId="0" applyNumberFormat="1" applyFont="1" applyBorder="1" applyAlignment="1">
      <alignment horizontal="center" vertical="center" wrapText="1"/>
    </xf>
    <xf numFmtId="179" fontId="65" fillId="6" borderId="29" xfId="0" applyNumberFormat="1" applyFont="1" applyFill="1" applyBorder="1" applyAlignment="1">
      <alignment horizontal="center" vertical="center" wrapText="1"/>
    </xf>
    <xf numFmtId="179" fontId="35" fillId="0" borderId="31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80" fontId="35" fillId="0" borderId="22" xfId="0" applyNumberFormat="1" applyFont="1" applyBorder="1" applyAlignment="1">
      <alignment horizontal="left" vertical="center" wrapText="1"/>
    </xf>
    <xf numFmtId="180" fontId="25" fillId="0" borderId="22" xfId="0" applyNumberFormat="1" applyFont="1" applyBorder="1" applyAlignment="1">
      <alignment horizontal="left" vertical="center" wrapText="1"/>
    </xf>
    <xf numFmtId="179" fontId="37" fillId="0" borderId="18" xfId="0" applyNumberFormat="1" applyFont="1" applyFill="1" applyBorder="1" applyAlignment="1" applyProtection="1">
      <alignment horizontal="left" vertical="center" wrapText="1"/>
    </xf>
    <xf numFmtId="10" fontId="25" fillId="0" borderId="1" xfId="0" applyNumberFormat="1" applyFont="1" applyFill="1" applyBorder="1" applyAlignment="1" applyProtection="1">
      <alignment horizontal="right" vertical="center" wrapText="1"/>
    </xf>
    <xf numFmtId="179" fontId="46" fillId="0" borderId="1" xfId="0" applyNumberFormat="1" applyFont="1" applyFill="1" applyBorder="1" applyAlignment="1" applyProtection="1">
      <alignment vertical="center" wrapText="1"/>
    </xf>
    <xf numFmtId="176" fontId="46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179" fontId="46" fillId="0" borderId="1" xfId="0" applyNumberFormat="1" applyFont="1" applyFill="1" applyBorder="1" applyAlignment="1" applyProtection="1">
      <alignment horizontal="center" vertical="center" wrapText="1"/>
    </xf>
    <xf numFmtId="176" fontId="46" fillId="0" borderId="1" xfId="0" applyNumberFormat="1" applyFont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center" vertical="center"/>
    </xf>
    <xf numFmtId="0" fontId="54" fillId="9" borderId="1" xfId="0" applyFont="1" applyFill="1" applyBorder="1">
      <alignment vertical="center"/>
    </xf>
    <xf numFmtId="0" fontId="54" fillId="9" borderId="1" xfId="0" applyFont="1" applyFill="1" applyBorder="1" applyAlignment="1">
      <alignment horizontal="center" vertical="center" wrapText="1"/>
    </xf>
    <xf numFmtId="181" fontId="54" fillId="9" borderId="1" xfId="0" applyNumberFormat="1" applyFont="1" applyFill="1" applyBorder="1" applyAlignment="1">
      <alignment vertical="center" wrapText="1"/>
    </xf>
    <xf numFmtId="181" fontId="44" fillId="9" borderId="1" xfId="0" applyNumberFormat="1" applyFont="1" applyFill="1" applyBorder="1" applyAlignment="1">
      <alignment vertical="center" wrapText="1"/>
    </xf>
    <xf numFmtId="0" fontId="25" fillId="9" borderId="1" xfId="0" applyFont="1" applyFill="1" applyBorder="1" applyAlignment="1">
      <alignment horizontal="center" vertical="center" wrapText="1"/>
    </xf>
    <xf numFmtId="181" fontId="25" fillId="9" borderId="1" xfId="0" applyNumberFormat="1" applyFont="1" applyFill="1" applyBorder="1" applyAlignment="1">
      <alignment horizontal="right" vertical="center" wrapText="1"/>
    </xf>
    <xf numFmtId="0" fontId="53" fillId="9" borderId="10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vertical="center"/>
    </xf>
    <xf numFmtId="181" fontId="54" fillId="9" borderId="1" xfId="0" applyNumberFormat="1" applyFont="1" applyFill="1" applyBorder="1" applyAlignment="1">
      <alignment horizontal="center" vertical="center" wrapText="1"/>
    </xf>
    <xf numFmtId="183" fontId="53" fillId="9" borderId="1" xfId="0" applyNumberFormat="1" applyFont="1" applyFill="1" applyBorder="1" applyAlignment="1">
      <alignment vertical="center" wrapText="1"/>
    </xf>
    <xf numFmtId="0" fontId="53" fillId="9" borderId="1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left" vertical="center"/>
    </xf>
    <xf numFmtId="0" fontId="0" fillId="9" borderId="1" xfId="0" applyFill="1" applyBorder="1">
      <alignment vertical="center"/>
    </xf>
    <xf numFmtId="183" fontId="57" fillId="9" borderId="1" xfId="0" applyNumberFormat="1" applyFont="1" applyFill="1" applyBorder="1" applyAlignment="1">
      <alignment vertical="center"/>
    </xf>
    <xf numFmtId="182" fontId="53" fillId="10" borderId="10" xfId="0" applyNumberFormat="1" applyFont="1" applyFill="1" applyBorder="1" applyAlignment="1">
      <alignment horizontal="center" vertical="center" wrapText="1"/>
    </xf>
    <xf numFmtId="183" fontId="54" fillId="10" borderId="1" xfId="0" applyNumberFormat="1" applyFont="1" applyFill="1" applyBorder="1" applyAlignment="1">
      <alignment vertical="center" wrapText="1"/>
    </xf>
    <xf numFmtId="185" fontId="53" fillId="10" borderId="1" xfId="0" applyNumberFormat="1" applyFont="1" applyFill="1" applyBorder="1" applyAlignment="1">
      <alignment vertical="center" wrapText="1"/>
    </xf>
    <xf numFmtId="185" fontId="53" fillId="10" borderId="1" xfId="0" applyNumberFormat="1" applyFont="1" applyFill="1" applyBorder="1" applyAlignment="1">
      <alignment horizontal="right" vertical="center" wrapText="1"/>
    </xf>
    <xf numFmtId="0" fontId="53" fillId="10" borderId="10" xfId="0" applyFont="1" applyFill="1" applyBorder="1" applyAlignment="1">
      <alignment horizontal="center" vertical="center"/>
    </xf>
    <xf numFmtId="0" fontId="54" fillId="10" borderId="1" xfId="0" applyFont="1" applyFill="1" applyBorder="1">
      <alignment vertical="center"/>
    </xf>
    <xf numFmtId="181" fontId="53" fillId="10" borderId="1" xfId="0" applyNumberFormat="1" applyFont="1" applyFill="1" applyBorder="1" applyAlignment="1">
      <alignment horizontal="right" vertical="center"/>
    </xf>
    <xf numFmtId="0" fontId="53" fillId="10" borderId="1" xfId="0" applyFont="1" applyFill="1" applyBorder="1">
      <alignment vertical="center"/>
    </xf>
    <xf numFmtId="0" fontId="54" fillId="10" borderId="1" xfId="0" applyFont="1" applyFill="1" applyBorder="1" applyAlignment="1">
      <alignment horizontal="left" vertical="center"/>
    </xf>
    <xf numFmtId="181" fontId="53" fillId="10" borderId="1" xfId="0" applyNumberFormat="1" applyFont="1" applyFill="1" applyBorder="1" applyAlignment="1">
      <alignment horizontal="right" vertical="center" wrapText="1"/>
    </xf>
    <xf numFmtId="10" fontId="53" fillId="10" borderId="1" xfId="0" applyNumberFormat="1" applyFont="1" applyFill="1" applyBorder="1" applyAlignment="1">
      <alignment horizontal="right" vertical="center" wrapText="1"/>
    </xf>
    <xf numFmtId="0" fontId="54" fillId="10" borderId="1" xfId="0" applyFont="1" applyFill="1" applyBorder="1" applyAlignment="1">
      <alignment horizontal="left" vertical="center" wrapText="1"/>
    </xf>
    <xf numFmtId="0" fontId="54" fillId="10" borderId="1" xfId="0" applyFont="1" applyFill="1" applyBorder="1" applyAlignment="1">
      <alignment vertical="center" wrapText="1"/>
    </xf>
    <xf numFmtId="0" fontId="54" fillId="10" borderId="4" xfId="0" applyFont="1" applyFill="1" applyBorder="1" applyAlignment="1">
      <alignment vertical="center" wrapText="1"/>
    </xf>
    <xf numFmtId="181" fontId="53" fillId="10" borderId="1" xfId="0" applyNumberFormat="1" applyFont="1" applyFill="1" applyBorder="1" applyAlignment="1">
      <alignment vertical="center" wrapText="1"/>
    </xf>
    <xf numFmtId="0" fontId="53" fillId="10" borderId="1" xfId="0" applyFont="1" applyFill="1" applyBorder="1" applyAlignment="1">
      <alignment horizontal="center" vertical="center" wrapText="1"/>
    </xf>
    <xf numFmtId="179" fontId="53" fillId="10" borderId="1" xfId="0" applyNumberFormat="1" applyFont="1" applyFill="1" applyBorder="1" applyAlignment="1">
      <alignment vertical="center" wrapText="1"/>
    </xf>
    <xf numFmtId="179" fontId="57" fillId="10" borderId="1" xfId="0" applyNumberFormat="1" applyFont="1" applyFill="1" applyBorder="1" applyAlignment="1">
      <alignment vertical="center" wrapText="1"/>
    </xf>
    <xf numFmtId="9" fontId="53" fillId="10" borderId="1" xfId="0" applyNumberFormat="1" applyFont="1" applyFill="1" applyBorder="1" applyAlignment="1">
      <alignment horizontal="center" vertical="center" wrapText="1"/>
    </xf>
    <xf numFmtId="0" fontId="53" fillId="10" borderId="1" xfId="0" applyFont="1" applyFill="1" applyBorder="1" applyAlignment="1">
      <alignment vertical="center" wrapText="1"/>
    </xf>
    <xf numFmtId="0" fontId="54" fillId="10" borderId="1" xfId="0" applyFont="1" applyFill="1" applyBorder="1" applyAlignment="1">
      <alignment horizontal="center" vertical="center" wrapText="1"/>
    </xf>
    <xf numFmtId="0" fontId="53" fillId="10" borderId="34" xfId="0" applyFont="1" applyFill="1" applyBorder="1" applyAlignment="1">
      <alignment vertical="center" wrapText="1"/>
    </xf>
    <xf numFmtId="181" fontId="53" fillId="10" borderId="34" xfId="0" applyNumberFormat="1" applyFont="1" applyFill="1" applyBorder="1" applyAlignment="1">
      <alignment horizontal="right" vertical="center" wrapText="1"/>
    </xf>
    <xf numFmtId="0" fontId="53" fillId="10" borderId="34" xfId="0" applyFont="1" applyFill="1" applyBorder="1">
      <alignment vertical="center"/>
    </xf>
    <xf numFmtId="0" fontId="25" fillId="10" borderId="38" xfId="0" applyFont="1" applyFill="1" applyBorder="1" applyAlignment="1">
      <alignment horizontal="left" vertical="center" wrapText="1"/>
    </xf>
    <xf numFmtId="0" fontId="1" fillId="9" borderId="40" xfId="0" applyFont="1" applyFill="1" applyBorder="1" applyAlignment="1">
      <alignment horizontal="left" vertical="center" wrapText="1"/>
    </xf>
    <xf numFmtId="0" fontId="1" fillId="9" borderId="41" xfId="0" applyFont="1" applyFill="1" applyBorder="1" applyAlignment="1">
      <alignment horizontal="left" vertical="center" wrapText="1"/>
    </xf>
    <xf numFmtId="0" fontId="1" fillId="9" borderId="42" xfId="0" applyFont="1" applyFill="1" applyBorder="1" applyAlignment="1">
      <alignment horizontal="left" vertical="center" wrapText="1"/>
    </xf>
    <xf numFmtId="0" fontId="1" fillId="9" borderId="43" xfId="0" applyFont="1" applyFill="1" applyBorder="1" applyAlignment="1">
      <alignment horizontal="left" vertical="center" wrapText="1"/>
    </xf>
    <xf numFmtId="0" fontId="25" fillId="9" borderId="43" xfId="0" applyFont="1" applyFill="1" applyBorder="1" applyAlignment="1">
      <alignment horizontal="left" vertical="center" wrapText="1"/>
    </xf>
    <xf numFmtId="0" fontId="1" fillId="9" borderId="44" xfId="0" applyFont="1" applyFill="1" applyBorder="1" applyAlignment="1">
      <alignment horizontal="left" vertical="center" wrapText="1"/>
    </xf>
    <xf numFmtId="182" fontId="52" fillId="0" borderId="18" xfId="0" applyNumberFormat="1" applyFont="1" applyFill="1" applyBorder="1" applyAlignment="1">
      <alignment horizontal="center" vertical="center" wrapText="1"/>
    </xf>
    <xf numFmtId="183" fontId="54" fillId="0" borderId="18" xfId="0" applyNumberFormat="1" applyFont="1" applyFill="1" applyBorder="1" applyAlignment="1">
      <alignment horizontal="center" vertical="center" wrapText="1"/>
    </xf>
    <xf numFmtId="183" fontId="55" fillId="0" borderId="18" xfId="0" applyNumberFormat="1" applyFont="1" applyFill="1" applyBorder="1" applyAlignment="1">
      <alignment horizontal="left" vertical="center" wrapText="1"/>
    </xf>
    <xf numFmtId="183" fontId="55" fillId="0" borderId="18" xfId="0" applyNumberFormat="1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/>
    </xf>
    <xf numFmtId="0" fontId="55" fillId="0" borderId="18" xfId="0" applyFont="1" applyFill="1" applyBorder="1" applyAlignment="1">
      <alignment horizontal="left" vertical="center"/>
    </xf>
    <xf numFmtId="0" fontId="54" fillId="0" borderId="18" xfId="0" applyFont="1" applyFill="1" applyBorder="1" applyAlignment="1">
      <alignment horizontal="center" vertical="center"/>
    </xf>
    <xf numFmtId="10" fontId="53" fillId="0" borderId="18" xfId="0" applyNumberFormat="1" applyFont="1" applyFill="1" applyBorder="1" applyAlignment="1">
      <alignment horizontal="right" vertical="center" wrapText="1"/>
    </xf>
    <xf numFmtId="49" fontId="59" fillId="11" borderId="1" xfId="0" applyNumberFormat="1" applyFont="1" applyFill="1" applyBorder="1" applyAlignment="1">
      <alignment horizontal="left" vertical="center" wrapText="1"/>
    </xf>
    <xf numFmtId="49" fontId="5" fillId="11" borderId="1" xfId="0" applyNumberFormat="1" applyFont="1" applyFill="1" applyBorder="1" applyAlignment="1">
      <alignment horizontal="left" vertical="center" wrapText="1"/>
    </xf>
    <xf numFmtId="0" fontId="59" fillId="11" borderId="1" xfId="0" applyFont="1" applyFill="1" applyBorder="1" applyAlignment="1">
      <alignment horizontal="center" vertical="center" wrapText="1"/>
    </xf>
    <xf numFmtId="0" fontId="62" fillId="11" borderId="1" xfId="0" applyFont="1" applyFill="1" applyBorder="1" applyAlignment="1">
      <alignment horizontal="left" vertical="center" wrapText="1"/>
    </xf>
    <xf numFmtId="0" fontId="58" fillId="11" borderId="1" xfId="0" applyFont="1" applyFill="1" applyBorder="1" applyAlignment="1">
      <alignment horizontal="left" vertical="center" wrapText="1"/>
    </xf>
    <xf numFmtId="0" fontId="51" fillId="11" borderId="1" xfId="0" applyFont="1" applyFill="1" applyBorder="1">
      <alignment vertical="center"/>
    </xf>
    <xf numFmtId="0" fontId="61" fillId="11" borderId="1" xfId="0" applyFont="1" applyFill="1" applyBorder="1">
      <alignment vertical="center"/>
    </xf>
    <xf numFmtId="0" fontId="44" fillId="11" borderId="1" xfId="0" applyFont="1" applyFill="1" applyBorder="1" applyAlignment="1">
      <alignment horizontal="left" vertical="center" wrapText="1"/>
    </xf>
    <xf numFmtId="0" fontId="63" fillId="11" borderId="1" xfId="0" applyFont="1" applyFill="1" applyBorder="1" applyAlignment="1">
      <alignment horizontal="left" vertical="center" wrapText="1"/>
    </xf>
    <xf numFmtId="179" fontId="59" fillId="11" borderId="1" xfId="0" applyNumberFormat="1" applyFont="1" applyFill="1" applyBorder="1" applyAlignment="1">
      <alignment horizontal="right" vertical="center" wrapText="1"/>
    </xf>
    <xf numFmtId="179" fontId="64" fillId="11" borderId="1" xfId="0" applyNumberFormat="1" applyFont="1" applyFill="1" applyBorder="1" applyAlignment="1">
      <alignment horizontal="right" vertical="center" wrapText="1"/>
    </xf>
    <xf numFmtId="181" fontId="59" fillId="11" borderId="1" xfId="0" applyNumberFormat="1" applyFont="1" applyFill="1" applyBorder="1" applyAlignment="1">
      <alignment horizontal="right" vertical="center" wrapText="1"/>
    </xf>
    <xf numFmtId="181" fontId="64" fillId="11" borderId="1" xfId="0" applyNumberFormat="1" applyFont="1" applyFill="1" applyBorder="1" applyAlignment="1">
      <alignment horizontal="right" vertical="center" wrapText="1"/>
    </xf>
    <xf numFmtId="0" fontId="64" fillId="11" borderId="1" xfId="0" applyFont="1" applyFill="1" applyBorder="1" applyAlignment="1">
      <alignment horizontal="right" vertical="center" wrapText="1"/>
    </xf>
    <xf numFmtId="0" fontId="59" fillId="11" borderId="1" xfId="0" applyFont="1" applyFill="1" applyBorder="1" applyAlignment="1">
      <alignment horizontal="right" vertical="center" wrapText="1"/>
    </xf>
    <xf numFmtId="10" fontId="59" fillId="11" borderId="1" xfId="0" applyNumberFormat="1" applyFont="1" applyFill="1" applyBorder="1" applyAlignment="1">
      <alignment horizontal="left" vertical="center" wrapText="1"/>
    </xf>
    <xf numFmtId="181" fontId="54" fillId="9" borderId="46" xfId="0" applyNumberFormat="1" applyFont="1" applyFill="1" applyBorder="1" applyAlignment="1">
      <alignment horizontal="center" vertical="center" wrapText="1"/>
    </xf>
    <xf numFmtId="0" fontId="25" fillId="9" borderId="47" xfId="0" applyFont="1" applyFill="1" applyBorder="1" applyAlignment="1">
      <alignment horizontal="left" vertical="center" wrapText="1"/>
    </xf>
    <xf numFmtId="183" fontId="53" fillId="9" borderId="46" xfId="0" applyNumberFormat="1" applyFont="1" applyFill="1" applyBorder="1" applyAlignment="1">
      <alignment vertical="center" wrapText="1"/>
    </xf>
    <xf numFmtId="0" fontId="25" fillId="9" borderId="44" xfId="0" applyFont="1" applyFill="1" applyBorder="1" applyAlignment="1">
      <alignment horizontal="left" vertical="center" wrapText="1"/>
    </xf>
    <xf numFmtId="0" fontId="25" fillId="9" borderId="49" xfId="0" applyFont="1" applyFill="1" applyBorder="1" applyAlignment="1">
      <alignment horizontal="left" vertical="center" wrapText="1"/>
    </xf>
    <xf numFmtId="0" fontId="25" fillId="9" borderId="42" xfId="0" applyFont="1" applyFill="1" applyBorder="1" applyAlignment="1">
      <alignment horizontal="left" vertical="center" wrapText="1"/>
    </xf>
    <xf numFmtId="0" fontId="1" fillId="9" borderId="51" xfId="0" applyFont="1" applyFill="1" applyBorder="1" applyAlignment="1">
      <alignment horizontal="left" vertical="center" wrapText="1"/>
    </xf>
    <xf numFmtId="0" fontId="25" fillId="9" borderId="52" xfId="0" applyFont="1" applyFill="1" applyBorder="1" applyAlignment="1">
      <alignment horizontal="left" vertical="center" wrapText="1"/>
    </xf>
    <xf numFmtId="183" fontId="67" fillId="9" borderId="1" xfId="0" applyNumberFormat="1" applyFont="1" applyFill="1" applyBorder="1" applyAlignment="1">
      <alignment vertical="center" wrapText="1"/>
    </xf>
    <xf numFmtId="181" fontId="22" fillId="9" borderId="1" xfId="0" applyNumberFormat="1" applyFont="1" applyFill="1" applyBorder="1" applyAlignment="1">
      <alignment horizontal="right" vertical="center" wrapText="1"/>
    </xf>
    <xf numFmtId="181" fontId="68" fillId="9" borderId="1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horizontal="left" vertical="center" wrapText="1"/>
    </xf>
    <xf numFmtId="181" fontId="53" fillId="0" borderId="18" xfId="0" applyNumberFormat="1" applyFont="1" applyFill="1" applyBorder="1" applyAlignment="1">
      <alignment horizontal="right" vertical="center" wrapText="1"/>
    </xf>
    <xf numFmtId="181" fontId="52" fillId="0" borderId="18" xfId="0" applyNumberFormat="1" applyFont="1" applyFill="1" applyBorder="1" applyAlignment="1">
      <alignment horizontal="center" vertical="center"/>
    </xf>
    <xf numFmtId="0" fontId="53" fillId="0" borderId="18" xfId="0" applyFont="1" applyFill="1" applyBorder="1">
      <alignment vertical="center"/>
    </xf>
    <xf numFmtId="0" fontId="50" fillId="0" borderId="18" xfId="0" applyFont="1" applyFill="1" applyBorder="1" applyAlignment="1">
      <alignment horizontal="center"/>
    </xf>
    <xf numFmtId="0" fontId="50" fillId="0" borderId="18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 wrapText="1"/>
    </xf>
    <xf numFmtId="179" fontId="57" fillId="0" borderId="18" xfId="0" applyNumberFormat="1" applyFont="1" applyFill="1" applyBorder="1" applyAlignment="1">
      <alignment vertical="center" wrapText="1"/>
    </xf>
    <xf numFmtId="179" fontId="53" fillId="0" borderId="18" xfId="0" applyNumberFormat="1" applyFont="1" applyFill="1" applyBorder="1" applyAlignment="1">
      <alignment vertical="center" wrapText="1"/>
    </xf>
    <xf numFmtId="0" fontId="53" fillId="0" borderId="18" xfId="0" applyFont="1" applyFill="1" applyBorder="1" applyAlignment="1">
      <alignment vertical="center" wrapText="1"/>
    </xf>
    <xf numFmtId="0" fontId="53" fillId="0" borderId="54" xfId="0" applyFont="1" applyBorder="1">
      <alignment vertical="center"/>
    </xf>
    <xf numFmtId="0" fontId="54" fillId="10" borderId="55" xfId="0" applyFont="1" applyFill="1" applyBorder="1" applyAlignment="1">
      <alignment horizontal="center" vertical="center" wrapText="1"/>
    </xf>
    <xf numFmtId="179" fontId="57" fillId="10" borderId="55" xfId="0" applyNumberFormat="1" applyFont="1" applyFill="1" applyBorder="1" applyAlignment="1">
      <alignment vertical="center" wrapText="1"/>
    </xf>
    <xf numFmtId="179" fontId="53" fillId="10" borderId="55" xfId="0" applyNumberFormat="1" applyFont="1" applyFill="1" applyBorder="1" applyAlignment="1">
      <alignment vertical="center" wrapText="1"/>
    </xf>
    <xf numFmtId="0" fontId="53" fillId="10" borderId="55" xfId="0" applyFont="1" applyFill="1" applyBorder="1" applyAlignment="1">
      <alignment vertical="center" wrapText="1"/>
    </xf>
    <xf numFmtId="0" fontId="54" fillId="10" borderId="56" xfId="0" applyFont="1" applyFill="1" applyBorder="1" applyAlignment="1">
      <alignment horizontal="center" vertical="center" wrapText="1"/>
    </xf>
    <xf numFmtId="0" fontId="54" fillId="10" borderId="56" xfId="0" applyFont="1" applyFill="1" applyBorder="1" applyAlignment="1">
      <alignment vertical="center" wrapText="1"/>
    </xf>
    <xf numFmtId="181" fontId="53" fillId="10" borderId="56" xfId="0" applyNumberFormat="1" applyFont="1" applyFill="1" applyBorder="1" applyAlignment="1">
      <alignment vertical="center" wrapText="1"/>
    </xf>
    <xf numFmtId="0" fontId="53" fillId="10" borderId="56" xfId="0" applyFont="1" applyFill="1" applyBorder="1" applyAlignment="1">
      <alignment horizontal="center" vertical="center" wrapText="1"/>
    </xf>
    <xf numFmtId="179" fontId="53" fillId="10" borderId="56" xfId="0" applyNumberFormat="1" applyFont="1" applyFill="1" applyBorder="1" applyAlignment="1">
      <alignment vertical="center" wrapText="1"/>
    </xf>
    <xf numFmtId="179" fontId="53" fillId="10" borderId="57" xfId="0" applyNumberFormat="1" applyFont="1" applyFill="1" applyBorder="1" applyAlignment="1">
      <alignment vertical="center" wrapText="1"/>
    </xf>
    <xf numFmtId="0" fontId="25" fillId="10" borderId="53" xfId="0" applyFont="1" applyFill="1" applyBorder="1" applyAlignment="1">
      <alignment horizontal="left" vertical="center" wrapText="1"/>
    </xf>
    <xf numFmtId="182" fontId="52" fillId="10" borderId="53" xfId="0" applyNumberFormat="1" applyFont="1" applyFill="1" applyBorder="1" applyAlignment="1">
      <alignment horizontal="center" vertical="center" wrapText="1"/>
    </xf>
    <xf numFmtId="182" fontId="52" fillId="10" borderId="59" xfId="0" applyNumberFormat="1" applyFont="1" applyFill="1" applyBorder="1" applyAlignment="1">
      <alignment horizontal="center" vertical="center" wrapText="1"/>
    </xf>
    <xf numFmtId="183" fontId="54" fillId="10" borderId="59" xfId="0" applyNumberFormat="1" applyFont="1" applyFill="1" applyBorder="1" applyAlignment="1">
      <alignment horizontal="center" vertical="center" wrapText="1"/>
    </xf>
    <xf numFmtId="183" fontId="54" fillId="10" borderId="53" xfId="0" applyNumberFormat="1" applyFont="1" applyFill="1" applyBorder="1" applyAlignment="1">
      <alignment horizontal="center" vertical="center" wrapText="1"/>
    </xf>
    <xf numFmtId="183" fontId="55" fillId="10" borderId="59" xfId="0" applyNumberFormat="1" applyFont="1" applyFill="1" applyBorder="1" applyAlignment="1">
      <alignment horizontal="left" vertical="center" wrapText="1"/>
    </xf>
    <xf numFmtId="183" fontId="55" fillId="10" borderId="53" xfId="0" applyNumberFormat="1" applyFont="1" applyFill="1" applyBorder="1" applyAlignment="1">
      <alignment horizontal="left" vertical="center" wrapText="1"/>
    </xf>
    <xf numFmtId="183" fontId="55" fillId="10" borderId="59" xfId="0" applyNumberFormat="1" applyFont="1" applyFill="1" applyBorder="1" applyAlignment="1">
      <alignment horizontal="center" vertical="center" wrapText="1"/>
    </xf>
    <xf numFmtId="183" fontId="55" fillId="10" borderId="53" xfId="0" applyNumberFormat="1" applyFont="1" applyFill="1" applyBorder="1" applyAlignment="1">
      <alignment horizontal="center" vertical="center" wrapText="1"/>
    </xf>
    <xf numFmtId="181" fontId="53" fillId="10" borderId="53" xfId="0" applyNumberFormat="1" applyFont="1" applyFill="1" applyBorder="1" applyAlignment="1">
      <alignment horizontal="right" vertical="center" wrapText="1"/>
    </xf>
    <xf numFmtId="181" fontId="52" fillId="10" borderId="53" xfId="0" applyNumberFormat="1" applyFont="1" applyFill="1" applyBorder="1" applyAlignment="1">
      <alignment horizontal="center" vertical="center"/>
    </xf>
    <xf numFmtId="0" fontId="53" fillId="10" borderId="59" xfId="0" applyFont="1" applyFill="1" applyBorder="1" applyAlignment="1">
      <alignment horizontal="center" vertical="center"/>
    </xf>
    <xf numFmtId="0" fontId="53" fillId="10" borderId="53" xfId="0" applyFont="1" applyFill="1" applyBorder="1" applyAlignment="1">
      <alignment horizontal="center" vertical="center"/>
    </xf>
    <xf numFmtId="0" fontId="55" fillId="10" borderId="59" xfId="0" applyFont="1" applyFill="1" applyBorder="1" applyAlignment="1">
      <alignment horizontal="left" vertical="center"/>
    </xf>
    <xf numFmtId="0" fontId="55" fillId="10" borderId="53" xfId="0" applyFont="1" applyFill="1" applyBorder="1" applyAlignment="1">
      <alignment horizontal="left" vertical="center"/>
    </xf>
    <xf numFmtId="0" fontId="53" fillId="10" borderId="53" xfId="0" applyFont="1" applyFill="1" applyBorder="1">
      <alignment vertical="center"/>
    </xf>
    <xf numFmtId="0" fontId="50" fillId="10" borderId="53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center" vertical="center"/>
    </xf>
    <xf numFmtId="0" fontId="54" fillId="10" borderId="53" xfId="0" applyFont="1" applyFill="1" applyBorder="1" applyAlignment="1">
      <alignment horizontal="center" vertical="center"/>
    </xf>
    <xf numFmtId="10" fontId="53" fillId="10" borderId="59" xfId="0" applyNumberFormat="1" applyFont="1" applyFill="1" applyBorder="1" applyAlignment="1">
      <alignment horizontal="right" vertical="center" wrapText="1"/>
    </xf>
    <xf numFmtId="10" fontId="53" fillId="10" borderId="53" xfId="0" applyNumberFormat="1" applyFont="1" applyFill="1" applyBorder="1" applyAlignment="1">
      <alignment horizontal="right" vertical="center" wrapText="1"/>
    </xf>
    <xf numFmtId="0" fontId="53" fillId="10" borderId="58" xfId="0" applyFont="1" applyFill="1" applyBorder="1">
      <alignment vertical="center"/>
    </xf>
    <xf numFmtId="0" fontId="25" fillId="10" borderId="61" xfId="0" applyFont="1" applyFill="1" applyBorder="1" applyAlignment="1">
      <alignment horizontal="left" vertical="center" wrapText="1"/>
    </xf>
    <xf numFmtId="0" fontId="44" fillId="10" borderId="61" xfId="0" applyFont="1" applyFill="1" applyBorder="1" applyAlignment="1">
      <alignment horizontal="center" vertical="center" wrapText="1"/>
    </xf>
    <xf numFmtId="49" fontId="25" fillId="10" borderId="62" xfId="0" applyNumberFormat="1" applyFont="1" applyFill="1" applyBorder="1" applyAlignment="1">
      <alignment horizontal="left" vertical="center" wrapText="1"/>
    </xf>
    <xf numFmtId="49" fontId="25" fillId="10" borderId="62" xfId="0" applyNumberFormat="1" applyFont="1" applyFill="1" applyBorder="1" applyAlignment="1">
      <alignment horizontal="right" vertical="center" wrapText="1"/>
    </xf>
    <xf numFmtId="49" fontId="25" fillId="10" borderId="61" xfId="0" applyNumberFormat="1" applyFont="1" applyFill="1" applyBorder="1" applyAlignment="1">
      <alignment horizontal="left" vertical="center" wrapText="1"/>
    </xf>
    <xf numFmtId="49" fontId="1" fillId="10" borderId="61" xfId="0" applyNumberFormat="1" applyFont="1" applyFill="1" applyBorder="1" applyAlignment="1">
      <alignment horizontal="left" vertical="center" wrapText="1"/>
    </xf>
    <xf numFmtId="49" fontId="25" fillId="10" borderId="53" xfId="0" applyNumberFormat="1" applyFont="1" applyFill="1" applyBorder="1" applyAlignment="1">
      <alignment horizontal="left" vertical="center" wrapText="1"/>
    </xf>
    <xf numFmtId="182" fontId="53" fillId="10" borderId="34" xfId="0" applyNumberFormat="1" applyFont="1" applyFill="1" applyBorder="1" applyAlignment="1">
      <alignment horizontal="left" vertical="center"/>
    </xf>
    <xf numFmtId="0" fontId="50" fillId="10" borderId="60" xfId="0" applyFont="1" applyFill="1" applyBorder="1" applyAlignment="1">
      <alignment horizontal="center" vertical="center"/>
    </xf>
    <xf numFmtId="49" fontId="25" fillId="9" borderId="63" xfId="0" applyNumberFormat="1" applyFont="1" applyFill="1" applyBorder="1" applyAlignment="1">
      <alignment horizontal="left" vertical="center" wrapText="1"/>
    </xf>
    <xf numFmtId="49" fontId="25" fillId="9" borderId="64" xfId="0" applyNumberFormat="1" applyFont="1" applyFill="1" applyBorder="1" applyAlignment="1">
      <alignment horizontal="left" vertical="center" wrapText="1"/>
    </xf>
    <xf numFmtId="49" fontId="25" fillId="9" borderId="65" xfId="0" applyNumberFormat="1" applyFont="1" applyFill="1" applyBorder="1" applyAlignment="1">
      <alignment horizontal="left"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53" fillId="9" borderId="64" xfId="0" applyFont="1" applyFill="1" applyBorder="1" applyAlignment="1">
      <alignment vertical="center"/>
    </xf>
    <xf numFmtId="0" fontId="53" fillId="9" borderId="64" xfId="0" applyFont="1" applyFill="1" applyBorder="1" applyAlignment="1">
      <alignment vertical="center" wrapText="1"/>
    </xf>
    <xf numFmtId="181" fontId="53" fillId="9" borderId="64" xfId="0" applyNumberFormat="1" applyFont="1" applyFill="1" applyBorder="1" applyAlignment="1">
      <alignment horizontal="right" vertical="center" wrapText="1"/>
    </xf>
    <xf numFmtId="181" fontId="53" fillId="9" borderId="63" xfId="0" applyNumberFormat="1" applyFont="1" applyFill="1" applyBorder="1" applyAlignment="1">
      <alignment horizontal="right" vertical="center" wrapText="1"/>
    </xf>
    <xf numFmtId="0" fontId="53" fillId="9" borderId="63" xfId="0" applyFont="1" applyFill="1" applyBorder="1">
      <alignment vertical="center"/>
    </xf>
    <xf numFmtId="0" fontId="53" fillId="9" borderId="64" xfId="0" applyFont="1" applyFill="1" applyBorder="1">
      <alignment vertical="center"/>
    </xf>
    <xf numFmtId="0" fontId="53" fillId="9" borderId="50" xfId="0" applyFont="1" applyFill="1" applyBorder="1">
      <alignment vertical="center"/>
    </xf>
    <xf numFmtId="0" fontId="1" fillId="9" borderId="52" xfId="0" applyFont="1" applyFill="1" applyBorder="1" applyAlignment="1">
      <alignment horizontal="left" vertical="center" wrapText="1"/>
    </xf>
    <xf numFmtId="0" fontId="1" fillId="9" borderId="46" xfId="0" applyFont="1" applyFill="1" applyBorder="1" applyAlignment="1">
      <alignment horizontal="left" vertical="center" wrapText="1"/>
    </xf>
    <xf numFmtId="0" fontId="25" fillId="9" borderId="66" xfId="0" applyFont="1" applyFill="1" applyBorder="1" applyAlignment="1">
      <alignment horizontal="left" vertical="center" wrapText="1"/>
    </xf>
    <xf numFmtId="0" fontId="25" fillId="9" borderId="67" xfId="0" applyFont="1" applyFill="1" applyBorder="1" applyAlignment="1">
      <alignment horizontal="left" vertical="center" wrapText="1"/>
    </xf>
    <xf numFmtId="0" fontId="1" fillId="9" borderId="67" xfId="0" applyFont="1" applyFill="1" applyBorder="1" applyAlignment="1">
      <alignment horizontal="left" vertical="center" wrapText="1"/>
    </xf>
    <xf numFmtId="0" fontId="1" fillId="9" borderId="68" xfId="0" applyFont="1" applyFill="1" applyBorder="1" applyAlignment="1">
      <alignment horizontal="left" vertical="center" wrapText="1"/>
    </xf>
    <xf numFmtId="49" fontId="25" fillId="9" borderId="39" xfId="0" applyNumberFormat="1" applyFont="1" applyFill="1" applyBorder="1" applyAlignment="1">
      <alignment horizontal="left" vertical="center" wrapText="1"/>
    </xf>
    <xf numFmtId="0" fontId="50" fillId="9" borderId="40" xfId="0" applyFont="1" applyFill="1" applyBorder="1" applyAlignment="1">
      <alignment horizontal="center"/>
    </xf>
    <xf numFmtId="181" fontId="54" fillId="9" borderId="43" xfId="0" applyNumberFormat="1" applyFont="1" applyFill="1" applyBorder="1" applyAlignment="1">
      <alignment horizontal="center" vertical="center" wrapText="1"/>
    </xf>
    <xf numFmtId="183" fontId="53" fillId="9" borderId="43" xfId="0" applyNumberFormat="1" applyFont="1" applyFill="1" applyBorder="1" applyAlignment="1">
      <alignment vertical="center" wrapText="1"/>
    </xf>
    <xf numFmtId="0" fontId="53" fillId="9" borderId="68" xfId="0" applyFont="1" applyFill="1" applyBorder="1">
      <alignment vertical="center"/>
    </xf>
    <xf numFmtId="0" fontId="25" fillId="9" borderId="68" xfId="0" applyFont="1" applyFill="1" applyBorder="1" applyAlignment="1">
      <alignment horizontal="left" vertical="center" wrapText="1"/>
    </xf>
    <xf numFmtId="0" fontId="25" fillId="11" borderId="70" xfId="0" applyFont="1" applyFill="1" applyBorder="1" applyAlignment="1">
      <alignment horizontal="center" vertical="center" wrapText="1"/>
    </xf>
    <xf numFmtId="0" fontId="44" fillId="11" borderId="70" xfId="0" applyFont="1" applyFill="1" applyBorder="1" applyAlignment="1">
      <alignment horizontal="left" vertical="center" wrapText="1"/>
    </xf>
    <xf numFmtId="0" fontId="25" fillId="11" borderId="70" xfId="0" applyFont="1" applyFill="1" applyBorder="1" applyAlignment="1">
      <alignment horizontal="left" vertical="center" wrapText="1"/>
    </xf>
    <xf numFmtId="0" fontId="25" fillId="11" borderId="71" xfId="0" applyFont="1" applyFill="1" applyBorder="1" applyAlignment="1">
      <alignment horizontal="center" vertical="center" wrapText="1"/>
    </xf>
    <xf numFmtId="0" fontId="44" fillId="11" borderId="71" xfId="0" applyFont="1" applyFill="1" applyBorder="1" applyAlignment="1">
      <alignment horizontal="left" vertical="center" wrapText="1"/>
    </xf>
    <xf numFmtId="0" fontId="25" fillId="11" borderId="71" xfId="0" applyFont="1" applyFill="1" applyBorder="1" applyAlignment="1">
      <alignment horizontal="left" vertical="center" wrapText="1"/>
    </xf>
    <xf numFmtId="0" fontId="44" fillId="11" borderId="73" xfId="0" applyFont="1" applyFill="1" applyBorder="1" applyAlignment="1">
      <alignment horizontal="center" vertical="center" wrapText="1"/>
    </xf>
    <xf numFmtId="49" fontId="59" fillId="11" borderId="73" xfId="0" applyNumberFormat="1" applyFont="1" applyFill="1" applyBorder="1" applyAlignment="1">
      <alignment horizontal="left" vertical="center" wrapText="1"/>
    </xf>
    <xf numFmtId="49" fontId="59" fillId="11" borderId="73" xfId="0" applyNumberFormat="1" applyFont="1" applyFill="1" applyBorder="1" applyAlignment="1">
      <alignment horizontal="right" vertical="center" wrapText="1"/>
    </xf>
    <xf numFmtId="0" fontId="44" fillId="11" borderId="77" xfId="0" applyFont="1" applyFill="1" applyBorder="1" applyAlignment="1">
      <alignment horizontal="left" vertical="center" wrapText="1"/>
    </xf>
    <xf numFmtId="49" fontId="5" fillId="11" borderId="73" xfId="0" applyNumberFormat="1" applyFont="1" applyFill="1" applyBorder="1" applyAlignment="1">
      <alignment horizontal="left" vertical="center" wrapText="1"/>
    </xf>
    <xf numFmtId="0" fontId="25" fillId="11" borderId="79" xfId="0" applyFont="1" applyFill="1" applyBorder="1" applyAlignment="1">
      <alignment horizontal="left" vertical="center" wrapText="1"/>
    </xf>
    <xf numFmtId="0" fontId="25" fillId="11" borderId="80" xfId="0" applyFont="1" applyFill="1" applyBorder="1" applyAlignment="1">
      <alignment horizontal="left" vertical="center" wrapText="1"/>
    </xf>
    <xf numFmtId="0" fontId="25" fillId="11" borderId="78" xfId="0" applyFont="1" applyFill="1" applyBorder="1" applyAlignment="1">
      <alignment horizontal="left" vertical="center" wrapText="1"/>
    </xf>
    <xf numFmtId="181" fontId="72" fillId="8" borderId="1" xfId="0" applyNumberFormat="1" applyFont="1" applyFill="1" applyBorder="1" applyAlignment="1">
      <alignment horizontal="left" vertical="center" wrapText="1"/>
    </xf>
    <xf numFmtId="0" fontId="72" fillId="8" borderId="1" xfId="0" applyFont="1" applyFill="1" applyBorder="1" applyAlignment="1">
      <alignment horizontal="left" vertical="center" wrapText="1"/>
    </xf>
    <xf numFmtId="179" fontId="72" fillId="8" borderId="1" xfId="0" applyNumberFormat="1" applyFont="1" applyFill="1" applyBorder="1" applyAlignment="1">
      <alignment horizontal="left" vertical="center" wrapText="1"/>
    </xf>
    <xf numFmtId="10" fontId="72" fillId="8" borderId="1" xfId="0" applyNumberFormat="1" applyFont="1" applyFill="1" applyBorder="1" applyAlignment="1">
      <alignment horizontal="left" vertical="center" wrapText="1"/>
    </xf>
    <xf numFmtId="0" fontId="59" fillId="8" borderId="1" xfId="0" applyFont="1" applyFill="1" applyBorder="1" applyAlignment="1">
      <alignment horizontal="center" vertical="center" wrapText="1"/>
    </xf>
    <xf numFmtId="0" fontId="60" fillId="8" borderId="1" xfId="0" applyFont="1" applyFill="1" applyBorder="1" applyAlignment="1">
      <alignment horizontal="left" vertical="center" wrapText="1"/>
    </xf>
    <xf numFmtId="49" fontId="59" fillId="8" borderId="1" xfId="0" applyNumberFormat="1" applyFont="1" applyFill="1" applyBorder="1" applyAlignment="1">
      <alignment horizontal="right" vertical="center" wrapText="1"/>
    </xf>
    <xf numFmtId="0" fontId="62" fillId="8" borderId="1" xfId="0" applyFont="1" applyFill="1" applyBorder="1" applyAlignment="1">
      <alignment horizontal="left" vertical="center" wrapText="1"/>
    </xf>
    <xf numFmtId="49" fontId="59" fillId="8" borderId="1" xfId="0" applyNumberFormat="1" applyFont="1" applyFill="1" applyBorder="1" applyAlignment="1">
      <alignment horizontal="left" vertical="center" wrapText="1"/>
    </xf>
    <xf numFmtId="0" fontId="61" fillId="8" borderId="1" xfId="0" applyFont="1" applyFill="1" applyBorder="1">
      <alignment vertical="center"/>
    </xf>
    <xf numFmtId="0" fontId="63" fillId="8" borderId="1" xfId="0" applyFont="1" applyFill="1" applyBorder="1" applyAlignment="1">
      <alignment horizontal="left" vertical="center" wrapText="1"/>
    </xf>
    <xf numFmtId="0" fontId="44" fillId="8" borderId="1" xfId="0" applyFont="1" applyFill="1" applyBorder="1" applyAlignment="1">
      <alignment horizontal="left" vertical="center" wrapText="1"/>
    </xf>
    <xf numFmtId="0" fontId="70" fillId="11" borderId="82" xfId="0" applyFont="1" applyFill="1" applyBorder="1" applyAlignment="1">
      <alignment vertical="center" wrapText="1"/>
    </xf>
    <xf numFmtId="0" fontId="70" fillId="11" borderId="72" xfId="0" applyFont="1" applyFill="1" applyBorder="1" applyAlignment="1">
      <alignment vertical="center" wrapText="1"/>
    </xf>
    <xf numFmtId="0" fontId="70" fillId="11" borderId="83" xfId="0" applyFont="1" applyFill="1" applyBorder="1" applyAlignment="1">
      <alignment vertical="center" wrapText="1"/>
    </xf>
    <xf numFmtId="0" fontId="70" fillId="11" borderId="7" xfId="0" applyFont="1" applyFill="1" applyBorder="1" applyAlignment="1">
      <alignment vertical="center" wrapText="1"/>
    </xf>
    <xf numFmtId="0" fontId="70" fillId="11" borderId="84" xfId="0" applyFont="1" applyFill="1" applyBorder="1" applyAlignment="1">
      <alignment vertical="center" wrapText="1"/>
    </xf>
    <xf numFmtId="0" fontId="7" fillId="8" borderId="1" xfId="0" applyFont="1" applyFill="1" applyBorder="1" applyAlignment="1" applyProtection="1">
      <alignment horizontal="left" vertical="center" wrapText="1"/>
    </xf>
    <xf numFmtId="179" fontId="22" fillId="8" borderId="1" xfId="0" applyNumberFormat="1" applyFont="1" applyFill="1" applyBorder="1" applyAlignment="1" applyProtection="1">
      <alignment horizontal="right" vertical="center" wrapText="1"/>
    </xf>
    <xf numFmtId="0" fontId="1" fillId="8" borderId="1" xfId="0" applyFont="1" applyFill="1" applyBorder="1" applyAlignment="1" applyProtection="1">
      <alignment horizontal="left" vertical="center" wrapText="1"/>
    </xf>
    <xf numFmtId="0" fontId="25" fillId="8" borderId="1" xfId="0" applyFont="1" applyFill="1" applyBorder="1" applyAlignment="1" applyProtection="1">
      <alignment horizontal="left" vertical="center" wrapText="1"/>
    </xf>
    <xf numFmtId="176" fontId="1" fillId="8" borderId="1" xfId="0" applyNumberFormat="1" applyFont="1" applyFill="1" applyBorder="1" applyAlignment="1" applyProtection="1">
      <alignment horizontal="left" vertical="center" wrapText="1"/>
    </xf>
    <xf numFmtId="179" fontId="37" fillId="8" borderId="1" xfId="0" applyNumberFormat="1" applyFont="1" applyFill="1" applyBorder="1" applyAlignment="1" applyProtection="1">
      <alignment horizontal="left" vertical="center" wrapText="1"/>
    </xf>
    <xf numFmtId="178" fontId="37" fillId="8" borderId="1" xfId="0" applyNumberFormat="1" applyFont="1" applyFill="1" applyBorder="1" applyAlignment="1" applyProtection="1">
      <alignment horizontal="left" vertical="center" wrapText="1"/>
    </xf>
    <xf numFmtId="10" fontId="37" fillId="8" borderId="1" xfId="0" applyNumberFormat="1" applyFont="1" applyFill="1" applyBorder="1" applyAlignment="1" applyProtection="1">
      <alignment horizontal="left" vertical="center" wrapText="1"/>
    </xf>
    <xf numFmtId="0" fontId="29" fillId="8" borderId="1" xfId="0" applyFont="1" applyFill="1" applyBorder="1" applyAlignment="1" applyProtection="1">
      <alignment horizontal="left" vertical="center" wrapText="1"/>
    </xf>
    <xf numFmtId="10" fontId="36" fillId="8" borderId="1" xfId="0" applyNumberFormat="1" applyFont="1" applyFill="1" applyBorder="1" applyAlignment="1" applyProtection="1">
      <alignment horizontal="left" vertical="center" wrapText="1"/>
    </xf>
    <xf numFmtId="0" fontId="41" fillId="8" borderId="1" xfId="0" applyFont="1" applyFill="1" applyBorder="1" applyAlignment="1" applyProtection="1">
      <alignment horizontal="left" vertical="center" wrapText="1"/>
    </xf>
    <xf numFmtId="9" fontId="36" fillId="8" borderId="1" xfId="0" applyNumberFormat="1" applyFont="1" applyFill="1" applyBorder="1" applyAlignment="1" applyProtection="1">
      <alignment horizontal="left" vertical="center" wrapText="1"/>
    </xf>
    <xf numFmtId="177" fontId="36" fillId="8" borderId="1" xfId="0" applyNumberFormat="1" applyFont="1" applyFill="1" applyBorder="1" applyAlignment="1" applyProtection="1">
      <alignment horizontal="left" vertical="center" wrapText="1"/>
    </xf>
    <xf numFmtId="10" fontId="7" fillId="8" borderId="1" xfId="0" applyNumberFormat="1" applyFont="1" applyFill="1" applyBorder="1" applyAlignment="1" applyProtection="1">
      <alignment horizontal="left" vertical="center" wrapText="1"/>
    </xf>
    <xf numFmtId="176" fontId="1" fillId="10" borderId="1" xfId="0" applyNumberFormat="1" applyFont="1" applyFill="1" applyBorder="1" applyAlignment="1" applyProtection="1">
      <alignment horizontal="left" vertical="center" wrapText="1"/>
    </xf>
    <xf numFmtId="0" fontId="29" fillId="10" borderId="1" xfId="0" applyFont="1" applyFill="1" applyBorder="1" applyAlignment="1" applyProtection="1">
      <alignment horizontal="left" vertical="center" wrapText="1"/>
    </xf>
    <xf numFmtId="0" fontId="25" fillId="10" borderId="1" xfId="0" applyFont="1" applyFill="1" applyBorder="1" applyAlignment="1" applyProtection="1">
      <alignment horizontal="left" vertical="center" wrapText="1"/>
    </xf>
    <xf numFmtId="0" fontId="1" fillId="10" borderId="1" xfId="0" applyFont="1" applyFill="1" applyBorder="1" applyAlignment="1" applyProtection="1">
      <alignment horizontal="left" vertical="center" wrapText="1"/>
    </xf>
    <xf numFmtId="0" fontId="7" fillId="10" borderId="1" xfId="0" applyFont="1" applyFill="1" applyBorder="1" applyAlignment="1" applyProtection="1">
      <alignment horizontal="left" vertical="center" wrapText="1"/>
    </xf>
    <xf numFmtId="10" fontId="7" fillId="10" borderId="1" xfId="0" applyNumberFormat="1" applyFont="1" applyFill="1" applyBorder="1" applyAlignment="1" applyProtection="1">
      <alignment horizontal="left" vertical="center" wrapText="1"/>
    </xf>
    <xf numFmtId="179" fontId="22" fillId="10" borderId="1" xfId="0" applyNumberFormat="1" applyFont="1" applyFill="1" applyBorder="1" applyAlignment="1" applyProtection="1">
      <alignment horizontal="right" vertical="center" wrapText="1"/>
    </xf>
    <xf numFmtId="179" fontId="22" fillId="10" borderId="1" xfId="0" applyNumberFormat="1" applyFont="1" applyFill="1" applyBorder="1" applyAlignment="1" applyProtection="1">
      <alignment horizontal="left" vertical="center" wrapText="1"/>
    </xf>
    <xf numFmtId="176" fontId="25" fillId="10" borderId="1" xfId="0" applyNumberFormat="1" applyFont="1" applyFill="1" applyBorder="1" applyAlignment="1" applyProtection="1">
      <alignment horizontal="left" vertical="center" wrapText="1"/>
    </xf>
    <xf numFmtId="179" fontId="37" fillId="10" borderId="1" xfId="0" applyNumberFormat="1" applyFont="1" applyFill="1" applyBorder="1" applyAlignment="1">
      <alignment horizontal="left" vertical="center" wrapText="1"/>
    </xf>
    <xf numFmtId="10" fontId="65" fillId="10" borderId="1" xfId="0" applyNumberFormat="1" applyFont="1" applyFill="1" applyBorder="1" applyAlignment="1" applyProtection="1">
      <alignment horizontal="left" vertical="center" wrapText="1"/>
    </xf>
    <xf numFmtId="0" fontId="22" fillId="10" borderId="1" xfId="0" applyFont="1" applyFill="1" applyBorder="1" applyAlignment="1" applyProtection="1">
      <alignment horizontal="left" vertical="center" wrapText="1"/>
    </xf>
    <xf numFmtId="0" fontId="65" fillId="10" borderId="1" xfId="0" applyFont="1" applyFill="1" applyBorder="1" applyAlignment="1" applyProtection="1">
      <alignment horizontal="left" vertical="center" wrapText="1"/>
    </xf>
    <xf numFmtId="180" fontId="22" fillId="10" borderId="1" xfId="0" applyNumberFormat="1" applyFont="1" applyFill="1" applyBorder="1" applyAlignment="1" applyProtection="1">
      <alignment horizontal="left" vertical="center" wrapText="1"/>
    </xf>
    <xf numFmtId="10" fontId="22" fillId="10" borderId="1" xfId="1" applyNumberFormat="1" applyFont="1" applyFill="1" applyBorder="1" applyAlignment="1" applyProtection="1">
      <alignment horizontal="left" vertical="center" wrapText="1"/>
    </xf>
    <xf numFmtId="0" fontId="25" fillId="0" borderId="54" xfId="0" applyFont="1" applyFill="1" applyBorder="1" applyAlignment="1">
      <alignment horizontal="left" vertical="center" wrapText="1"/>
    </xf>
    <xf numFmtId="0" fontId="25" fillId="0" borderId="22" xfId="0" applyFont="1" applyFill="1" applyBorder="1" applyAlignment="1">
      <alignment horizontal="left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4" fillId="0" borderId="22" xfId="0" applyFont="1" applyFill="1" applyBorder="1" applyAlignment="1">
      <alignment horizontal="center" vertical="center" wrapText="1"/>
    </xf>
    <xf numFmtId="49" fontId="59" fillId="0" borderId="18" xfId="0" applyNumberFormat="1" applyFont="1" applyFill="1" applyBorder="1" applyAlignment="1">
      <alignment horizontal="left" vertical="center" wrapText="1"/>
    </xf>
    <xf numFmtId="49" fontId="59" fillId="0" borderId="22" xfId="0" applyNumberFormat="1" applyFont="1" applyFill="1" applyBorder="1" applyAlignment="1">
      <alignment horizontal="left" vertical="center" wrapText="1"/>
    </xf>
    <xf numFmtId="49" fontId="59" fillId="0" borderId="18" xfId="0" applyNumberFormat="1" applyFont="1" applyFill="1" applyBorder="1" applyAlignment="1">
      <alignment horizontal="right" vertical="center" wrapText="1"/>
    </xf>
    <xf numFmtId="49" fontId="59" fillId="0" borderId="22" xfId="0" applyNumberFormat="1" applyFont="1" applyFill="1" applyBorder="1" applyAlignment="1">
      <alignment horizontal="right" vertical="center" wrapText="1"/>
    </xf>
    <xf numFmtId="49" fontId="5" fillId="0" borderId="18" xfId="0" applyNumberFormat="1" applyFont="1" applyFill="1" applyBorder="1" applyAlignment="1">
      <alignment horizontal="left" vertical="center" wrapText="1"/>
    </xf>
    <xf numFmtId="49" fontId="5" fillId="0" borderId="22" xfId="0" applyNumberFormat="1" applyFont="1" applyFill="1" applyBorder="1" applyAlignment="1">
      <alignment horizontal="left" vertical="center" wrapText="1"/>
    </xf>
    <xf numFmtId="0" fontId="1" fillId="12" borderId="0" xfId="0" applyFont="1" applyFill="1" applyBorder="1" applyAlignment="1" applyProtection="1">
      <alignment horizontal="center" vertical="center" wrapText="1"/>
    </xf>
    <xf numFmtId="179" fontId="22" fillId="12" borderId="0" xfId="0" applyNumberFormat="1" applyFont="1" applyFill="1" applyBorder="1" applyAlignment="1" applyProtection="1">
      <alignment horizontal="right" vertical="center" wrapText="1"/>
    </xf>
    <xf numFmtId="179" fontId="22" fillId="12" borderId="0" xfId="0" applyNumberFormat="1" applyFont="1" applyFill="1" applyBorder="1" applyAlignment="1" applyProtection="1">
      <alignment horizontal="left" vertical="center" wrapText="1"/>
    </xf>
    <xf numFmtId="179" fontId="37" fillId="12" borderId="0" xfId="0" applyNumberFormat="1" applyFont="1" applyFill="1" applyBorder="1" applyAlignment="1" applyProtection="1">
      <alignment horizontal="left" vertical="center" wrapText="1"/>
    </xf>
    <xf numFmtId="179" fontId="37" fillId="12" borderId="0" xfId="0" applyNumberFormat="1" applyFont="1" applyFill="1" applyBorder="1" applyAlignment="1">
      <alignment horizontal="left" vertical="center" wrapText="1"/>
    </xf>
    <xf numFmtId="178" fontId="37" fillId="12" borderId="0" xfId="0" applyNumberFormat="1" applyFont="1" applyFill="1" applyBorder="1" applyAlignment="1" applyProtection="1">
      <alignment horizontal="left" vertical="center" wrapText="1"/>
    </xf>
    <xf numFmtId="10" fontId="37" fillId="12" borderId="0" xfId="0" applyNumberFormat="1" applyFont="1" applyFill="1" applyBorder="1" applyAlignment="1" applyProtection="1">
      <alignment horizontal="left" vertical="center" wrapText="1"/>
    </xf>
    <xf numFmtId="10" fontId="36" fillId="12" borderId="0" xfId="0" applyNumberFormat="1" applyFont="1" applyFill="1" applyBorder="1" applyAlignment="1" applyProtection="1">
      <alignment horizontal="left" vertical="center" wrapText="1"/>
    </xf>
    <xf numFmtId="10" fontId="65" fillId="12" borderId="0" xfId="0" applyNumberFormat="1" applyFont="1" applyFill="1" applyBorder="1" applyAlignment="1" applyProtection="1">
      <alignment horizontal="left" vertical="center" wrapText="1"/>
    </xf>
    <xf numFmtId="9" fontId="36" fillId="12" borderId="0" xfId="0" applyNumberFormat="1" applyFont="1" applyFill="1" applyBorder="1" applyAlignment="1" applyProtection="1">
      <alignment horizontal="left" vertical="center" wrapText="1"/>
    </xf>
    <xf numFmtId="177" fontId="36" fillId="12" borderId="0" xfId="0" applyNumberFormat="1" applyFont="1" applyFill="1" applyBorder="1" applyAlignment="1" applyProtection="1">
      <alignment horizontal="left" vertical="center" wrapText="1"/>
    </xf>
    <xf numFmtId="0" fontId="22" fillId="12" borderId="0" xfId="0" applyFont="1" applyFill="1" applyBorder="1" applyAlignment="1" applyProtection="1">
      <alignment horizontal="left" vertical="center" wrapText="1"/>
    </xf>
    <xf numFmtId="0" fontId="65" fillId="12" borderId="0" xfId="0" applyFont="1" applyFill="1" applyBorder="1" applyAlignment="1" applyProtection="1">
      <alignment horizontal="left" vertical="center" wrapText="1"/>
    </xf>
    <xf numFmtId="180" fontId="22" fillId="12" borderId="0" xfId="0" applyNumberFormat="1" applyFont="1" applyFill="1" applyBorder="1" applyAlignment="1" applyProtection="1">
      <alignment horizontal="left" vertical="center" wrapText="1"/>
    </xf>
    <xf numFmtId="10" fontId="22" fillId="12" borderId="0" xfId="1" applyNumberFormat="1" applyFont="1" applyFill="1" applyBorder="1" applyAlignment="1" applyProtection="1">
      <alignment horizontal="left" vertical="center" wrapText="1"/>
    </xf>
    <xf numFmtId="0" fontId="25" fillId="12" borderId="95" xfId="0" applyFont="1" applyFill="1" applyBorder="1" applyAlignment="1">
      <alignment horizontal="left" vertical="center" wrapText="1"/>
    </xf>
    <xf numFmtId="0" fontId="69" fillId="12" borderId="94" xfId="0" applyFont="1" applyFill="1" applyBorder="1" applyAlignment="1" applyProtection="1">
      <alignment horizontal="center" vertical="top" wrapText="1"/>
    </xf>
    <xf numFmtId="0" fontId="25" fillId="0" borderId="20" xfId="0" applyFont="1" applyBorder="1" applyAlignment="1">
      <alignment vertical="center" wrapText="1"/>
    </xf>
    <xf numFmtId="0" fontId="54" fillId="13" borderId="1" xfId="0" applyFont="1" applyFill="1" applyBorder="1" applyAlignment="1">
      <alignment horizontal="left" vertical="center" wrapText="1"/>
    </xf>
    <xf numFmtId="0" fontId="54" fillId="13" borderId="4" xfId="0" applyFont="1" applyFill="1" applyBorder="1" applyAlignment="1">
      <alignment vertical="center" wrapText="1"/>
    </xf>
    <xf numFmtId="181" fontId="53" fillId="13" borderId="1" xfId="0" applyNumberFormat="1" applyFont="1" applyFill="1" applyBorder="1" applyAlignment="1">
      <alignment vertical="center" wrapText="1"/>
    </xf>
    <xf numFmtId="0" fontId="53" fillId="13" borderId="1" xfId="0" applyFont="1" applyFill="1" applyBorder="1" applyAlignment="1">
      <alignment horizontal="center" vertical="center" wrapText="1"/>
    </xf>
    <xf numFmtId="179" fontId="53" fillId="13" borderId="1" xfId="0" applyNumberFormat="1" applyFont="1" applyFill="1" applyBorder="1" applyAlignment="1">
      <alignment vertical="center" wrapText="1"/>
    </xf>
    <xf numFmtId="179" fontId="57" fillId="13" borderId="1" xfId="0" applyNumberFormat="1" applyFont="1" applyFill="1" applyBorder="1" applyAlignment="1">
      <alignment vertical="center" wrapText="1"/>
    </xf>
    <xf numFmtId="9" fontId="53" fillId="13" borderId="1" xfId="0" applyNumberFormat="1" applyFont="1" applyFill="1" applyBorder="1" applyAlignment="1">
      <alignment horizontal="center" vertical="center" wrapText="1"/>
    </xf>
    <xf numFmtId="0" fontId="53" fillId="13" borderId="1" xfId="0" applyFont="1" applyFill="1" applyBorder="1" applyAlignment="1">
      <alignment vertical="center" wrapText="1"/>
    </xf>
    <xf numFmtId="0" fontId="25" fillId="0" borderId="26" xfId="0" applyFont="1" applyBorder="1" applyAlignment="1">
      <alignment vertical="center" wrapText="1"/>
    </xf>
    <xf numFmtId="179" fontId="59" fillId="0" borderId="18" xfId="0" applyNumberFormat="1" applyFont="1" applyFill="1" applyBorder="1" applyAlignment="1">
      <alignment horizontal="left" vertical="center" wrapText="1"/>
    </xf>
    <xf numFmtId="0" fontId="25" fillId="0" borderId="90" xfId="0" applyFont="1" applyBorder="1" applyAlignment="1">
      <alignment vertical="center" wrapText="1"/>
    </xf>
    <xf numFmtId="0" fontId="44" fillId="0" borderId="1" xfId="0" applyFont="1" applyBorder="1" applyAlignment="1">
      <alignment horizontal="left" vertical="center" wrapText="1"/>
    </xf>
    <xf numFmtId="0" fontId="44" fillId="0" borderId="1" xfId="0" applyFont="1" applyBorder="1" applyAlignment="1">
      <alignment horizontal="center" vertical="center" wrapText="1"/>
    </xf>
    <xf numFmtId="183" fontId="25" fillId="0" borderId="1" xfId="0" applyNumberFormat="1" applyFont="1" applyBorder="1" applyAlignment="1">
      <alignment horizontal="right" vertical="center" wrapText="1"/>
    </xf>
    <xf numFmtId="0" fontId="44" fillId="0" borderId="1" xfId="0" applyFont="1" applyBorder="1" applyAlignment="1">
      <alignment horizontal="left" vertical="center"/>
    </xf>
    <xf numFmtId="176" fontId="44" fillId="0" borderId="1" xfId="0" applyNumberFormat="1" applyFont="1" applyBorder="1" applyAlignment="1">
      <alignment horizontal="left" vertical="center" wrapText="1"/>
    </xf>
    <xf numFmtId="0" fontId="44" fillId="0" borderId="1" xfId="0" applyNumberFormat="1" applyFont="1" applyBorder="1" applyAlignment="1">
      <alignment horizontal="left"/>
    </xf>
    <xf numFmtId="181" fontId="44" fillId="0" borderId="1" xfId="0" applyNumberFormat="1" applyFont="1" applyBorder="1" applyAlignment="1">
      <alignment horizontal="left"/>
    </xf>
    <xf numFmtId="0" fontId="4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left"/>
    </xf>
    <xf numFmtId="181" fontId="25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/>
    </xf>
    <xf numFmtId="181" fontId="7" fillId="0" borderId="1" xfId="0" applyNumberFormat="1" applyFont="1" applyBorder="1" applyAlignment="1">
      <alignment horizontal="left"/>
    </xf>
    <xf numFmtId="0" fontId="73" fillId="11" borderId="81" xfId="0" applyFont="1" applyFill="1" applyBorder="1" applyAlignment="1">
      <alignment horizontal="left" vertical="center" wrapText="1"/>
    </xf>
    <xf numFmtId="178" fontId="72" fillId="8" borderId="1" xfId="0" applyNumberFormat="1" applyFont="1" applyFill="1" applyBorder="1" applyAlignment="1">
      <alignment horizontal="left" vertical="center" wrapText="1"/>
    </xf>
    <xf numFmtId="178" fontId="53" fillId="10" borderId="1" xfId="0" applyNumberFormat="1" applyFont="1" applyFill="1" applyBorder="1" applyAlignment="1">
      <alignment horizontal="center" vertical="center" wrapText="1"/>
    </xf>
    <xf numFmtId="9" fontId="72" fillId="8" borderId="1" xfId="0" applyNumberFormat="1" applyFont="1" applyFill="1" applyBorder="1" applyAlignment="1">
      <alignment horizontal="left" vertical="center" wrapText="1"/>
    </xf>
    <xf numFmtId="0" fontId="44" fillId="10" borderId="1" xfId="0" applyFont="1" applyFill="1" applyBorder="1" applyAlignment="1" applyProtection="1">
      <alignment horizontal="center" vertical="center" wrapText="1"/>
    </xf>
    <xf numFmtId="0" fontId="53" fillId="9" borderId="64" xfId="0" applyFont="1" applyFill="1" applyBorder="1" applyAlignment="1"/>
    <xf numFmtId="0" fontId="78" fillId="14" borderId="96" xfId="0" applyFont="1" applyFill="1" applyBorder="1" applyAlignment="1">
      <alignment vertical="center" wrapText="1"/>
    </xf>
    <xf numFmtId="0" fontId="79" fillId="14" borderId="97" xfId="0" applyFont="1" applyFill="1" applyBorder="1" applyAlignment="1">
      <alignment vertical="center" wrapText="1"/>
    </xf>
    <xf numFmtId="0" fontId="79" fillId="14" borderId="98" xfId="0" applyFont="1" applyFill="1" applyBorder="1" applyAlignment="1">
      <alignment vertical="center" wrapText="1"/>
    </xf>
    <xf numFmtId="9" fontId="79" fillId="4" borderId="1" xfId="1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 applyProtection="1">
      <alignment horizontal="center" vertical="center" wrapText="1"/>
    </xf>
    <xf numFmtId="0" fontId="44" fillId="11" borderId="74" xfId="0" applyFont="1" applyFill="1" applyBorder="1" applyAlignment="1">
      <alignment horizontal="left" vertical="center" wrapText="1"/>
    </xf>
    <xf numFmtId="0" fontId="44" fillId="11" borderId="76" xfId="0" applyFont="1" applyFill="1" applyBorder="1" applyAlignment="1">
      <alignment horizontal="left" vertical="center" wrapText="1"/>
    </xf>
    <xf numFmtId="0" fontId="44" fillId="11" borderId="75" xfId="0" applyFont="1" applyFill="1" applyBorder="1" applyAlignment="1">
      <alignment horizontal="left" vertical="center" wrapText="1"/>
    </xf>
    <xf numFmtId="0" fontId="44" fillId="11" borderId="77" xfId="0" applyFont="1" applyFill="1" applyBorder="1" applyAlignment="1">
      <alignment horizontal="left" vertical="center" wrapText="1"/>
    </xf>
    <xf numFmtId="0" fontId="50" fillId="10" borderId="36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/>
    </xf>
    <xf numFmtId="183" fontId="55" fillId="10" borderId="1" xfId="0" applyNumberFormat="1" applyFont="1" applyFill="1" applyBorder="1" applyAlignment="1">
      <alignment horizontal="center" vertical="center" wrapText="1"/>
    </xf>
    <xf numFmtId="183" fontId="55" fillId="10" borderId="1" xfId="0" applyNumberFormat="1" applyFont="1" applyFill="1" applyBorder="1" applyAlignment="1">
      <alignment horizontal="left" vertical="center" wrapText="1"/>
    </xf>
    <xf numFmtId="0" fontId="73" fillId="9" borderId="88" xfId="0" applyFont="1" applyFill="1" applyBorder="1" applyAlignment="1">
      <alignment horizontal="left" vertical="center" wrapText="1"/>
    </xf>
    <xf numFmtId="0" fontId="73" fillId="9" borderId="89" xfId="0" applyFont="1" applyFill="1" applyBorder="1" applyAlignment="1">
      <alignment horizontal="left" vertical="center" wrapText="1"/>
    </xf>
    <xf numFmtId="0" fontId="44" fillId="11" borderId="74" xfId="0" applyFont="1" applyFill="1" applyBorder="1" applyAlignment="1">
      <alignment horizontal="center" vertical="center" wrapText="1"/>
    </xf>
    <xf numFmtId="0" fontId="44" fillId="11" borderId="75" xfId="0" applyFont="1" applyFill="1" applyBorder="1" applyAlignment="1">
      <alignment horizontal="center" vertical="center" wrapText="1"/>
    </xf>
    <xf numFmtId="182" fontId="54" fillId="10" borderId="2" xfId="0" applyNumberFormat="1" applyFont="1" applyFill="1" applyBorder="1" applyAlignment="1">
      <alignment horizontal="center" vertical="center" wrapText="1"/>
    </xf>
    <xf numFmtId="182" fontId="54" fillId="10" borderId="3" xfId="0" applyNumberFormat="1" applyFont="1" applyFill="1" applyBorder="1" applyAlignment="1">
      <alignment horizontal="center" vertical="center" wrapText="1"/>
    </xf>
    <xf numFmtId="0" fontId="44" fillId="11" borderId="2" xfId="0" applyFont="1" applyFill="1" applyBorder="1" applyAlignment="1">
      <alignment horizontal="center" vertical="center" wrapText="1"/>
    </xf>
    <xf numFmtId="0" fontId="44" fillId="11" borderId="3" xfId="0" applyFont="1" applyFill="1" applyBorder="1" applyAlignment="1">
      <alignment horizontal="center" vertical="center" wrapText="1"/>
    </xf>
    <xf numFmtId="182" fontId="54" fillId="11" borderId="2" xfId="0" applyNumberFormat="1" applyFont="1" applyFill="1" applyBorder="1" applyAlignment="1">
      <alignment horizontal="center" vertical="center" wrapText="1"/>
    </xf>
    <xf numFmtId="182" fontId="54" fillId="11" borderId="3" xfId="0" applyNumberFormat="1" applyFont="1" applyFill="1" applyBorder="1" applyAlignment="1">
      <alignment horizontal="center" vertical="center" wrapText="1"/>
    </xf>
    <xf numFmtId="0" fontId="73" fillId="10" borderId="61" xfId="0" applyFont="1" applyFill="1" applyBorder="1" applyAlignment="1">
      <alignment horizontal="left" vertical="center" wrapText="1"/>
    </xf>
    <xf numFmtId="0" fontId="73" fillId="10" borderId="59" xfId="0" applyFont="1" applyFill="1" applyBorder="1" applyAlignment="1">
      <alignment horizontal="left" vertical="center" wrapText="1"/>
    </xf>
    <xf numFmtId="182" fontId="50" fillId="10" borderId="60" xfId="0" applyNumberFormat="1" applyFont="1" applyFill="1" applyBorder="1" applyAlignment="1">
      <alignment horizontal="center" vertical="center" wrapText="1"/>
    </xf>
    <xf numFmtId="183" fontId="54" fillId="10" borderId="13" xfId="0" applyNumberFormat="1" applyFont="1" applyFill="1" applyBorder="1" applyAlignment="1">
      <alignment horizontal="center" vertical="center" wrapText="1"/>
    </xf>
    <xf numFmtId="183" fontId="54" fillId="10" borderId="15" xfId="0" applyNumberFormat="1" applyFont="1" applyFill="1" applyBorder="1" applyAlignment="1">
      <alignment horizontal="center" vertical="center" wrapText="1"/>
    </xf>
    <xf numFmtId="183" fontId="54" fillId="10" borderId="6" xfId="0" applyNumberFormat="1" applyFont="1" applyFill="1" applyBorder="1" applyAlignment="1">
      <alignment horizontal="center" vertical="center" wrapText="1"/>
    </xf>
    <xf numFmtId="183" fontId="54" fillId="10" borderId="12" xfId="0" applyNumberFormat="1" applyFont="1" applyFill="1" applyBorder="1" applyAlignment="1">
      <alignment horizontal="center" vertical="center" wrapText="1"/>
    </xf>
    <xf numFmtId="183" fontId="54" fillId="10" borderId="2" xfId="0" applyNumberFormat="1" applyFont="1" applyFill="1" applyBorder="1" applyAlignment="1">
      <alignment horizontal="center" vertical="center" wrapText="1"/>
    </xf>
    <xf numFmtId="183" fontId="54" fillId="10" borderId="3" xfId="0" applyNumberFormat="1" applyFont="1" applyFill="1" applyBorder="1" applyAlignment="1">
      <alignment horizontal="center" vertical="center" wrapText="1"/>
    </xf>
    <xf numFmtId="0" fontId="44" fillId="9" borderId="4" xfId="0" applyFont="1" applyFill="1" applyBorder="1" applyAlignment="1">
      <alignment horizontal="left" vertical="center" wrapText="1"/>
    </xf>
    <xf numFmtId="0" fontId="44" fillId="9" borderId="10" xfId="0" applyFont="1" applyFill="1" applyBorder="1" applyAlignment="1">
      <alignment horizontal="left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54" fillId="9" borderId="2" xfId="0" applyFont="1" applyFill="1" applyBorder="1" applyAlignment="1">
      <alignment horizontal="center" vertical="center" wrapText="1"/>
    </xf>
    <xf numFmtId="0" fontId="54" fillId="9" borderId="3" xfId="0" applyFont="1" applyFill="1" applyBorder="1" applyAlignment="1">
      <alignment horizontal="center" vertical="center" wrapText="1"/>
    </xf>
    <xf numFmtId="0" fontId="54" fillId="9" borderId="2" xfId="0" applyFont="1" applyFill="1" applyBorder="1" applyAlignment="1">
      <alignment horizontal="center" vertical="center"/>
    </xf>
    <xf numFmtId="0" fontId="54" fillId="9" borderId="3" xfId="0" applyFont="1" applyFill="1" applyBorder="1" applyAlignment="1">
      <alignment horizontal="center" vertical="center"/>
    </xf>
    <xf numFmtId="0" fontId="44" fillId="9" borderId="2" xfId="0" applyFont="1" applyFill="1" applyBorder="1" applyAlignment="1">
      <alignment horizontal="center" vertical="center" wrapText="1"/>
    </xf>
    <xf numFmtId="0" fontId="44" fillId="9" borderId="3" xfId="0" applyFont="1" applyFill="1" applyBorder="1" applyAlignment="1">
      <alignment horizontal="center" vertical="center" wrapText="1"/>
    </xf>
    <xf numFmtId="0" fontId="44" fillId="9" borderId="13" xfId="0" applyFont="1" applyFill="1" applyBorder="1" applyAlignment="1">
      <alignment horizontal="center" vertical="center" wrapText="1"/>
    </xf>
    <xf numFmtId="0" fontId="44" fillId="9" borderId="15" xfId="0" applyFont="1" applyFill="1" applyBorder="1" applyAlignment="1">
      <alignment horizontal="center" vertical="center" wrapText="1"/>
    </xf>
    <xf numFmtId="0" fontId="44" fillId="9" borderId="6" xfId="0" applyFont="1" applyFill="1" applyBorder="1" applyAlignment="1">
      <alignment horizontal="center" vertical="center" wrapText="1"/>
    </xf>
    <xf numFmtId="0" fontId="44" fillId="9" borderId="12" xfId="0" applyFont="1" applyFill="1" applyBorder="1" applyAlignment="1">
      <alignment horizontal="center" vertical="center" wrapText="1"/>
    </xf>
    <xf numFmtId="0" fontId="54" fillId="9" borderId="10" xfId="0" applyFont="1" applyFill="1" applyBorder="1" applyAlignment="1">
      <alignment horizontal="center" vertical="center"/>
    </xf>
    <xf numFmtId="0" fontId="55" fillId="10" borderId="1" xfId="0" applyFont="1" applyFill="1" applyBorder="1" applyAlignment="1">
      <alignment horizontal="left" vertical="center"/>
    </xf>
    <xf numFmtId="0" fontId="53" fillId="10" borderId="1" xfId="0" applyFont="1" applyFill="1" applyBorder="1" applyAlignment="1">
      <alignment horizontal="center" vertical="center"/>
    </xf>
    <xf numFmtId="181" fontId="54" fillId="9" borderId="1" xfId="0" applyNumberFormat="1" applyFont="1" applyFill="1" applyBorder="1" applyAlignment="1">
      <alignment horizontal="center" vertical="center" wrapText="1"/>
    </xf>
    <xf numFmtId="183" fontId="54" fillId="9" borderId="1" xfId="0" applyNumberFormat="1" applyFont="1" applyFill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center" vertical="center"/>
    </xf>
    <xf numFmtId="0" fontId="50" fillId="9" borderId="69" xfId="0" applyFont="1" applyFill="1" applyBorder="1" applyAlignment="1">
      <alignment horizontal="center" vertical="center"/>
    </xf>
    <xf numFmtId="0" fontId="50" fillId="9" borderId="45" xfId="0" applyFont="1" applyFill="1" applyBorder="1" applyAlignment="1">
      <alignment horizontal="center" vertical="center"/>
    </xf>
    <xf numFmtId="0" fontId="54" fillId="10" borderId="10" xfId="0" applyFont="1" applyFill="1" applyBorder="1" applyAlignment="1">
      <alignment horizontal="center" vertical="center"/>
    </xf>
    <xf numFmtId="183" fontId="54" fillId="10" borderId="1" xfId="0" applyNumberFormat="1" applyFont="1" applyFill="1" applyBorder="1" applyAlignment="1">
      <alignment horizontal="center" vertical="center" wrapText="1"/>
    </xf>
    <xf numFmtId="181" fontId="50" fillId="10" borderId="36" xfId="0" applyNumberFormat="1" applyFont="1" applyFill="1" applyBorder="1" applyAlignment="1">
      <alignment horizontal="center" vertical="center"/>
    </xf>
    <xf numFmtId="0" fontId="44" fillId="11" borderId="85" xfId="0" applyFont="1" applyFill="1" applyBorder="1" applyAlignment="1">
      <alignment horizontal="left" vertical="center" wrapText="1"/>
    </xf>
    <xf numFmtId="0" fontId="44" fillId="11" borderId="86" xfId="0" applyFont="1" applyFill="1" applyBorder="1" applyAlignment="1">
      <alignment horizontal="left" vertical="center" wrapText="1"/>
    </xf>
    <xf numFmtId="0" fontId="44" fillId="11" borderId="87" xfId="0" applyFont="1" applyFill="1" applyBorder="1" applyAlignment="1">
      <alignment horizontal="left" vertical="center" wrapText="1"/>
    </xf>
    <xf numFmtId="0" fontId="54" fillId="10" borderId="2" xfId="0" applyFont="1" applyFill="1" applyBorder="1" applyAlignment="1">
      <alignment horizontal="center" vertical="center" wrapText="1"/>
    </xf>
    <xf numFmtId="0" fontId="54" fillId="10" borderId="3" xfId="0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horizontal="center" vertical="center" wrapText="1"/>
    </xf>
    <xf numFmtId="0" fontId="44" fillId="11" borderId="85" xfId="0" applyFont="1" applyFill="1" applyBorder="1" applyAlignment="1">
      <alignment vertical="center" wrapText="1"/>
    </xf>
    <xf numFmtId="0" fontId="44" fillId="11" borderId="86" xfId="0" applyFont="1" applyFill="1" applyBorder="1" applyAlignment="1">
      <alignment vertical="center" wrapText="1"/>
    </xf>
    <xf numFmtId="0" fontId="44" fillId="11" borderId="87" xfId="0" applyFont="1" applyFill="1" applyBorder="1" applyAlignment="1">
      <alignment vertical="center" wrapText="1"/>
    </xf>
    <xf numFmtId="176" fontId="44" fillId="0" borderId="1" xfId="0" applyNumberFormat="1" applyFont="1" applyBorder="1" applyAlignment="1">
      <alignment horizontal="center" vertical="center" wrapText="1"/>
    </xf>
    <xf numFmtId="10" fontId="25" fillId="0" borderId="1" xfId="0" applyNumberFormat="1" applyFont="1" applyBorder="1" applyAlignment="1">
      <alignment horizontal="center" vertical="center" wrapText="1"/>
    </xf>
    <xf numFmtId="179" fontId="25" fillId="0" borderId="1" xfId="0" applyNumberFormat="1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10" xfId="0" applyFont="1" applyBorder="1" applyAlignment="1">
      <alignment horizontal="center" vertical="center" wrapText="1"/>
    </xf>
    <xf numFmtId="179" fontId="46" fillId="0" borderId="2" xfId="0" applyNumberFormat="1" applyFont="1" applyBorder="1" applyAlignment="1">
      <alignment horizontal="center" vertical="center" wrapText="1"/>
    </xf>
    <xf numFmtId="179" fontId="46" fillId="0" borderId="3" xfId="0" applyNumberFormat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80" fillId="0" borderId="1" xfId="0" applyFont="1" applyBorder="1" applyAlignment="1" applyProtection="1">
      <alignment horizontal="left" vertical="center" wrapText="1"/>
    </xf>
    <xf numFmtId="0" fontId="24" fillId="0" borderId="1" xfId="0" applyFont="1" applyBorder="1" applyAlignment="1" applyProtection="1">
      <alignment horizontal="center" vertical="center" wrapText="1"/>
    </xf>
    <xf numFmtId="0" fontId="44" fillId="10" borderId="1" xfId="0" applyFont="1" applyFill="1" applyBorder="1" applyAlignment="1" applyProtection="1">
      <alignment horizontal="center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24" xfId="0" applyFont="1" applyBorder="1" applyAlignment="1">
      <alignment horizontal="center" vertical="center" wrapText="1"/>
    </xf>
    <xf numFmtId="0" fontId="47" fillId="0" borderId="21" xfId="0" applyFont="1" applyBorder="1" applyAlignment="1">
      <alignment horizontal="center" vertical="center" wrapText="1"/>
    </xf>
    <xf numFmtId="0" fontId="63" fillId="0" borderId="1" xfId="0" applyFont="1" applyBorder="1" applyAlignment="1" applyProtection="1">
      <alignment horizontal="center" vertical="center" wrapText="1"/>
    </xf>
    <xf numFmtId="0" fontId="54" fillId="13" borderId="1" xfId="0" applyFont="1" applyFill="1" applyBorder="1" applyAlignment="1">
      <alignment horizontal="center" vertical="center" wrapText="1"/>
    </xf>
    <xf numFmtId="0" fontId="54" fillId="13" borderId="2" xfId="0" applyFont="1" applyFill="1" applyBorder="1" applyAlignment="1">
      <alignment horizontal="center" vertical="center" wrapText="1"/>
    </xf>
    <xf numFmtId="0" fontId="54" fillId="13" borderId="3" xfId="0" applyFont="1" applyFill="1" applyBorder="1" applyAlignment="1">
      <alignment horizontal="center" vertical="center" wrapText="1"/>
    </xf>
    <xf numFmtId="0" fontId="54" fillId="13" borderId="4" xfId="0" applyFont="1" applyFill="1" applyBorder="1" applyAlignment="1">
      <alignment horizontal="center" vertical="center" wrapText="1"/>
    </xf>
    <xf numFmtId="0" fontId="54" fillId="13" borderId="10" xfId="0" applyFont="1" applyFill="1" applyBorder="1" applyAlignment="1">
      <alignment horizontal="center" vertical="center" wrapText="1"/>
    </xf>
    <xf numFmtId="0" fontId="81" fillId="0" borderId="1" xfId="0" applyFont="1" applyBorder="1" applyAlignment="1" applyProtection="1">
      <alignment horizontal="left" vertical="center" wrapText="1"/>
    </xf>
    <xf numFmtId="0" fontId="44" fillId="13" borderId="2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left" vertical="center" wrapText="1"/>
    </xf>
    <xf numFmtId="0" fontId="75" fillId="13" borderId="9" xfId="0" applyFont="1" applyFill="1" applyBorder="1" applyAlignment="1">
      <alignment horizontal="left" vertical="center" wrapText="1"/>
    </xf>
    <xf numFmtId="0" fontId="75" fillId="13" borderId="3" xfId="0" applyFont="1" applyFill="1" applyBorder="1" applyAlignment="1">
      <alignment horizontal="left" vertical="center" wrapText="1"/>
    </xf>
    <xf numFmtId="0" fontId="50" fillId="11" borderId="4" xfId="0" applyFont="1" applyFill="1" applyBorder="1" applyAlignment="1">
      <alignment horizontal="center" vertical="center"/>
    </xf>
    <xf numFmtId="0" fontId="50" fillId="11" borderId="8" xfId="0" applyFont="1" applyFill="1" applyBorder="1" applyAlignment="1">
      <alignment horizontal="center" vertical="center"/>
    </xf>
    <xf numFmtId="0" fontId="50" fillId="11" borderId="10" xfId="0" applyFont="1" applyFill="1" applyBorder="1" applyAlignment="1">
      <alignment horizontal="center" vertical="center"/>
    </xf>
    <xf numFmtId="49" fontId="48" fillId="0" borderId="13" xfId="0" applyNumberFormat="1" applyFont="1" applyBorder="1" applyAlignment="1">
      <alignment horizontal="center" vertical="center" wrapText="1"/>
    </xf>
    <xf numFmtId="49" fontId="48" fillId="0" borderId="15" xfId="0" applyNumberFormat="1" applyFont="1" applyBorder="1" applyAlignment="1">
      <alignment horizontal="center" vertical="center" wrapText="1"/>
    </xf>
    <xf numFmtId="49" fontId="48" fillId="0" borderId="6" xfId="0" applyNumberFormat="1" applyFont="1" applyBorder="1" applyAlignment="1">
      <alignment horizontal="center" vertical="center" wrapText="1"/>
    </xf>
    <xf numFmtId="49" fontId="48" fillId="0" borderId="12" xfId="0" applyNumberFormat="1" applyFont="1" applyBorder="1" applyAlignment="1">
      <alignment horizontal="center" vertical="center" wrapText="1"/>
    </xf>
    <xf numFmtId="0" fontId="1" fillId="6" borderId="91" xfId="0" applyFont="1" applyFill="1" applyBorder="1" applyAlignment="1">
      <alignment horizontal="center" vertical="center" wrapText="1"/>
    </xf>
    <xf numFmtId="0" fontId="1" fillId="6" borderId="92" xfId="0" applyFont="1" applyFill="1" applyBorder="1" applyAlignment="1">
      <alignment horizontal="center" vertical="center" wrapText="1"/>
    </xf>
    <xf numFmtId="0" fontId="1" fillId="6" borderId="93" xfId="0" applyFont="1" applyFill="1" applyBorder="1" applyAlignment="1">
      <alignment horizontal="center" vertical="center" wrapText="1"/>
    </xf>
    <xf numFmtId="9" fontId="66" fillId="7" borderId="13" xfId="0" applyNumberFormat="1" applyFont="1" applyFill="1" applyBorder="1" applyAlignment="1">
      <alignment horizontal="center" vertical="center" wrapText="1"/>
    </xf>
    <xf numFmtId="9" fontId="66" fillId="7" borderId="30" xfId="0" applyNumberFormat="1" applyFont="1" applyFill="1" applyBorder="1" applyAlignment="1">
      <alignment horizontal="center" vertical="center" wrapText="1"/>
    </xf>
    <xf numFmtId="9" fontId="66" fillId="7" borderId="32" xfId="0" applyNumberFormat="1" applyFont="1" applyFill="1" applyBorder="1" applyAlignment="1">
      <alignment horizontal="center" vertical="center" wrapText="1"/>
    </xf>
    <xf numFmtId="9" fontId="66" fillId="7" borderId="33" xfId="0" applyNumberFormat="1" applyFont="1" applyFill="1" applyBorder="1" applyAlignment="1">
      <alignment horizontal="center" vertical="center" wrapText="1"/>
    </xf>
    <xf numFmtId="0" fontId="25" fillId="0" borderId="16" xfId="0" applyFont="1" applyBorder="1" applyAlignment="1">
      <alignment horizontal="left" vertical="center" wrapText="1"/>
    </xf>
    <xf numFmtId="0" fontId="78" fillId="14" borderId="102" xfId="0" applyFont="1" applyFill="1" applyBorder="1" applyAlignment="1">
      <alignment horizontal="left" vertical="center" wrapText="1"/>
    </xf>
    <xf numFmtId="0" fontId="78" fillId="14" borderId="103" xfId="0" applyFont="1" applyFill="1" applyBorder="1" applyAlignment="1">
      <alignment horizontal="left" vertical="center" wrapText="1"/>
    </xf>
    <xf numFmtId="0" fontId="78" fillId="14" borderId="104" xfId="0" applyFont="1" applyFill="1" applyBorder="1" applyAlignment="1">
      <alignment horizontal="left" vertical="center" wrapText="1"/>
    </xf>
    <xf numFmtId="0" fontId="69" fillId="10" borderId="37" xfId="0" applyFont="1" applyFill="1" applyBorder="1" applyAlignment="1" applyProtection="1">
      <alignment horizontal="center" wrapText="1"/>
    </xf>
    <xf numFmtId="0" fontId="69" fillId="10" borderId="38" xfId="0" applyFont="1" applyFill="1" applyBorder="1" applyAlignment="1" applyProtection="1">
      <alignment horizontal="center" wrapText="1"/>
    </xf>
    <xf numFmtId="0" fontId="69" fillId="10" borderId="35" xfId="0" applyFont="1" applyFill="1" applyBorder="1" applyAlignment="1" applyProtection="1">
      <alignment horizontal="center" wrapText="1"/>
    </xf>
    <xf numFmtId="0" fontId="69" fillId="10" borderId="36" xfId="0" applyFont="1" applyFill="1" applyBorder="1" applyAlignment="1" applyProtection="1">
      <alignment horizontal="center" wrapText="1"/>
    </xf>
    <xf numFmtId="0" fontId="79" fillId="14" borderId="99" xfId="0" applyFont="1" applyFill="1" applyBorder="1" applyAlignment="1">
      <alignment horizontal="left" vertical="center" wrapText="1"/>
    </xf>
    <xf numFmtId="0" fontId="79" fillId="14" borderId="100" xfId="0" applyFont="1" applyFill="1" applyBorder="1" applyAlignment="1">
      <alignment horizontal="left" vertical="center" wrapText="1"/>
    </xf>
    <xf numFmtId="0" fontId="79" fillId="14" borderId="101" xfId="0" applyFont="1" applyFill="1" applyBorder="1" applyAlignment="1">
      <alignment horizontal="left" vertical="center" wrapText="1"/>
    </xf>
    <xf numFmtId="176" fontId="47" fillId="0" borderId="23" xfId="0" applyNumberFormat="1" applyFont="1" applyBorder="1" applyAlignment="1">
      <alignment horizontal="center" vertical="center" wrapText="1"/>
    </xf>
    <xf numFmtId="176" fontId="47" fillId="0" borderId="24" xfId="0" applyNumberFormat="1" applyFont="1" applyBorder="1" applyAlignment="1">
      <alignment horizontal="center" vertical="center" wrapText="1"/>
    </xf>
    <xf numFmtId="176" fontId="47" fillId="0" borderId="21" xfId="0" applyNumberFormat="1" applyFont="1" applyBorder="1" applyAlignment="1">
      <alignment horizontal="center" vertical="center" wrapText="1"/>
    </xf>
    <xf numFmtId="179" fontId="44" fillId="0" borderId="2" xfId="0" applyNumberFormat="1" applyFont="1" applyFill="1" applyBorder="1" applyAlignment="1" applyProtection="1">
      <alignment horizontal="center" vertical="center" wrapText="1"/>
    </xf>
    <xf numFmtId="179" fontId="44" fillId="0" borderId="3" xfId="0" applyNumberFormat="1" applyFont="1" applyFill="1" applyBorder="1" applyAlignment="1" applyProtection="1">
      <alignment horizontal="center" vertical="center" wrapText="1"/>
    </xf>
    <xf numFmtId="179" fontId="44" fillId="0" borderId="2" xfId="0" applyNumberFormat="1" applyFont="1" applyBorder="1" applyAlignment="1">
      <alignment horizontal="center" vertical="center" wrapText="1"/>
    </xf>
    <xf numFmtId="179" fontId="44" fillId="0" borderId="3" xfId="0" applyNumberFormat="1" applyFont="1" applyBorder="1" applyAlignment="1">
      <alignment horizontal="center" vertical="center" wrapText="1"/>
    </xf>
    <xf numFmtId="176" fontId="44" fillId="0" borderId="2" xfId="0" applyNumberFormat="1" applyFont="1" applyBorder="1" applyAlignment="1">
      <alignment horizontal="center" vertical="center" wrapText="1"/>
    </xf>
    <xf numFmtId="176" fontId="44" fillId="0" borderId="9" xfId="0" applyNumberFormat="1" applyFont="1" applyBorder="1" applyAlignment="1">
      <alignment horizontal="center" vertical="center" wrapText="1"/>
    </xf>
    <xf numFmtId="176" fontId="44" fillId="0" borderId="3" xfId="0" applyNumberFormat="1" applyFont="1" applyBorder="1" applyAlignment="1">
      <alignment horizontal="center" vertical="center" wrapText="1"/>
    </xf>
    <xf numFmtId="179" fontId="25" fillId="0" borderId="2" xfId="0" applyNumberFormat="1" applyFont="1" applyBorder="1" applyAlignment="1">
      <alignment horizontal="center" vertical="center" wrapText="1"/>
    </xf>
    <xf numFmtId="179" fontId="25" fillId="0" borderId="9" xfId="0" applyNumberFormat="1" applyFont="1" applyBorder="1" applyAlignment="1">
      <alignment horizontal="center" vertical="center" wrapText="1"/>
    </xf>
    <xf numFmtId="179" fontId="25" fillId="0" borderId="3" xfId="0" applyNumberFormat="1" applyFont="1" applyBorder="1" applyAlignment="1">
      <alignment horizontal="center" vertical="center" wrapText="1"/>
    </xf>
    <xf numFmtId="10" fontId="25" fillId="0" borderId="2" xfId="0" applyNumberFormat="1" applyFont="1" applyBorder="1" applyAlignment="1">
      <alignment horizontal="center" vertical="center" wrapText="1"/>
    </xf>
    <xf numFmtId="10" fontId="25" fillId="0" borderId="9" xfId="0" applyNumberFormat="1" applyFont="1" applyBorder="1" applyAlignment="1">
      <alignment horizontal="center" vertical="center" wrapText="1"/>
    </xf>
    <xf numFmtId="10" fontId="25" fillId="0" borderId="3" xfId="0" applyNumberFormat="1" applyFont="1" applyBorder="1" applyAlignment="1">
      <alignment horizontal="center" vertical="center" wrapText="1"/>
    </xf>
    <xf numFmtId="9" fontId="45" fillId="0" borderId="31" xfId="0" applyNumberFormat="1" applyFont="1" applyFill="1" applyBorder="1" applyAlignment="1" applyProtection="1">
      <alignment horizontal="center" vertical="center" wrapText="1"/>
    </xf>
    <xf numFmtId="0" fontId="45" fillId="0" borderId="1" xfId="0" applyFont="1" applyFill="1" applyBorder="1" applyAlignment="1" applyProtection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0" fontId="78" fillId="14" borderId="99" xfId="0" applyFont="1" applyFill="1" applyBorder="1" applyAlignment="1">
      <alignment horizontal="left" vertical="center" wrapText="1"/>
    </xf>
    <xf numFmtId="0" fontId="78" fillId="14" borderId="100" xfId="0" applyFont="1" applyFill="1" applyBorder="1" applyAlignment="1">
      <alignment horizontal="left" vertical="center" wrapText="1"/>
    </xf>
    <xf numFmtId="0" fontId="78" fillId="14" borderId="101" xfId="0" applyFont="1" applyFill="1" applyBorder="1" applyAlignment="1">
      <alignment horizontal="left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6" fontId="44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181" fontId="63" fillId="0" borderId="1" xfId="0" applyNumberFormat="1" applyFont="1" applyBorder="1" applyAlignment="1">
      <alignment horizontal="center" vertical="center"/>
    </xf>
    <xf numFmtId="181" fontId="23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81" fontId="63" fillId="0" borderId="2" xfId="0" applyNumberFormat="1" applyFont="1" applyBorder="1" applyAlignment="1">
      <alignment horizontal="center" vertical="center"/>
    </xf>
    <xf numFmtId="181" fontId="63" fillId="0" borderId="3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left"/>
    </xf>
    <xf numFmtId="10" fontId="7" fillId="0" borderId="8" xfId="0" applyNumberFormat="1" applyFont="1" applyBorder="1" applyAlignment="1">
      <alignment horizontal="left"/>
    </xf>
    <xf numFmtId="10" fontId="7" fillId="0" borderId="10" xfId="0" applyNumberFormat="1" applyFont="1" applyBorder="1" applyAlignment="1">
      <alignment horizontal="left"/>
    </xf>
    <xf numFmtId="176" fontId="7" fillId="0" borderId="4" xfId="0" applyNumberFormat="1" applyFont="1" applyBorder="1" applyAlignment="1">
      <alignment horizontal="left"/>
    </xf>
    <xf numFmtId="176" fontId="7" fillId="0" borderId="8" xfId="0" applyNumberFormat="1" applyFont="1" applyBorder="1" applyAlignment="1">
      <alignment horizontal="left"/>
    </xf>
    <xf numFmtId="176" fontId="7" fillId="0" borderId="10" xfId="0" applyNumberFormat="1" applyFont="1" applyBorder="1" applyAlignment="1">
      <alignment horizontal="left"/>
    </xf>
    <xf numFmtId="0" fontId="82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6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 vertical="center"/>
    </xf>
    <xf numFmtId="0" fontId="84" fillId="0" borderId="7" xfId="0" applyFont="1" applyBorder="1" applyAlignment="1">
      <alignment horizontal="left" vertical="center"/>
    </xf>
    <xf numFmtId="0" fontId="85" fillId="0" borderId="0" xfId="0" applyFont="1" applyBorder="1" applyAlignment="1">
      <alignment horizontal="left" vertical="center"/>
    </xf>
    <xf numFmtId="0" fontId="46" fillId="0" borderId="0" xfId="0" applyFont="1" applyBorder="1" applyAlignment="1">
      <alignment horizontal="left" vertical="center" wrapText="1"/>
    </xf>
    <xf numFmtId="0" fontId="86" fillId="11" borderId="82" xfId="0" applyFont="1" applyFill="1" applyBorder="1" applyAlignment="1">
      <alignment horizontal="center" vertical="center" wrapText="1"/>
    </xf>
    <xf numFmtId="0" fontId="86" fillId="11" borderId="7" xfId="0" applyFont="1" applyFill="1" applyBorder="1" applyAlignment="1">
      <alignment horizontal="center" vertical="center" wrapText="1"/>
    </xf>
    <xf numFmtId="0" fontId="87" fillId="10" borderId="1" xfId="0" applyNumberFormat="1" applyFont="1" applyFill="1" applyBorder="1" applyAlignment="1" applyProtection="1">
      <alignment horizontal="left" vertical="center" wrapText="1"/>
    </xf>
    <xf numFmtId="0" fontId="87" fillId="8" borderId="1" xfId="0" applyNumberFormat="1" applyFont="1" applyFill="1" applyBorder="1" applyAlignment="1" applyProtection="1">
      <alignment horizontal="left" vertical="center" wrapText="1"/>
    </xf>
    <xf numFmtId="0" fontId="87" fillId="10" borderId="1" xfId="0" applyNumberFormat="1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mruColors>
      <color rgb="FF66FFFF"/>
      <color rgb="FFCCECFF"/>
      <color rgb="FFFFCCFF"/>
      <color rgb="FFCCFFCC"/>
      <color rgb="FF00FF00"/>
      <color rgb="FFFFCC00"/>
      <color rgb="FFC0C0C0"/>
      <color rgb="FFFFCC99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</a:rPr>
              <a:t>税后内部收益率敏感程度图示</a:t>
            </a:r>
          </a:p>
        </c:rich>
      </c:tx>
      <c:layout>
        <c:manualLayout>
          <c:xMode val="edge"/>
          <c:yMode val="edge"/>
          <c:x val="0.4176101487314085"/>
          <c:y val="7.0452816688606479E-3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941896114222591"/>
          <c:y val="0.11148314224286146"/>
          <c:w val="0.76302939258990476"/>
          <c:h val="0.69391648055461963"/>
        </c:manualLayout>
      </c:layout>
      <c:barChart>
        <c:barDir val="bar"/>
        <c:grouping val="clustered"/>
        <c:ser>
          <c:idx val="0"/>
          <c:order val="0"/>
          <c:tx>
            <c:v>10%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项目参数页!$S$33:$W$33</c:f>
              <c:strCache>
                <c:ptCount val="5"/>
                <c:pt idx="0">
                  <c:v>销售收入</c:v>
                </c:pt>
                <c:pt idx="1">
                  <c:v>直接成本</c:v>
                </c:pt>
                <c:pt idx="2">
                  <c:v>固定资产</c:v>
                </c:pt>
                <c:pt idx="3">
                  <c:v>经营管理费用</c:v>
                </c:pt>
                <c:pt idx="4">
                  <c:v>工资福利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项目参数页!$R$33:$W$33</c15:sqref>
                  </c15:fullRef>
                </c:ext>
              </c:extLst>
            </c:strRef>
          </c:cat>
          <c:val>
            <c:numRef>
              <c:f>项目参数页!$S$34:$W$34</c:f>
              <c:numCache>
                <c:formatCode>0.00%</c:formatCode>
                <c:ptCount val="5"/>
                <c:pt idx="0">
                  <c:v>0.29294060229023683</c:v>
                </c:pt>
                <c:pt idx="1">
                  <c:v>-0.19176644025082698</c:v>
                </c:pt>
                <c:pt idx="2">
                  <c:v>-8.4387287522958376E-2</c:v>
                </c:pt>
                <c:pt idx="3">
                  <c:v>-3.5292057934303928E-2</c:v>
                </c:pt>
                <c:pt idx="4">
                  <c:v>-2.094058523441494E-2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项目参数页!$R$34:$W$34</c15:sqref>
                  </c15:fullRef>
                </c:ext>
              </c:extLst>
            </c:numRef>
          </c:val>
        </c:ser>
        <c:ser>
          <c:idx val="1"/>
          <c:order val="1"/>
          <c:tx>
            <c:v>5%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项目参数页!$S$33:$W$33</c:f>
              <c:strCache>
                <c:ptCount val="5"/>
                <c:pt idx="0">
                  <c:v>销售收入</c:v>
                </c:pt>
                <c:pt idx="1">
                  <c:v>直接成本</c:v>
                </c:pt>
                <c:pt idx="2">
                  <c:v>固定资产</c:v>
                </c:pt>
                <c:pt idx="3">
                  <c:v>经营管理费用</c:v>
                </c:pt>
                <c:pt idx="4">
                  <c:v>工资福利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项目参数页!$R$33:$W$33</c15:sqref>
                  </c15:fullRef>
                </c:ext>
              </c:extLst>
            </c:strRef>
          </c:cat>
          <c:val>
            <c:numRef>
              <c:f>项目参数页!$S$35:$W$35</c:f>
              <c:numCache>
                <c:formatCode>0.00%</c:formatCode>
                <c:ptCount val="5"/>
                <c:pt idx="0">
                  <c:v>0.14745903471211788</c:v>
                </c:pt>
                <c:pt idx="1">
                  <c:v>-9.5164475603071799E-2</c:v>
                </c:pt>
                <c:pt idx="2">
                  <c:v>-4.384806009883363E-2</c:v>
                </c:pt>
                <c:pt idx="3">
                  <c:v>-1.7625747425600628E-2</c:v>
                </c:pt>
                <c:pt idx="4">
                  <c:v>-1.0463266997486176E-2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项目参数页!$R$35:$W$35</c15:sqref>
                  </c15:fullRef>
                </c:ext>
              </c:extLst>
            </c:numRef>
          </c:val>
        </c:ser>
        <c:ser>
          <c:idx val="2"/>
          <c:order val="2"/>
          <c:tx>
            <c:v>-5%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项目参数页!$S$33:$W$33</c:f>
              <c:strCache>
                <c:ptCount val="5"/>
                <c:pt idx="0">
                  <c:v>销售收入</c:v>
                </c:pt>
                <c:pt idx="1">
                  <c:v>直接成本</c:v>
                </c:pt>
                <c:pt idx="2">
                  <c:v>固定资产</c:v>
                </c:pt>
                <c:pt idx="3">
                  <c:v>经营管理费用</c:v>
                </c:pt>
                <c:pt idx="4">
                  <c:v>工资福利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项目参数页!$R$33:$W$33</c15:sqref>
                  </c15:fullRef>
                </c:ext>
              </c:extLst>
            </c:strRef>
          </c:cat>
          <c:val>
            <c:numRef>
              <c:f>项目参数页!$S$36:$W$36</c:f>
              <c:numCache>
                <c:formatCode>0.00%</c:formatCode>
                <c:ptCount val="5"/>
                <c:pt idx="0">
                  <c:v>-0.15026857104159316</c:v>
                </c:pt>
                <c:pt idx="1">
                  <c:v>9.4038324038283563E-2</c:v>
                </c:pt>
                <c:pt idx="2">
                  <c:v>4.7627802262093621E-2</c:v>
                </c:pt>
                <c:pt idx="3">
                  <c:v>1.7586931236254676E-2</c:v>
                </c:pt>
                <c:pt idx="4">
                  <c:v>1.0449577371017307E-2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项目参数页!$R$36:$W$36</c15:sqref>
                  </c15:fullRef>
                </c:ext>
              </c:extLst>
            </c:numRef>
          </c:val>
        </c:ser>
        <c:ser>
          <c:idx val="3"/>
          <c:order val="3"/>
          <c:tx>
            <c:v>-10%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项目参数页!$S$33:$W$33</c:f>
              <c:strCache>
                <c:ptCount val="5"/>
                <c:pt idx="0">
                  <c:v>销售收入</c:v>
                </c:pt>
                <c:pt idx="1">
                  <c:v>直接成本</c:v>
                </c:pt>
                <c:pt idx="2">
                  <c:v>固定资产</c:v>
                </c:pt>
                <c:pt idx="3">
                  <c:v>经营管理费用</c:v>
                </c:pt>
                <c:pt idx="4">
                  <c:v>工资福利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项目参数页!$R$33:$W$33</c15:sqref>
                  </c15:fullRef>
                </c:ext>
              </c:extLst>
            </c:strRef>
          </c:cat>
          <c:val>
            <c:numRef>
              <c:f>项目参数页!$S$37:$W$37</c:f>
              <c:numCache>
                <c:formatCode>0.00%</c:formatCode>
                <c:ptCount val="5"/>
                <c:pt idx="0">
                  <c:v>-0.30470203851918082</c:v>
                </c:pt>
                <c:pt idx="1">
                  <c:v>0.18717933816121696</c:v>
                </c:pt>
                <c:pt idx="2">
                  <c:v>9.9603548479275467E-2</c:v>
                </c:pt>
                <c:pt idx="3">
                  <c:v>3.5136696328189748E-2</c:v>
                </c:pt>
                <c:pt idx="4">
                  <c:v>2.0885814685581098E-2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项目参数页!$R$37:$W$37</c15:sqref>
                  </c15:fullRef>
                </c:ext>
              </c:extLst>
            </c:numRef>
          </c:val>
        </c:ser>
        <c:dLbls/>
        <c:axId val="347701248"/>
        <c:axId val="347702784"/>
      </c:barChart>
      <c:catAx>
        <c:axId val="347701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endParaRPr lang="zh-CN"/>
          </a:p>
        </c:txPr>
        <c:crossAx val="347702784"/>
        <c:crosses val="autoZero"/>
        <c:auto val="1"/>
        <c:lblAlgn val="ctr"/>
        <c:lblOffset val="100"/>
      </c:catAx>
      <c:valAx>
        <c:axId val="347702784"/>
        <c:scaling>
          <c:orientation val="minMax"/>
          <c:max val="0.35000000000000009"/>
          <c:min val="-0.35000000000000009"/>
        </c:scaling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7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8250782020599"/>
          <c:y val="0.91500265708956663"/>
          <c:w val="0.42567820330489881"/>
          <c:h val="8.4997342910433551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32</xdr:row>
      <xdr:rowOff>85725</xdr:rowOff>
    </xdr:from>
    <xdr:to>
      <xdr:col>7</xdr:col>
      <xdr:colOff>9525</xdr:colOff>
      <xdr:row>53</xdr:row>
      <xdr:rowOff>85725</xdr:rowOff>
    </xdr:to>
    <xdr:cxnSp macro="">
      <xdr:nvCxnSpPr>
        <xdr:cNvPr id="4" name="直接连接符 3"/>
        <xdr:cNvCxnSpPr/>
      </xdr:nvCxnSpPr>
      <xdr:spPr>
        <a:xfrm>
          <a:off x="6524625" y="5591175"/>
          <a:ext cx="0" cy="3600450"/>
        </a:xfrm>
        <a:prstGeom prst="line">
          <a:avLst/>
        </a:prstGeom>
        <a:ln w="28575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7938</xdr:colOff>
      <xdr:row>36</xdr:row>
      <xdr:rowOff>103188</xdr:rowOff>
    </xdr:from>
    <xdr:to>
      <xdr:col>7</xdr:col>
      <xdr:colOff>9525</xdr:colOff>
      <xdr:row>36</xdr:row>
      <xdr:rowOff>104777</xdr:rowOff>
    </xdr:to>
    <xdr:cxnSp macro="">
      <xdr:nvCxnSpPr>
        <xdr:cNvPr id="9" name="直接连接符 8"/>
        <xdr:cNvCxnSpPr/>
      </xdr:nvCxnSpPr>
      <xdr:spPr>
        <a:xfrm>
          <a:off x="5992813" y="6405563"/>
          <a:ext cx="533400" cy="1589"/>
        </a:xfrm>
        <a:prstGeom prst="line">
          <a:avLst/>
        </a:prstGeom>
        <a:ln w="31750">
          <a:solidFill>
            <a:schemeClr val="tx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7938</xdr:colOff>
      <xdr:row>32</xdr:row>
      <xdr:rowOff>95250</xdr:rowOff>
    </xdr:from>
    <xdr:to>
      <xdr:col>7</xdr:col>
      <xdr:colOff>19050</xdr:colOff>
      <xdr:row>32</xdr:row>
      <xdr:rowOff>95250</xdr:rowOff>
    </xdr:to>
    <xdr:cxnSp macro="">
      <xdr:nvCxnSpPr>
        <xdr:cNvPr id="18" name="直接连接符 17"/>
        <xdr:cNvCxnSpPr/>
      </xdr:nvCxnSpPr>
      <xdr:spPr>
        <a:xfrm>
          <a:off x="5992813" y="5699125"/>
          <a:ext cx="542925" cy="0"/>
        </a:xfrm>
        <a:prstGeom prst="line">
          <a:avLst/>
        </a:prstGeom>
        <a:ln w="31750">
          <a:solidFill>
            <a:schemeClr val="tx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9525</xdr:colOff>
      <xdr:row>34</xdr:row>
      <xdr:rowOff>95250</xdr:rowOff>
    </xdr:from>
    <xdr:to>
      <xdr:col>7</xdr:col>
      <xdr:colOff>20637</xdr:colOff>
      <xdr:row>34</xdr:row>
      <xdr:rowOff>95250</xdr:rowOff>
    </xdr:to>
    <xdr:cxnSp macro="">
      <xdr:nvCxnSpPr>
        <xdr:cNvPr id="30" name="直接连接符 29"/>
        <xdr:cNvCxnSpPr/>
      </xdr:nvCxnSpPr>
      <xdr:spPr>
        <a:xfrm>
          <a:off x="5991225" y="5943600"/>
          <a:ext cx="544512" cy="0"/>
        </a:xfrm>
        <a:prstGeom prst="line">
          <a:avLst/>
        </a:prstGeom>
        <a:ln w="31750">
          <a:solidFill>
            <a:schemeClr val="tx2">
              <a:lumMod val="60000"/>
              <a:lumOff val="40000"/>
            </a:schemeClr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53</xdr:row>
      <xdr:rowOff>85725</xdr:rowOff>
    </xdr:from>
    <xdr:to>
      <xdr:col>8</xdr:col>
      <xdr:colOff>19050</xdr:colOff>
      <xdr:row>53</xdr:row>
      <xdr:rowOff>85725</xdr:rowOff>
    </xdr:to>
    <xdr:cxnSp macro="">
      <xdr:nvCxnSpPr>
        <xdr:cNvPr id="32" name="直接连接符 31"/>
        <xdr:cNvCxnSpPr/>
      </xdr:nvCxnSpPr>
      <xdr:spPr>
        <a:xfrm>
          <a:off x="6524625" y="9191625"/>
          <a:ext cx="361950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39</xdr:row>
      <xdr:rowOff>0</xdr:rowOff>
    </xdr:from>
    <xdr:to>
      <xdr:col>23</xdr:col>
      <xdr:colOff>59054</xdr:colOff>
      <xdr:row>55</xdr:row>
      <xdr:rowOff>135890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74"/>
  <sheetViews>
    <sheetView showGridLines="0" tabSelected="1" topLeftCell="A34" zoomScaleNormal="100" workbookViewId="0">
      <selection activeCell="H6" sqref="H6"/>
    </sheetView>
  </sheetViews>
  <sheetFormatPr defaultColWidth="8.75" defaultRowHeight="12.75"/>
  <cols>
    <col min="1" max="1" width="12.875" style="74" customWidth="1"/>
    <col min="2" max="2" width="3.375" style="129" customWidth="1"/>
    <col min="3" max="3" width="24.125" style="130" customWidth="1"/>
    <col min="4" max="4" width="10.125" style="74" customWidth="1"/>
    <col min="5" max="5" width="28" style="136" customWidth="1"/>
    <col min="6" max="6" width="2.375" style="136" customWidth="1"/>
    <col min="7" max="8" width="4.625" style="136" customWidth="1"/>
    <col min="9" max="9" width="1.875" style="136" customWidth="1"/>
    <col min="10" max="10" width="4.25" style="74" customWidth="1"/>
    <col min="11" max="11" width="19.75" style="74" customWidth="1"/>
    <col min="12" max="14" width="9.25" style="74" customWidth="1"/>
    <col min="15" max="16" width="9.75" style="74" customWidth="1"/>
    <col min="17" max="17" width="10" style="74" customWidth="1"/>
    <col min="18" max="20" width="2.25" style="74" customWidth="1"/>
    <col min="21" max="21" width="4.75" style="74" customWidth="1"/>
    <col min="22" max="22" width="18" style="74" customWidth="1"/>
    <col min="23" max="23" width="8.125" style="74" customWidth="1"/>
    <col min="24" max="24" width="12.625" style="103" customWidth="1"/>
    <col min="25" max="25" width="10.75" style="73" customWidth="1"/>
    <col min="26" max="26" width="1.625" style="73" customWidth="1"/>
    <col min="27" max="27" width="7.75" style="73" customWidth="1"/>
    <col min="28" max="41" width="8.75" style="73"/>
    <col min="42" max="42" width="8.75" style="124"/>
    <col min="43" max="16384" width="8.75" style="2"/>
  </cols>
  <sheetData>
    <row r="1" spans="1:50" s="158" customFormat="1" ht="13.9" customHeight="1">
      <c r="A1" s="447" t="s">
        <v>309</v>
      </c>
      <c r="B1" s="360"/>
      <c r="C1" s="642" t="s">
        <v>307</v>
      </c>
      <c r="D1" s="642"/>
      <c r="E1" s="361"/>
      <c r="F1" s="339"/>
      <c r="G1" s="258"/>
      <c r="H1" s="394"/>
      <c r="I1" s="476" t="s">
        <v>310</v>
      </c>
      <c r="J1" s="477"/>
      <c r="K1" s="279"/>
      <c r="L1" s="279"/>
      <c r="M1" s="279"/>
      <c r="N1" s="279"/>
      <c r="O1" s="279"/>
      <c r="P1" s="279"/>
      <c r="Q1" s="279"/>
      <c r="R1" s="279"/>
      <c r="S1" s="258"/>
      <c r="T1" s="466" t="s">
        <v>311</v>
      </c>
      <c r="U1" s="467"/>
      <c r="V1" s="251"/>
      <c r="W1" s="251"/>
      <c r="X1" s="313"/>
      <c r="Y1" s="217"/>
      <c r="Z1" s="218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Q1" s="135"/>
      <c r="AR1" s="2"/>
    </row>
    <row r="2" spans="1:50" s="73" customFormat="1" ht="15.6" customHeight="1">
      <c r="A2" s="362"/>
      <c r="B2" s="363"/>
      <c r="C2" s="643"/>
      <c r="D2" s="643"/>
      <c r="E2" s="364"/>
      <c r="F2" s="345"/>
      <c r="G2" s="258"/>
      <c r="H2" s="395"/>
      <c r="I2" s="279"/>
      <c r="J2" s="478" t="s">
        <v>244</v>
      </c>
      <c r="K2" s="478"/>
      <c r="L2" s="478"/>
      <c r="M2" s="478"/>
      <c r="N2" s="478"/>
      <c r="O2" s="478"/>
      <c r="P2" s="478"/>
      <c r="Q2" s="280"/>
      <c r="R2" s="280"/>
      <c r="S2" s="223"/>
      <c r="T2" s="219"/>
      <c r="U2" s="221"/>
      <c r="V2" s="221"/>
      <c r="W2" s="221"/>
      <c r="X2" s="220"/>
      <c r="Y2" s="220"/>
      <c r="Z2" s="222"/>
      <c r="AQ2" s="124"/>
      <c r="AR2" s="2"/>
    </row>
    <row r="3" spans="1:50" s="73" customFormat="1" ht="13.9" customHeight="1">
      <c r="A3" s="468" t="s">
        <v>212</v>
      </c>
      <c r="B3" s="474" t="s">
        <v>2</v>
      </c>
      <c r="C3" s="472" t="s">
        <v>213</v>
      </c>
      <c r="D3" s="472" t="s">
        <v>209</v>
      </c>
      <c r="E3" s="472" t="s">
        <v>295</v>
      </c>
      <c r="F3" s="340"/>
      <c r="G3" s="396"/>
      <c r="H3" s="397"/>
      <c r="I3" s="301"/>
      <c r="J3" s="470" t="s">
        <v>2</v>
      </c>
      <c r="K3" s="483" t="s">
        <v>7</v>
      </c>
      <c r="L3" s="483" t="s">
        <v>223</v>
      </c>
      <c r="M3" s="483" t="s">
        <v>196</v>
      </c>
      <c r="N3" s="483" t="s">
        <v>227</v>
      </c>
      <c r="O3" s="479" t="s">
        <v>198</v>
      </c>
      <c r="P3" s="480"/>
      <c r="Q3" s="281"/>
      <c r="R3" s="280"/>
      <c r="S3" s="223"/>
      <c r="T3" s="219"/>
      <c r="U3" s="221"/>
      <c r="V3" s="221"/>
      <c r="W3" s="221"/>
      <c r="X3" s="220"/>
      <c r="Y3" s="220"/>
      <c r="Z3" s="222"/>
      <c r="AQ3" s="158"/>
      <c r="AR3" s="158"/>
      <c r="AW3" s="158"/>
      <c r="AX3" s="158"/>
    </row>
    <row r="4" spans="1:50" s="73" customFormat="1" ht="13.9" customHeight="1">
      <c r="A4" s="469"/>
      <c r="B4" s="475"/>
      <c r="C4" s="473"/>
      <c r="D4" s="473"/>
      <c r="E4" s="473"/>
      <c r="F4" s="340"/>
      <c r="G4" s="396"/>
      <c r="H4" s="397"/>
      <c r="I4" s="302"/>
      <c r="J4" s="471"/>
      <c r="K4" s="484"/>
      <c r="L4" s="484"/>
      <c r="M4" s="484"/>
      <c r="N4" s="484"/>
      <c r="O4" s="481"/>
      <c r="P4" s="482"/>
      <c r="Q4" s="282"/>
      <c r="R4" s="283"/>
      <c r="S4" s="224"/>
      <c r="T4" s="219"/>
      <c r="U4" s="220"/>
      <c r="V4" s="221"/>
      <c r="W4" s="221"/>
      <c r="X4" s="220"/>
      <c r="Y4" s="220"/>
      <c r="Z4" s="222"/>
      <c r="AW4" s="124"/>
      <c r="AX4" s="2"/>
    </row>
    <row r="5" spans="1:50" ht="13.9" customHeight="1">
      <c r="A5" s="458" t="s">
        <v>221</v>
      </c>
      <c r="B5" s="233">
        <v>1</v>
      </c>
      <c r="C5" s="234" t="s">
        <v>214</v>
      </c>
      <c r="D5" s="243">
        <f>IF(D7="","",D6*D7*(1+D8+D9))</f>
        <v>1154.1599999999999</v>
      </c>
      <c r="E5" s="231" t="s">
        <v>296</v>
      </c>
      <c r="F5" s="341"/>
      <c r="G5" s="398"/>
      <c r="H5" s="399"/>
      <c r="I5" s="303"/>
      <c r="J5" s="192">
        <v>1</v>
      </c>
      <c r="K5" s="193" t="s">
        <v>343</v>
      </c>
      <c r="L5" s="194">
        <f>IF(D20="","",D20)</f>
        <v>18000</v>
      </c>
      <c r="M5" s="194">
        <f>IF(D22="","",D22)</f>
        <v>1500</v>
      </c>
      <c r="N5" s="194">
        <f>IF(L5="","",L5*M5/10000)</f>
        <v>2700</v>
      </c>
      <c r="O5" s="465"/>
      <c r="P5" s="465"/>
      <c r="Q5" s="284"/>
      <c r="R5" s="285"/>
      <c r="S5" s="225"/>
      <c r="T5" s="219"/>
      <c r="U5" s="220"/>
      <c r="V5" s="220"/>
      <c r="W5" s="221"/>
      <c r="X5" s="220"/>
      <c r="Y5" s="220"/>
      <c r="Z5" s="222"/>
      <c r="AP5" s="73"/>
      <c r="AQ5" s="73"/>
      <c r="AR5" s="73"/>
      <c r="AS5" s="73"/>
      <c r="AT5" s="73"/>
      <c r="AU5" s="73"/>
      <c r="AV5" s="73"/>
      <c r="AW5" s="124"/>
    </row>
    <row r="6" spans="1:50" ht="13.9" customHeight="1">
      <c r="A6" s="459"/>
      <c r="B6" s="352">
        <v>2</v>
      </c>
      <c r="C6" s="353" t="s">
        <v>231</v>
      </c>
      <c r="D6" s="348">
        <v>35</v>
      </c>
      <c r="E6" s="354"/>
      <c r="F6" s="342"/>
      <c r="G6" s="400"/>
      <c r="H6" s="401"/>
      <c r="I6" s="304"/>
      <c r="J6" s="192">
        <v>2</v>
      </c>
      <c r="K6" s="193" t="s">
        <v>344</v>
      </c>
      <c r="L6" s="194">
        <f>IF(D21="","",D21)</f>
        <v>5500</v>
      </c>
      <c r="M6" s="194">
        <f>IF(D23="","",D23)</f>
        <v>2000</v>
      </c>
      <c r="N6" s="194">
        <f>IF(L6="","",L6*M6/10000)</f>
        <v>1100</v>
      </c>
      <c r="O6" s="464"/>
      <c r="P6" s="464"/>
      <c r="Q6" s="286"/>
      <c r="R6" s="287"/>
      <c r="S6" s="226"/>
      <c r="T6" s="252"/>
      <c r="U6" s="220"/>
      <c r="V6" s="220"/>
      <c r="W6" s="221"/>
      <c r="X6" s="220"/>
      <c r="Y6" s="220"/>
      <c r="Z6" s="222"/>
      <c r="AP6" s="73"/>
      <c r="AQ6" s="73"/>
      <c r="AR6" s="73"/>
      <c r="AS6" s="73"/>
      <c r="AT6" s="73"/>
      <c r="AU6" s="73"/>
      <c r="AV6" s="73"/>
      <c r="AW6" s="124"/>
    </row>
    <row r="7" spans="1:50" ht="13.9" customHeight="1">
      <c r="A7" s="459"/>
      <c r="B7" s="352">
        <v>3</v>
      </c>
      <c r="C7" s="353" t="s">
        <v>232</v>
      </c>
      <c r="D7" s="348">
        <v>32</v>
      </c>
      <c r="E7" s="354"/>
      <c r="F7" s="342"/>
      <c r="G7" s="400"/>
      <c r="H7" s="401"/>
      <c r="I7" s="304"/>
      <c r="J7" s="192">
        <v>3</v>
      </c>
      <c r="K7" s="193" t="s">
        <v>166</v>
      </c>
      <c r="L7" s="195">
        <f>IF(L5="","",L5+L6)</f>
        <v>23500</v>
      </c>
      <c r="M7" s="195"/>
      <c r="N7" s="195">
        <f>IF(N5="","",N5+N6)</f>
        <v>3800</v>
      </c>
      <c r="O7" s="464"/>
      <c r="P7" s="464"/>
      <c r="Q7" s="286"/>
      <c r="R7" s="287"/>
      <c r="S7" s="226"/>
      <c r="T7" s="252"/>
      <c r="U7" s="220"/>
      <c r="V7" s="220"/>
      <c r="W7" s="221"/>
      <c r="X7" s="220"/>
      <c r="Y7" s="220"/>
      <c r="Z7" s="222"/>
      <c r="AP7" s="73"/>
      <c r="AQ7" s="73"/>
      <c r="AR7" s="73"/>
      <c r="AS7" s="73"/>
      <c r="AT7" s="73"/>
      <c r="AU7" s="73"/>
      <c r="AV7" s="73"/>
      <c r="AW7" s="124"/>
    </row>
    <row r="8" spans="1:50" ht="13.9" customHeight="1">
      <c r="A8" s="459"/>
      <c r="B8" s="233">
        <v>4</v>
      </c>
      <c r="C8" s="235" t="s">
        <v>210</v>
      </c>
      <c r="D8" s="246">
        <v>0.03</v>
      </c>
      <c r="E8" s="231"/>
      <c r="F8" s="341"/>
      <c r="G8" s="398"/>
      <c r="H8" s="399"/>
      <c r="I8" s="307"/>
      <c r="J8" s="308"/>
      <c r="K8" s="213"/>
      <c r="L8" s="214"/>
      <c r="M8" s="214"/>
      <c r="N8" s="214"/>
      <c r="O8" s="214"/>
      <c r="P8" s="214"/>
      <c r="Q8" s="288"/>
      <c r="R8" s="288"/>
      <c r="S8" s="259"/>
      <c r="T8" s="252"/>
      <c r="U8" s="505" t="s">
        <v>247</v>
      </c>
      <c r="V8" s="505"/>
      <c r="W8" s="505"/>
      <c r="X8" s="505"/>
      <c r="Y8" s="505"/>
      <c r="Z8" s="222"/>
      <c r="AP8" s="73"/>
      <c r="AQ8" s="73"/>
      <c r="AR8" s="73"/>
      <c r="AS8" s="73"/>
      <c r="AT8" s="73"/>
      <c r="AU8" s="73"/>
      <c r="AV8" s="73"/>
      <c r="AW8" s="124"/>
    </row>
    <row r="9" spans="1:50" ht="13.9" customHeight="1">
      <c r="A9" s="459"/>
      <c r="B9" s="233">
        <v>5</v>
      </c>
      <c r="C9" s="235" t="s">
        <v>211</v>
      </c>
      <c r="D9" s="246">
        <v>5.0000000000000001E-4</v>
      </c>
      <c r="E9" s="231"/>
      <c r="F9" s="341"/>
      <c r="G9" s="398"/>
      <c r="H9" s="399"/>
      <c r="I9" s="307"/>
      <c r="J9" s="508" t="s">
        <v>246</v>
      </c>
      <c r="K9" s="508"/>
      <c r="L9" s="508"/>
      <c r="M9" s="508"/>
      <c r="N9" s="508"/>
      <c r="O9" s="508"/>
      <c r="P9" s="508"/>
      <c r="Q9" s="289"/>
      <c r="R9" s="289"/>
      <c r="S9" s="260"/>
      <c r="T9" s="452"/>
      <c r="U9" s="490" t="s">
        <v>2</v>
      </c>
      <c r="V9" s="490" t="s">
        <v>205</v>
      </c>
      <c r="W9" s="488" t="s">
        <v>206</v>
      </c>
      <c r="X9" s="488" t="s">
        <v>207</v>
      </c>
      <c r="Y9" s="488" t="s">
        <v>208</v>
      </c>
      <c r="Z9" s="253"/>
      <c r="AP9" s="73"/>
      <c r="AQ9" s="73"/>
      <c r="AR9" s="73"/>
      <c r="AS9" s="73"/>
      <c r="AT9" s="73"/>
      <c r="AU9" s="73"/>
      <c r="AV9" s="73"/>
      <c r="AW9" s="124"/>
    </row>
    <row r="10" spans="1:50" ht="13.9" customHeight="1">
      <c r="A10" s="459"/>
      <c r="B10" s="352">
        <v>6</v>
      </c>
      <c r="C10" s="355" t="s">
        <v>215</v>
      </c>
      <c r="D10" s="348">
        <v>5</v>
      </c>
      <c r="E10" s="354"/>
      <c r="F10" s="342"/>
      <c r="G10" s="400"/>
      <c r="H10" s="401"/>
      <c r="I10" s="304"/>
      <c r="J10" s="506" t="s">
        <v>2</v>
      </c>
      <c r="K10" s="463" t="s">
        <v>303</v>
      </c>
      <c r="L10" s="507" t="s">
        <v>223</v>
      </c>
      <c r="M10" s="507" t="s">
        <v>196</v>
      </c>
      <c r="N10" s="507" t="s">
        <v>197</v>
      </c>
      <c r="O10" s="463" t="s">
        <v>198</v>
      </c>
      <c r="P10" s="463"/>
      <c r="Q10" s="290"/>
      <c r="R10" s="291"/>
      <c r="S10" s="227"/>
      <c r="T10" s="315"/>
      <c r="U10" s="491"/>
      <c r="V10" s="491"/>
      <c r="W10" s="489"/>
      <c r="X10" s="489"/>
      <c r="Y10" s="489"/>
      <c r="Z10" s="253"/>
      <c r="AP10" s="73"/>
      <c r="AQ10" s="73"/>
      <c r="AR10" s="73"/>
      <c r="AS10" s="73"/>
      <c r="AT10" s="73"/>
      <c r="AU10" s="73"/>
      <c r="AV10" s="73"/>
      <c r="AW10" s="124"/>
    </row>
    <row r="11" spans="1:50" ht="13.9" customHeight="1">
      <c r="A11" s="459"/>
      <c r="B11" s="352">
        <v>7</v>
      </c>
      <c r="C11" s="355" t="s">
        <v>216</v>
      </c>
      <c r="D11" s="348">
        <v>35</v>
      </c>
      <c r="E11" s="354"/>
      <c r="F11" s="342"/>
      <c r="G11" s="400"/>
      <c r="H11" s="401"/>
      <c r="I11" s="304"/>
      <c r="J11" s="506"/>
      <c r="K11" s="463"/>
      <c r="L11" s="507"/>
      <c r="M11" s="507"/>
      <c r="N11" s="507"/>
      <c r="O11" s="463"/>
      <c r="P11" s="463"/>
      <c r="Q11" s="290"/>
      <c r="R11" s="291"/>
      <c r="S11" s="227"/>
      <c r="T11" s="316"/>
      <c r="U11" s="177">
        <v>1</v>
      </c>
      <c r="V11" s="178"/>
      <c r="W11" s="179"/>
      <c r="X11" s="180"/>
      <c r="Y11" s="180"/>
      <c r="Z11" s="253"/>
      <c r="AP11" s="73"/>
      <c r="AQ11" s="73"/>
      <c r="AR11" s="73"/>
      <c r="AS11" s="73"/>
      <c r="AT11" s="73"/>
      <c r="AU11" s="73"/>
      <c r="AV11" s="73"/>
      <c r="AW11" s="124"/>
    </row>
    <row r="12" spans="1:50" ht="13.9" customHeight="1">
      <c r="A12" s="459"/>
      <c r="B12" s="352">
        <v>8</v>
      </c>
      <c r="C12" s="355" t="s">
        <v>217</v>
      </c>
      <c r="D12" s="348">
        <v>50</v>
      </c>
      <c r="E12" s="354"/>
      <c r="F12" s="342"/>
      <c r="G12" s="400"/>
      <c r="H12" s="401"/>
      <c r="I12" s="304"/>
      <c r="J12" s="196">
        <v>1</v>
      </c>
      <c r="K12" s="197" t="s">
        <v>345</v>
      </c>
      <c r="L12" s="198">
        <f>IF(D27="","",D27)</f>
        <v>23333.449999999997</v>
      </c>
      <c r="M12" s="198">
        <f>IF(D29="","",D29)</f>
        <v>45</v>
      </c>
      <c r="N12" s="198">
        <f>L12*M12/10000</f>
        <v>105.00052499999998</v>
      </c>
      <c r="O12" s="499"/>
      <c r="P12" s="499"/>
      <c r="Q12" s="292"/>
      <c r="R12" s="293"/>
      <c r="S12" s="228"/>
      <c r="T12" s="316"/>
      <c r="U12" s="177">
        <v>2</v>
      </c>
      <c r="V12" s="178"/>
      <c r="W12" s="179"/>
      <c r="X12" s="180"/>
      <c r="Y12" s="180"/>
      <c r="Z12" s="253"/>
      <c r="AP12" s="73"/>
      <c r="AQ12" s="73"/>
      <c r="AR12" s="73"/>
      <c r="AS12" s="73"/>
      <c r="AT12" s="73"/>
      <c r="AU12" s="73"/>
      <c r="AV12" s="73"/>
      <c r="AW12" s="124"/>
    </row>
    <row r="13" spans="1:50" ht="13.9" customHeight="1">
      <c r="A13" s="459"/>
      <c r="B13" s="352">
        <v>9</v>
      </c>
      <c r="C13" s="355" t="s">
        <v>218</v>
      </c>
      <c r="D13" s="348">
        <v>20</v>
      </c>
      <c r="E13" s="354"/>
      <c r="F13" s="342"/>
      <c r="G13" s="400"/>
      <c r="H13" s="401"/>
      <c r="I13" s="304"/>
      <c r="J13" s="196">
        <v>2</v>
      </c>
      <c r="K13" s="197" t="s">
        <v>346</v>
      </c>
      <c r="L13" s="198">
        <f>IF(D28="","",D28)</f>
        <v>4666.6899999999996</v>
      </c>
      <c r="M13" s="198">
        <f>IF(D30="","",D30)</f>
        <v>35</v>
      </c>
      <c r="N13" s="198">
        <f>L13*M13/10000</f>
        <v>16.333414999999999</v>
      </c>
      <c r="O13" s="500"/>
      <c r="P13" s="500"/>
      <c r="Q13" s="290"/>
      <c r="R13" s="291"/>
      <c r="S13" s="227"/>
      <c r="T13" s="317"/>
      <c r="U13" s="177">
        <v>3</v>
      </c>
      <c r="V13" s="178"/>
      <c r="W13" s="179"/>
      <c r="X13" s="180"/>
      <c r="Y13" s="180"/>
      <c r="Z13" s="253"/>
      <c r="AP13" s="73"/>
      <c r="AQ13" s="73"/>
      <c r="AR13" s="73"/>
      <c r="AS13" s="73"/>
      <c r="AT13" s="73"/>
      <c r="AU13" s="73"/>
      <c r="AV13" s="73"/>
      <c r="AW13" s="124"/>
    </row>
    <row r="14" spans="1:50" ht="13.9" customHeight="1">
      <c r="A14" s="459"/>
      <c r="B14" s="352">
        <v>10</v>
      </c>
      <c r="C14" s="355" t="s">
        <v>219</v>
      </c>
      <c r="D14" s="348">
        <v>60</v>
      </c>
      <c r="E14" s="354"/>
      <c r="F14" s="342"/>
      <c r="G14" s="400"/>
      <c r="H14" s="401"/>
      <c r="I14" s="304"/>
      <c r="J14" s="196">
        <v>3</v>
      </c>
      <c r="K14" s="197" t="s">
        <v>347</v>
      </c>
      <c r="L14" s="198"/>
      <c r="M14" s="198"/>
      <c r="N14" s="198">
        <f>IF(D31="","",D31)</f>
        <v>45</v>
      </c>
      <c r="O14" s="500"/>
      <c r="P14" s="500"/>
      <c r="Q14" s="290"/>
      <c r="R14" s="291"/>
      <c r="S14" s="227"/>
      <c r="T14" s="318"/>
      <c r="U14" s="177">
        <v>4</v>
      </c>
      <c r="V14" s="178"/>
      <c r="W14" s="179"/>
      <c r="X14" s="180"/>
      <c r="Y14" s="180"/>
      <c r="Z14" s="253"/>
      <c r="AP14" s="73"/>
      <c r="AQ14" s="73"/>
      <c r="AR14" s="73"/>
      <c r="AS14" s="73"/>
      <c r="AT14" s="73"/>
      <c r="AU14" s="73"/>
      <c r="AV14" s="73"/>
      <c r="AW14" s="124"/>
    </row>
    <row r="15" spans="1:50" ht="13.9" customHeight="1">
      <c r="A15" s="460"/>
      <c r="B15" s="352">
        <v>11</v>
      </c>
      <c r="C15" s="355" t="s">
        <v>220</v>
      </c>
      <c r="D15" s="348">
        <v>149.51</v>
      </c>
      <c r="E15" s="354"/>
      <c r="F15" s="342"/>
      <c r="G15" s="400"/>
      <c r="H15" s="401"/>
      <c r="I15" s="304"/>
      <c r="J15" s="196">
        <v>4</v>
      </c>
      <c r="K15" s="197" t="s">
        <v>348</v>
      </c>
      <c r="L15" s="198"/>
      <c r="M15" s="198"/>
      <c r="N15" s="198">
        <f>IF(D32="","",D32)</f>
        <v>85</v>
      </c>
      <c r="O15" s="500"/>
      <c r="P15" s="500"/>
      <c r="Q15" s="290"/>
      <c r="R15" s="291"/>
      <c r="S15" s="227"/>
      <c r="T15" s="318"/>
      <c r="U15" s="177">
        <v>5</v>
      </c>
      <c r="V15" s="178"/>
      <c r="W15" s="177"/>
      <c r="X15" s="180"/>
      <c r="Y15" s="180"/>
      <c r="Z15" s="253"/>
      <c r="AP15" s="73"/>
      <c r="AQ15" s="73"/>
      <c r="AR15" s="73"/>
      <c r="AS15" s="73"/>
      <c r="AT15" s="73"/>
      <c r="AU15" s="73"/>
      <c r="AV15" s="73"/>
      <c r="AW15" s="124"/>
    </row>
    <row r="16" spans="1:50" ht="13.9" customHeight="1">
      <c r="A16" s="458" t="s">
        <v>222</v>
      </c>
      <c r="B16" s="233">
        <v>12</v>
      </c>
      <c r="C16" s="234" t="s">
        <v>235</v>
      </c>
      <c r="D16" s="244">
        <f>IF(D19="","",D17+D18)</f>
        <v>3800</v>
      </c>
      <c r="E16" s="231" t="s">
        <v>297</v>
      </c>
      <c r="F16" s="341"/>
      <c r="G16" s="398"/>
      <c r="H16" s="399"/>
      <c r="I16" s="303"/>
      <c r="J16" s="196">
        <v>5</v>
      </c>
      <c r="K16" s="199" t="s">
        <v>204</v>
      </c>
      <c r="L16" s="198"/>
      <c r="M16" s="198"/>
      <c r="N16" s="198">
        <f>SUM(N12:N15)</f>
        <v>251.33393999999998</v>
      </c>
      <c r="O16" s="500"/>
      <c r="P16" s="500"/>
      <c r="Q16" s="290"/>
      <c r="R16" s="291"/>
      <c r="S16" s="227"/>
      <c r="T16" s="317"/>
      <c r="U16" s="177">
        <v>6</v>
      </c>
      <c r="V16" s="178"/>
      <c r="W16" s="179"/>
      <c r="X16" s="180"/>
      <c r="Y16" s="180"/>
      <c r="Z16" s="253"/>
      <c r="AP16" s="73"/>
      <c r="AQ16" s="73"/>
      <c r="AR16" s="73"/>
      <c r="AS16" s="73"/>
      <c r="AT16" s="73"/>
      <c r="AU16" s="73"/>
      <c r="AV16" s="73"/>
      <c r="AW16" s="124"/>
    </row>
    <row r="17" spans="1:49" ht="13.9" customHeight="1">
      <c r="A17" s="459"/>
      <c r="B17" s="233">
        <v>13</v>
      </c>
      <c r="C17" s="235" t="s">
        <v>228</v>
      </c>
      <c r="D17" s="245">
        <f>IF(D20="","",D20*D22/10000)</f>
        <v>2700</v>
      </c>
      <c r="E17" s="231"/>
      <c r="F17" s="341"/>
      <c r="G17" s="398"/>
      <c r="H17" s="399"/>
      <c r="I17" s="307"/>
      <c r="J17" s="308"/>
      <c r="K17" s="213"/>
      <c r="L17" s="215"/>
      <c r="M17" s="215"/>
      <c r="N17" s="215"/>
      <c r="O17" s="215"/>
      <c r="P17" s="215"/>
      <c r="Q17" s="294"/>
      <c r="R17" s="294"/>
      <c r="S17" s="261"/>
      <c r="T17" s="317"/>
      <c r="U17" s="177">
        <v>7</v>
      </c>
      <c r="V17" s="178"/>
      <c r="W17" s="177"/>
      <c r="X17" s="180"/>
      <c r="Y17" s="180"/>
      <c r="Z17" s="253"/>
      <c r="AP17" s="73"/>
      <c r="AQ17" s="73"/>
      <c r="AR17" s="73"/>
      <c r="AS17" s="73"/>
      <c r="AT17" s="73"/>
      <c r="AU17" s="73"/>
      <c r="AV17" s="73"/>
      <c r="AW17" s="124"/>
    </row>
    <row r="18" spans="1:49" ht="13.9" customHeight="1">
      <c r="A18" s="459"/>
      <c r="B18" s="233">
        <v>14</v>
      </c>
      <c r="C18" s="235" t="s">
        <v>229</v>
      </c>
      <c r="D18" s="245">
        <f>IF(D21="","",D21*D23/10000)</f>
        <v>1100</v>
      </c>
      <c r="E18" s="231"/>
      <c r="F18" s="341"/>
      <c r="G18" s="398"/>
      <c r="H18" s="399"/>
      <c r="I18" s="307"/>
      <c r="J18" s="462" t="s">
        <v>261</v>
      </c>
      <c r="K18" s="462"/>
      <c r="L18" s="462"/>
      <c r="M18" s="462"/>
      <c r="N18" s="462"/>
      <c r="O18" s="462"/>
      <c r="P18" s="462"/>
      <c r="Q18" s="295"/>
      <c r="R18" s="295"/>
      <c r="S18" s="262"/>
      <c r="T18" s="317"/>
      <c r="U18" s="177">
        <v>8</v>
      </c>
      <c r="V18" s="178"/>
      <c r="W18" s="177"/>
      <c r="X18" s="180"/>
      <c r="Y18" s="180"/>
      <c r="Z18" s="253"/>
      <c r="AP18" s="73"/>
      <c r="AQ18" s="73"/>
      <c r="AR18" s="73"/>
      <c r="AS18" s="73"/>
      <c r="AT18" s="73"/>
      <c r="AU18" s="73"/>
      <c r="AV18" s="73"/>
      <c r="AW18" s="124"/>
    </row>
    <row r="19" spans="1:49" ht="13.9" customHeight="1">
      <c r="A19" s="459"/>
      <c r="B19" s="233">
        <v>15</v>
      </c>
      <c r="C19" s="235" t="s">
        <v>224</v>
      </c>
      <c r="D19" s="245">
        <f>IF(D20="","",D20+D21)</f>
        <v>23500</v>
      </c>
      <c r="E19" s="231"/>
      <c r="F19" s="341"/>
      <c r="G19" s="431"/>
      <c r="H19" s="399"/>
      <c r="I19" s="305"/>
      <c r="J19" s="463" t="s">
        <v>2</v>
      </c>
      <c r="K19" s="463" t="s">
        <v>248</v>
      </c>
      <c r="L19" s="463" t="s">
        <v>249</v>
      </c>
      <c r="M19" s="463" t="s">
        <v>250</v>
      </c>
      <c r="N19" s="463" t="s">
        <v>9</v>
      </c>
      <c r="O19" s="463" t="s">
        <v>166</v>
      </c>
      <c r="P19" s="463" t="s">
        <v>251</v>
      </c>
      <c r="Q19" s="296"/>
      <c r="R19" s="297"/>
      <c r="S19" s="229"/>
      <c r="T19" s="317"/>
      <c r="U19" s="177">
        <v>9</v>
      </c>
      <c r="V19" s="178"/>
      <c r="W19" s="177"/>
      <c r="X19" s="180"/>
      <c r="Y19" s="180"/>
      <c r="Z19" s="253"/>
      <c r="AP19" s="73"/>
      <c r="AQ19" s="73"/>
      <c r="AR19" s="73"/>
      <c r="AS19" s="73"/>
      <c r="AT19" s="73"/>
      <c r="AU19" s="73"/>
      <c r="AV19" s="73"/>
      <c r="AW19" s="124"/>
    </row>
    <row r="20" spans="1:49" ht="13.9" customHeight="1">
      <c r="A20" s="459"/>
      <c r="B20" s="352">
        <v>16</v>
      </c>
      <c r="C20" s="353" t="s">
        <v>233</v>
      </c>
      <c r="D20" s="349">
        <v>18000</v>
      </c>
      <c r="E20" s="356"/>
      <c r="F20" s="341"/>
      <c r="G20" s="398"/>
      <c r="H20" s="399"/>
      <c r="I20" s="305"/>
      <c r="J20" s="463"/>
      <c r="K20" s="463"/>
      <c r="L20" s="463"/>
      <c r="M20" s="463"/>
      <c r="N20" s="463"/>
      <c r="O20" s="463"/>
      <c r="P20" s="463"/>
      <c r="Q20" s="296"/>
      <c r="R20" s="297"/>
      <c r="S20" s="229"/>
      <c r="T20" s="317"/>
      <c r="U20" s="177">
        <v>10</v>
      </c>
      <c r="V20" s="178"/>
      <c r="W20" s="177"/>
      <c r="X20" s="181"/>
      <c r="Y20" s="180"/>
      <c r="Z20" s="253"/>
      <c r="AP20" s="73"/>
      <c r="AQ20" s="73"/>
      <c r="AR20" s="73"/>
      <c r="AS20" s="73"/>
      <c r="AT20" s="73"/>
      <c r="AU20" s="73"/>
      <c r="AV20" s="73"/>
      <c r="AW20" s="124"/>
    </row>
    <row r="21" spans="1:49" ht="13.9" customHeight="1">
      <c r="A21" s="459"/>
      <c r="B21" s="352">
        <v>17</v>
      </c>
      <c r="C21" s="353" t="s">
        <v>275</v>
      </c>
      <c r="D21" s="349">
        <v>5500</v>
      </c>
      <c r="E21" s="356"/>
      <c r="F21" s="341"/>
      <c r="G21" s="398"/>
      <c r="H21" s="399"/>
      <c r="I21" s="305"/>
      <c r="J21" s="200">
        <v>1</v>
      </c>
      <c r="K21" s="197" t="s">
        <v>252</v>
      </c>
      <c r="L21" s="201">
        <f>SUM(L22:L24)</f>
        <v>4051.33394</v>
      </c>
      <c r="M21" s="201">
        <f>SUM(M22:M24)</f>
        <v>6800</v>
      </c>
      <c r="N21" s="201"/>
      <c r="O21" s="201">
        <f>SUM(L21:N21)</f>
        <v>10851.33394</v>
      </c>
      <c r="P21" s="202">
        <f>O21/O33</f>
        <v>0.88043249258385226</v>
      </c>
      <c r="Q21" s="298"/>
      <c r="R21" s="299"/>
      <c r="S21" s="230"/>
      <c r="T21" s="317"/>
      <c r="U21" s="177">
        <v>11</v>
      </c>
      <c r="V21" s="178"/>
      <c r="W21" s="177"/>
      <c r="X21" s="180"/>
      <c r="Y21" s="180"/>
      <c r="Z21" s="253"/>
      <c r="AP21" s="73"/>
      <c r="AQ21" s="73"/>
      <c r="AR21" s="73"/>
      <c r="AS21" s="73"/>
      <c r="AT21" s="73"/>
      <c r="AU21" s="73"/>
      <c r="AV21" s="73"/>
      <c r="AW21" s="124"/>
    </row>
    <row r="22" spans="1:49" ht="13.9" customHeight="1">
      <c r="A22" s="459"/>
      <c r="B22" s="352">
        <v>18</v>
      </c>
      <c r="C22" s="353" t="s">
        <v>225</v>
      </c>
      <c r="D22" s="349">
        <v>1500</v>
      </c>
      <c r="E22" s="356"/>
      <c r="F22" s="341"/>
      <c r="G22" s="398"/>
      <c r="H22" s="399"/>
      <c r="I22" s="306"/>
      <c r="J22" s="203">
        <v>1.1000000000000001</v>
      </c>
      <c r="K22" s="197" t="s">
        <v>253</v>
      </c>
      <c r="L22" s="201">
        <f>D16</f>
        <v>3800</v>
      </c>
      <c r="M22" s="201"/>
      <c r="N22" s="201"/>
      <c r="O22" s="201">
        <f t="shared" ref="O22:O32" si="0">SUM(L22:N22)</f>
        <v>3800</v>
      </c>
      <c r="P22" s="202">
        <f>O22/O33</f>
        <v>0.30831633145912002</v>
      </c>
      <c r="Q22" s="298"/>
      <c r="R22" s="299"/>
      <c r="S22" s="230"/>
      <c r="T22" s="317"/>
      <c r="U22" s="177">
        <v>12</v>
      </c>
      <c r="V22" s="178"/>
      <c r="W22" s="177"/>
      <c r="X22" s="180"/>
      <c r="Y22" s="180"/>
      <c r="Z22" s="253"/>
      <c r="AP22" s="73"/>
      <c r="AQ22" s="73"/>
      <c r="AR22" s="73"/>
      <c r="AS22" s="73"/>
      <c r="AT22" s="73"/>
      <c r="AU22" s="73"/>
      <c r="AV22" s="73"/>
      <c r="AW22" s="124"/>
    </row>
    <row r="23" spans="1:49" ht="13.9" customHeight="1">
      <c r="A23" s="460"/>
      <c r="B23" s="352">
        <v>19</v>
      </c>
      <c r="C23" s="353" t="s">
        <v>226</v>
      </c>
      <c r="D23" s="349">
        <v>2000</v>
      </c>
      <c r="E23" s="356"/>
      <c r="F23" s="341"/>
      <c r="G23" s="398"/>
      <c r="H23" s="399"/>
      <c r="I23" s="305"/>
      <c r="J23" s="203">
        <v>1.2</v>
      </c>
      <c r="K23" s="197" t="s">
        <v>24</v>
      </c>
      <c r="L23" s="201"/>
      <c r="M23" s="201">
        <f>D33</f>
        <v>6800</v>
      </c>
      <c r="N23" s="201"/>
      <c r="O23" s="201">
        <f t="shared" si="0"/>
        <v>6800</v>
      </c>
      <c r="P23" s="202">
        <f>O23/O33</f>
        <v>0.55172396155842529</v>
      </c>
      <c r="Q23" s="298"/>
      <c r="R23" s="299"/>
      <c r="S23" s="230"/>
      <c r="T23" s="319"/>
      <c r="U23" s="177">
        <v>13</v>
      </c>
      <c r="V23" s="178"/>
      <c r="W23" s="177"/>
      <c r="X23" s="180"/>
      <c r="Y23" s="180"/>
      <c r="Z23" s="253"/>
      <c r="AP23" s="73"/>
      <c r="AQ23" s="73"/>
      <c r="AR23" s="73"/>
      <c r="AS23" s="73"/>
      <c r="AT23" s="73"/>
      <c r="AU23" s="73"/>
      <c r="AV23" s="73"/>
      <c r="AW23" s="124"/>
    </row>
    <row r="24" spans="1:49" ht="13.9" customHeight="1">
      <c r="A24" s="461" t="s">
        <v>230</v>
      </c>
      <c r="B24" s="233">
        <v>20</v>
      </c>
      <c r="C24" s="234" t="s">
        <v>264</v>
      </c>
      <c r="D24" s="243">
        <f>IF(D27="","",D25+D26+D31+D32)</f>
        <v>251.33393999999998</v>
      </c>
      <c r="E24" s="231" t="s">
        <v>356</v>
      </c>
      <c r="F24" s="341"/>
      <c r="G24" s="398"/>
      <c r="H24" s="399"/>
      <c r="I24" s="305"/>
      <c r="J24" s="203">
        <v>1.3</v>
      </c>
      <c r="K24" s="197" t="s">
        <v>263</v>
      </c>
      <c r="L24" s="201">
        <f>D24</f>
        <v>251.33393999999998</v>
      </c>
      <c r="M24" s="201"/>
      <c r="N24" s="201"/>
      <c r="O24" s="201">
        <f t="shared" si="0"/>
        <v>251.33393999999998</v>
      </c>
      <c r="P24" s="202">
        <f>O24/O33</f>
        <v>2.0392199566306994E-2</v>
      </c>
      <c r="Q24" s="298"/>
      <c r="R24" s="299"/>
      <c r="S24" s="230"/>
      <c r="T24" s="320"/>
      <c r="U24" s="177">
        <v>14</v>
      </c>
      <c r="V24" s="178"/>
      <c r="W24" s="177"/>
      <c r="X24" s="180"/>
      <c r="Y24" s="180"/>
      <c r="Z24" s="253"/>
      <c r="AP24" s="73"/>
      <c r="AQ24" s="73"/>
      <c r="AR24" s="73"/>
      <c r="AS24" s="73"/>
      <c r="AT24" s="73"/>
      <c r="AU24" s="73"/>
      <c r="AV24" s="73"/>
      <c r="AW24" s="124"/>
    </row>
    <row r="25" spans="1:49" ht="13.9" customHeight="1">
      <c r="A25" s="461"/>
      <c r="B25" s="233">
        <v>21</v>
      </c>
      <c r="C25" s="236" t="s">
        <v>242</v>
      </c>
      <c r="D25" s="242">
        <f>IF(D27="","",D27*D29/10000)</f>
        <v>105.00052499999998</v>
      </c>
      <c r="E25" s="231"/>
      <c r="F25" s="341"/>
      <c r="G25" s="398"/>
      <c r="H25" s="399"/>
      <c r="I25" s="305"/>
      <c r="J25" s="200">
        <v>2</v>
      </c>
      <c r="K25" s="197" t="s">
        <v>21</v>
      </c>
      <c r="L25" s="201"/>
      <c r="M25" s="201"/>
      <c r="N25" s="201">
        <f>SUM(N26:N31)</f>
        <v>1324.1599999999999</v>
      </c>
      <c r="O25" s="201">
        <f>SUM(L25:N25)</f>
        <v>1324.1599999999999</v>
      </c>
      <c r="P25" s="202">
        <f>O25/O33</f>
        <v>0.10743688249076534</v>
      </c>
      <c r="Q25" s="298"/>
      <c r="R25" s="299"/>
      <c r="S25" s="230"/>
      <c r="T25" s="320"/>
      <c r="U25" s="177">
        <v>15</v>
      </c>
      <c r="V25" s="178"/>
      <c r="W25" s="177"/>
      <c r="X25" s="180"/>
      <c r="Y25" s="180"/>
      <c r="Z25" s="253"/>
      <c r="AP25" s="73"/>
      <c r="AQ25" s="73"/>
      <c r="AR25" s="73"/>
      <c r="AS25" s="73"/>
      <c r="AT25" s="73"/>
      <c r="AU25" s="73"/>
      <c r="AV25" s="73"/>
      <c r="AW25" s="124"/>
    </row>
    <row r="26" spans="1:49" ht="13.9" customHeight="1">
      <c r="A26" s="461"/>
      <c r="B26" s="233">
        <v>22</v>
      </c>
      <c r="C26" s="236" t="s">
        <v>241</v>
      </c>
      <c r="D26" s="242">
        <f>IF(D28="","",D28*D30/10000)</f>
        <v>16.333414999999999</v>
      </c>
      <c r="E26" s="231"/>
      <c r="F26" s="341"/>
      <c r="G26" s="398"/>
      <c r="H26" s="399"/>
      <c r="I26" s="305"/>
      <c r="J26" s="200">
        <v>2.1</v>
      </c>
      <c r="K26" s="197" t="s">
        <v>19</v>
      </c>
      <c r="L26" s="201"/>
      <c r="M26" s="201"/>
      <c r="N26" s="201">
        <f>D5</f>
        <v>1154.1599999999999</v>
      </c>
      <c r="O26" s="201">
        <f t="shared" si="0"/>
        <v>1154.1599999999999</v>
      </c>
      <c r="P26" s="202">
        <f>O26/O33</f>
        <v>9.3643783451804713E-2</v>
      </c>
      <c r="Q26" s="298"/>
      <c r="R26" s="299"/>
      <c r="S26" s="230"/>
      <c r="T26" s="320"/>
      <c r="U26" s="177">
        <v>16</v>
      </c>
      <c r="V26" s="178"/>
      <c r="W26" s="177"/>
      <c r="X26" s="180"/>
      <c r="Y26" s="180"/>
      <c r="Z26" s="253"/>
      <c r="AP26" s="73"/>
      <c r="AQ26" s="73"/>
      <c r="AR26" s="73"/>
      <c r="AS26" s="73"/>
      <c r="AT26" s="73"/>
      <c r="AU26" s="73"/>
      <c r="AV26" s="73"/>
      <c r="AW26" s="124"/>
    </row>
    <row r="27" spans="1:49" ht="13.9" customHeight="1">
      <c r="A27" s="461"/>
      <c r="B27" s="233">
        <v>23</v>
      </c>
      <c r="C27" s="237" t="s">
        <v>234</v>
      </c>
      <c r="D27" s="242">
        <f>IF(D6="","",D6*666.67)</f>
        <v>23333.449999999997</v>
      </c>
      <c r="E27" s="231"/>
      <c r="F27" s="341"/>
      <c r="G27" s="398"/>
      <c r="H27" s="399"/>
      <c r="I27" s="305"/>
      <c r="J27" s="200">
        <v>2.2000000000000002</v>
      </c>
      <c r="K27" s="197" t="s">
        <v>254</v>
      </c>
      <c r="L27" s="201"/>
      <c r="M27" s="201"/>
      <c r="N27" s="201">
        <f>D10</f>
        <v>5</v>
      </c>
      <c r="O27" s="201">
        <f t="shared" si="0"/>
        <v>5</v>
      </c>
      <c r="P27" s="202">
        <f>O27/O33</f>
        <v>4.056793834988421E-4</v>
      </c>
      <c r="Q27" s="298"/>
      <c r="R27" s="299"/>
      <c r="S27" s="230"/>
      <c r="T27" s="320"/>
      <c r="U27" s="177">
        <v>17</v>
      </c>
      <c r="V27" s="178"/>
      <c r="W27" s="177"/>
      <c r="X27" s="180"/>
      <c r="Y27" s="180"/>
      <c r="Z27" s="253"/>
      <c r="AP27" s="73"/>
      <c r="AQ27" s="73"/>
      <c r="AR27" s="73"/>
      <c r="AS27" s="73"/>
      <c r="AT27" s="73"/>
      <c r="AU27" s="73"/>
      <c r="AV27" s="73"/>
      <c r="AW27" s="124"/>
    </row>
    <row r="28" spans="1:49" ht="13.9" customHeight="1">
      <c r="A28" s="461"/>
      <c r="B28" s="233">
        <v>24</v>
      </c>
      <c r="C28" s="237" t="s">
        <v>240</v>
      </c>
      <c r="D28" s="242">
        <f>IF(D27="","",D27*20%)</f>
        <v>4666.6899999999996</v>
      </c>
      <c r="E28" s="231"/>
      <c r="F28" s="341"/>
      <c r="G28" s="398"/>
      <c r="H28" s="399"/>
      <c r="I28" s="305"/>
      <c r="J28" s="200">
        <v>2.2999999999999998</v>
      </c>
      <c r="K28" s="197" t="s">
        <v>255</v>
      </c>
      <c r="L28" s="201"/>
      <c r="M28" s="201"/>
      <c r="N28" s="201">
        <f t="shared" ref="N28:N31" si="1">D11</f>
        <v>35</v>
      </c>
      <c r="O28" s="201">
        <f t="shared" si="0"/>
        <v>35</v>
      </c>
      <c r="P28" s="202">
        <f>O28/O33</f>
        <v>2.8397556844918948E-3</v>
      </c>
      <c r="Q28" s="300"/>
      <c r="R28" s="294"/>
      <c r="S28" s="261"/>
      <c r="T28" s="320"/>
      <c r="U28" s="177">
        <v>18</v>
      </c>
      <c r="V28" s="178"/>
      <c r="W28" s="177"/>
      <c r="X28" s="180"/>
      <c r="Y28" s="180"/>
      <c r="Z28" s="253"/>
      <c r="AP28" s="73"/>
      <c r="AQ28" s="73"/>
      <c r="AR28" s="73"/>
      <c r="AS28" s="73"/>
      <c r="AT28" s="73"/>
      <c r="AU28" s="73"/>
      <c r="AV28" s="73"/>
      <c r="AW28" s="124"/>
    </row>
    <row r="29" spans="1:49" ht="13.9" customHeight="1">
      <c r="A29" s="461"/>
      <c r="B29" s="352">
        <v>25</v>
      </c>
      <c r="C29" s="357" t="s">
        <v>236</v>
      </c>
      <c r="D29" s="349">
        <v>45</v>
      </c>
      <c r="E29" s="356"/>
      <c r="F29" s="341"/>
      <c r="G29" s="398"/>
      <c r="H29" s="399"/>
      <c r="I29" s="305"/>
      <c r="J29" s="200">
        <v>2.4</v>
      </c>
      <c r="K29" s="197" t="s">
        <v>256</v>
      </c>
      <c r="L29" s="201"/>
      <c r="M29" s="201"/>
      <c r="N29" s="201">
        <f t="shared" si="1"/>
        <v>50</v>
      </c>
      <c r="O29" s="201">
        <f t="shared" si="0"/>
        <v>50</v>
      </c>
      <c r="P29" s="202">
        <f>O29/O33</f>
        <v>4.0567938349884208E-3</v>
      </c>
      <c r="Q29" s="300"/>
      <c r="R29" s="294"/>
      <c r="S29" s="261"/>
      <c r="T29" s="320"/>
      <c r="U29" s="177">
        <v>19</v>
      </c>
      <c r="V29" s="178"/>
      <c r="W29" s="177"/>
      <c r="X29" s="180"/>
      <c r="Y29" s="180"/>
      <c r="Z29" s="253"/>
      <c r="AP29" s="73"/>
      <c r="AQ29" s="73"/>
      <c r="AR29" s="73"/>
      <c r="AS29" s="73"/>
      <c r="AT29" s="73"/>
      <c r="AU29" s="73"/>
      <c r="AV29" s="73"/>
      <c r="AW29" s="124"/>
    </row>
    <row r="30" spans="1:49" ht="13.9" customHeight="1">
      <c r="A30" s="461"/>
      <c r="B30" s="352">
        <v>26</v>
      </c>
      <c r="C30" s="357" t="s">
        <v>237</v>
      </c>
      <c r="D30" s="349">
        <v>35</v>
      </c>
      <c r="E30" s="356"/>
      <c r="F30" s="341"/>
      <c r="G30" s="398"/>
      <c r="H30" s="399"/>
      <c r="I30" s="305"/>
      <c r="J30" s="200">
        <v>2.5</v>
      </c>
      <c r="K30" s="197" t="s">
        <v>257</v>
      </c>
      <c r="L30" s="201"/>
      <c r="M30" s="201"/>
      <c r="N30" s="201">
        <f t="shared" si="1"/>
        <v>20</v>
      </c>
      <c r="O30" s="201">
        <f t="shared" si="0"/>
        <v>20</v>
      </c>
      <c r="P30" s="202">
        <f>O30/O33</f>
        <v>1.6227175339953684E-3</v>
      </c>
      <c r="Q30" s="300"/>
      <c r="R30" s="294"/>
      <c r="S30" s="261"/>
      <c r="T30" s="320"/>
      <c r="U30" s="177">
        <v>20</v>
      </c>
      <c r="V30" s="178"/>
      <c r="W30" s="177"/>
      <c r="X30" s="180"/>
      <c r="Y30" s="180"/>
      <c r="Z30" s="253"/>
      <c r="AP30" s="73"/>
      <c r="AQ30" s="73"/>
      <c r="AR30" s="73"/>
      <c r="AS30" s="73"/>
      <c r="AT30" s="73"/>
      <c r="AU30" s="73"/>
      <c r="AV30" s="73"/>
      <c r="AW30" s="124"/>
    </row>
    <row r="31" spans="1:49" ht="13.9" customHeight="1">
      <c r="A31" s="461"/>
      <c r="B31" s="352">
        <v>27</v>
      </c>
      <c r="C31" s="357" t="s">
        <v>238</v>
      </c>
      <c r="D31" s="349">
        <v>45</v>
      </c>
      <c r="E31" s="356"/>
      <c r="F31" s="341"/>
      <c r="G31" s="398"/>
      <c r="H31" s="399"/>
      <c r="I31" s="305"/>
      <c r="J31" s="200">
        <v>2.6</v>
      </c>
      <c r="K31" s="197" t="s">
        <v>258</v>
      </c>
      <c r="L31" s="201"/>
      <c r="M31" s="201"/>
      <c r="N31" s="201">
        <f t="shared" si="1"/>
        <v>60</v>
      </c>
      <c r="O31" s="201">
        <f t="shared" si="0"/>
        <v>60</v>
      </c>
      <c r="P31" s="202">
        <f>O31/O33</f>
        <v>4.8681526019861048E-3</v>
      </c>
      <c r="Q31" s="300"/>
      <c r="R31" s="294"/>
      <c r="S31" s="261"/>
      <c r="T31" s="320"/>
      <c r="U31" s="177">
        <v>21</v>
      </c>
      <c r="V31" s="178"/>
      <c r="W31" s="177"/>
      <c r="X31" s="180"/>
      <c r="Y31" s="180"/>
      <c r="Z31" s="253"/>
      <c r="AP31" s="73"/>
      <c r="AQ31" s="73"/>
      <c r="AR31" s="73"/>
      <c r="AS31" s="73"/>
      <c r="AT31" s="73"/>
      <c r="AU31" s="73"/>
      <c r="AV31" s="73"/>
      <c r="AW31" s="124"/>
    </row>
    <row r="32" spans="1:49" ht="13.9" customHeight="1">
      <c r="A32" s="461"/>
      <c r="B32" s="352">
        <v>28</v>
      </c>
      <c r="C32" s="357" t="s">
        <v>239</v>
      </c>
      <c r="D32" s="349">
        <v>85</v>
      </c>
      <c r="E32" s="356"/>
      <c r="F32" s="341"/>
      <c r="G32" s="398"/>
      <c r="H32" s="399"/>
      <c r="I32" s="301"/>
      <c r="J32" s="200">
        <v>3</v>
      </c>
      <c r="K32" s="197" t="s">
        <v>131</v>
      </c>
      <c r="L32" s="201"/>
      <c r="M32" s="201"/>
      <c r="N32" s="201">
        <f>D15</f>
        <v>149.51</v>
      </c>
      <c r="O32" s="201">
        <f t="shared" si="0"/>
        <v>149.51</v>
      </c>
      <c r="P32" s="202">
        <f>O32/O33</f>
        <v>1.2130624925382376E-2</v>
      </c>
      <c r="Q32" s="300"/>
      <c r="R32" s="294"/>
      <c r="S32" s="261"/>
      <c r="T32" s="320"/>
      <c r="U32" s="177">
        <v>22</v>
      </c>
      <c r="V32" s="178"/>
      <c r="W32" s="177"/>
      <c r="X32" s="180"/>
      <c r="Y32" s="180"/>
      <c r="Z32" s="253"/>
      <c r="AP32" s="73"/>
      <c r="AQ32" s="73"/>
      <c r="AR32" s="73"/>
      <c r="AS32" s="73"/>
      <c r="AT32" s="73"/>
      <c r="AU32" s="73"/>
      <c r="AV32" s="73"/>
      <c r="AW32" s="124"/>
    </row>
    <row r="33" spans="1:49" ht="13.9" customHeight="1">
      <c r="A33" s="343" t="s">
        <v>243</v>
      </c>
      <c r="B33" s="233">
        <v>29</v>
      </c>
      <c r="C33" s="234" t="s">
        <v>262</v>
      </c>
      <c r="D33" s="240">
        <f>Y43</f>
        <v>6800</v>
      </c>
      <c r="E33" s="232" t="s">
        <v>298</v>
      </c>
      <c r="F33" s="344"/>
      <c r="G33" s="402"/>
      <c r="H33" s="403"/>
      <c r="I33" s="301"/>
      <c r="J33" s="200">
        <v>4</v>
      </c>
      <c r="K33" s="197" t="s">
        <v>259</v>
      </c>
      <c r="L33" s="201"/>
      <c r="M33" s="201"/>
      <c r="N33" s="201"/>
      <c r="O33" s="201">
        <f>O21+O25+O32</f>
        <v>12325.003940000001</v>
      </c>
      <c r="P33" s="202">
        <f>O33/O33</f>
        <v>1</v>
      </c>
      <c r="Q33" s="300"/>
      <c r="R33" s="294"/>
      <c r="S33" s="261"/>
      <c r="T33" s="320"/>
      <c r="U33" s="177">
        <v>23</v>
      </c>
      <c r="V33" s="178"/>
      <c r="W33" s="177"/>
      <c r="X33" s="180"/>
      <c r="Y33" s="180"/>
      <c r="Z33" s="253"/>
      <c r="AP33" s="73"/>
      <c r="AQ33" s="73"/>
      <c r="AR33" s="73"/>
      <c r="AS33" s="73"/>
      <c r="AT33" s="73"/>
      <c r="AU33" s="73"/>
      <c r="AV33" s="73"/>
      <c r="AW33" s="124"/>
    </row>
    <row r="34" spans="1:49" ht="13.9" customHeight="1">
      <c r="A34" s="343" t="s">
        <v>276</v>
      </c>
      <c r="B34" s="352">
        <v>30</v>
      </c>
      <c r="C34" s="358" t="s">
        <v>277</v>
      </c>
      <c r="D34" s="350">
        <v>3500</v>
      </c>
      <c r="E34" s="356"/>
      <c r="F34" s="341"/>
      <c r="G34" s="398"/>
      <c r="H34" s="399"/>
      <c r="I34" s="301"/>
      <c r="J34" s="200"/>
      <c r="K34" s="204" t="s">
        <v>260</v>
      </c>
      <c r="L34" s="202">
        <f>L21/O33</f>
        <v>0.32870853102542696</v>
      </c>
      <c r="M34" s="202">
        <f>M21/O33</f>
        <v>0.55172396155842529</v>
      </c>
      <c r="N34" s="202">
        <f>(N25+N32)/O33</f>
        <v>0.11956750741614772</v>
      </c>
      <c r="O34" s="202">
        <f>SUM(L34:N34)</f>
        <v>1</v>
      </c>
      <c r="P34" s="202"/>
      <c r="Q34" s="300"/>
      <c r="R34" s="294"/>
      <c r="S34" s="261"/>
      <c r="T34" s="320"/>
      <c r="U34" s="177">
        <v>24</v>
      </c>
      <c r="V34" s="178"/>
      <c r="W34" s="177"/>
      <c r="X34" s="180"/>
      <c r="Y34" s="180"/>
      <c r="Z34" s="253"/>
      <c r="AP34" s="73"/>
      <c r="AQ34" s="73"/>
      <c r="AR34" s="73"/>
      <c r="AS34" s="73"/>
      <c r="AT34" s="73"/>
      <c r="AU34" s="73"/>
      <c r="AV34" s="73"/>
      <c r="AW34" s="124"/>
    </row>
    <row r="35" spans="1:49" ht="13.9" customHeight="1">
      <c r="A35" s="343" t="s">
        <v>278</v>
      </c>
      <c r="B35" s="233">
        <v>31</v>
      </c>
      <c r="C35" s="239" t="s">
        <v>279</v>
      </c>
      <c r="D35" s="240">
        <f>P57</f>
        <v>33000</v>
      </c>
      <c r="E35" s="232" t="s">
        <v>304</v>
      </c>
      <c r="F35" s="344"/>
      <c r="G35" s="402"/>
      <c r="H35" s="403"/>
      <c r="I35" s="279"/>
      <c r="J35" s="216"/>
      <c r="K35" s="216"/>
      <c r="L35" s="216"/>
      <c r="M35" s="216"/>
      <c r="N35" s="216"/>
      <c r="O35" s="216"/>
      <c r="P35" s="216"/>
      <c r="Q35" s="294"/>
      <c r="R35" s="294"/>
      <c r="S35" s="261"/>
      <c r="T35" s="320"/>
      <c r="U35" s="177">
        <v>25</v>
      </c>
      <c r="V35" s="178"/>
      <c r="W35" s="177"/>
      <c r="X35" s="180"/>
      <c r="Y35" s="180"/>
      <c r="Z35" s="253"/>
      <c r="AP35" s="73"/>
      <c r="AQ35" s="73"/>
      <c r="AR35" s="73"/>
      <c r="AS35" s="73"/>
      <c r="AT35" s="73"/>
      <c r="AU35" s="73"/>
      <c r="AV35" s="73"/>
      <c r="AW35" s="124"/>
    </row>
    <row r="36" spans="1:49" ht="13.9" customHeight="1">
      <c r="A36" s="461" t="s">
        <v>289</v>
      </c>
      <c r="B36" s="233">
        <v>32</v>
      </c>
      <c r="C36" s="239" t="s">
        <v>42</v>
      </c>
      <c r="D36" s="241">
        <f>SUM(D37:D39)</f>
        <v>16660</v>
      </c>
      <c r="E36" s="231" t="s">
        <v>355</v>
      </c>
      <c r="F36" s="341"/>
      <c r="G36" s="398"/>
      <c r="H36" s="399"/>
      <c r="I36" s="279"/>
      <c r="J36" s="462" t="s">
        <v>272</v>
      </c>
      <c r="K36" s="462"/>
      <c r="L36" s="462"/>
      <c r="M36" s="462"/>
      <c r="N36" s="462"/>
      <c r="O36" s="462"/>
      <c r="P36" s="462"/>
      <c r="Q36" s="462"/>
      <c r="R36" s="309"/>
      <c r="S36" s="263"/>
      <c r="T36" s="320"/>
      <c r="U36" s="177">
        <v>26</v>
      </c>
      <c r="V36" s="178"/>
      <c r="W36" s="177"/>
      <c r="X36" s="180"/>
      <c r="Y36" s="180"/>
      <c r="Z36" s="253"/>
      <c r="AP36" s="73"/>
      <c r="AQ36" s="73"/>
      <c r="AR36" s="73"/>
      <c r="AS36" s="73"/>
      <c r="AT36" s="73"/>
      <c r="AU36" s="73"/>
      <c r="AV36" s="73"/>
      <c r="AW36" s="124"/>
    </row>
    <row r="37" spans="1:49" ht="13.9" customHeight="1">
      <c r="A37" s="461"/>
      <c r="B37" s="233">
        <v>33</v>
      </c>
      <c r="C37" s="238" t="s">
        <v>60</v>
      </c>
      <c r="D37" s="240">
        <f>X57</f>
        <v>15700</v>
      </c>
      <c r="E37" s="232" t="s">
        <v>305</v>
      </c>
      <c r="F37" s="344"/>
      <c r="G37" s="402"/>
      <c r="H37" s="403"/>
      <c r="I37" s="301"/>
      <c r="J37" s="514" t="s">
        <v>2</v>
      </c>
      <c r="K37" s="512" t="s">
        <v>169</v>
      </c>
      <c r="L37" s="512" t="s">
        <v>265</v>
      </c>
      <c r="M37" s="512" t="s">
        <v>266</v>
      </c>
      <c r="N37" s="512" t="s">
        <v>273</v>
      </c>
      <c r="O37" s="512" t="s">
        <v>267</v>
      </c>
      <c r="P37" s="512" t="s">
        <v>268</v>
      </c>
      <c r="Q37" s="512" t="s">
        <v>274</v>
      </c>
      <c r="R37" s="269"/>
      <c r="S37" s="264"/>
      <c r="T37" s="320"/>
      <c r="U37" s="177">
        <v>27</v>
      </c>
      <c r="V37" s="178"/>
      <c r="W37" s="177"/>
      <c r="X37" s="180"/>
      <c r="Y37" s="180"/>
      <c r="Z37" s="253"/>
      <c r="AP37" s="73"/>
      <c r="AQ37" s="73"/>
      <c r="AR37" s="73"/>
      <c r="AS37" s="73"/>
      <c r="AT37" s="73"/>
      <c r="AU37" s="73"/>
      <c r="AV37" s="73"/>
      <c r="AW37" s="124"/>
    </row>
    <row r="38" spans="1:49" ht="13.9" customHeight="1">
      <c r="A38" s="461"/>
      <c r="B38" s="352">
        <v>34</v>
      </c>
      <c r="C38" s="359" t="s">
        <v>63</v>
      </c>
      <c r="D38" s="350">
        <v>200</v>
      </c>
      <c r="E38" s="356"/>
      <c r="F38" s="341"/>
      <c r="G38" s="398"/>
      <c r="H38" s="399"/>
      <c r="I38" s="301"/>
      <c r="J38" s="514"/>
      <c r="K38" s="513"/>
      <c r="L38" s="513"/>
      <c r="M38" s="513"/>
      <c r="N38" s="513"/>
      <c r="O38" s="513"/>
      <c r="P38" s="513"/>
      <c r="Q38" s="513"/>
      <c r="R38" s="269"/>
      <c r="S38" s="264"/>
      <c r="T38" s="320"/>
      <c r="U38" s="177">
        <v>28</v>
      </c>
      <c r="V38" s="178"/>
      <c r="W38" s="177"/>
      <c r="X38" s="180"/>
      <c r="Y38" s="180"/>
      <c r="Z38" s="253"/>
      <c r="AP38" s="73"/>
      <c r="AQ38" s="124"/>
    </row>
    <row r="39" spans="1:49" ht="13.9" customHeight="1">
      <c r="A39" s="461"/>
      <c r="B39" s="352">
        <v>35</v>
      </c>
      <c r="C39" s="359" t="s">
        <v>65</v>
      </c>
      <c r="D39" s="350">
        <v>760</v>
      </c>
      <c r="E39" s="356"/>
      <c r="F39" s="341"/>
      <c r="G39" s="398"/>
      <c r="H39" s="399"/>
      <c r="I39" s="301"/>
      <c r="J39" s="203">
        <v>1</v>
      </c>
      <c r="K39" s="205" t="s">
        <v>22</v>
      </c>
      <c r="L39" s="206">
        <f>L40+L41</f>
        <v>10851.33394</v>
      </c>
      <c r="M39" s="207"/>
      <c r="N39" s="207"/>
      <c r="O39" s="208">
        <f>O40+O41</f>
        <v>838.43836214999999</v>
      </c>
      <c r="P39" s="208">
        <f>P40+P41</f>
        <v>838.43836214999999</v>
      </c>
      <c r="Q39" s="209">
        <f>Q40+Q41</f>
        <v>2466.9503184999999</v>
      </c>
      <c r="R39" s="270"/>
      <c r="S39" s="265"/>
      <c r="T39" s="320"/>
      <c r="U39" s="177">
        <v>29</v>
      </c>
      <c r="V39" s="178"/>
      <c r="W39" s="177"/>
      <c r="X39" s="180"/>
      <c r="Y39" s="180"/>
      <c r="Z39" s="253"/>
    </row>
    <row r="40" spans="1:49" ht="13.9" customHeight="1">
      <c r="A40" s="458" t="s">
        <v>293</v>
      </c>
      <c r="B40" s="352">
        <v>36</v>
      </c>
      <c r="C40" s="359" t="s">
        <v>290</v>
      </c>
      <c r="D40" s="351">
        <v>1.95E-2</v>
      </c>
      <c r="E40" s="356"/>
      <c r="F40" s="341"/>
      <c r="G40" s="398"/>
      <c r="H40" s="399"/>
      <c r="I40" s="301"/>
      <c r="J40" s="203">
        <v>1.1000000000000001</v>
      </c>
      <c r="K40" s="205" t="s">
        <v>269</v>
      </c>
      <c r="L40" s="206">
        <f>L21</f>
        <v>4051.33394</v>
      </c>
      <c r="M40" s="449">
        <f>D43</f>
        <v>20</v>
      </c>
      <c r="N40" s="210">
        <f>D47</f>
        <v>0.05</v>
      </c>
      <c r="O40" s="208">
        <f>L40*(1-N40)/M40</f>
        <v>192.43836214999999</v>
      </c>
      <c r="P40" s="208">
        <f>O40</f>
        <v>192.43836214999999</v>
      </c>
      <c r="Q40" s="209">
        <f>L40*5%+O40*10</f>
        <v>2126.9503184999999</v>
      </c>
      <c r="R40" s="270"/>
      <c r="S40" s="265"/>
      <c r="T40" s="320"/>
      <c r="U40" s="177">
        <v>30</v>
      </c>
      <c r="V40" s="178"/>
      <c r="W40" s="177"/>
      <c r="X40" s="180"/>
      <c r="Y40" s="180"/>
      <c r="Z40" s="253"/>
    </row>
    <row r="41" spans="1:49" ht="13.9" customHeight="1">
      <c r="A41" s="459"/>
      <c r="B41" s="352">
        <v>37</v>
      </c>
      <c r="C41" s="359" t="s">
        <v>291</v>
      </c>
      <c r="D41" s="351">
        <v>1.8499999999999999E-2</v>
      </c>
      <c r="E41" s="356"/>
      <c r="F41" s="341"/>
      <c r="G41" s="398"/>
      <c r="H41" s="399"/>
      <c r="I41" s="301"/>
      <c r="J41" s="203">
        <v>1.2</v>
      </c>
      <c r="K41" s="205" t="s">
        <v>24</v>
      </c>
      <c r="L41" s="206">
        <f>M21</f>
        <v>6800</v>
      </c>
      <c r="M41" s="449">
        <f>D44</f>
        <v>10</v>
      </c>
      <c r="N41" s="210">
        <f>D48</f>
        <v>0.05</v>
      </c>
      <c r="O41" s="208">
        <f>L41*(1-N41)/M41</f>
        <v>646</v>
      </c>
      <c r="P41" s="208">
        <f>O41</f>
        <v>646</v>
      </c>
      <c r="Q41" s="209">
        <f>L41*5%</f>
        <v>340</v>
      </c>
      <c r="R41" s="270"/>
      <c r="S41" s="265"/>
      <c r="T41" s="320"/>
      <c r="U41" s="177">
        <v>31</v>
      </c>
      <c r="V41" s="178"/>
      <c r="W41" s="177"/>
      <c r="X41" s="180"/>
      <c r="Y41" s="180"/>
      <c r="Z41" s="253"/>
    </row>
    <row r="42" spans="1:49" ht="13.9" customHeight="1">
      <c r="A42" s="460"/>
      <c r="B42" s="352">
        <v>38</v>
      </c>
      <c r="C42" s="359" t="s">
        <v>292</v>
      </c>
      <c r="D42" s="351">
        <v>5.6000000000000001E-2</v>
      </c>
      <c r="E42" s="356"/>
      <c r="F42" s="341"/>
      <c r="G42" s="398"/>
      <c r="H42" s="399"/>
      <c r="I42" s="301"/>
      <c r="J42" s="203">
        <v>2</v>
      </c>
      <c r="K42" s="205" t="s">
        <v>18</v>
      </c>
      <c r="L42" s="206">
        <f>L43+L44</f>
        <v>1473.6699999999998</v>
      </c>
      <c r="M42" s="207"/>
      <c r="N42" s="207"/>
      <c r="O42" s="208">
        <f>O43+O44</f>
        <v>81.214399999999998</v>
      </c>
      <c r="P42" s="208">
        <f>P43+P44</f>
        <v>17.312399999999997</v>
      </c>
      <c r="Q42" s="209">
        <f>Q43+Q44</f>
        <v>981.03599999999983</v>
      </c>
      <c r="R42" s="270"/>
      <c r="S42" s="265"/>
      <c r="T42" s="321"/>
      <c r="U42" s="177">
        <v>32</v>
      </c>
      <c r="V42" s="178"/>
      <c r="W42" s="177"/>
      <c r="X42" s="180"/>
      <c r="Y42" s="180"/>
      <c r="Z42" s="253"/>
    </row>
    <row r="43" spans="1:49" ht="13.9" customHeight="1">
      <c r="A43" s="458" t="s">
        <v>339</v>
      </c>
      <c r="B43" s="352">
        <v>39</v>
      </c>
      <c r="C43" s="359" t="s">
        <v>330</v>
      </c>
      <c r="D43" s="448">
        <v>20</v>
      </c>
      <c r="E43" s="356"/>
      <c r="F43" s="347"/>
      <c r="G43" s="258"/>
      <c r="H43" s="395"/>
      <c r="I43" s="301"/>
      <c r="J43" s="203">
        <v>2.1</v>
      </c>
      <c r="K43" s="205" t="s">
        <v>270</v>
      </c>
      <c r="L43" s="206">
        <f>N26</f>
        <v>1154.1599999999999</v>
      </c>
      <c r="M43" s="449">
        <f>D45</f>
        <v>50</v>
      </c>
      <c r="N43" s="210">
        <f>D49</f>
        <v>0.25</v>
      </c>
      <c r="O43" s="208">
        <f>L43*(1-25%)/M43</f>
        <v>17.312399999999997</v>
      </c>
      <c r="P43" s="208">
        <f>L43*(1-25%)/M43</f>
        <v>17.312399999999997</v>
      </c>
      <c r="Q43" s="208">
        <f>L43-O43*10</f>
        <v>981.03599999999983</v>
      </c>
      <c r="R43" s="271"/>
      <c r="S43" s="266"/>
      <c r="T43" s="321"/>
      <c r="U43" s="177">
        <v>33</v>
      </c>
      <c r="V43" s="178" t="s">
        <v>166</v>
      </c>
      <c r="W43" s="177">
        <f>SUM(W11:W40)</f>
        <v>0</v>
      </c>
      <c r="X43" s="180"/>
      <c r="Y43" s="257">
        <v>6800</v>
      </c>
      <c r="Z43" s="253"/>
    </row>
    <row r="44" spans="1:49" ht="13.9" customHeight="1">
      <c r="A44" s="459"/>
      <c r="B44" s="352">
        <v>40</v>
      </c>
      <c r="C44" s="359" t="s">
        <v>331</v>
      </c>
      <c r="D44" s="448">
        <v>10</v>
      </c>
      <c r="E44" s="356"/>
      <c r="F44" s="346"/>
      <c r="G44" s="258"/>
      <c r="H44" s="395"/>
      <c r="I44" s="301"/>
      <c r="J44" s="203">
        <v>2.2000000000000002</v>
      </c>
      <c r="K44" s="205" t="s">
        <v>21</v>
      </c>
      <c r="L44" s="208">
        <f>SUM(N27:N32)</f>
        <v>319.51</v>
      </c>
      <c r="M44" s="449">
        <f>D46</f>
        <v>5</v>
      </c>
      <c r="N44" s="210">
        <f>D50</f>
        <v>0</v>
      </c>
      <c r="O44" s="208">
        <f>L44/M44</f>
        <v>63.902000000000001</v>
      </c>
      <c r="P44" s="211">
        <v>0</v>
      </c>
      <c r="Q44" s="211">
        <v>0</v>
      </c>
      <c r="R44" s="272"/>
      <c r="S44" s="267"/>
      <c r="T44" s="252"/>
      <c r="U44" s="254"/>
      <c r="V44" s="254"/>
      <c r="W44" s="254"/>
      <c r="X44" s="254"/>
      <c r="Y44" s="322"/>
      <c r="Z44" s="222"/>
    </row>
    <row r="45" spans="1:49" ht="13.9" customHeight="1">
      <c r="A45" s="459"/>
      <c r="B45" s="352">
        <v>41</v>
      </c>
      <c r="C45" s="359" t="s">
        <v>332</v>
      </c>
      <c r="D45" s="448">
        <v>50</v>
      </c>
      <c r="E45" s="356"/>
      <c r="F45" s="339"/>
      <c r="G45" s="258"/>
      <c r="H45" s="395"/>
      <c r="I45" s="301"/>
      <c r="J45" s="212"/>
      <c r="K45" s="205" t="s">
        <v>271</v>
      </c>
      <c r="L45" s="206"/>
      <c r="M45" s="207"/>
      <c r="N45" s="207"/>
      <c r="O45" s="208">
        <f>O39+O42</f>
        <v>919.65276214999994</v>
      </c>
      <c r="P45" s="208">
        <f>P39+P42</f>
        <v>855.75076215000001</v>
      </c>
      <c r="Q45" s="208">
        <f>Q39+Q42</f>
        <v>3447.9863184999995</v>
      </c>
      <c r="R45" s="271"/>
      <c r="S45" s="266"/>
      <c r="T45" s="252"/>
      <c r="U45" s="221"/>
      <c r="V45" s="221"/>
      <c r="W45" s="221"/>
      <c r="X45" s="220"/>
      <c r="Y45" s="220"/>
      <c r="Z45" s="222"/>
    </row>
    <row r="46" spans="1:49" ht="13.9" customHeight="1">
      <c r="A46" s="459"/>
      <c r="B46" s="352">
        <v>42</v>
      </c>
      <c r="C46" s="359" t="s">
        <v>333</v>
      </c>
      <c r="D46" s="448">
        <v>5</v>
      </c>
      <c r="E46" s="356"/>
      <c r="F46" s="339"/>
      <c r="G46" s="258"/>
      <c r="H46" s="395"/>
      <c r="I46" s="301"/>
      <c r="J46" s="273"/>
      <c r="K46" s="274"/>
      <c r="L46" s="275"/>
      <c r="M46" s="276"/>
      <c r="N46" s="276"/>
      <c r="O46" s="277"/>
      <c r="P46" s="277"/>
      <c r="Q46" s="277"/>
      <c r="R46" s="278"/>
      <c r="S46" s="266"/>
      <c r="T46" s="252"/>
      <c r="U46" s="221"/>
      <c r="V46" s="221"/>
      <c r="W46" s="221"/>
      <c r="X46" s="220"/>
      <c r="Y46" s="220"/>
      <c r="Z46" s="222"/>
      <c r="AP46" s="158"/>
      <c r="AQ46" s="170"/>
    </row>
    <row r="47" spans="1:49" ht="13.9" customHeight="1">
      <c r="A47" s="459"/>
      <c r="B47" s="352">
        <v>43</v>
      </c>
      <c r="C47" s="359" t="s">
        <v>334</v>
      </c>
      <c r="D47" s="450">
        <v>0.05</v>
      </c>
      <c r="E47" s="356"/>
      <c r="F47" s="339"/>
      <c r="G47" s="258"/>
      <c r="I47" s="169"/>
      <c r="J47" s="127"/>
      <c r="K47" s="127"/>
      <c r="L47" s="127"/>
      <c r="M47" s="127"/>
      <c r="N47" s="127"/>
      <c r="O47" s="127"/>
      <c r="P47" s="127"/>
      <c r="Q47" s="126"/>
      <c r="R47" s="268"/>
      <c r="S47" s="128"/>
      <c r="T47" s="252"/>
      <c r="U47" s="487" t="s">
        <v>302</v>
      </c>
      <c r="V47" s="487"/>
      <c r="W47" s="487"/>
      <c r="X47" s="487"/>
      <c r="Y47" s="220"/>
      <c r="Z47" s="222"/>
      <c r="AP47" s="73"/>
      <c r="AQ47" s="124"/>
    </row>
    <row r="48" spans="1:49" ht="13.9" customHeight="1">
      <c r="A48" s="459"/>
      <c r="B48" s="352">
        <v>44</v>
      </c>
      <c r="C48" s="359" t="s">
        <v>335</v>
      </c>
      <c r="D48" s="450">
        <v>0.05</v>
      </c>
      <c r="E48" s="356"/>
      <c r="F48" s="339"/>
      <c r="G48" s="258"/>
      <c r="H48" s="395"/>
      <c r="I48" s="328"/>
      <c r="J48" s="504" t="s">
        <v>245</v>
      </c>
      <c r="K48" s="504"/>
      <c r="L48" s="504"/>
      <c r="M48" s="504"/>
      <c r="N48" s="504"/>
      <c r="O48" s="504"/>
      <c r="P48" s="504"/>
      <c r="Q48" s="329"/>
      <c r="R48" s="329"/>
      <c r="S48" s="329"/>
      <c r="T48" s="248"/>
      <c r="U48" s="492" t="s">
        <v>2</v>
      </c>
      <c r="V48" s="494" t="s">
        <v>299</v>
      </c>
      <c r="W48" s="495"/>
      <c r="X48" s="492" t="s">
        <v>300</v>
      </c>
      <c r="Y48" s="219"/>
      <c r="Z48" s="222"/>
      <c r="AP48" s="73"/>
      <c r="AQ48" s="73"/>
      <c r="AR48" s="73"/>
      <c r="AS48" s="73"/>
      <c r="AT48" s="73"/>
      <c r="AU48" s="73"/>
      <c r="AV48" s="124"/>
    </row>
    <row r="49" spans="1:48" ht="13.9" customHeight="1">
      <c r="A49" s="459"/>
      <c r="B49" s="352">
        <v>45</v>
      </c>
      <c r="C49" s="359" t="s">
        <v>336</v>
      </c>
      <c r="D49" s="450">
        <v>0.25</v>
      </c>
      <c r="E49" s="356"/>
      <c r="F49" s="339"/>
      <c r="G49" s="258"/>
      <c r="H49" s="395"/>
      <c r="I49" s="310"/>
      <c r="J49" s="498" t="s">
        <v>2</v>
      </c>
      <c r="K49" s="503" t="s">
        <v>199</v>
      </c>
      <c r="L49" s="501" t="s">
        <v>134</v>
      </c>
      <c r="M49" s="502" t="s">
        <v>200</v>
      </c>
      <c r="N49" s="502" t="s">
        <v>201</v>
      </c>
      <c r="O49" s="501" t="s">
        <v>202</v>
      </c>
      <c r="P49" s="501" t="s">
        <v>203</v>
      </c>
      <c r="Q49" s="247"/>
      <c r="R49" s="330"/>
      <c r="S49" s="330"/>
      <c r="T49" s="248"/>
      <c r="U49" s="493"/>
      <c r="V49" s="496"/>
      <c r="W49" s="497"/>
      <c r="X49" s="493"/>
      <c r="Y49" s="219"/>
      <c r="Z49" s="222"/>
      <c r="AP49" s="73"/>
      <c r="AQ49" s="73"/>
      <c r="AR49" s="73"/>
      <c r="AS49" s="73"/>
      <c r="AT49" s="73"/>
      <c r="AU49" s="73"/>
      <c r="AV49" s="124"/>
    </row>
    <row r="50" spans="1:48" ht="13.9" customHeight="1">
      <c r="A50" s="460"/>
      <c r="B50" s="352">
        <v>46</v>
      </c>
      <c r="C50" s="359" t="s">
        <v>337</v>
      </c>
      <c r="D50" s="450">
        <v>0</v>
      </c>
      <c r="E50" s="356"/>
      <c r="F50" s="339"/>
      <c r="G50" s="258"/>
      <c r="H50" s="395"/>
      <c r="I50" s="310"/>
      <c r="J50" s="498"/>
      <c r="K50" s="503"/>
      <c r="L50" s="501"/>
      <c r="M50" s="502"/>
      <c r="N50" s="502"/>
      <c r="O50" s="501"/>
      <c r="P50" s="501"/>
      <c r="Q50" s="247"/>
      <c r="R50" s="330"/>
      <c r="S50" s="330"/>
      <c r="T50" s="248"/>
      <c r="U50" s="182">
        <v>1</v>
      </c>
      <c r="V50" s="485"/>
      <c r="W50" s="486"/>
      <c r="X50" s="183"/>
      <c r="Y50" s="323"/>
      <c r="Z50" s="222"/>
      <c r="AP50" s="73"/>
      <c r="AQ50" s="73"/>
      <c r="AR50" s="73"/>
      <c r="AS50" s="73"/>
      <c r="AT50" s="73"/>
      <c r="AU50" s="73"/>
      <c r="AV50" s="124"/>
    </row>
    <row r="51" spans="1:48" ht="13.9" customHeight="1">
      <c r="A51" s="335"/>
      <c r="B51" s="334"/>
      <c r="C51" s="335"/>
      <c r="D51" s="336"/>
      <c r="E51" s="336"/>
      <c r="F51" s="339"/>
      <c r="G51" s="258"/>
      <c r="H51" s="395"/>
      <c r="I51" s="310"/>
      <c r="J51" s="184">
        <v>1</v>
      </c>
      <c r="K51" s="185"/>
      <c r="L51" s="186"/>
      <c r="M51" s="187"/>
      <c r="N51" s="187"/>
      <c r="O51" s="187"/>
      <c r="P51" s="187"/>
      <c r="Q51" s="249"/>
      <c r="R51" s="331"/>
      <c r="S51" s="331"/>
      <c r="T51" s="248"/>
      <c r="U51" s="182">
        <v>2</v>
      </c>
      <c r="V51" s="485"/>
      <c r="W51" s="486"/>
      <c r="X51" s="183"/>
      <c r="Y51" s="323"/>
      <c r="Z51" s="222"/>
      <c r="AP51" s="73"/>
      <c r="AQ51" s="73"/>
      <c r="AR51" s="73"/>
      <c r="AS51" s="73"/>
      <c r="AT51" s="73"/>
      <c r="AU51" s="73"/>
      <c r="AV51" s="124"/>
    </row>
    <row r="52" spans="1:48" ht="13.9" customHeight="1">
      <c r="A52" s="338" t="s">
        <v>308</v>
      </c>
      <c r="B52" s="337"/>
      <c r="C52" s="338"/>
      <c r="D52" s="339"/>
      <c r="E52" s="339"/>
      <c r="F52" s="339"/>
      <c r="G52" s="258"/>
      <c r="H52" s="395"/>
      <c r="I52" s="310"/>
      <c r="J52" s="184">
        <v>2</v>
      </c>
      <c r="K52" s="185"/>
      <c r="L52" s="186"/>
      <c r="M52" s="187"/>
      <c r="N52" s="187"/>
      <c r="O52" s="187"/>
      <c r="P52" s="187"/>
      <c r="Q52" s="249"/>
      <c r="R52" s="331"/>
      <c r="S52" s="331"/>
      <c r="T52" s="248"/>
      <c r="U52" s="182">
        <v>3</v>
      </c>
      <c r="V52" s="485"/>
      <c r="W52" s="486"/>
      <c r="X52" s="183"/>
      <c r="Y52" s="323"/>
      <c r="Z52" s="222"/>
      <c r="AP52" s="73"/>
      <c r="AQ52" s="73"/>
      <c r="AR52" s="73"/>
      <c r="AS52" s="73"/>
      <c r="AT52" s="73"/>
      <c r="AU52" s="73"/>
      <c r="AV52" s="124"/>
    </row>
    <row r="53" spans="1:48" ht="13.9" customHeight="1">
      <c r="A53" s="515" t="s">
        <v>313</v>
      </c>
      <c r="B53" s="516"/>
      <c r="C53" s="516"/>
      <c r="D53" s="516"/>
      <c r="E53" s="517"/>
      <c r="F53" s="339"/>
      <c r="G53" s="258"/>
      <c r="H53" s="395"/>
      <c r="I53" s="310"/>
      <c r="J53" s="184">
        <v>3</v>
      </c>
      <c r="K53" s="185"/>
      <c r="L53" s="186"/>
      <c r="M53" s="187"/>
      <c r="N53" s="187"/>
      <c r="O53" s="187"/>
      <c r="P53" s="187"/>
      <c r="Q53" s="249"/>
      <c r="R53" s="331"/>
      <c r="S53" s="331"/>
      <c r="T53" s="248"/>
      <c r="U53" s="182">
        <v>4</v>
      </c>
      <c r="V53" s="485"/>
      <c r="W53" s="486"/>
      <c r="X53" s="183"/>
      <c r="Y53" s="323"/>
      <c r="Z53" s="222"/>
      <c r="AP53" s="73"/>
      <c r="AQ53" s="73"/>
      <c r="AR53" s="73"/>
      <c r="AS53" s="73"/>
      <c r="AT53" s="73"/>
      <c r="AU53" s="73"/>
      <c r="AV53" s="124"/>
    </row>
    <row r="54" spans="1:48" ht="13.9" customHeight="1">
      <c r="A54" s="509" t="s">
        <v>338</v>
      </c>
      <c r="B54" s="510"/>
      <c r="C54" s="510"/>
      <c r="D54" s="510"/>
      <c r="E54" s="511"/>
      <c r="F54" s="339"/>
      <c r="G54" s="258"/>
      <c r="H54" s="395"/>
      <c r="I54" s="311"/>
      <c r="J54" s="188">
        <v>4</v>
      </c>
      <c r="K54" s="185"/>
      <c r="L54" s="186"/>
      <c r="M54" s="187"/>
      <c r="N54" s="187"/>
      <c r="O54" s="187"/>
      <c r="P54" s="187"/>
      <c r="Q54" s="249"/>
      <c r="R54" s="331"/>
      <c r="S54" s="331"/>
      <c r="T54" s="248"/>
      <c r="U54" s="182">
        <v>5</v>
      </c>
      <c r="V54" s="485"/>
      <c r="W54" s="486"/>
      <c r="X54" s="183"/>
      <c r="Y54" s="323"/>
      <c r="Z54" s="222"/>
    </row>
    <row r="55" spans="1:48" ht="13.9" customHeight="1">
      <c r="A55" s="509" t="s">
        <v>312</v>
      </c>
      <c r="B55" s="510"/>
      <c r="C55" s="510"/>
      <c r="D55" s="510"/>
      <c r="E55" s="511"/>
      <c r="F55" s="339"/>
      <c r="G55" s="258"/>
      <c r="H55" s="395"/>
      <c r="I55" s="311"/>
      <c r="J55" s="188">
        <v>5</v>
      </c>
      <c r="K55" s="185"/>
      <c r="L55" s="186"/>
      <c r="M55" s="187"/>
      <c r="N55" s="187"/>
      <c r="O55" s="187"/>
      <c r="P55" s="187"/>
      <c r="Q55" s="249"/>
      <c r="R55" s="331"/>
      <c r="S55" s="331"/>
      <c r="T55" s="248"/>
      <c r="U55" s="182">
        <v>6</v>
      </c>
      <c r="V55" s="485"/>
      <c r="W55" s="486"/>
      <c r="X55" s="183"/>
      <c r="Y55" s="323"/>
      <c r="Z55" s="222"/>
    </row>
    <row r="56" spans="1:48" ht="13.9" customHeight="1">
      <c r="A56" s="509" t="s">
        <v>314</v>
      </c>
      <c r="B56" s="510"/>
      <c r="C56" s="510"/>
      <c r="D56" s="510"/>
      <c r="E56" s="511"/>
      <c r="F56" s="339"/>
      <c r="G56" s="258"/>
      <c r="H56" s="395"/>
      <c r="I56" s="311"/>
      <c r="J56" s="188">
        <v>6</v>
      </c>
      <c r="K56" s="185"/>
      <c r="L56" s="186"/>
      <c r="M56" s="187"/>
      <c r="N56" s="187"/>
      <c r="O56" s="187"/>
      <c r="P56" s="187"/>
      <c r="Q56" s="249"/>
      <c r="R56" s="331"/>
      <c r="S56" s="331"/>
      <c r="T56" s="250"/>
      <c r="U56" s="182">
        <v>7</v>
      </c>
      <c r="V56" s="485"/>
      <c r="W56" s="486"/>
      <c r="X56" s="183"/>
      <c r="Y56" s="323"/>
      <c r="Z56" s="222"/>
    </row>
    <row r="57" spans="1:48" ht="13.9" customHeight="1">
      <c r="A57" s="509"/>
      <c r="B57" s="510"/>
      <c r="C57" s="510"/>
      <c r="D57" s="510"/>
      <c r="E57" s="511"/>
      <c r="F57" s="339"/>
      <c r="G57" s="258"/>
      <c r="H57" s="395"/>
      <c r="I57" s="312"/>
      <c r="J57" s="188">
        <v>7</v>
      </c>
      <c r="K57" s="189" t="s">
        <v>166</v>
      </c>
      <c r="L57" s="190"/>
      <c r="M57" s="191"/>
      <c r="N57" s="191"/>
      <c r="O57" s="191"/>
      <c r="P57" s="255">
        <v>33000</v>
      </c>
      <c r="Q57" s="249"/>
      <c r="R57" s="331"/>
      <c r="S57" s="331"/>
      <c r="T57" s="250"/>
      <c r="U57" s="182">
        <v>8</v>
      </c>
      <c r="V57" s="485" t="s">
        <v>306</v>
      </c>
      <c r="W57" s="486"/>
      <c r="X57" s="256">
        <v>15700</v>
      </c>
      <c r="Y57" s="323"/>
      <c r="Z57" s="222"/>
    </row>
    <row r="58" spans="1:48" ht="13.9" customHeight="1">
      <c r="A58" s="339"/>
      <c r="B58" s="337"/>
      <c r="C58" s="338"/>
      <c r="D58" s="339"/>
      <c r="E58" s="339"/>
      <c r="F58" s="339"/>
      <c r="G58" s="258"/>
      <c r="H58" s="395"/>
      <c r="I58" s="324"/>
      <c r="J58" s="325"/>
      <c r="K58" s="325"/>
      <c r="L58" s="325"/>
      <c r="M58" s="325"/>
      <c r="N58" s="325"/>
      <c r="O58" s="325"/>
      <c r="P58" s="325"/>
      <c r="Q58" s="332"/>
      <c r="R58" s="332"/>
      <c r="S58" s="332"/>
      <c r="T58" s="333"/>
      <c r="U58" s="325"/>
      <c r="V58" s="326"/>
      <c r="W58" s="325"/>
      <c r="X58" s="326"/>
      <c r="Y58" s="327"/>
      <c r="Z58" s="314"/>
    </row>
    <row r="59" spans="1:48" ht="13.9" customHeight="1">
      <c r="A59" s="127"/>
      <c r="B59" s="153"/>
      <c r="C59" s="152"/>
      <c r="D59" s="127"/>
      <c r="E59" s="169"/>
      <c r="F59" s="169"/>
      <c r="J59" s="127"/>
      <c r="K59" s="127"/>
      <c r="L59" s="127"/>
      <c r="M59" s="127"/>
      <c r="N59" s="127"/>
      <c r="O59" s="127"/>
      <c r="P59" s="127"/>
      <c r="Q59" s="125"/>
      <c r="R59" s="125"/>
      <c r="S59" s="125"/>
    </row>
    <row r="60" spans="1:48" ht="13.9" customHeight="1">
      <c r="Q60" s="125"/>
      <c r="R60" s="125"/>
      <c r="S60" s="125"/>
    </row>
    <row r="61" spans="1:48" ht="13.9" customHeight="1">
      <c r="J61" s="127"/>
      <c r="K61" s="127"/>
      <c r="L61" s="127"/>
      <c r="M61" s="127"/>
      <c r="N61" s="127"/>
      <c r="O61" s="127"/>
      <c r="P61" s="127"/>
      <c r="Q61" s="125"/>
      <c r="R61" s="125"/>
      <c r="S61" s="125"/>
    </row>
    <row r="62" spans="1:48" ht="13.9" customHeight="1">
      <c r="Q62" s="125"/>
      <c r="R62" s="125"/>
      <c r="S62" s="125"/>
    </row>
    <row r="63" spans="1:48" ht="13.9" customHeight="1">
      <c r="J63" s="127"/>
      <c r="K63" s="127"/>
      <c r="L63" s="127"/>
      <c r="M63" s="127"/>
      <c r="N63" s="127"/>
      <c r="O63" s="127"/>
      <c r="P63" s="127"/>
      <c r="Q63" s="125"/>
      <c r="R63" s="125"/>
      <c r="S63" s="125"/>
    </row>
    <row r="64" spans="1:48" ht="13.9" customHeight="1">
      <c r="Q64" s="125"/>
      <c r="R64" s="125"/>
      <c r="S64" s="125"/>
    </row>
    <row r="65" spans="10:19" ht="13.9" customHeight="1">
      <c r="J65" s="127"/>
      <c r="K65" s="127"/>
      <c r="L65" s="127"/>
      <c r="M65" s="127"/>
      <c r="N65" s="127"/>
      <c r="O65" s="127"/>
      <c r="P65" s="127"/>
      <c r="Q65" s="125"/>
      <c r="R65" s="125"/>
      <c r="S65" s="125"/>
    </row>
    <row r="66" spans="10:19" ht="13.9" customHeight="1">
      <c r="Q66" s="125"/>
      <c r="R66" s="125"/>
      <c r="S66" s="125"/>
    </row>
    <row r="67" spans="10:19">
      <c r="J67" s="127"/>
      <c r="K67" s="127"/>
      <c r="L67" s="127"/>
      <c r="M67" s="127"/>
      <c r="N67" s="127"/>
      <c r="O67" s="127"/>
      <c r="P67" s="127"/>
      <c r="Q67" s="125"/>
      <c r="R67" s="125"/>
      <c r="S67" s="125"/>
    </row>
    <row r="68" spans="10:19">
      <c r="Q68" s="125"/>
      <c r="R68" s="125"/>
      <c r="S68" s="125"/>
    </row>
    <row r="69" spans="10:19">
      <c r="J69" s="127"/>
      <c r="K69" s="127"/>
      <c r="L69" s="127"/>
      <c r="M69" s="127"/>
      <c r="N69" s="127"/>
      <c r="O69" s="127"/>
      <c r="P69" s="127"/>
      <c r="Q69" s="125"/>
      <c r="R69" s="125"/>
      <c r="S69" s="125"/>
    </row>
    <row r="70" spans="10:19">
      <c r="Q70" s="125"/>
      <c r="R70" s="125"/>
      <c r="S70" s="125"/>
    </row>
    <row r="71" spans="10:19">
      <c r="J71" s="127"/>
      <c r="K71" s="127"/>
      <c r="L71" s="127"/>
      <c r="M71" s="127"/>
      <c r="N71" s="127"/>
      <c r="O71" s="127"/>
      <c r="P71" s="127"/>
      <c r="Q71" s="125"/>
      <c r="R71" s="125"/>
      <c r="S71" s="125"/>
    </row>
    <row r="72" spans="10:19">
      <c r="Q72" s="125"/>
      <c r="R72" s="125"/>
      <c r="S72" s="125"/>
    </row>
    <row r="73" spans="10:19">
      <c r="J73" s="127"/>
      <c r="K73" s="127"/>
      <c r="L73" s="127"/>
      <c r="M73" s="127"/>
      <c r="N73" s="127"/>
      <c r="O73" s="127"/>
      <c r="P73" s="127"/>
      <c r="Q73" s="125"/>
      <c r="R73" s="125"/>
      <c r="S73" s="125"/>
    </row>
    <row r="74" spans="10:19">
      <c r="Q74" s="125"/>
      <c r="R74" s="125"/>
      <c r="S74" s="125"/>
    </row>
  </sheetData>
  <sheetProtection selectLockedCells="1"/>
  <protectedRanges>
    <protectedRange sqref="J48:T61 D6:D7 D10:D15 D20:D23 D29:D32 D34 U6:Y61 A43:A50 F44:H61 D38:D50 A52:E61" name="区域1"/>
    <protectedRange sqref="A43:A49 F44:H57 A52:E58" name="区域2"/>
    <protectedRange sqref="J48:P60 U3:Y43 U47:X60" name="区域3"/>
  </protectedRanges>
  <mergeCells count="84">
    <mergeCell ref="A57:E57"/>
    <mergeCell ref="A43:A50"/>
    <mergeCell ref="A56:E56"/>
    <mergeCell ref="J36:Q36"/>
    <mergeCell ref="K37:K38"/>
    <mergeCell ref="L37:L38"/>
    <mergeCell ref="J37:J38"/>
    <mergeCell ref="O37:O38"/>
    <mergeCell ref="P37:P38"/>
    <mergeCell ref="M37:M38"/>
    <mergeCell ref="N37:N38"/>
    <mergeCell ref="Q37:Q38"/>
    <mergeCell ref="A54:E54"/>
    <mergeCell ref="A53:E53"/>
    <mergeCell ref="A55:E55"/>
    <mergeCell ref="U8:Y8"/>
    <mergeCell ref="J10:J11"/>
    <mergeCell ref="K10:K11"/>
    <mergeCell ref="L10:L11"/>
    <mergeCell ref="M10:M11"/>
    <mergeCell ref="N10:N11"/>
    <mergeCell ref="O10:P11"/>
    <mergeCell ref="J9:P9"/>
    <mergeCell ref="V48:W49"/>
    <mergeCell ref="A36:A39"/>
    <mergeCell ref="A40:A42"/>
    <mergeCell ref="J49:J50"/>
    <mergeCell ref="O12:P12"/>
    <mergeCell ref="O13:P13"/>
    <mergeCell ref="O14:P14"/>
    <mergeCell ref="O15:P15"/>
    <mergeCell ref="O16:P16"/>
    <mergeCell ref="L49:L50"/>
    <mergeCell ref="M49:M50"/>
    <mergeCell ref="N49:N50"/>
    <mergeCell ref="O49:O50"/>
    <mergeCell ref="P49:P50"/>
    <mergeCell ref="K49:K50"/>
    <mergeCell ref="J48:P48"/>
    <mergeCell ref="V51:W51"/>
    <mergeCell ref="V50:W50"/>
    <mergeCell ref="V57:W57"/>
    <mergeCell ref="U47:X47"/>
    <mergeCell ref="Y9:Y10"/>
    <mergeCell ref="X9:X10"/>
    <mergeCell ref="W9:W10"/>
    <mergeCell ref="V9:V10"/>
    <mergeCell ref="U9:U10"/>
    <mergeCell ref="V56:W56"/>
    <mergeCell ref="V55:W55"/>
    <mergeCell ref="V54:W54"/>
    <mergeCell ref="V53:W53"/>
    <mergeCell ref="V52:W52"/>
    <mergeCell ref="X48:X49"/>
    <mergeCell ref="U48:U49"/>
    <mergeCell ref="T1:U1"/>
    <mergeCell ref="A3:A4"/>
    <mergeCell ref="J3:J4"/>
    <mergeCell ref="E3:E4"/>
    <mergeCell ref="D3:D4"/>
    <mergeCell ref="C3:C4"/>
    <mergeCell ref="B3:B4"/>
    <mergeCell ref="I1:J1"/>
    <mergeCell ref="C1:D2"/>
    <mergeCell ref="J2:P2"/>
    <mergeCell ref="O3:P4"/>
    <mergeCell ref="N3:N4"/>
    <mergeCell ref="M3:M4"/>
    <mergeCell ref="L3:L4"/>
    <mergeCell ref="K3:K4"/>
    <mergeCell ref="A5:A15"/>
    <mergeCell ref="A16:A23"/>
    <mergeCell ref="A24:A32"/>
    <mergeCell ref="J18:P18"/>
    <mergeCell ref="O19:O20"/>
    <mergeCell ref="P19:P20"/>
    <mergeCell ref="J19:J20"/>
    <mergeCell ref="K19:K20"/>
    <mergeCell ref="L19:L20"/>
    <mergeCell ref="M19:M20"/>
    <mergeCell ref="N19:N20"/>
    <mergeCell ref="O6:P6"/>
    <mergeCell ref="O5:P5"/>
    <mergeCell ref="O7:P7"/>
  </mergeCells>
  <phoneticPr fontId="5" type="noConversion"/>
  <pageMargins left="0.75" right="0.75" top="1" bottom="1" header="0.5" footer="0.5"/>
  <pageSetup paperSize="9" orientation="portrait" horizontalDpi="200" verticalDpi="300" r:id="rId1"/>
  <headerFooter alignWithMargins="0"/>
  <ignoredErrors>
    <ignoredError sqref="O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31"/>
  <sheetViews>
    <sheetView showGridLines="0" topLeftCell="A34" zoomScaleNormal="100" workbookViewId="0">
      <selection activeCell="E94" sqref="E94"/>
    </sheetView>
  </sheetViews>
  <sheetFormatPr defaultColWidth="8.75" defaultRowHeight="12.75"/>
  <cols>
    <col min="1" max="1" width="12.375" style="74" customWidth="1"/>
    <col min="2" max="2" width="5" style="74" customWidth="1"/>
    <col min="3" max="3" width="20.375" style="74" customWidth="1"/>
    <col min="4" max="4" width="11.25" style="74"/>
    <col min="5" max="15" width="10" style="74" customWidth="1"/>
    <col min="16" max="16" width="8.25" style="103" customWidth="1"/>
    <col min="17" max="23" width="10.875" style="73" customWidth="1"/>
    <col min="24" max="34" width="9" style="73"/>
    <col min="35" max="36" width="8.75" style="73"/>
    <col min="37" max="37" width="8.75" style="3"/>
    <col min="38" max="16384" width="8.75" style="2"/>
  </cols>
  <sheetData>
    <row r="1" spans="1:39" ht="15.75" customHeight="1" thickBot="1">
      <c r="A1" s="563" t="s">
        <v>0</v>
      </c>
      <c r="B1" s="564"/>
      <c r="C1" s="564"/>
      <c r="D1" s="564"/>
      <c r="E1" s="419"/>
      <c r="F1" s="143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50"/>
      <c r="R1" s="99"/>
      <c r="S1" s="99"/>
      <c r="T1" s="99"/>
      <c r="U1" s="99"/>
      <c r="V1" s="99"/>
      <c r="AK1" s="73"/>
      <c r="AL1" s="3"/>
    </row>
    <row r="2" spans="1:39" ht="15.75" customHeight="1" thickBot="1">
      <c r="A2" s="565"/>
      <c r="B2" s="566"/>
      <c r="C2" s="566"/>
      <c r="D2" s="566"/>
      <c r="E2" s="420"/>
      <c r="F2" s="430"/>
      <c r="G2" s="421"/>
      <c r="H2" s="421"/>
      <c r="I2" s="421"/>
      <c r="J2" s="421"/>
      <c r="K2" s="421"/>
      <c r="L2" s="421"/>
      <c r="M2" s="421"/>
      <c r="N2" s="421"/>
      <c r="O2" s="144"/>
      <c r="P2" s="145"/>
      <c r="Q2" s="552" t="s">
        <v>315</v>
      </c>
      <c r="R2" s="154" t="s">
        <v>26</v>
      </c>
      <c r="S2" s="154" t="s">
        <v>42</v>
      </c>
      <c r="T2" s="154" t="s">
        <v>8</v>
      </c>
      <c r="U2" s="154" t="s">
        <v>287</v>
      </c>
      <c r="V2" s="155" t="s">
        <v>288</v>
      </c>
      <c r="W2" s="84"/>
      <c r="X2" s="75"/>
      <c r="Y2" s="75"/>
      <c r="Z2" s="74"/>
      <c r="AK2" s="73"/>
      <c r="AL2" s="73"/>
      <c r="AM2" s="3"/>
    </row>
    <row r="3" spans="1:39" ht="15.75" customHeight="1" thickBot="1">
      <c r="A3" s="451" t="s">
        <v>1</v>
      </c>
      <c r="B3" s="451" t="s">
        <v>2</v>
      </c>
      <c r="C3" s="451" t="s">
        <v>3</v>
      </c>
      <c r="D3" s="451" t="s">
        <v>4</v>
      </c>
      <c r="E3" s="404"/>
      <c r="F3" s="453" t="s">
        <v>317</v>
      </c>
      <c r="G3" s="454"/>
      <c r="H3" s="454"/>
      <c r="I3" s="454"/>
      <c r="J3" s="454"/>
      <c r="K3" s="454"/>
      <c r="L3" s="454"/>
      <c r="M3" s="454"/>
      <c r="N3" s="455"/>
      <c r="O3" s="143"/>
      <c r="P3" s="145"/>
      <c r="Q3" s="553"/>
      <c r="R3" s="151">
        <v>1</v>
      </c>
      <c r="S3" s="151">
        <v>1</v>
      </c>
      <c r="T3" s="151">
        <v>1</v>
      </c>
      <c r="U3" s="151">
        <v>1</v>
      </c>
      <c r="V3" s="156">
        <v>1</v>
      </c>
      <c r="W3" s="84"/>
      <c r="X3" s="75"/>
      <c r="Y3" s="75"/>
      <c r="Z3" s="74"/>
      <c r="AK3" s="73"/>
      <c r="AL3" s="73"/>
      <c r="AM3" s="3"/>
    </row>
    <row r="4" spans="1:39" ht="13.5" customHeight="1" thickBot="1">
      <c r="A4" s="529" t="s">
        <v>5</v>
      </c>
      <c r="B4" s="644">
        <v>1</v>
      </c>
      <c r="C4" s="383" t="s">
        <v>6</v>
      </c>
      <c r="D4" s="385">
        <f>SUM(D5:D8)</f>
        <v>12325.003940000001</v>
      </c>
      <c r="E4" s="405"/>
      <c r="F4" s="567" t="s">
        <v>350</v>
      </c>
      <c r="G4" s="568"/>
      <c r="H4" s="568"/>
      <c r="I4" s="568"/>
      <c r="J4" s="568"/>
      <c r="K4" s="568"/>
      <c r="L4" s="568"/>
      <c r="M4" s="568"/>
      <c r="N4" s="569"/>
      <c r="O4" s="143"/>
      <c r="P4" s="145"/>
      <c r="Q4" s="553"/>
      <c r="R4" s="587" t="s">
        <v>181</v>
      </c>
      <c r="S4" s="587"/>
      <c r="T4" s="72">
        <f>D111</f>
        <v>0.48239879900057825</v>
      </c>
      <c r="U4" s="555" t="s">
        <v>294</v>
      </c>
      <c r="V4" s="556"/>
      <c r="W4" s="84"/>
      <c r="X4" s="75"/>
      <c r="Y4" s="75"/>
      <c r="Z4" s="74"/>
      <c r="AK4" s="73"/>
      <c r="AL4" s="73"/>
      <c r="AM4" s="3"/>
    </row>
    <row r="5" spans="1:39" ht="13.5" customHeight="1" thickBot="1">
      <c r="A5" s="529"/>
      <c r="B5" s="644">
        <v>1.1000000000000001</v>
      </c>
      <c r="C5" s="382" t="s">
        <v>10</v>
      </c>
      <c r="D5" s="386">
        <f>基础估算!L21*$T$3</f>
        <v>4051.33394</v>
      </c>
      <c r="E5" s="406"/>
      <c r="F5" s="567" t="s">
        <v>349</v>
      </c>
      <c r="G5" s="568"/>
      <c r="H5" s="568"/>
      <c r="I5" s="568"/>
      <c r="J5" s="568"/>
      <c r="K5" s="568"/>
      <c r="L5" s="568"/>
      <c r="M5" s="568"/>
      <c r="N5" s="569"/>
      <c r="O5" s="143"/>
      <c r="P5" s="145"/>
      <c r="Q5" s="554"/>
      <c r="R5" s="586" t="s">
        <v>182</v>
      </c>
      <c r="S5" s="586"/>
      <c r="T5" s="157">
        <f>D113</f>
        <v>3.5426794435044595</v>
      </c>
      <c r="U5" s="557"/>
      <c r="V5" s="558"/>
      <c r="W5" s="78"/>
      <c r="X5" s="100"/>
      <c r="Y5" s="100"/>
      <c r="Z5" s="74"/>
      <c r="AK5" s="73"/>
      <c r="AL5" s="73"/>
      <c r="AM5" s="3"/>
    </row>
    <row r="6" spans="1:39" ht="13.5" customHeight="1" thickBot="1">
      <c r="A6" s="529"/>
      <c r="B6" s="644">
        <v>1.2</v>
      </c>
      <c r="C6" s="381" t="s">
        <v>17</v>
      </c>
      <c r="D6" s="386">
        <f>基础估算!M21*$T$3</f>
        <v>6800</v>
      </c>
      <c r="E6" s="406"/>
      <c r="F6" s="590" t="s">
        <v>340</v>
      </c>
      <c r="G6" s="591"/>
      <c r="H6" s="591"/>
      <c r="I6" s="591"/>
      <c r="J6" s="591"/>
      <c r="K6" s="591"/>
      <c r="L6" s="591"/>
      <c r="M6" s="591"/>
      <c r="N6" s="592"/>
      <c r="O6" s="143"/>
      <c r="P6" s="144"/>
      <c r="Q6" s="141"/>
      <c r="R6" s="141"/>
      <c r="S6" s="110"/>
      <c r="T6" s="110"/>
      <c r="U6" s="110"/>
      <c r="V6" s="110"/>
      <c r="AK6" s="73"/>
      <c r="AL6" s="73"/>
      <c r="AM6" s="3"/>
    </row>
    <row r="7" spans="1:39" ht="13.5" customHeight="1" thickBot="1">
      <c r="A7" s="529"/>
      <c r="B7" s="644">
        <v>1.3</v>
      </c>
      <c r="C7" s="381" t="s">
        <v>20</v>
      </c>
      <c r="D7" s="386">
        <f>基础估算!N26*$T$3</f>
        <v>1154.1599999999999</v>
      </c>
      <c r="E7" s="406"/>
      <c r="F7" s="590" t="s">
        <v>341</v>
      </c>
      <c r="G7" s="591"/>
      <c r="H7" s="591"/>
      <c r="I7" s="591"/>
      <c r="J7" s="591"/>
      <c r="K7" s="591"/>
      <c r="L7" s="591"/>
      <c r="M7" s="591"/>
      <c r="N7" s="592"/>
      <c r="O7" s="143"/>
      <c r="P7" s="144"/>
      <c r="Q7" s="570" t="s">
        <v>186</v>
      </c>
      <c r="R7" s="571"/>
      <c r="S7" s="571"/>
      <c r="T7" s="571"/>
      <c r="U7" s="571"/>
      <c r="V7" s="571"/>
      <c r="W7" s="572"/>
      <c r="X7" s="76"/>
      <c r="AK7" s="73"/>
      <c r="AL7" s="73"/>
      <c r="AM7" s="3"/>
    </row>
    <row r="8" spans="1:39" ht="13.5" customHeight="1" thickBot="1">
      <c r="A8" s="529"/>
      <c r="B8" s="644">
        <v>1.4</v>
      </c>
      <c r="C8" s="381" t="s">
        <v>21</v>
      </c>
      <c r="D8" s="386">
        <f>SUM(基础估算!N27:N32)*$T$3</f>
        <v>319.51</v>
      </c>
      <c r="E8" s="406"/>
      <c r="F8" s="560" t="s">
        <v>329</v>
      </c>
      <c r="G8" s="561"/>
      <c r="H8" s="561"/>
      <c r="I8" s="561"/>
      <c r="J8" s="561"/>
      <c r="K8" s="561"/>
      <c r="L8" s="561"/>
      <c r="M8" s="561"/>
      <c r="N8" s="562"/>
      <c r="O8" s="143"/>
      <c r="P8" s="145"/>
      <c r="Q8" s="575" t="s">
        <v>7</v>
      </c>
      <c r="R8" s="573" t="s">
        <v>11</v>
      </c>
      <c r="S8" s="588" t="s">
        <v>12</v>
      </c>
      <c r="T8" s="588" t="s">
        <v>13</v>
      </c>
      <c r="U8" s="588" t="s">
        <v>14</v>
      </c>
      <c r="V8" s="588" t="s">
        <v>15</v>
      </c>
      <c r="W8" s="588" t="s">
        <v>16</v>
      </c>
      <c r="X8" s="103"/>
      <c r="Y8" s="76"/>
      <c r="AK8" s="73"/>
      <c r="AL8" s="73"/>
      <c r="AM8" s="3"/>
    </row>
    <row r="9" spans="1:39" ht="13.5" customHeight="1">
      <c r="A9" s="529"/>
      <c r="B9" s="644">
        <v>2</v>
      </c>
      <c r="C9" s="381" t="s">
        <v>23</v>
      </c>
      <c r="D9" s="386">
        <f>基础估算!D34</f>
        <v>3500</v>
      </c>
      <c r="E9" s="406"/>
      <c r="F9" s="432"/>
      <c r="G9" s="127"/>
      <c r="H9" s="127"/>
      <c r="I9" s="127"/>
      <c r="J9" s="127"/>
      <c r="K9" s="127"/>
      <c r="L9" s="127"/>
      <c r="M9" s="127"/>
      <c r="N9" s="127"/>
      <c r="O9" s="144"/>
      <c r="P9" s="145"/>
      <c r="Q9" s="576"/>
      <c r="R9" s="574"/>
      <c r="S9" s="589"/>
      <c r="T9" s="589"/>
      <c r="U9" s="589"/>
      <c r="V9" s="589"/>
      <c r="W9" s="589"/>
      <c r="X9" s="103"/>
      <c r="Y9" s="76"/>
      <c r="AD9" s="76"/>
      <c r="AK9" s="73"/>
      <c r="AL9" s="73"/>
      <c r="AM9" s="3"/>
    </row>
    <row r="10" spans="1:39" ht="13.5" customHeight="1">
      <c r="A10" s="529"/>
      <c r="B10" s="644">
        <v>3</v>
      </c>
      <c r="C10" s="387" t="s">
        <v>25</v>
      </c>
      <c r="D10" s="385">
        <f>D4+D9</f>
        <v>15825.003940000001</v>
      </c>
      <c r="E10" s="405"/>
      <c r="F10" s="143"/>
      <c r="O10" s="144"/>
      <c r="P10" s="145"/>
      <c r="Q10" s="518" t="s">
        <v>284</v>
      </c>
      <c r="R10" s="108">
        <v>0.1</v>
      </c>
      <c r="S10" s="149">
        <v>0.62371299372389455</v>
      </c>
      <c r="T10" s="71">
        <f t="shared" ref="T10:T29" si="0">(S10-$T$4)/$T$4</f>
        <v>0.29294060229023683</v>
      </c>
      <c r="U10" s="519">
        <f>MAX(T10:T13)-MIN(T10:T13)</f>
        <v>0.59764264080941765</v>
      </c>
      <c r="V10" s="112">
        <v>3.09</v>
      </c>
      <c r="W10" s="520">
        <f>MAX(V10:V13)-MIN(V10:V13)</f>
        <v>1.2300000000000004</v>
      </c>
      <c r="Y10" s="76"/>
      <c r="AD10" s="76"/>
      <c r="AK10" s="73"/>
      <c r="AL10" s="73"/>
      <c r="AM10" s="3"/>
    </row>
    <row r="11" spans="1:39" ht="13.5" customHeight="1">
      <c r="A11" s="529" t="s">
        <v>27</v>
      </c>
      <c r="B11" s="644">
        <v>4</v>
      </c>
      <c r="C11" s="387" t="s">
        <v>28</v>
      </c>
      <c r="D11" s="386">
        <f>D10-D12</f>
        <v>10000.003940000001</v>
      </c>
      <c r="E11" s="406"/>
      <c r="F11" s="143"/>
      <c r="O11" s="144"/>
      <c r="P11" s="145"/>
      <c r="Q11" s="518"/>
      <c r="R11" s="108">
        <v>0.05</v>
      </c>
      <c r="S11" s="71">
        <v>0.55353286024748849</v>
      </c>
      <c r="T11" s="71">
        <f t="shared" si="0"/>
        <v>0.14745903471211788</v>
      </c>
      <c r="U11" s="519"/>
      <c r="V11" s="112">
        <v>3.29</v>
      </c>
      <c r="W11" s="520"/>
      <c r="Y11" s="76"/>
      <c r="Z11" s="97"/>
      <c r="AA11" s="97"/>
      <c r="AB11" s="76"/>
      <c r="AC11" s="76"/>
      <c r="AD11" s="76"/>
      <c r="AK11" s="73"/>
      <c r="AL11" s="73"/>
      <c r="AM11" s="3"/>
    </row>
    <row r="12" spans="1:39" ht="13.5" customHeight="1">
      <c r="A12" s="529"/>
      <c r="B12" s="644">
        <v>5</v>
      </c>
      <c r="C12" s="387" t="s">
        <v>29</v>
      </c>
      <c r="D12" s="386">
        <f>D13+D14</f>
        <v>5825</v>
      </c>
      <c r="E12" s="406"/>
      <c r="F12" s="143"/>
      <c r="O12" s="144"/>
      <c r="P12" s="145"/>
      <c r="Q12" s="518"/>
      <c r="R12" s="108">
        <v>-0.05</v>
      </c>
      <c r="S12" s="71">
        <v>0.40990942080258064</v>
      </c>
      <c r="T12" s="71">
        <f t="shared" si="0"/>
        <v>-0.15026857104159316</v>
      </c>
      <c r="U12" s="519"/>
      <c r="V12" s="112">
        <v>3.87</v>
      </c>
      <c r="W12" s="520"/>
      <c r="Y12" s="76"/>
      <c r="AA12" s="97"/>
      <c r="AB12" s="76"/>
      <c r="AC12" s="76"/>
      <c r="AD12" s="76"/>
      <c r="AK12" s="73"/>
      <c r="AL12" s="73"/>
      <c r="AM12" s="3"/>
    </row>
    <row r="13" spans="1:39" ht="13.5" customHeight="1">
      <c r="A13" s="529"/>
      <c r="B13" s="645">
        <v>5.0999999999999996</v>
      </c>
      <c r="C13" s="369" t="s">
        <v>31</v>
      </c>
      <c r="D13" s="370">
        <v>5825</v>
      </c>
      <c r="E13" s="407"/>
      <c r="F13" s="143"/>
      <c r="O13" s="144"/>
      <c r="P13" s="145"/>
      <c r="Q13" s="518"/>
      <c r="R13" s="108">
        <v>-0.1</v>
      </c>
      <c r="S13" s="71">
        <v>0.33541090156589748</v>
      </c>
      <c r="T13" s="71">
        <f t="shared" si="0"/>
        <v>-0.30470203851918082</v>
      </c>
      <c r="U13" s="519"/>
      <c r="V13" s="112">
        <v>4.32</v>
      </c>
      <c r="W13" s="520"/>
      <c r="Y13" s="76"/>
      <c r="Z13" s="74"/>
      <c r="AA13" s="97"/>
      <c r="AB13" s="76"/>
      <c r="AC13" s="76"/>
      <c r="AD13" s="76"/>
      <c r="AK13" s="73"/>
      <c r="AL13" s="73"/>
      <c r="AM13" s="3"/>
    </row>
    <row r="14" spans="1:39" ht="13.5" customHeight="1">
      <c r="A14" s="529"/>
      <c r="B14" s="644">
        <v>5.2</v>
      </c>
      <c r="C14" s="379" t="s">
        <v>32</v>
      </c>
      <c r="D14" s="388"/>
      <c r="E14" s="408"/>
      <c r="F14" s="143"/>
      <c r="G14" s="559"/>
      <c r="H14" s="559"/>
      <c r="I14" s="559"/>
      <c r="J14" s="559"/>
      <c r="K14" s="559"/>
      <c r="L14" s="559"/>
      <c r="M14" s="559"/>
      <c r="N14" s="559"/>
      <c r="O14" s="144"/>
      <c r="P14" s="145"/>
      <c r="Q14" s="577" t="s">
        <v>285</v>
      </c>
      <c r="R14" s="108">
        <v>0.1</v>
      </c>
      <c r="S14" s="71">
        <v>0.38989089853496317</v>
      </c>
      <c r="T14" s="71">
        <f t="shared" si="0"/>
        <v>-0.19176644025082698</v>
      </c>
      <c r="U14" s="583">
        <f>MAX(T14:T17)-MIN(T14:T17)</f>
        <v>0.37894577841204391</v>
      </c>
      <c r="V14" s="112">
        <v>3.98</v>
      </c>
      <c r="W14" s="580">
        <f>MAX(V14:V17)-MIN(V14:V17)</f>
        <v>0.75</v>
      </c>
      <c r="Y14" s="76"/>
      <c r="AA14" s="97"/>
      <c r="AB14" s="76"/>
      <c r="AC14" s="76"/>
      <c r="AD14" s="76"/>
      <c r="AK14" s="73"/>
      <c r="AL14" s="73"/>
      <c r="AM14" s="3"/>
    </row>
    <row r="15" spans="1:39" ht="13.5" customHeight="1">
      <c r="A15" s="529" t="s">
        <v>34</v>
      </c>
      <c r="B15" s="645">
        <v>6</v>
      </c>
      <c r="C15" s="368" t="s">
        <v>35</v>
      </c>
      <c r="D15" s="366">
        <f>D16*D17*(1+D18)*12*R3*$U$3</f>
        <v>1842.3000000000002</v>
      </c>
      <c r="E15" s="405"/>
      <c r="F15" s="143"/>
      <c r="G15" s="144"/>
      <c r="H15" s="144"/>
      <c r="I15" s="144"/>
      <c r="J15" s="144"/>
      <c r="K15" s="144"/>
      <c r="L15" s="144"/>
      <c r="M15" s="144"/>
      <c r="N15" s="144"/>
      <c r="O15" s="144"/>
      <c r="P15" s="145"/>
      <c r="Q15" s="578"/>
      <c r="R15" s="108">
        <v>0.05</v>
      </c>
      <c r="S15" s="71">
        <v>0.43649157026213659</v>
      </c>
      <c r="T15" s="71">
        <f t="shared" si="0"/>
        <v>-9.5164475603071799E-2</v>
      </c>
      <c r="U15" s="584"/>
      <c r="V15" s="112">
        <v>3.74</v>
      </c>
      <c r="W15" s="581"/>
      <c r="X15" s="101"/>
      <c r="Y15" s="76"/>
      <c r="AK15" s="73"/>
      <c r="AL15" s="73"/>
      <c r="AM15" s="3"/>
    </row>
    <row r="16" spans="1:39" ht="13.5" customHeight="1">
      <c r="A16" s="529"/>
      <c r="B16" s="645">
        <v>6.1</v>
      </c>
      <c r="C16" s="369" t="s">
        <v>36</v>
      </c>
      <c r="D16" s="371">
        <v>230</v>
      </c>
      <c r="E16" s="409"/>
      <c r="F16" s="143"/>
      <c r="G16" s="144"/>
      <c r="H16" s="144"/>
      <c r="I16" s="144"/>
      <c r="J16" s="144"/>
      <c r="K16" s="144"/>
      <c r="L16" s="144"/>
      <c r="M16" s="144"/>
      <c r="N16" s="144"/>
      <c r="O16" s="144"/>
      <c r="P16" s="145"/>
      <c r="Q16" s="578"/>
      <c r="R16" s="108">
        <v>-0.05</v>
      </c>
      <c r="S16" s="71">
        <v>0.52776277357667345</v>
      </c>
      <c r="T16" s="71">
        <f t="shared" si="0"/>
        <v>9.4038324038283563E-2</v>
      </c>
      <c r="U16" s="584"/>
      <c r="V16" s="112">
        <v>3.38</v>
      </c>
      <c r="W16" s="581"/>
      <c r="X16" s="101"/>
      <c r="Y16" s="102"/>
      <c r="AA16" s="97"/>
      <c r="AB16" s="76"/>
      <c r="AC16" s="76"/>
      <c r="AD16" s="76"/>
      <c r="AK16" s="73"/>
      <c r="AL16" s="73"/>
      <c r="AM16" s="3"/>
    </row>
    <row r="17" spans="1:39" ht="13.5" customHeight="1">
      <c r="A17" s="529"/>
      <c r="B17" s="645">
        <v>6.2</v>
      </c>
      <c r="C17" s="369" t="s">
        <v>40</v>
      </c>
      <c r="D17" s="370">
        <v>0.5</v>
      </c>
      <c r="E17" s="407"/>
      <c r="F17" s="143"/>
      <c r="G17" s="144"/>
      <c r="H17" s="144"/>
      <c r="I17" s="144"/>
      <c r="J17" s="144"/>
      <c r="K17" s="144"/>
      <c r="L17" s="144"/>
      <c r="M17" s="144"/>
      <c r="N17" s="144"/>
      <c r="O17" s="144"/>
      <c r="P17" s="145"/>
      <c r="Q17" s="579"/>
      <c r="R17" s="108">
        <v>-0.1</v>
      </c>
      <c r="S17" s="71">
        <v>0.57269388692727241</v>
      </c>
      <c r="T17" s="71">
        <f t="shared" si="0"/>
        <v>0.18717933816121696</v>
      </c>
      <c r="U17" s="585"/>
      <c r="V17" s="112">
        <v>3.23</v>
      </c>
      <c r="W17" s="582"/>
      <c r="X17" s="101"/>
      <c r="Y17" s="102"/>
      <c r="AA17" s="97"/>
      <c r="AB17" s="76"/>
      <c r="AC17" s="76"/>
      <c r="AD17" s="76"/>
      <c r="AK17" s="73"/>
      <c r="AL17" s="73"/>
      <c r="AM17" s="3"/>
    </row>
    <row r="18" spans="1:39" ht="13.5" customHeight="1">
      <c r="A18" s="529"/>
      <c r="B18" s="645">
        <v>6.3</v>
      </c>
      <c r="C18" s="369" t="s">
        <v>41</v>
      </c>
      <c r="D18" s="372">
        <v>0.33500000000000002</v>
      </c>
      <c r="E18" s="410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5"/>
      <c r="Q18" s="518" t="s">
        <v>286</v>
      </c>
      <c r="R18" s="108">
        <v>0.1</v>
      </c>
      <c r="S18" s="71">
        <v>0.44169047284858665</v>
      </c>
      <c r="T18" s="71">
        <f t="shared" si="0"/>
        <v>-8.4387287522958376E-2</v>
      </c>
      <c r="U18" s="519">
        <f>MAX(T18:T21)-MIN(T18:T21)</f>
        <v>0.18399083600223384</v>
      </c>
      <c r="V18" s="112">
        <v>3.71</v>
      </c>
      <c r="W18" s="520">
        <f>MAX(V18:V21)-MIN(V18:V21)</f>
        <v>0.33000000000000007</v>
      </c>
      <c r="Y18" s="76"/>
      <c r="AA18" s="76"/>
      <c r="AB18" s="76"/>
    </row>
    <row r="19" spans="1:39" ht="13.5" customHeight="1">
      <c r="A19" s="529" t="s">
        <v>43</v>
      </c>
      <c r="B19" s="645">
        <v>7</v>
      </c>
      <c r="C19" s="373" t="s">
        <v>44</v>
      </c>
      <c r="D19" s="374">
        <v>7.4999999999999997E-2</v>
      </c>
      <c r="E19" s="411"/>
      <c r="F19" s="143"/>
      <c r="G19" s="144"/>
      <c r="H19" s="144"/>
      <c r="I19" s="144"/>
      <c r="J19" s="144"/>
      <c r="K19" s="144"/>
      <c r="L19" s="144"/>
      <c r="M19" s="144"/>
      <c r="N19" s="144"/>
      <c r="O19" s="144"/>
      <c r="P19" s="145"/>
      <c r="Q19" s="518"/>
      <c r="R19" s="108">
        <v>0.05</v>
      </c>
      <c r="S19" s="71">
        <v>0.46124654747039573</v>
      </c>
      <c r="T19" s="71">
        <f t="shared" si="0"/>
        <v>-4.384806009883363E-2</v>
      </c>
      <c r="U19" s="519"/>
      <c r="V19" s="112">
        <v>3.62</v>
      </c>
      <c r="W19" s="520"/>
      <c r="Y19" s="76"/>
      <c r="AA19" s="76"/>
      <c r="AB19" s="76"/>
      <c r="AC19" s="76"/>
      <c r="AK19" s="73"/>
      <c r="AL19" s="3"/>
    </row>
    <row r="20" spans="1:39" ht="13.5" customHeight="1">
      <c r="A20" s="529"/>
      <c r="B20" s="645">
        <v>8</v>
      </c>
      <c r="C20" s="369" t="s">
        <v>45</v>
      </c>
      <c r="D20" s="374">
        <v>0.08</v>
      </c>
      <c r="E20" s="411"/>
      <c r="F20" s="143"/>
      <c r="G20" s="144"/>
      <c r="H20" s="144"/>
      <c r="I20" s="144"/>
      <c r="J20" s="144"/>
      <c r="K20" s="144"/>
      <c r="L20" s="144"/>
      <c r="M20" s="144"/>
      <c r="N20" s="144"/>
      <c r="O20" s="144"/>
      <c r="P20" s="145"/>
      <c r="Q20" s="518"/>
      <c r="R20" s="108">
        <v>-0.05</v>
      </c>
      <c r="S20" s="71">
        <v>0.50537439361084924</v>
      </c>
      <c r="T20" s="71">
        <f t="shared" si="0"/>
        <v>4.7627802262093621E-2</v>
      </c>
      <c r="U20" s="519"/>
      <c r="V20" s="112">
        <v>3.46</v>
      </c>
      <c r="W20" s="520"/>
      <c r="Y20" s="76"/>
      <c r="AK20" s="73"/>
      <c r="AL20" s="3"/>
    </row>
    <row r="21" spans="1:39" ht="13.5" customHeight="1">
      <c r="A21" s="529"/>
      <c r="B21" s="645">
        <v>9</v>
      </c>
      <c r="C21" s="368" t="s">
        <v>46</v>
      </c>
      <c r="D21" s="374">
        <v>0</v>
      </c>
      <c r="E21" s="411"/>
      <c r="F21" s="143"/>
      <c r="G21" s="144"/>
      <c r="H21" s="144"/>
      <c r="I21" s="144"/>
      <c r="J21" s="144"/>
      <c r="K21" s="144"/>
      <c r="L21" s="144"/>
      <c r="M21" s="144"/>
      <c r="N21" s="144"/>
      <c r="O21" s="144"/>
      <c r="P21" s="145"/>
      <c r="Q21" s="518"/>
      <c r="R21" s="108">
        <v>-0.1</v>
      </c>
      <c r="S21" s="71">
        <v>0.53044743116317661</v>
      </c>
      <c r="T21" s="71">
        <f t="shared" si="0"/>
        <v>9.9603548479275467E-2</v>
      </c>
      <c r="U21" s="519"/>
      <c r="V21" s="112">
        <v>3.38</v>
      </c>
      <c r="W21" s="520"/>
      <c r="Y21" s="76"/>
      <c r="AA21" s="74"/>
      <c r="AB21" s="74"/>
      <c r="AC21" s="98"/>
      <c r="AD21" s="74"/>
      <c r="AK21" s="73"/>
      <c r="AL21" s="3"/>
    </row>
    <row r="22" spans="1:39" ht="13.5" customHeight="1">
      <c r="A22" s="529"/>
      <c r="B22" s="645">
        <v>10</v>
      </c>
      <c r="C22" s="367" t="s">
        <v>283</v>
      </c>
      <c r="D22" s="374">
        <v>0.18</v>
      </c>
      <c r="E22" s="411"/>
      <c r="F22" s="143"/>
      <c r="G22" s="144"/>
      <c r="H22" s="144"/>
      <c r="I22" s="144"/>
      <c r="J22" s="144"/>
      <c r="K22" s="144"/>
      <c r="L22" s="144"/>
      <c r="M22" s="144"/>
      <c r="N22" s="144"/>
      <c r="O22" s="144"/>
      <c r="P22" s="145"/>
      <c r="Q22" s="518" t="s">
        <v>184</v>
      </c>
      <c r="R22" s="108">
        <v>0.1</v>
      </c>
      <c r="S22" s="71">
        <v>0.47229708583312724</v>
      </c>
      <c r="T22" s="71">
        <f t="shared" si="0"/>
        <v>-2.094058523441494E-2</v>
      </c>
      <c r="U22" s="519">
        <f>MAX(T22:T25)-MIN(T22:T25)</f>
        <v>4.1826399919996038E-2</v>
      </c>
      <c r="V22" s="112">
        <v>3.58</v>
      </c>
      <c r="W22" s="520">
        <f>MAX(V22:V25)-MIN(V22:V25)</f>
        <v>8.0000000000000071E-2</v>
      </c>
      <c r="Y22" s="76"/>
      <c r="AA22" s="74"/>
      <c r="AB22" s="74"/>
      <c r="AC22" s="98"/>
      <c r="AD22" s="74"/>
      <c r="AK22" s="73"/>
      <c r="AL22" s="133"/>
    </row>
    <row r="23" spans="1:39" ht="13.5" customHeight="1">
      <c r="A23" s="529"/>
      <c r="B23" s="644">
        <v>11</v>
      </c>
      <c r="C23" s="382" t="s">
        <v>280</v>
      </c>
      <c r="D23" s="389">
        <f>基础估算!D40*$V$3</f>
        <v>1.95E-2</v>
      </c>
      <c r="E23" s="412"/>
      <c r="F23" s="143"/>
      <c r="G23" s="144"/>
      <c r="H23" s="144"/>
      <c r="I23" s="144"/>
      <c r="J23" s="144"/>
      <c r="K23" s="144"/>
      <c r="L23" s="144"/>
      <c r="M23" s="144"/>
      <c r="N23" s="144"/>
      <c r="O23" s="144"/>
      <c r="P23" s="145"/>
      <c r="Q23" s="518"/>
      <c r="R23" s="108">
        <v>0.05</v>
      </c>
      <c r="S23" s="71">
        <v>0.47735133156736853</v>
      </c>
      <c r="T23" s="71">
        <f t="shared" si="0"/>
        <v>-1.0463266997486176E-2</v>
      </c>
      <c r="U23" s="519"/>
      <c r="V23" s="112">
        <v>3.56</v>
      </c>
      <c r="W23" s="520"/>
      <c r="Y23" s="76"/>
      <c r="AA23" s="74"/>
      <c r="AB23" s="74"/>
      <c r="AC23" s="98"/>
      <c r="AD23" s="74"/>
      <c r="AK23" s="73"/>
      <c r="AL23" s="133"/>
    </row>
    <row r="24" spans="1:39" ht="13.5" customHeight="1">
      <c r="A24" s="529"/>
      <c r="B24" s="644">
        <v>12</v>
      </c>
      <c r="C24" s="382" t="s">
        <v>281</v>
      </c>
      <c r="D24" s="389">
        <f>基础估算!D41*$V$3</f>
        <v>1.8499999999999999E-2</v>
      </c>
      <c r="E24" s="412"/>
      <c r="F24" s="143"/>
      <c r="G24" s="144"/>
      <c r="H24" s="144"/>
      <c r="I24" s="144"/>
      <c r="J24" s="144"/>
      <c r="K24" s="144"/>
      <c r="L24" s="144"/>
      <c r="M24" s="144"/>
      <c r="N24" s="144"/>
      <c r="O24" s="144"/>
      <c r="P24" s="145"/>
      <c r="Q24" s="518"/>
      <c r="R24" s="108">
        <v>-0.05</v>
      </c>
      <c r="S24" s="71">
        <v>0.48743966257442062</v>
      </c>
      <c r="T24" s="71">
        <f t="shared" si="0"/>
        <v>1.0449577371017307E-2</v>
      </c>
      <c r="U24" s="519"/>
      <c r="V24" s="112">
        <v>3.52</v>
      </c>
      <c r="W24" s="520"/>
      <c r="Y24" s="76"/>
      <c r="AA24" s="74"/>
      <c r="AB24" s="74"/>
      <c r="AC24" s="98"/>
      <c r="AD24" s="74"/>
      <c r="AK24" s="73"/>
      <c r="AL24" s="133"/>
    </row>
    <row r="25" spans="1:39" ht="13.5" customHeight="1">
      <c r="A25" s="529"/>
      <c r="B25" s="644">
        <v>13</v>
      </c>
      <c r="C25" s="382" t="s">
        <v>282</v>
      </c>
      <c r="D25" s="389">
        <f>基础估算!D42*$V$3</f>
        <v>5.6000000000000001E-2</v>
      </c>
      <c r="E25" s="412"/>
      <c r="F25" s="143"/>
      <c r="G25" s="144"/>
      <c r="H25" s="144"/>
      <c r="I25" s="144"/>
      <c r="J25" s="144"/>
      <c r="K25" s="144"/>
      <c r="L25" s="144"/>
      <c r="M25" s="144"/>
      <c r="N25" s="144"/>
      <c r="O25" s="144"/>
      <c r="P25" s="145"/>
      <c r="Q25" s="518"/>
      <c r="R25" s="108">
        <v>-0.1</v>
      </c>
      <c r="S25" s="71">
        <v>0.49247409092105121</v>
      </c>
      <c r="T25" s="71">
        <f t="shared" si="0"/>
        <v>2.0885814685581098E-2</v>
      </c>
      <c r="U25" s="519"/>
      <c r="V25" s="112">
        <v>3.5</v>
      </c>
      <c r="W25" s="520"/>
      <c r="Y25" s="76"/>
      <c r="AA25" s="74"/>
      <c r="AB25" s="74"/>
      <c r="AC25" s="98"/>
      <c r="AD25" s="74"/>
      <c r="AK25" s="73"/>
      <c r="AL25" s="133"/>
    </row>
    <row r="26" spans="1:39" ht="13.5" customHeight="1">
      <c r="A26" s="529"/>
      <c r="B26" s="645">
        <v>14</v>
      </c>
      <c r="C26" s="375" t="s">
        <v>192</v>
      </c>
      <c r="D26" s="376">
        <v>0.05</v>
      </c>
      <c r="E26" s="413"/>
      <c r="F26" s="143"/>
      <c r="G26" s="144"/>
      <c r="H26" s="144"/>
      <c r="I26" s="144"/>
      <c r="J26" s="144"/>
      <c r="K26" s="144"/>
      <c r="L26" s="144"/>
      <c r="M26" s="144"/>
      <c r="N26" s="144"/>
      <c r="O26" s="144"/>
      <c r="P26" s="145"/>
      <c r="Q26" s="518" t="s">
        <v>185</v>
      </c>
      <c r="R26" s="108">
        <v>0.1</v>
      </c>
      <c r="S26" s="71">
        <v>0.46537395263881121</v>
      </c>
      <c r="T26" s="71">
        <f t="shared" si="0"/>
        <v>-3.5292057934303928E-2</v>
      </c>
      <c r="U26" s="519">
        <f>MAX(T26:T29)-MIN(T26:T29)</f>
        <v>7.0428754262493676E-2</v>
      </c>
      <c r="V26" s="112">
        <v>3.61</v>
      </c>
      <c r="W26" s="520">
        <f>MAX(V26:V29)-MIN(V26:V29)</f>
        <v>0.12999999999999989</v>
      </c>
      <c r="Y26" s="76"/>
      <c r="AD26" s="74"/>
      <c r="AK26" s="73"/>
      <c r="AL26" s="3"/>
    </row>
    <row r="27" spans="1:39" ht="13.5" customHeight="1">
      <c r="A27" s="529"/>
      <c r="B27" s="645">
        <v>15</v>
      </c>
      <c r="C27" s="368" t="s">
        <v>47</v>
      </c>
      <c r="D27" s="376">
        <v>0.25</v>
      </c>
      <c r="E27" s="413"/>
      <c r="F27" s="143"/>
      <c r="G27" s="144"/>
      <c r="H27" s="144"/>
      <c r="I27" s="144"/>
      <c r="J27" s="144"/>
      <c r="K27" s="144"/>
      <c r="L27" s="144"/>
      <c r="M27" s="144"/>
      <c r="N27" s="144"/>
      <c r="O27" s="144"/>
      <c r="P27" s="145"/>
      <c r="Q27" s="518"/>
      <c r="R27" s="108">
        <v>0.05</v>
      </c>
      <c r="S27" s="71">
        <v>0.47389615961098097</v>
      </c>
      <c r="T27" s="71">
        <f t="shared" si="0"/>
        <v>-1.7625747425600628E-2</v>
      </c>
      <c r="U27" s="519"/>
      <c r="V27" s="112">
        <v>3.58</v>
      </c>
      <c r="W27" s="520"/>
      <c r="Y27" s="76"/>
      <c r="AD27" s="74"/>
      <c r="AK27" s="73"/>
      <c r="AL27" s="3"/>
    </row>
    <row r="28" spans="1:39" ht="13.5" customHeight="1">
      <c r="A28" s="529"/>
      <c r="B28" s="645">
        <v>16</v>
      </c>
      <c r="C28" s="368" t="s">
        <v>50</v>
      </c>
      <c r="D28" s="377">
        <v>0</v>
      </c>
      <c r="E28" s="414"/>
      <c r="F28" s="143"/>
      <c r="G28" s="144"/>
      <c r="H28" s="144"/>
      <c r="I28" s="144"/>
      <c r="J28" s="144"/>
      <c r="K28" s="144"/>
      <c r="L28" s="144"/>
      <c r="M28" s="144"/>
      <c r="N28" s="144"/>
      <c r="O28" s="144"/>
      <c r="P28" s="145"/>
      <c r="Q28" s="518"/>
      <c r="R28" s="108">
        <v>-0.05</v>
      </c>
      <c r="S28" s="71">
        <v>0.49088271350705326</v>
      </c>
      <c r="T28" s="71">
        <f t="shared" si="0"/>
        <v>1.7586931236254676E-2</v>
      </c>
      <c r="U28" s="519"/>
      <c r="V28" s="112">
        <v>3.51</v>
      </c>
      <c r="W28" s="520"/>
      <c r="Y28" s="76"/>
      <c r="AK28" s="73"/>
      <c r="AL28" s="3"/>
    </row>
    <row r="29" spans="1:39" ht="13.5" customHeight="1">
      <c r="A29" s="529"/>
      <c r="B29" s="645">
        <v>17</v>
      </c>
      <c r="C29" s="368" t="s">
        <v>52</v>
      </c>
      <c r="D29" s="377">
        <v>0</v>
      </c>
      <c r="E29" s="414"/>
      <c r="F29" s="143"/>
      <c r="G29" s="144"/>
      <c r="H29" s="144"/>
      <c r="I29" s="144"/>
      <c r="J29" s="144"/>
      <c r="K29" s="144"/>
      <c r="L29" s="144"/>
      <c r="M29" s="144"/>
      <c r="N29" s="144"/>
      <c r="O29" s="144"/>
      <c r="P29" s="145"/>
      <c r="Q29" s="518"/>
      <c r="R29" s="108">
        <v>-0.1</v>
      </c>
      <c r="S29" s="71">
        <v>0.49934869911014501</v>
      </c>
      <c r="T29" s="71">
        <f t="shared" si="0"/>
        <v>3.5136696328189748E-2</v>
      </c>
      <c r="U29" s="519"/>
      <c r="V29" s="112">
        <v>3.48</v>
      </c>
      <c r="W29" s="520"/>
      <c r="Y29" s="76"/>
      <c r="AA29" s="76"/>
      <c r="AK29" s="73"/>
      <c r="AL29" s="3"/>
    </row>
    <row r="30" spans="1:39" ht="13.5" customHeight="1">
      <c r="A30" s="529"/>
      <c r="B30" s="645">
        <v>18</v>
      </c>
      <c r="C30" s="365" t="s">
        <v>54</v>
      </c>
      <c r="D30" s="376">
        <v>0.15</v>
      </c>
      <c r="E30" s="413"/>
      <c r="F30" s="430"/>
      <c r="G30" s="421"/>
      <c r="H30" s="421"/>
      <c r="I30" s="421"/>
      <c r="J30" s="421"/>
      <c r="K30" s="421"/>
      <c r="L30" s="421"/>
      <c r="M30" s="421"/>
      <c r="N30" s="421"/>
      <c r="O30" s="144"/>
      <c r="P30" s="144"/>
      <c r="Q30" s="101"/>
      <c r="R30" s="101"/>
      <c r="S30" s="101"/>
      <c r="T30" s="101"/>
      <c r="U30" s="101"/>
      <c r="V30" s="101"/>
      <c r="W30" s="101"/>
      <c r="Y30" s="76"/>
      <c r="AA30" s="74"/>
      <c r="AB30" s="74"/>
      <c r="AC30" s="74"/>
      <c r="AD30" s="74"/>
      <c r="AK30" s="73"/>
      <c r="AL30" s="3"/>
    </row>
    <row r="31" spans="1:39" ht="13.5" customHeight="1">
      <c r="A31" s="529"/>
      <c r="B31" s="645">
        <v>19</v>
      </c>
      <c r="C31" s="365" t="s">
        <v>56</v>
      </c>
      <c r="D31" s="376">
        <v>0</v>
      </c>
      <c r="E31" s="413"/>
      <c r="F31" s="545" t="s">
        <v>316</v>
      </c>
      <c r="G31" s="546"/>
      <c r="H31" s="546"/>
      <c r="I31" s="546"/>
      <c r="J31" s="546"/>
      <c r="K31" s="546"/>
      <c r="L31" s="546"/>
      <c r="M31" s="546"/>
      <c r="N31" s="547"/>
      <c r="O31" s="143"/>
      <c r="P31" s="144"/>
      <c r="R31" s="530" t="s">
        <v>187</v>
      </c>
      <c r="S31" s="531"/>
      <c r="T31" s="531"/>
      <c r="U31" s="531"/>
      <c r="V31" s="531"/>
      <c r="W31" s="532"/>
      <c r="Y31" s="76"/>
      <c r="AA31" s="74"/>
      <c r="AB31" s="74"/>
      <c r="AC31" s="74"/>
      <c r="AD31" s="74"/>
      <c r="AK31" s="73"/>
      <c r="AL31" s="3"/>
    </row>
    <row r="32" spans="1:39" ht="13.5" customHeight="1">
      <c r="A32" s="529"/>
      <c r="B32" s="645">
        <v>20</v>
      </c>
      <c r="C32" s="378" t="s">
        <v>57</v>
      </c>
      <c r="D32" s="376">
        <v>0.12</v>
      </c>
      <c r="E32" s="413"/>
      <c r="F32" s="534" t="s">
        <v>2</v>
      </c>
      <c r="G32" s="535" t="s">
        <v>169</v>
      </c>
      <c r="H32" s="535" t="s">
        <v>265</v>
      </c>
      <c r="I32" s="535" t="s">
        <v>266</v>
      </c>
      <c r="J32" s="535" t="s">
        <v>273</v>
      </c>
      <c r="K32" s="535" t="s">
        <v>267</v>
      </c>
      <c r="L32" s="535" t="s">
        <v>268</v>
      </c>
      <c r="M32" s="535" t="s">
        <v>274</v>
      </c>
      <c r="N32" s="540" t="s">
        <v>319</v>
      </c>
      <c r="O32" s="143"/>
      <c r="P32" s="144"/>
      <c r="Q32" s="146"/>
      <c r="R32" s="163"/>
      <c r="S32" s="163"/>
      <c r="T32" s="164"/>
      <c r="U32" s="163"/>
      <c r="V32" s="163"/>
      <c r="W32" s="163"/>
      <c r="X32" s="103"/>
      <c r="Y32" s="76"/>
      <c r="AK32" s="73"/>
      <c r="AL32" s="3"/>
    </row>
    <row r="33" spans="1:38" ht="13.5" customHeight="1">
      <c r="A33" s="529"/>
      <c r="B33" s="645">
        <v>21</v>
      </c>
      <c r="C33" s="368" t="s">
        <v>59</v>
      </c>
      <c r="D33" s="376">
        <v>0</v>
      </c>
      <c r="E33" s="413"/>
      <c r="F33" s="534"/>
      <c r="G33" s="536"/>
      <c r="H33" s="536"/>
      <c r="I33" s="536"/>
      <c r="J33" s="536"/>
      <c r="K33" s="536"/>
      <c r="L33" s="536"/>
      <c r="M33" s="536"/>
      <c r="N33" s="541"/>
      <c r="O33" s="143"/>
      <c r="P33" s="144"/>
      <c r="Q33" s="146"/>
      <c r="R33" s="167" t="s">
        <v>11</v>
      </c>
      <c r="S33" s="167" t="s">
        <v>26</v>
      </c>
      <c r="T33" s="168" t="s">
        <v>42</v>
      </c>
      <c r="U33" s="167" t="s">
        <v>8</v>
      </c>
      <c r="V33" s="167" t="str">
        <f>Q26</f>
        <v>经营管理费用</v>
      </c>
      <c r="W33" s="167" t="str">
        <f>Q22</f>
        <v>工资福利</v>
      </c>
      <c r="X33" s="103"/>
      <c r="Y33" s="76"/>
      <c r="AK33" s="73"/>
      <c r="AL33" s="3"/>
    </row>
    <row r="34" spans="1:38" ht="13.5" customHeight="1">
      <c r="A34" s="529"/>
      <c r="B34" s="644">
        <v>22</v>
      </c>
      <c r="C34" s="380" t="s">
        <v>26</v>
      </c>
      <c r="D34" s="390">
        <f>基础估算!D35*R3</f>
        <v>33000</v>
      </c>
      <c r="E34" s="415"/>
      <c r="F34" s="422">
        <v>1</v>
      </c>
      <c r="G34" s="423" t="s">
        <v>22</v>
      </c>
      <c r="H34" s="424">
        <f>H35+H36</f>
        <v>10851.33394</v>
      </c>
      <c r="I34" s="425"/>
      <c r="J34" s="425"/>
      <c r="K34" s="426">
        <f>K35+K36</f>
        <v>838.43836214999999</v>
      </c>
      <c r="L34" s="426">
        <f>L35+L36</f>
        <v>838.43836214999999</v>
      </c>
      <c r="M34" s="427">
        <f>M35+M36</f>
        <v>2466.9503184999999</v>
      </c>
      <c r="N34" s="542" t="s">
        <v>360</v>
      </c>
      <c r="O34" s="143"/>
      <c r="P34" s="144"/>
      <c r="Q34" s="146"/>
      <c r="R34" s="108">
        <v>0.1</v>
      </c>
      <c r="S34" s="109">
        <f>T10</f>
        <v>0.29294060229023683</v>
      </c>
      <c r="T34" s="162">
        <f>T14</f>
        <v>-0.19176644025082698</v>
      </c>
      <c r="U34" s="109">
        <f>T18</f>
        <v>-8.4387287522958376E-2</v>
      </c>
      <c r="V34" s="109">
        <f>T26</f>
        <v>-3.5292057934303928E-2</v>
      </c>
      <c r="W34" s="109">
        <f>T22</f>
        <v>-2.094058523441494E-2</v>
      </c>
      <c r="X34" s="103"/>
      <c r="Y34" s="76"/>
      <c r="Z34" s="76"/>
      <c r="AK34" s="73"/>
      <c r="AL34" s="3"/>
    </row>
    <row r="35" spans="1:38" ht="13.5" customHeight="1">
      <c r="A35" s="529" t="s">
        <v>42</v>
      </c>
      <c r="B35" s="644">
        <v>23</v>
      </c>
      <c r="C35" s="380" t="s">
        <v>42</v>
      </c>
      <c r="D35" s="385">
        <f>(D36+D37+D38)</f>
        <v>16660</v>
      </c>
      <c r="E35" s="405"/>
      <c r="F35" s="422">
        <v>1.1000000000000001</v>
      </c>
      <c r="G35" s="423" t="s">
        <v>269</v>
      </c>
      <c r="H35" s="424">
        <f>D5</f>
        <v>4051.33394</v>
      </c>
      <c r="I35" s="425">
        <f>基础估算!M40</f>
        <v>20</v>
      </c>
      <c r="J35" s="428">
        <f>基础估算!N40</f>
        <v>0.05</v>
      </c>
      <c r="K35" s="426">
        <f>H35*(1-J35)/I35</f>
        <v>192.43836214999999</v>
      </c>
      <c r="L35" s="426">
        <f>K35</f>
        <v>192.43836214999999</v>
      </c>
      <c r="M35" s="427">
        <f>H35*5%+K35*10</f>
        <v>2126.9503184999999</v>
      </c>
      <c r="N35" s="543"/>
      <c r="O35" s="143"/>
      <c r="P35" s="144"/>
      <c r="Q35" s="147"/>
      <c r="R35" s="108">
        <v>0.05</v>
      </c>
      <c r="S35" s="109">
        <f>T11</f>
        <v>0.14745903471211788</v>
      </c>
      <c r="T35" s="162">
        <f>T15</f>
        <v>-9.5164475603071799E-2</v>
      </c>
      <c r="U35" s="109">
        <f>T19</f>
        <v>-4.384806009883363E-2</v>
      </c>
      <c r="V35" s="109">
        <f>T27</f>
        <v>-1.7625747425600628E-2</v>
      </c>
      <c r="W35" s="109">
        <f>T23</f>
        <v>-1.0463266997486176E-2</v>
      </c>
      <c r="X35" s="81"/>
      <c r="Y35" s="74"/>
      <c r="Z35" s="74"/>
      <c r="AK35" s="73"/>
      <c r="AL35" s="3"/>
    </row>
    <row r="36" spans="1:38" ht="13.5" customHeight="1">
      <c r="A36" s="529"/>
      <c r="B36" s="644">
        <v>23.1</v>
      </c>
      <c r="C36" s="380" t="s">
        <v>60</v>
      </c>
      <c r="D36" s="391">
        <f>基础估算!D37*$S$3</f>
        <v>15700</v>
      </c>
      <c r="E36" s="416"/>
      <c r="F36" s="422">
        <v>1.2</v>
      </c>
      <c r="G36" s="423" t="s">
        <v>24</v>
      </c>
      <c r="H36" s="424">
        <f>D6</f>
        <v>6800</v>
      </c>
      <c r="I36" s="425">
        <f>基础估算!M41</f>
        <v>10</v>
      </c>
      <c r="J36" s="428">
        <f>基础估算!N41</f>
        <v>0.05</v>
      </c>
      <c r="K36" s="426">
        <f>H36*(1-J36)/I36</f>
        <v>646</v>
      </c>
      <c r="L36" s="426">
        <f>K36</f>
        <v>646</v>
      </c>
      <c r="M36" s="427">
        <f>H36*5%</f>
        <v>340</v>
      </c>
      <c r="N36" s="543"/>
      <c r="O36" s="143"/>
      <c r="P36" s="144"/>
      <c r="Q36" s="146"/>
      <c r="R36" s="108">
        <v>-0.05</v>
      </c>
      <c r="S36" s="109">
        <f>T12</f>
        <v>-0.15026857104159316</v>
      </c>
      <c r="T36" s="162">
        <f>T16</f>
        <v>9.4038324038283563E-2</v>
      </c>
      <c r="U36" s="109">
        <f>T20</f>
        <v>4.7627802262093621E-2</v>
      </c>
      <c r="V36" s="109">
        <f>T28</f>
        <v>1.7586931236254676E-2</v>
      </c>
      <c r="W36" s="109">
        <f>T24</f>
        <v>1.0449577371017307E-2</v>
      </c>
      <c r="X36" s="81"/>
      <c r="Y36" s="74"/>
      <c r="Z36" s="74"/>
      <c r="AK36" s="73"/>
      <c r="AL36" s="3"/>
    </row>
    <row r="37" spans="1:38" ht="13.5" customHeight="1">
      <c r="A37" s="529"/>
      <c r="B37" s="644">
        <v>23.2</v>
      </c>
      <c r="C37" s="380" t="s">
        <v>63</v>
      </c>
      <c r="D37" s="391">
        <f>基础估算!D38*$S$3</f>
        <v>200</v>
      </c>
      <c r="E37" s="416"/>
      <c r="F37" s="422">
        <v>2</v>
      </c>
      <c r="G37" s="423" t="s">
        <v>18</v>
      </c>
      <c r="H37" s="424">
        <f>H38+H39</f>
        <v>1473.6699999999998</v>
      </c>
      <c r="I37" s="425"/>
      <c r="J37" s="425"/>
      <c r="K37" s="426">
        <f>K38+K39</f>
        <v>81.214399999999998</v>
      </c>
      <c r="L37" s="426">
        <f>L38+L39</f>
        <v>17.312399999999997</v>
      </c>
      <c r="M37" s="427">
        <f>M38+M39</f>
        <v>981.03599999999983</v>
      </c>
      <c r="N37" s="543"/>
      <c r="O37" s="143"/>
      <c r="P37" s="144"/>
      <c r="Q37" s="159"/>
      <c r="R37" s="108">
        <v>-0.1</v>
      </c>
      <c r="S37" s="109">
        <f>T13</f>
        <v>-0.30470203851918082</v>
      </c>
      <c r="T37" s="162">
        <f>T17</f>
        <v>0.18717933816121696</v>
      </c>
      <c r="U37" s="109">
        <f>T21</f>
        <v>9.9603548479275467E-2</v>
      </c>
      <c r="V37" s="109">
        <f>T29</f>
        <v>3.5136696328189748E-2</v>
      </c>
      <c r="W37" s="109">
        <f>T25</f>
        <v>2.0885814685581098E-2</v>
      </c>
      <c r="X37" s="79"/>
      <c r="Y37" s="74"/>
      <c r="AK37" s="73"/>
      <c r="AL37" s="3"/>
    </row>
    <row r="38" spans="1:38" ht="13.5" customHeight="1">
      <c r="A38" s="529"/>
      <c r="B38" s="644">
        <v>23.3</v>
      </c>
      <c r="C38" s="380" t="s">
        <v>65</v>
      </c>
      <c r="D38" s="391">
        <f>基础估算!D39*$S$3</f>
        <v>760</v>
      </c>
      <c r="E38" s="416"/>
      <c r="F38" s="422">
        <v>2.1</v>
      </c>
      <c r="G38" s="423" t="s">
        <v>270</v>
      </c>
      <c r="H38" s="424">
        <f>D7</f>
        <v>1154.1599999999999</v>
      </c>
      <c r="I38" s="425">
        <f>基础估算!M43</f>
        <v>50</v>
      </c>
      <c r="J38" s="428">
        <f>基础估算!N43</f>
        <v>0.25</v>
      </c>
      <c r="K38" s="426">
        <f>H38*(1-25%)/I38</f>
        <v>17.312399999999997</v>
      </c>
      <c r="L38" s="426">
        <f>H38*(1-25%)/I38</f>
        <v>17.312399999999997</v>
      </c>
      <c r="M38" s="426">
        <f>H38-K38*10</f>
        <v>981.03599999999983</v>
      </c>
      <c r="N38" s="543"/>
      <c r="O38" s="143"/>
      <c r="P38" s="144"/>
      <c r="Q38" s="160"/>
      <c r="R38" s="134" t="s">
        <v>58</v>
      </c>
      <c r="S38" s="142">
        <f>S34-S37</f>
        <v>0.59764264080941765</v>
      </c>
      <c r="T38" s="142">
        <f>T37-T34</f>
        <v>0.37894577841204391</v>
      </c>
      <c r="U38" s="142">
        <f>U37-U34</f>
        <v>0.18399083600223384</v>
      </c>
      <c r="V38" s="142">
        <f>V37-V34</f>
        <v>7.0428754262493676E-2</v>
      </c>
      <c r="W38" s="142">
        <f>W37-W34</f>
        <v>4.1826399919996038E-2</v>
      </c>
      <c r="X38" s="161"/>
    </row>
    <row r="39" spans="1:38" ht="13.5" customHeight="1">
      <c r="A39" s="593"/>
      <c r="B39" s="646"/>
      <c r="C39" s="381" t="s">
        <v>67</v>
      </c>
      <c r="D39" s="392">
        <f>D9</f>
        <v>3500</v>
      </c>
      <c r="E39" s="417"/>
      <c r="F39" s="422">
        <v>2.2000000000000002</v>
      </c>
      <c r="G39" s="423" t="s">
        <v>21</v>
      </c>
      <c r="H39" s="426">
        <f>D8</f>
        <v>319.51</v>
      </c>
      <c r="I39" s="425">
        <f>基础估算!M44</f>
        <v>5</v>
      </c>
      <c r="J39" s="428">
        <f>基础估算!N44</f>
        <v>0</v>
      </c>
      <c r="K39" s="426">
        <f>H39/I39</f>
        <v>63.902000000000001</v>
      </c>
      <c r="L39" s="429">
        <v>0</v>
      </c>
      <c r="M39" s="429">
        <v>0</v>
      </c>
      <c r="N39" s="543"/>
      <c r="O39" s="143"/>
      <c r="P39" s="144"/>
      <c r="Q39" s="75"/>
      <c r="R39" s="75"/>
      <c r="S39" s="75"/>
      <c r="T39" s="75"/>
      <c r="U39" s="75"/>
      <c r="V39" s="75"/>
      <c r="W39" s="75"/>
      <c r="X39" s="74"/>
    </row>
    <row r="40" spans="1:38" ht="13.5" customHeight="1">
      <c r="A40" s="594"/>
      <c r="B40" s="646"/>
      <c r="C40" s="384" t="s">
        <v>66</v>
      </c>
      <c r="D40" s="393">
        <f>D51/D49</f>
        <v>0.22116898126977655</v>
      </c>
      <c r="E40" s="418"/>
      <c r="F40" s="537" t="s">
        <v>271</v>
      </c>
      <c r="G40" s="538"/>
      <c r="H40" s="424"/>
      <c r="I40" s="425"/>
      <c r="J40" s="425"/>
      <c r="K40" s="426">
        <f>K34+K37</f>
        <v>919.65276214999994</v>
      </c>
      <c r="L40" s="426">
        <f>L34+L37</f>
        <v>855.75076215000001</v>
      </c>
      <c r="M40" s="426">
        <f>M34+M37</f>
        <v>3447.9863184999995</v>
      </c>
      <c r="N40" s="544"/>
      <c r="O40" s="143"/>
      <c r="P40" s="144"/>
      <c r="Q40" s="110"/>
      <c r="R40" s="110"/>
      <c r="S40" s="110"/>
      <c r="T40" s="110"/>
      <c r="X40" s="74"/>
    </row>
    <row r="41" spans="1:38" ht="13.5" customHeight="1">
      <c r="A41" s="139"/>
      <c r="B41" s="139"/>
      <c r="C41" s="139"/>
      <c r="D41" s="139"/>
      <c r="E41" s="140"/>
      <c r="F41" s="99"/>
      <c r="G41" s="80"/>
      <c r="H41" s="80"/>
      <c r="I41" s="140"/>
      <c r="J41" s="140"/>
      <c r="K41" s="140"/>
      <c r="L41" s="140"/>
      <c r="M41" s="140"/>
      <c r="N41" s="139"/>
      <c r="O41" s="140"/>
      <c r="P41" s="148"/>
      <c r="Q41" s="74"/>
      <c r="T41" s="74"/>
      <c r="U41" s="74"/>
      <c r="V41" s="74"/>
      <c r="W41" s="111"/>
      <c r="X41" s="76"/>
    </row>
    <row r="42" spans="1:38" ht="13.5" customHeight="1">
      <c r="A42" s="533" t="s">
        <v>318</v>
      </c>
      <c r="B42" s="528" t="s">
        <v>2</v>
      </c>
      <c r="C42" s="528" t="s">
        <v>3</v>
      </c>
      <c r="D42" s="528" t="s">
        <v>183</v>
      </c>
      <c r="E42" s="457" t="s">
        <v>68</v>
      </c>
      <c r="F42" s="528" t="s">
        <v>69</v>
      </c>
      <c r="G42" s="528"/>
      <c r="H42" s="528"/>
      <c r="I42" s="528"/>
      <c r="J42" s="528"/>
      <c r="K42" s="528"/>
      <c r="L42" s="528"/>
      <c r="M42" s="528"/>
      <c r="N42" s="528"/>
      <c r="O42" s="528"/>
      <c r="P42" s="137"/>
      <c r="Q42" s="74"/>
      <c r="T42" s="74"/>
      <c r="U42" s="74"/>
      <c r="V42" s="74"/>
      <c r="W42" s="111"/>
      <c r="X42" s="76"/>
    </row>
    <row r="43" spans="1:38" ht="13.5" customHeight="1">
      <c r="A43" s="533"/>
      <c r="B43" s="528"/>
      <c r="C43" s="528"/>
      <c r="D43" s="528"/>
      <c r="E43" s="457">
        <v>1</v>
      </c>
      <c r="F43" s="457">
        <v>2</v>
      </c>
      <c r="G43" s="457">
        <v>3</v>
      </c>
      <c r="H43" s="457">
        <v>4</v>
      </c>
      <c r="I43" s="457">
        <v>5</v>
      </c>
      <c r="J43" s="457">
        <v>6</v>
      </c>
      <c r="K43" s="457">
        <v>7</v>
      </c>
      <c r="L43" s="457">
        <v>8</v>
      </c>
      <c r="M43" s="457">
        <v>9</v>
      </c>
      <c r="N43" s="457">
        <v>10</v>
      </c>
      <c r="O43" s="457">
        <v>11</v>
      </c>
      <c r="P43" s="79"/>
      <c r="Q43" s="74"/>
      <c r="T43" s="74"/>
      <c r="U43" s="74"/>
      <c r="V43" s="74"/>
      <c r="W43" s="111"/>
    </row>
    <row r="44" spans="1:38" ht="13.5" customHeight="1">
      <c r="A44" s="527" t="s">
        <v>353</v>
      </c>
      <c r="B44" s="132">
        <v>1</v>
      </c>
      <c r="C44" s="132" t="s">
        <v>70</v>
      </c>
      <c r="D44" s="85">
        <f t="shared" ref="D44:D53" si="1">SUM(E44:I44)</f>
        <v>15825.003940000001</v>
      </c>
      <c r="E44" s="85">
        <f>SUM(E45:E47)</f>
        <v>9605.0039400000005</v>
      </c>
      <c r="F44" s="85">
        <f>SUM(F45:F47)</f>
        <v>2500</v>
      </c>
      <c r="G44" s="85">
        <f>SUM(G45:G47)</f>
        <v>3720</v>
      </c>
      <c r="H44" s="85">
        <f>SUM(H45:H47)</f>
        <v>0</v>
      </c>
      <c r="I44" s="85">
        <f>SUM(I45:I47)</f>
        <v>0</v>
      </c>
      <c r="J44" s="94"/>
      <c r="K44" s="104"/>
      <c r="L44" s="104"/>
      <c r="M44" s="104"/>
      <c r="N44" s="104"/>
      <c r="O44" s="104"/>
      <c r="P44" s="79"/>
      <c r="Q44" s="74"/>
      <c r="S44" s="74"/>
      <c r="T44" s="74"/>
      <c r="U44" s="74"/>
      <c r="V44" s="74"/>
      <c r="W44" s="98"/>
    </row>
    <row r="45" spans="1:38" ht="13.5" customHeight="1">
      <c r="A45" s="527"/>
      <c r="B45" s="132">
        <v>1.1000000000000001</v>
      </c>
      <c r="C45" s="132" t="s">
        <v>6</v>
      </c>
      <c r="D45" s="85">
        <f t="shared" si="1"/>
        <v>12325.003940000001</v>
      </c>
      <c r="E45" s="86">
        <f>(D4-D6)+D6*60%</f>
        <v>9605.0039400000005</v>
      </c>
      <c r="F45" s="87"/>
      <c r="G45" s="120">
        <f>D6*40%</f>
        <v>2720</v>
      </c>
      <c r="H45" s="88"/>
      <c r="I45" s="88"/>
      <c r="J45" s="94"/>
      <c r="K45" s="104"/>
      <c r="L45" s="104"/>
      <c r="M45" s="104"/>
      <c r="N45" s="104"/>
      <c r="O45" s="104"/>
      <c r="P45" s="138"/>
      <c r="Q45" s="77"/>
      <c r="S45" s="98"/>
      <c r="T45" s="98"/>
      <c r="U45" s="98"/>
      <c r="V45" s="98"/>
      <c r="W45" s="76"/>
    </row>
    <row r="46" spans="1:38" ht="13.5" customHeight="1">
      <c r="A46" s="527"/>
      <c r="B46" s="132">
        <v>1.2</v>
      </c>
      <c r="C46" s="132" t="s">
        <v>71</v>
      </c>
      <c r="D46" s="85">
        <f t="shared" si="1"/>
        <v>3500</v>
      </c>
      <c r="E46" s="89">
        <v>0</v>
      </c>
      <c r="F46" s="86">
        <v>2500</v>
      </c>
      <c r="G46" s="86">
        <f>D39-F46</f>
        <v>1000</v>
      </c>
      <c r="H46" s="90"/>
      <c r="I46" s="90"/>
      <c r="J46" s="104"/>
      <c r="K46" s="104"/>
      <c r="L46" s="104"/>
      <c r="M46" s="104"/>
      <c r="N46" s="104"/>
      <c r="O46" s="104"/>
      <c r="Q46" s="77"/>
      <c r="S46" s="98"/>
      <c r="T46" s="98"/>
      <c r="U46" s="98"/>
      <c r="V46" s="98"/>
      <c r="W46" s="76"/>
    </row>
    <row r="47" spans="1:38" ht="13.5" customHeight="1">
      <c r="A47" s="527"/>
      <c r="B47" s="132">
        <v>1.3</v>
      </c>
      <c r="C47" s="132" t="s">
        <v>72</v>
      </c>
      <c r="D47" s="85">
        <f t="shared" si="1"/>
        <v>0</v>
      </c>
      <c r="E47" s="91"/>
      <c r="F47" s="91"/>
      <c r="G47" s="91"/>
      <c r="H47" s="91"/>
      <c r="I47" s="91"/>
      <c r="J47" s="105"/>
      <c r="K47" s="104"/>
      <c r="L47" s="104"/>
      <c r="M47" s="104"/>
      <c r="N47" s="104"/>
      <c r="O47" s="104"/>
      <c r="Q47" s="98"/>
      <c r="S47" s="98"/>
      <c r="T47" s="98"/>
      <c r="U47" s="98"/>
      <c r="V47" s="76"/>
      <c r="W47" s="76"/>
    </row>
    <row r="48" spans="1:38" ht="13.5" customHeight="1">
      <c r="A48" s="527"/>
      <c r="B48" s="132">
        <v>2</v>
      </c>
      <c r="C48" s="132" t="s">
        <v>73</v>
      </c>
      <c r="D48" s="85">
        <f t="shared" si="1"/>
        <v>15325.003940000001</v>
      </c>
      <c r="E48" s="85">
        <f>E49</f>
        <v>9605.0039400000005</v>
      </c>
      <c r="F48" s="85">
        <v>2000</v>
      </c>
      <c r="G48" s="85">
        <f>G49</f>
        <v>3720</v>
      </c>
      <c r="H48" s="85">
        <f>H49+H52</f>
        <v>0</v>
      </c>
      <c r="I48" s="85">
        <f>I49+I52</f>
        <v>0</v>
      </c>
      <c r="J48" s="105"/>
      <c r="K48" s="104"/>
      <c r="L48" s="104"/>
      <c r="M48" s="104"/>
      <c r="N48" s="104"/>
      <c r="O48" s="104"/>
      <c r="Q48" s="76"/>
      <c r="R48" s="76"/>
      <c r="S48" s="76"/>
    </row>
    <row r="49" spans="1:37" ht="13.5" customHeight="1">
      <c r="A49" s="527"/>
      <c r="B49" s="132">
        <v>2.1</v>
      </c>
      <c r="C49" s="132" t="s">
        <v>74</v>
      </c>
      <c r="D49" s="85">
        <f t="shared" si="1"/>
        <v>15825.003940000001</v>
      </c>
      <c r="E49" s="85">
        <f>E50</f>
        <v>9605.0039400000005</v>
      </c>
      <c r="F49" s="85">
        <f>F50+F51</f>
        <v>2500</v>
      </c>
      <c r="G49" s="85">
        <f>G50+G51</f>
        <v>3720</v>
      </c>
      <c r="H49" s="85">
        <f>H50+H51</f>
        <v>0</v>
      </c>
      <c r="I49" s="85">
        <f>I50+I51</f>
        <v>0</v>
      </c>
      <c r="J49" s="105"/>
      <c r="K49" s="104"/>
      <c r="L49" s="104"/>
      <c r="M49" s="104"/>
      <c r="N49" s="104"/>
      <c r="O49" s="104"/>
      <c r="Q49" s="98"/>
      <c r="R49" s="74"/>
      <c r="S49" s="74"/>
      <c r="T49" s="74"/>
      <c r="U49" s="74"/>
    </row>
    <row r="50" spans="1:37" ht="13.5" customHeight="1">
      <c r="A50" s="527"/>
      <c r="B50" s="132" t="s">
        <v>75</v>
      </c>
      <c r="C50" s="132" t="s">
        <v>76</v>
      </c>
      <c r="D50" s="85">
        <f t="shared" si="1"/>
        <v>12325.003940000001</v>
      </c>
      <c r="E50" s="85">
        <f>E45</f>
        <v>9605.0039400000005</v>
      </c>
      <c r="F50" s="85">
        <f>F45</f>
        <v>0</v>
      </c>
      <c r="G50" s="85">
        <f>G45</f>
        <v>2720</v>
      </c>
      <c r="H50" s="91"/>
      <c r="I50" s="91"/>
      <c r="J50" s="104"/>
      <c r="K50" s="104"/>
      <c r="L50" s="104"/>
      <c r="M50" s="104"/>
      <c r="N50" s="104"/>
      <c r="O50" s="104"/>
    </row>
    <row r="51" spans="1:37" ht="13.5" customHeight="1">
      <c r="A51" s="527"/>
      <c r="B51" s="132" t="s">
        <v>77</v>
      </c>
      <c r="C51" s="132" t="s">
        <v>78</v>
      </c>
      <c r="D51" s="85">
        <f t="shared" si="1"/>
        <v>3500</v>
      </c>
      <c r="E51" s="91"/>
      <c r="F51" s="85">
        <v>2500</v>
      </c>
      <c r="G51" s="85">
        <v>1000</v>
      </c>
      <c r="H51" s="91"/>
      <c r="I51" s="91"/>
      <c r="J51" s="94"/>
      <c r="K51" s="104"/>
      <c r="L51" s="104"/>
      <c r="M51" s="104"/>
      <c r="N51" s="104"/>
      <c r="O51" s="104"/>
    </row>
    <row r="52" spans="1:37" ht="13.5" customHeight="1">
      <c r="A52" s="527"/>
      <c r="B52" s="132">
        <v>2.2000000000000002</v>
      </c>
      <c r="C52" s="132" t="s">
        <v>79</v>
      </c>
      <c r="D52" s="85">
        <f t="shared" si="1"/>
        <v>5000</v>
      </c>
      <c r="E52" s="85"/>
      <c r="F52" s="85">
        <f>F53</f>
        <v>3000</v>
      </c>
      <c r="G52" s="85">
        <f>G53</f>
        <v>2000</v>
      </c>
      <c r="H52" s="85">
        <f>H53</f>
        <v>0</v>
      </c>
      <c r="I52" s="85">
        <f>I53</f>
        <v>0</v>
      </c>
      <c r="J52" s="85">
        <f>J53</f>
        <v>0</v>
      </c>
      <c r="K52" s="104"/>
      <c r="L52" s="104"/>
      <c r="M52" s="104"/>
      <c r="N52" s="104"/>
      <c r="O52" s="104"/>
    </row>
    <row r="53" spans="1:37" ht="13.5" customHeight="1">
      <c r="A53" s="527"/>
      <c r="B53" s="132"/>
      <c r="C53" s="132" t="s">
        <v>80</v>
      </c>
      <c r="D53" s="85">
        <f t="shared" si="1"/>
        <v>5000</v>
      </c>
      <c r="E53" s="85"/>
      <c r="F53" s="85">
        <v>3000</v>
      </c>
      <c r="G53" s="85">
        <v>2000</v>
      </c>
      <c r="H53" s="85">
        <f>H46-H51</f>
        <v>0</v>
      </c>
      <c r="I53" s="85">
        <f>I46-I51</f>
        <v>0</v>
      </c>
      <c r="J53" s="85">
        <f>J46-J51</f>
        <v>0</v>
      </c>
      <c r="K53" s="104"/>
      <c r="L53" s="104"/>
      <c r="M53" s="104"/>
      <c r="N53" s="104"/>
      <c r="O53" s="104"/>
    </row>
    <row r="54" spans="1:37" ht="13.5" customHeight="1">
      <c r="A54" s="527"/>
      <c r="B54" s="132"/>
      <c r="C54" s="132" t="s">
        <v>81</v>
      </c>
      <c r="D54" s="93"/>
      <c r="E54" s="85"/>
      <c r="F54" s="85">
        <f>E54+F53</f>
        <v>3000</v>
      </c>
      <c r="G54" s="85">
        <f>F54+G53</f>
        <v>5000</v>
      </c>
      <c r="H54" s="85">
        <f>G54+H53</f>
        <v>5000</v>
      </c>
      <c r="I54" s="85">
        <f>H54+I53</f>
        <v>5000</v>
      </c>
      <c r="J54" s="85">
        <f>I54+J53</f>
        <v>5000</v>
      </c>
      <c r="K54" s="104"/>
      <c r="L54" s="104"/>
      <c r="M54" s="104"/>
      <c r="N54" s="104"/>
      <c r="O54" s="104"/>
    </row>
    <row r="55" spans="1:37" ht="13.5" customHeight="1">
      <c r="A55" s="527" t="s">
        <v>351</v>
      </c>
      <c r="B55" s="132"/>
      <c r="C55" s="132" t="s">
        <v>82</v>
      </c>
      <c r="D55" s="94"/>
      <c r="E55" s="94"/>
      <c r="F55" s="456">
        <v>0.6</v>
      </c>
      <c r="G55" s="456">
        <v>1</v>
      </c>
      <c r="H55" s="456">
        <v>1</v>
      </c>
      <c r="I55" s="456">
        <v>1</v>
      </c>
      <c r="J55" s="456">
        <v>1</v>
      </c>
      <c r="K55" s="456">
        <v>1</v>
      </c>
      <c r="L55" s="456">
        <v>1</v>
      </c>
      <c r="M55" s="456">
        <v>1</v>
      </c>
      <c r="N55" s="456">
        <v>1</v>
      </c>
      <c r="O55" s="456">
        <v>1</v>
      </c>
      <c r="P55" s="106"/>
    </row>
    <row r="56" spans="1:37" ht="13.5" customHeight="1">
      <c r="A56" s="527"/>
      <c r="B56" s="132">
        <v>1</v>
      </c>
      <c r="C56" s="132" t="s">
        <v>42</v>
      </c>
      <c r="D56" s="94"/>
      <c r="E56" s="94"/>
      <c r="F56" s="85">
        <f>SUM(F57:F58)</f>
        <v>9996</v>
      </c>
      <c r="G56" s="85">
        <f t="shared" ref="G56:O56" si="2">SUM(G57:G58)</f>
        <v>16660</v>
      </c>
      <c r="H56" s="85">
        <f t="shared" si="2"/>
        <v>16660</v>
      </c>
      <c r="I56" s="85">
        <f t="shared" si="2"/>
        <v>16660</v>
      </c>
      <c r="J56" s="85">
        <f t="shared" si="2"/>
        <v>16660</v>
      </c>
      <c r="K56" s="85">
        <f t="shared" si="2"/>
        <v>16660</v>
      </c>
      <c r="L56" s="85">
        <f t="shared" si="2"/>
        <v>16660</v>
      </c>
      <c r="M56" s="85">
        <f t="shared" si="2"/>
        <v>16660</v>
      </c>
      <c r="N56" s="85">
        <f t="shared" si="2"/>
        <v>16660</v>
      </c>
      <c r="O56" s="85">
        <f t="shared" si="2"/>
        <v>16660</v>
      </c>
      <c r="P56" s="106"/>
    </row>
    <row r="57" spans="1:37" s="1" customFormat="1" ht="13.5" customHeight="1">
      <c r="A57" s="527"/>
      <c r="B57" s="131">
        <v>1.1000000000000001</v>
      </c>
      <c r="C57" s="131" t="s">
        <v>195</v>
      </c>
      <c r="D57" s="94"/>
      <c r="E57" s="93"/>
      <c r="F57" s="85">
        <f>($D$36+$D$37)*F55</f>
        <v>9540</v>
      </c>
      <c r="G57" s="85">
        <f t="shared" ref="G57:O57" si="3">($D$36+$D$37)*G55</f>
        <v>15900</v>
      </c>
      <c r="H57" s="85">
        <f>($D$36+$D$37)*H55</f>
        <v>15900</v>
      </c>
      <c r="I57" s="85">
        <f>($D$36+$D$37)*I55</f>
        <v>15900</v>
      </c>
      <c r="J57" s="85">
        <f t="shared" si="3"/>
        <v>15900</v>
      </c>
      <c r="K57" s="85">
        <f t="shared" si="3"/>
        <v>15900</v>
      </c>
      <c r="L57" s="85">
        <f t="shared" si="3"/>
        <v>15900</v>
      </c>
      <c r="M57" s="85">
        <f t="shared" si="3"/>
        <v>15900</v>
      </c>
      <c r="N57" s="85">
        <f t="shared" si="3"/>
        <v>15900</v>
      </c>
      <c r="O57" s="85">
        <f t="shared" si="3"/>
        <v>15900</v>
      </c>
      <c r="P57" s="106"/>
      <c r="Q57" s="73"/>
      <c r="R57" s="73"/>
      <c r="S57" s="73"/>
      <c r="T57" s="73"/>
      <c r="U57" s="73"/>
      <c r="V57" s="73"/>
      <c r="W57" s="73"/>
      <c r="X57" s="73"/>
      <c r="Y57" s="7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4"/>
    </row>
    <row r="58" spans="1:37" s="1" customFormat="1" ht="13.5" customHeight="1">
      <c r="A58" s="527"/>
      <c r="B58" s="131">
        <v>1.2</v>
      </c>
      <c r="C58" s="131" t="s">
        <v>84</v>
      </c>
      <c r="D58" s="95"/>
      <c r="E58" s="93"/>
      <c r="F58" s="85">
        <f>$D$38*F55</f>
        <v>456</v>
      </c>
      <c r="G58" s="85">
        <f>$D$38*G55</f>
        <v>760</v>
      </c>
      <c r="H58" s="85">
        <f t="shared" ref="H58:O58" si="4">$D$38*H55</f>
        <v>760</v>
      </c>
      <c r="I58" s="85">
        <f t="shared" si="4"/>
        <v>760</v>
      </c>
      <c r="J58" s="85">
        <f t="shared" si="4"/>
        <v>760</v>
      </c>
      <c r="K58" s="85">
        <f t="shared" si="4"/>
        <v>760</v>
      </c>
      <c r="L58" s="85">
        <f t="shared" si="4"/>
        <v>760</v>
      </c>
      <c r="M58" s="85">
        <f t="shared" si="4"/>
        <v>760</v>
      </c>
      <c r="N58" s="85">
        <f t="shared" si="4"/>
        <v>760</v>
      </c>
      <c r="O58" s="85">
        <f t="shared" si="4"/>
        <v>760</v>
      </c>
      <c r="P58" s="106"/>
      <c r="Q58" s="530" t="s">
        <v>188</v>
      </c>
      <c r="R58" s="531"/>
      <c r="S58" s="531"/>
      <c r="T58" s="531"/>
      <c r="U58" s="531"/>
      <c r="V58" s="531"/>
      <c r="W58" s="532"/>
      <c r="X58" s="73"/>
      <c r="Y58" s="7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4"/>
    </row>
    <row r="59" spans="1:37" ht="13.5" customHeight="1">
      <c r="A59" s="527"/>
      <c r="B59" s="132">
        <v>2</v>
      </c>
      <c r="C59" s="132" t="s">
        <v>35</v>
      </c>
      <c r="D59" s="94"/>
      <c r="E59" s="94"/>
      <c r="F59" s="92">
        <f>$D$15*F55</f>
        <v>1105.3800000000001</v>
      </c>
      <c r="G59" s="92">
        <f t="shared" ref="G59:O59" si="5">$D$15*G55</f>
        <v>1842.3000000000002</v>
      </c>
      <c r="H59" s="92">
        <f t="shared" si="5"/>
        <v>1842.3000000000002</v>
      </c>
      <c r="I59" s="92">
        <f t="shared" si="5"/>
        <v>1842.3000000000002</v>
      </c>
      <c r="J59" s="92">
        <f t="shared" si="5"/>
        <v>1842.3000000000002</v>
      </c>
      <c r="K59" s="92">
        <f t="shared" si="5"/>
        <v>1842.3000000000002</v>
      </c>
      <c r="L59" s="92">
        <f t="shared" si="5"/>
        <v>1842.3000000000002</v>
      </c>
      <c r="M59" s="92">
        <f t="shared" si="5"/>
        <v>1842.3000000000002</v>
      </c>
      <c r="N59" s="92">
        <f t="shared" si="5"/>
        <v>1842.3000000000002</v>
      </c>
      <c r="O59" s="92">
        <f t="shared" si="5"/>
        <v>1842.3000000000002</v>
      </c>
      <c r="Q59" s="548" t="s">
        <v>191</v>
      </c>
      <c r="R59" s="549"/>
      <c r="S59" s="525" t="s">
        <v>26</v>
      </c>
      <c r="T59" s="525" t="str">
        <f>Q14</f>
        <v>直接成本</v>
      </c>
      <c r="U59" s="525" t="s">
        <v>8</v>
      </c>
      <c r="V59" s="523" t="str">
        <f>V33</f>
        <v>经营管理费用</v>
      </c>
      <c r="W59" s="523" t="str">
        <f>W33</f>
        <v>工资福利</v>
      </c>
    </row>
    <row r="60" spans="1:37" ht="13.5" customHeight="1">
      <c r="A60" s="527"/>
      <c r="B60" s="132">
        <v>3</v>
      </c>
      <c r="C60" s="132" t="s">
        <v>30</v>
      </c>
      <c r="D60" s="96"/>
      <c r="E60" s="88"/>
      <c r="F60" s="85">
        <f>F61*$D$22</f>
        <v>150.91890518699998</v>
      </c>
      <c r="G60" s="85">
        <f t="shared" ref="G60:N60" si="6">G61*$D$22</f>
        <v>150.91890518699998</v>
      </c>
      <c r="H60" s="85">
        <f t="shared" si="6"/>
        <v>150.91890518699998</v>
      </c>
      <c r="I60" s="85">
        <f t="shared" si="6"/>
        <v>150.91890518699998</v>
      </c>
      <c r="J60" s="85">
        <f t="shared" si="6"/>
        <v>150.91890518699998</v>
      </c>
      <c r="K60" s="85">
        <f t="shared" si="6"/>
        <v>150.91890518699998</v>
      </c>
      <c r="L60" s="85">
        <f t="shared" si="6"/>
        <v>150.91890518699998</v>
      </c>
      <c r="M60" s="85">
        <f t="shared" si="6"/>
        <v>150.91890518699998</v>
      </c>
      <c r="N60" s="85">
        <f t="shared" si="6"/>
        <v>150.91890518699998</v>
      </c>
      <c r="O60" s="85">
        <f>O61*$D$22</f>
        <v>150.91890518699998</v>
      </c>
      <c r="Q60" s="550"/>
      <c r="R60" s="551"/>
      <c r="S60" s="526"/>
      <c r="T60" s="526"/>
      <c r="U60" s="526"/>
      <c r="V60" s="524"/>
      <c r="W60" s="524"/>
    </row>
    <row r="61" spans="1:37" ht="13.5" customHeight="1">
      <c r="A61" s="527"/>
      <c r="B61" s="132">
        <v>4</v>
      </c>
      <c r="C61" s="132" t="s">
        <v>85</v>
      </c>
      <c r="D61" s="88"/>
      <c r="E61" s="96"/>
      <c r="F61" s="85">
        <f>K34</f>
        <v>838.43836214999999</v>
      </c>
      <c r="G61" s="85">
        <f>F61</f>
        <v>838.43836214999999</v>
      </c>
      <c r="H61" s="85">
        <f t="shared" ref="H61:J61" si="7">G61</f>
        <v>838.43836214999999</v>
      </c>
      <c r="I61" s="85">
        <f t="shared" si="7"/>
        <v>838.43836214999999</v>
      </c>
      <c r="J61" s="85">
        <f t="shared" si="7"/>
        <v>838.43836214999999</v>
      </c>
      <c r="K61" s="85">
        <f>基础估算!P39</f>
        <v>838.43836214999999</v>
      </c>
      <c r="L61" s="85">
        <f>K61</f>
        <v>838.43836214999999</v>
      </c>
      <c r="M61" s="85">
        <f t="shared" ref="M61:O61" si="8">L61</f>
        <v>838.43836214999999</v>
      </c>
      <c r="N61" s="85">
        <f t="shared" si="8"/>
        <v>838.43836214999999</v>
      </c>
      <c r="O61" s="85">
        <f t="shared" si="8"/>
        <v>838.43836214999999</v>
      </c>
      <c r="Q61" s="521" t="s">
        <v>189</v>
      </c>
      <c r="R61" s="522"/>
      <c r="S61" s="112">
        <f>MAX(V10:V13)</f>
        <v>4.32</v>
      </c>
      <c r="T61" s="112">
        <f>MAX(V14:V17)</f>
        <v>3.98</v>
      </c>
      <c r="U61" s="112">
        <f>MAX(V18:V21)</f>
        <v>3.71</v>
      </c>
      <c r="V61" s="112">
        <f>MAX(V26:V29)</f>
        <v>3.61</v>
      </c>
      <c r="W61" s="112">
        <f>MAX(V22:V25)</f>
        <v>3.58</v>
      </c>
    </row>
    <row r="62" spans="1:37" ht="13.5" customHeight="1">
      <c r="A62" s="527"/>
      <c r="B62" s="132">
        <v>5</v>
      </c>
      <c r="C62" s="132" t="s">
        <v>86</v>
      </c>
      <c r="D62" s="88"/>
      <c r="E62" s="88"/>
      <c r="F62" s="85">
        <f>K37</f>
        <v>81.214399999999998</v>
      </c>
      <c r="G62" s="85">
        <f>F62</f>
        <v>81.214399999999998</v>
      </c>
      <c r="H62" s="85">
        <f>G62</f>
        <v>81.214399999999998</v>
      </c>
      <c r="I62" s="85">
        <f>H62</f>
        <v>81.214399999999998</v>
      </c>
      <c r="J62" s="85">
        <f>I62</f>
        <v>81.214399999999998</v>
      </c>
      <c r="K62" s="85">
        <f>L37</f>
        <v>17.312399999999997</v>
      </c>
      <c r="L62" s="85">
        <f>K62</f>
        <v>17.312399999999997</v>
      </c>
      <c r="M62" s="85">
        <f>L62</f>
        <v>17.312399999999997</v>
      </c>
      <c r="N62" s="85">
        <f>M62</f>
        <v>17.312399999999997</v>
      </c>
      <c r="O62" s="85">
        <f>N62</f>
        <v>17.312399999999997</v>
      </c>
      <c r="Q62" s="521" t="s">
        <v>190</v>
      </c>
      <c r="R62" s="522"/>
      <c r="S62" s="112">
        <f>MIN(V10:V13)</f>
        <v>3.09</v>
      </c>
      <c r="T62" s="112">
        <f>MIN(V14:V17)</f>
        <v>3.23</v>
      </c>
      <c r="U62" s="112">
        <f>MIN(V18:V21)</f>
        <v>3.38</v>
      </c>
      <c r="V62" s="112">
        <f>MIN(V26:V29)</f>
        <v>3.48</v>
      </c>
      <c r="W62" s="112">
        <f>MIN(V22:V25)</f>
        <v>3.5</v>
      </c>
      <c r="Y62" s="113"/>
    </row>
    <row r="63" spans="1:37" ht="13.5" customHeight="1">
      <c r="A63" s="527"/>
      <c r="B63" s="132">
        <v>6</v>
      </c>
      <c r="C63" s="132" t="s">
        <v>87</v>
      </c>
      <c r="D63" s="88"/>
      <c r="E63" s="88"/>
      <c r="F63" s="85">
        <f t="shared" ref="F63:O63" si="9">F65+F64</f>
        <v>225</v>
      </c>
      <c r="G63" s="85">
        <f t="shared" si="9"/>
        <v>375</v>
      </c>
      <c r="H63" s="85">
        <f t="shared" si="9"/>
        <v>375</v>
      </c>
      <c r="I63" s="85">
        <f t="shared" si="9"/>
        <v>375</v>
      </c>
      <c r="J63" s="85">
        <f t="shared" si="9"/>
        <v>375</v>
      </c>
      <c r="K63" s="85">
        <f t="shared" si="9"/>
        <v>0</v>
      </c>
      <c r="L63" s="85">
        <f t="shared" si="9"/>
        <v>0</v>
      </c>
      <c r="M63" s="85">
        <f t="shared" si="9"/>
        <v>0</v>
      </c>
      <c r="N63" s="85">
        <f t="shared" si="9"/>
        <v>0</v>
      </c>
      <c r="O63" s="85">
        <f t="shared" si="9"/>
        <v>0</v>
      </c>
      <c r="P63" s="107"/>
      <c r="Q63" s="521" t="s">
        <v>83</v>
      </c>
      <c r="R63" s="522"/>
      <c r="S63" s="112">
        <f>S61-S62</f>
        <v>1.2300000000000004</v>
      </c>
      <c r="T63" s="112">
        <f>T61-T62</f>
        <v>0.75</v>
      </c>
      <c r="U63" s="112">
        <f>U61-U62</f>
        <v>0.33000000000000007</v>
      </c>
      <c r="V63" s="112">
        <f>V61-V62</f>
        <v>0.12999999999999989</v>
      </c>
      <c r="W63" s="112">
        <f>W61-W62</f>
        <v>8.0000000000000071E-2</v>
      </c>
      <c r="X63" s="113"/>
      <c r="Y63" s="113"/>
    </row>
    <row r="64" spans="1:37" ht="13.5" customHeight="1">
      <c r="A64" s="527"/>
      <c r="B64" s="132">
        <v>6.1</v>
      </c>
      <c r="C64" s="132" t="s">
        <v>88</v>
      </c>
      <c r="D64" s="88"/>
      <c r="E64" s="88"/>
      <c r="F64" s="85">
        <f>$D$14*$D$20</f>
        <v>0</v>
      </c>
      <c r="G64" s="85">
        <f>$D$14*$D$20</f>
        <v>0</v>
      </c>
      <c r="H64" s="85">
        <f>$D$14*$D$20</f>
        <v>0</v>
      </c>
      <c r="I64" s="85">
        <f>$D$14*$D$20</f>
        <v>0</v>
      </c>
      <c r="J64" s="85">
        <f>$D$14*$D$20</f>
        <v>0</v>
      </c>
      <c r="K64" s="93"/>
      <c r="L64" s="93"/>
      <c r="M64" s="93"/>
      <c r="N64" s="93"/>
      <c r="O64" s="93"/>
      <c r="P64" s="107"/>
      <c r="Q64" s="110"/>
      <c r="R64" s="110"/>
      <c r="S64" s="110"/>
      <c r="T64" s="110"/>
      <c r="U64" s="110"/>
      <c r="X64" s="113"/>
    </row>
    <row r="65" spans="1:37" ht="13.5" customHeight="1">
      <c r="A65" s="527"/>
      <c r="B65" s="132">
        <v>6.2</v>
      </c>
      <c r="C65" s="132" t="s">
        <v>89</v>
      </c>
      <c r="D65" s="88"/>
      <c r="E65" s="88"/>
      <c r="F65" s="85">
        <f>F54*$D$19</f>
        <v>225</v>
      </c>
      <c r="G65" s="85">
        <f>G54*$D$19</f>
        <v>375</v>
      </c>
      <c r="H65" s="85">
        <f t="shared" ref="H65:J65" si="10">H54*$D$19</f>
        <v>375</v>
      </c>
      <c r="I65" s="85">
        <f t="shared" si="10"/>
        <v>375</v>
      </c>
      <c r="J65" s="85">
        <f t="shared" si="10"/>
        <v>375</v>
      </c>
      <c r="K65" s="85">
        <f t="shared" ref="K65:O65" si="11">K54*$D$19</f>
        <v>0</v>
      </c>
      <c r="L65" s="85">
        <f t="shared" si="11"/>
        <v>0</v>
      </c>
      <c r="M65" s="85">
        <f t="shared" si="11"/>
        <v>0</v>
      </c>
      <c r="N65" s="85">
        <f t="shared" si="11"/>
        <v>0</v>
      </c>
      <c r="O65" s="85">
        <f t="shared" si="11"/>
        <v>0</v>
      </c>
    </row>
    <row r="66" spans="1:37" ht="13.5" customHeight="1">
      <c r="A66" s="527"/>
      <c r="B66" s="132">
        <v>7</v>
      </c>
      <c r="C66" s="82" t="s">
        <v>90</v>
      </c>
      <c r="D66" s="88"/>
      <c r="E66" s="88"/>
      <c r="F66" s="85">
        <f t="shared" ref="F66:O66" si="12">SUM(F67:F69)</f>
        <v>1861.1999999999998</v>
      </c>
      <c r="G66" s="85">
        <f t="shared" si="12"/>
        <v>3102</v>
      </c>
      <c r="H66" s="85">
        <f t="shared" si="12"/>
        <v>3102</v>
      </c>
      <c r="I66" s="85">
        <f t="shared" si="12"/>
        <v>3102</v>
      </c>
      <c r="J66" s="85">
        <f t="shared" si="12"/>
        <v>3102</v>
      </c>
      <c r="K66" s="85">
        <f t="shared" si="12"/>
        <v>3102</v>
      </c>
      <c r="L66" s="85">
        <f t="shared" si="12"/>
        <v>3102</v>
      </c>
      <c r="M66" s="85">
        <f t="shared" si="12"/>
        <v>3102</v>
      </c>
      <c r="N66" s="85">
        <f t="shared" si="12"/>
        <v>3102</v>
      </c>
      <c r="O66" s="85">
        <f t="shared" si="12"/>
        <v>3102</v>
      </c>
    </row>
    <row r="67" spans="1:37" ht="13.5" customHeight="1">
      <c r="A67" s="527"/>
      <c r="B67" s="132">
        <v>7.1</v>
      </c>
      <c r="C67" s="132" t="s">
        <v>37</v>
      </c>
      <c r="D67" s="96"/>
      <c r="E67" s="88"/>
      <c r="F67" s="85">
        <f>F74*$D$23</f>
        <v>386.1</v>
      </c>
      <c r="G67" s="85">
        <f t="shared" ref="G67:O67" si="13">G74*$D$23</f>
        <v>643.5</v>
      </c>
      <c r="H67" s="85">
        <f t="shared" si="13"/>
        <v>643.5</v>
      </c>
      <c r="I67" s="85">
        <f t="shared" si="13"/>
        <v>643.5</v>
      </c>
      <c r="J67" s="85">
        <f t="shared" si="13"/>
        <v>643.5</v>
      </c>
      <c r="K67" s="85">
        <f t="shared" si="13"/>
        <v>643.5</v>
      </c>
      <c r="L67" s="85">
        <f t="shared" si="13"/>
        <v>643.5</v>
      </c>
      <c r="M67" s="85">
        <f t="shared" si="13"/>
        <v>643.5</v>
      </c>
      <c r="N67" s="85">
        <f t="shared" si="13"/>
        <v>643.5</v>
      </c>
      <c r="O67" s="85">
        <f t="shared" si="13"/>
        <v>643.5</v>
      </c>
    </row>
    <row r="68" spans="1:37" s="1" customFormat="1" ht="13.5" customHeight="1">
      <c r="A68" s="527"/>
      <c r="B68" s="131">
        <v>7.2</v>
      </c>
      <c r="C68" s="131" t="s">
        <v>39</v>
      </c>
      <c r="D68" s="95"/>
      <c r="E68" s="90"/>
      <c r="F68" s="85">
        <f>F74*$D$24</f>
        <v>366.29999999999995</v>
      </c>
      <c r="G68" s="85">
        <f t="shared" ref="G68:O68" si="14">G74*$D$24</f>
        <v>610.5</v>
      </c>
      <c r="H68" s="85">
        <f t="shared" si="14"/>
        <v>610.5</v>
      </c>
      <c r="I68" s="85">
        <f t="shared" si="14"/>
        <v>610.5</v>
      </c>
      <c r="J68" s="85">
        <f t="shared" si="14"/>
        <v>610.5</v>
      </c>
      <c r="K68" s="85">
        <f t="shared" si="14"/>
        <v>610.5</v>
      </c>
      <c r="L68" s="85">
        <f t="shared" si="14"/>
        <v>610.5</v>
      </c>
      <c r="M68" s="85">
        <f t="shared" si="14"/>
        <v>610.5</v>
      </c>
      <c r="N68" s="85">
        <f t="shared" si="14"/>
        <v>610.5</v>
      </c>
      <c r="O68" s="85">
        <f t="shared" si="14"/>
        <v>610.5</v>
      </c>
      <c r="P68" s="103"/>
      <c r="Q68" s="113"/>
      <c r="R68" s="113"/>
      <c r="S68" s="113"/>
      <c r="T68" s="113"/>
      <c r="U68" s="113"/>
      <c r="V68" s="113"/>
      <c r="W68" s="113"/>
      <c r="X68" s="73"/>
      <c r="Y68" s="7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4"/>
    </row>
    <row r="69" spans="1:37" ht="13.5" customHeight="1">
      <c r="A69" s="527"/>
      <c r="B69" s="132">
        <v>7.3</v>
      </c>
      <c r="C69" s="132" t="s">
        <v>38</v>
      </c>
      <c r="D69" s="115"/>
      <c r="E69" s="88"/>
      <c r="F69" s="85">
        <f>F74*$D$25</f>
        <v>1108.8</v>
      </c>
      <c r="G69" s="85">
        <f t="shared" ref="G69:O69" si="15">G74*$D$25</f>
        <v>1848</v>
      </c>
      <c r="H69" s="85">
        <f t="shared" si="15"/>
        <v>1848</v>
      </c>
      <c r="I69" s="85">
        <f t="shared" si="15"/>
        <v>1848</v>
      </c>
      <c r="J69" s="85">
        <f t="shared" si="15"/>
        <v>1848</v>
      </c>
      <c r="K69" s="85">
        <f t="shared" si="15"/>
        <v>1848</v>
      </c>
      <c r="L69" s="85">
        <f t="shared" si="15"/>
        <v>1848</v>
      </c>
      <c r="M69" s="85">
        <f t="shared" si="15"/>
        <v>1848</v>
      </c>
      <c r="N69" s="85">
        <f t="shared" si="15"/>
        <v>1848</v>
      </c>
      <c r="O69" s="85">
        <f t="shared" si="15"/>
        <v>1848</v>
      </c>
      <c r="Q69" s="113"/>
      <c r="R69" s="113"/>
      <c r="S69" s="113"/>
      <c r="T69" s="113"/>
      <c r="U69" s="113"/>
      <c r="V69" s="113"/>
      <c r="W69" s="113"/>
    </row>
    <row r="70" spans="1:37" s="1" customFormat="1" ht="13.5" customHeight="1">
      <c r="A70" s="527"/>
      <c r="B70" s="131"/>
      <c r="C70" s="131" t="s">
        <v>91</v>
      </c>
      <c r="D70" s="121">
        <f t="shared" ref="D70:D84" si="16">SUM(F70:O70)</f>
        <v>219512.48667336995</v>
      </c>
      <c r="E70" s="93"/>
      <c r="F70" s="85">
        <f>F56+SUM(F59:F63)+F66</f>
        <v>14258.151667336999</v>
      </c>
      <c r="G70" s="85">
        <f t="shared" ref="G70:O70" si="17">G56+SUM(G59:G63)+G66</f>
        <v>23049.871667337</v>
      </c>
      <c r="H70" s="85">
        <f t="shared" si="17"/>
        <v>23049.871667337</v>
      </c>
      <c r="I70" s="85">
        <f t="shared" si="17"/>
        <v>23049.871667337</v>
      </c>
      <c r="J70" s="85">
        <f t="shared" si="17"/>
        <v>23049.871667337</v>
      </c>
      <c r="K70" s="85">
        <f t="shared" si="17"/>
        <v>22610.969667336998</v>
      </c>
      <c r="L70" s="85">
        <f t="shared" si="17"/>
        <v>22610.969667336998</v>
      </c>
      <c r="M70" s="85">
        <f t="shared" si="17"/>
        <v>22610.969667336998</v>
      </c>
      <c r="N70" s="85">
        <f t="shared" si="17"/>
        <v>22610.969667336998</v>
      </c>
      <c r="O70" s="85">
        <f t="shared" si="17"/>
        <v>22610.969667336998</v>
      </c>
      <c r="P70" s="103"/>
      <c r="Q70" s="73"/>
      <c r="R70" s="73"/>
      <c r="S70" s="73"/>
      <c r="T70" s="73"/>
      <c r="U70" s="73"/>
      <c r="V70" s="73"/>
      <c r="W70" s="73"/>
      <c r="X70" s="73"/>
      <c r="Y70" s="7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4"/>
    </row>
    <row r="71" spans="1:37" s="1" customFormat="1" ht="13.5" customHeight="1">
      <c r="A71" s="527"/>
      <c r="B71" s="131">
        <v>9</v>
      </c>
      <c r="C71" s="131" t="s">
        <v>92</v>
      </c>
      <c r="D71" s="121">
        <f t="shared" si="16"/>
        <v>159936</v>
      </c>
      <c r="E71" s="93"/>
      <c r="F71" s="85">
        <f>F56</f>
        <v>9996</v>
      </c>
      <c r="G71" s="85">
        <f t="shared" ref="G71:O71" si="18">G56</f>
        <v>16660</v>
      </c>
      <c r="H71" s="85">
        <f t="shared" si="18"/>
        <v>16660</v>
      </c>
      <c r="I71" s="85">
        <f t="shared" si="18"/>
        <v>16660</v>
      </c>
      <c r="J71" s="85">
        <f t="shared" si="18"/>
        <v>16660</v>
      </c>
      <c r="K71" s="85">
        <f t="shared" si="18"/>
        <v>16660</v>
      </c>
      <c r="L71" s="85">
        <f t="shared" si="18"/>
        <v>16660</v>
      </c>
      <c r="M71" s="85">
        <f t="shared" si="18"/>
        <v>16660</v>
      </c>
      <c r="N71" s="85">
        <f t="shared" si="18"/>
        <v>16660</v>
      </c>
      <c r="O71" s="85">
        <f t="shared" si="18"/>
        <v>16660</v>
      </c>
      <c r="P71" s="103"/>
      <c r="Q71" s="73"/>
      <c r="R71" s="73"/>
      <c r="S71" s="73"/>
      <c r="T71" s="73"/>
      <c r="U71" s="73"/>
      <c r="V71" s="73"/>
      <c r="W71" s="73"/>
      <c r="X71" s="73"/>
      <c r="Y71" s="7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4"/>
    </row>
    <row r="72" spans="1:37" s="1" customFormat="1" ht="13.5" customHeight="1">
      <c r="A72" s="527"/>
      <c r="B72" s="131">
        <v>10</v>
      </c>
      <c r="C72" s="131" t="s">
        <v>93</v>
      </c>
      <c r="D72" s="121">
        <f t="shared" si="16"/>
        <v>59576.486673369989</v>
      </c>
      <c r="E72" s="93"/>
      <c r="F72" s="85">
        <f>F70-F71</f>
        <v>4262.1516673369988</v>
      </c>
      <c r="G72" s="85">
        <f t="shared" ref="G72:O72" si="19">G70-G71</f>
        <v>6389.871667337</v>
      </c>
      <c r="H72" s="85">
        <f t="shared" si="19"/>
        <v>6389.871667337</v>
      </c>
      <c r="I72" s="85">
        <f t="shared" si="19"/>
        <v>6389.871667337</v>
      </c>
      <c r="J72" s="85">
        <f t="shared" si="19"/>
        <v>6389.871667337</v>
      </c>
      <c r="K72" s="85">
        <f t="shared" si="19"/>
        <v>5950.9696673369981</v>
      </c>
      <c r="L72" s="85">
        <f t="shared" si="19"/>
        <v>5950.9696673369981</v>
      </c>
      <c r="M72" s="85">
        <f t="shared" si="19"/>
        <v>5950.9696673369981</v>
      </c>
      <c r="N72" s="85">
        <f t="shared" si="19"/>
        <v>5950.9696673369981</v>
      </c>
      <c r="O72" s="85">
        <f t="shared" si="19"/>
        <v>5950.9696673369981</v>
      </c>
      <c r="P72" s="103"/>
      <c r="Q72" s="73"/>
      <c r="R72" s="73"/>
      <c r="S72" s="73"/>
      <c r="T72" s="73"/>
      <c r="U72" s="73"/>
      <c r="V72" s="73"/>
      <c r="W72" s="73"/>
      <c r="X72" s="73"/>
      <c r="Y72" s="7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4"/>
    </row>
    <row r="73" spans="1:37" s="1" customFormat="1" ht="13.5" customHeight="1">
      <c r="A73" s="527"/>
      <c r="B73" s="131">
        <v>11</v>
      </c>
      <c r="C73" s="131" t="s">
        <v>33</v>
      </c>
      <c r="D73" s="121">
        <f t="shared" si="16"/>
        <v>208910.46905187005</v>
      </c>
      <c r="E73" s="93"/>
      <c r="F73" s="85">
        <f>(F56+F66+F59+F60)</f>
        <v>13113.498905187002</v>
      </c>
      <c r="G73" s="85">
        <f t="shared" ref="G73:O73" si="20">(G56+G66+G59+G60)</f>
        <v>21755.218905187001</v>
      </c>
      <c r="H73" s="85">
        <f t="shared" si="20"/>
        <v>21755.218905187001</v>
      </c>
      <c r="I73" s="85">
        <f t="shared" si="20"/>
        <v>21755.218905187001</v>
      </c>
      <c r="J73" s="85">
        <f t="shared" si="20"/>
        <v>21755.218905187001</v>
      </c>
      <c r="K73" s="85">
        <f t="shared" si="20"/>
        <v>21755.218905187001</v>
      </c>
      <c r="L73" s="85">
        <f t="shared" si="20"/>
        <v>21755.218905187001</v>
      </c>
      <c r="M73" s="85">
        <f t="shared" si="20"/>
        <v>21755.218905187001</v>
      </c>
      <c r="N73" s="85">
        <f t="shared" si="20"/>
        <v>21755.218905187001</v>
      </c>
      <c r="O73" s="85">
        <f t="shared" si="20"/>
        <v>21755.218905187001</v>
      </c>
      <c r="P73" s="103"/>
      <c r="Q73" s="73"/>
      <c r="R73" s="73"/>
      <c r="S73" s="73"/>
      <c r="T73" s="73"/>
      <c r="U73" s="73"/>
      <c r="V73" s="73"/>
      <c r="W73" s="73"/>
      <c r="X73" s="7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4"/>
    </row>
    <row r="74" spans="1:37" s="1" customFormat="1" ht="13.5" customHeight="1">
      <c r="A74" s="527" t="s">
        <v>352</v>
      </c>
      <c r="B74" s="131">
        <v>1</v>
      </c>
      <c r="C74" s="83" t="s">
        <v>26</v>
      </c>
      <c r="D74" s="121">
        <f t="shared" si="16"/>
        <v>316800</v>
      </c>
      <c r="E74" s="93"/>
      <c r="F74" s="85">
        <f>$D$34*F55</f>
        <v>19800</v>
      </c>
      <c r="G74" s="85">
        <f t="shared" ref="G74:O74" si="21">$D$34*G55</f>
        <v>33000</v>
      </c>
      <c r="H74" s="85">
        <f t="shared" si="21"/>
        <v>33000</v>
      </c>
      <c r="I74" s="85">
        <f t="shared" si="21"/>
        <v>33000</v>
      </c>
      <c r="J74" s="85">
        <f t="shared" si="21"/>
        <v>33000</v>
      </c>
      <c r="K74" s="85">
        <f t="shared" si="21"/>
        <v>33000</v>
      </c>
      <c r="L74" s="85">
        <f t="shared" si="21"/>
        <v>33000</v>
      </c>
      <c r="M74" s="85">
        <f t="shared" si="21"/>
        <v>33000</v>
      </c>
      <c r="N74" s="85">
        <f t="shared" si="21"/>
        <v>33000</v>
      </c>
      <c r="O74" s="85">
        <f t="shared" si="21"/>
        <v>33000</v>
      </c>
      <c r="P74" s="107"/>
      <c r="Q74" s="73"/>
      <c r="R74" s="73"/>
      <c r="S74" s="73"/>
      <c r="T74" s="73"/>
      <c r="U74" s="73"/>
      <c r="V74" s="73"/>
      <c r="W74" s="73"/>
      <c r="X74" s="113"/>
      <c r="Y74" s="7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4"/>
    </row>
    <row r="75" spans="1:37" ht="13.5" customHeight="1">
      <c r="A75" s="527"/>
      <c r="B75" s="132">
        <v>2</v>
      </c>
      <c r="C75" s="122" t="s">
        <v>194</v>
      </c>
      <c r="D75" s="121">
        <f t="shared" si="16"/>
        <v>15840</v>
      </c>
      <c r="E75" s="94"/>
      <c r="F75" s="85">
        <f>F74*$D$26</f>
        <v>990</v>
      </c>
      <c r="G75" s="85">
        <f t="shared" ref="G75:O75" si="22">G74*$D$26</f>
        <v>1650</v>
      </c>
      <c r="H75" s="85">
        <f t="shared" si="22"/>
        <v>1650</v>
      </c>
      <c r="I75" s="85">
        <f t="shared" si="22"/>
        <v>1650</v>
      </c>
      <c r="J75" s="85">
        <f t="shared" si="22"/>
        <v>1650</v>
      </c>
      <c r="K75" s="85">
        <f t="shared" si="22"/>
        <v>1650</v>
      </c>
      <c r="L75" s="85">
        <f t="shared" si="22"/>
        <v>1650</v>
      </c>
      <c r="M75" s="85">
        <f t="shared" si="22"/>
        <v>1650</v>
      </c>
      <c r="N75" s="85">
        <f t="shared" si="22"/>
        <v>1650</v>
      </c>
      <c r="O75" s="85">
        <f t="shared" si="22"/>
        <v>1650</v>
      </c>
      <c r="Y75" s="113"/>
    </row>
    <row r="76" spans="1:37" ht="13.5" customHeight="1">
      <c r="A76" s="527"/>
      <c r="B76" s="132">
        <v>3</v>
      </c>
      <c r="C76" s="82" t="s">
        <v>94</v>
      </c>
      <c r="D76" s="121">
        <f t="shared" si="16"/>
        <v>1995.8400000000004</v>
      </c>
      <c r="E76" s="94"/>
      <c r="F76" s="85">
        <f>F77+F78+F79</f>
        <v>124.74000000000001</v>
      </c>
      <c r="G76" s="85">
        <f t="shared" ref="G76:O76" si="23">G77+G78+G79</f>
        <v>207.9</v>
      </c>
      <c r="H76" s="85">
        <f t="shared" si="23"/>
        <v>207.9</v>
      </c>
      <c r="I76" s="85">
        <f>I77+I78+I79</f>
        <v>207.9</v>
      </c>
      <c r="J76" s="85">
        <f t="shared" si="23"/>
        <v>207.9</v>
      </c>
      <c r="K76" s="85">
        <f t="shared" si="23"/>
        <v>207.9</v>
      </c>
      <c r="L76" s="85">
        <f t="shared" si="23"/>
        <v>207.9</v>
      </c>
      <c r="M76" s="85">
        <f t="shared" si="23"/>
        <v>207.9</v>
      </c>
      <c r="N76" s="85">
        <f t="shared" si="23"/>
        <v>207.9</v>
      </c>
      <c r="O76" s="85">
        <f t="shared" si="23"/>
        <v>207.9</v>
      </c>
      <c r="P76" s="107"/>
      <c r="X76" s="113"/>
      <c r="Y76" s="113"/>
    </row>
    <row r="77" spans="1:37" ht="13.5" customHeight="1">
      <c r="A77" s="527"/>
      <c r="B77" s="132">
        <v>3.1</v>
      </c>
      <c r="C77" s="132" t="s">
        <v>95</v>
      </c>
      <c r="D77" s="121">
        <f t="shared" si="16"/>
        <v>1108.8000000000002</v>
      </c>
      <c r="E77" s="94"/>
      <c r="F77" s="85">
        <f>F75*7%</f>
        <v>69.300000000000011</v>
      </c>
      <c r="G77" s="85">
        <f t="shared" ref="G77:O77" si="24">G75*7%</f>
        <v>115.50000000000001</v>
      </c>
      <c r="H77" s="85">
        <f>H75*7%</f>
        <v>115.50000000000001</v>
      </c>
      <c r="I77" s="85">
        <f t="shared" si="24"/>
        <v>115.50000000000001</v>
      </c>
      <c r="J77" s="85">
        <f t="shared" si="24"/>
        <v>115.50000000000001</v>
      </c>
      <c r="K77" s="85">
        <f t="shared" si="24"/>
        <v>115.50000000000001</v>
      </c>
      <c r="L77" s="85">
        <f t="shared" si="24"/>
        <v>115.50000000000001</v>
      </c>
      <c r="M77" s="85">
        <f t="shared" si="24"/>
        <v>115.50000000000001</v>
      </c>
      <c r="N77" s="85">
        <f t="shared" si="24"/>
        <v>115.50000000000001</v>
      </c>
      <c r="O77" s="85">
        <f t="shared" si="24"/>
        <v>115.50000000000001</v>
      </c>
      <c r="P77" s="107"/>
      <c r="X77" s="113"/>
      <c r="Y77" s="113"/>
    </row>
    <row r="78" spans="1:37" ht="13.5" customHeight="1">
      <c r="A78" s="527"/>
      <c r="B78" s="132">
        <v>3.2</v>
      </c>
      <c r="C78" s="132" t="s">
        <v>96</v>
      </c>
      <c r="D78" s="121">
        <f t="shared" si="16"/>
        <v>792</v>
      </c>
      <c r="E78" s="94"/>
      <c r="F78" s="85">
        <f>F75*5%</f>
        <v>49.5</v>
      </c>
      <c r="G78" s="85">
        <f t="shared" ref="G78:O78" si="25">G75*5%</f>
        <v>82.5</v>
      </c>
      <c r="H78" s="85">
        <f>H75*5%</f>
        <v>82.5</v>
      </c>
      <c r="I78" s="85">
        <f t="shared" si="25"/>
        <v>82.5</v>
      </c>
      <c r="J78" s="85">
        <f t="shared" si="25"/>
        <v>82.5</v>
      </c>
      <c r="K78" s="85">
        <f t="shared" si="25"/>
        <v>82.5</v>
      </c>
      <c r="L78" s="85">
        <f t="shared" si="25"/>
        <v>82.5</v>
      </c>
      <c r="M78" s="85">
        <f t="shared" si="25"/>
        <v>82.5</v>
      </c>
      <c r="N78" s="85">
        <f t="shared" si="25"/>
        <v>82.5</v>
      </c>
      <c r="O78" s="85">
        <f t="shared" si="25"/>
        <v>82.5</v>
      </c>
      <c r="P78" s="107"/>
      <c r="X78" s="113"/>
      <c r="Y78" s="113"/>
    </row>
    <row r="79" spans="1:37" ht="13.5" customHeight="1">
      <c r="A79" s="539"/>
      <c r="B79" s="132">
        <v>3.3</v>
      </c>
      <c r="C79" s="132" t="s">
        <v>97</v>
      </c>
      <c r="D79" s="121">
        <f t="shared" si="16"/>
        <v>95.039999999999992</v>
      </c>
      <c r="E79" s="94"/>
      <c r="F79" s="85">
        <f>F74*0.03%</f>
        <v>5.9399999999999995</v>
      </c>
      <c r="G79" s="85">
        <f t="shared" ref="G79:O79" si="26">G74*0.03%</f>
        <v>9.8999999999999986</v>
      </c>
      <c r="H79" s="85">
        <f t="shared" si="26"/>
        <v>9.8999999999999986</v>
      </c>
      <c r="I79" s="85">
        <f t="shared" si="26"/>
        <v>9.8999999999999986</v>
      </c>
      <c r="J79" s="85">
        <f t="shared" si="26"/>
        <v>9.8999999999999986</v>
      </c>
      <c r="K79" s="85">
        <f t="shared" si="26"/>
        <v>9.8999999999999986</v>
      </c>
      <c r="L79" s="85">
        <f t="shared" si="26"/>
        <v>9.8999999999999986</v>
      </c>
      <c r="M79" s="85">
        <f t="shared" si="26"/>
        <v>9.8999999999999986</v>
      </c>
      <c r="N79" s="85">
        <f t="shared" si="26"/>
        <v>9.8999999999999986</v>
      </c>
      <c r="O79" s="85">
        <f t="shared" si="26"/>
        <v>9.8999999999999986</v>
      </c>
      <c r="P79" s="107"/>
      <c r="Q79" s="113"/>
      <c r="R79" s="113"/>
      <c r="S79" s="113"/>
      <c r="T79" s="113"/>
      <c r="U79" s="113"/>
      <c r="V79" s="113"/>
      <c r="W79" s="113"/>
      <c r="X79" s="113"/>
      <c r="Y79" s="113"/>
    </row>
    <row r="80" spans="1:37" ht="13.5" customHeight="1">
      <c r="A80" s="527" t="s">
        <v>354</v>
      </c>
      <c r="B80" s="132">
        <v>1</v>
      </c>
      <c r="C80" s="82" t="s">
        <v>26</v>
      </c>
      <c r="D80" s="85">
        <f t="shared" si="16"/>
        <v>316800</v>
      </c>
      <c r="E80" s="94"/>
      <c r="F80" s="85">
        <f t="shared" ref="F80:O80" si="27">F74</f>
        <v>19800</v>
      </c>
      <c r="G80" s="85">
        <f t="shared" si="27"/>
        <v>33000</v>
      </c>
      <c r="H80" s="85">
        <f t="shared" si="27"/>
        <v>33000</v>
      </c>
      <c r="I80" s="85">
        <f t="shared" si="27"/>
        <v>33000</v>
      </c>
      <c r="J80" s="85">
        <f t="shared" si="27"/>
        <v>33000</v>
      </c>
      <c r="K80" s="85">
        <f t="shared" si="27"/>
        <v>33000</v>
      </c>
      <c r="L80" s="85">
        <f t="shared" si="27"/>
        <v>33000</v>
      </c>
      <c r="M80" s="85">
        <f t="shared" si="27"/>
        <v>33000</v>
      </c>
      <c r="N80" s="85">
        <f t="shared" si="27"/>
        <v>33000</v>
      </c>
      <c r="O80" s="85">
        <f t="shared" si="27"/>
        <v>33000</v>
      </c>
      <c r="P80" s="107"/>
      <c r="X80" s="113"/>
    </row>
    <row r="81" spans="1:23" ht="13.5" customHeight="1">
      <c r="A81" s="527"/>
      <c r="B81" s="132">
        <v>2</v>
      </c>
      <c r="C81" s="132" t="s">
        <v>98</v>
      </c>
      <c r="D81" s="85">
        <f t="shared" si="16"/>
        <v>0</v>
      </c>
      <c r="E81" s="94"/>
      <c r="F81" s="85">
        <f t="shared" ref="F81:O81" si="28">F75*$D$28+F80*$D$29</f>
        <v>0</v>
      </c>
      <c r="G81" s="85">
        <f t="shared" si="28"/>
        <v>0</v>
      </c>
      <c r="H81" s="85">
        <f t="shared" si="28"/>
        <v>0</v>
      </c>
      <c r="I81" s="85">
        <f t="shared" si="28"/>
        <v>0</v>
      </c>
      <c r="J81" s="85">
        <f t="shared" si="28"/>
        <v>0</v>
      </c>
      <c r="K81" s="85">
        <f t="shared" si="28"/>
        <v>0</v>
      </c>
      <c r="L81" s="85">
        <f t="shared" si="28"/>
        <v>0</v>
      </c>
      <c r="M81" s="85">
        <f t="shared" si="28"/>
        <v>0</v>
      </c>
      <c r="N81" s="85">
        <f t="shared" si="28"/>
        <v>0</v>
      </c>
      <c r="O81" s="85">
        <f t="shared" si="28"/>
        <v>0</v>
      </c>
      <c r="Q81" s="113"/>
      <c r="R81" s="113"/>
      <c r="S81" s="113"/>
      <c r="T81" s="113"/>
      <c r="U81" s="113"/>
      <c r="V81" s="113"/>
      <c r="W81" s="113"/>
    </row>
    <row r="82" spans="1:23" ht="13.5" customHeight="1">
      <c r="A82" s="527"/>
      <c r="B82" s="132">
        <v>3</v>
      </c>
      <c r="C82" s="122" t="s">
        <v>193</v>
      </c>
      <c r="D82" s="85">
        <f t="shared" si="16"/>
        <v>17835.84</v>
      </c>
      <c r="E82" s="94"/>
      <c r="F82" s="85">
        <f>F83+F84</f>
        <v>1114.74</v>
      </c>
      <c r="G82" s="85">
        <f t="shared" ref="G82:O82" si="29">G83+G84</f>
        <v>1857.9</v>
      </c>
      <c r="H82" s="85">
        <f t="shared" si="29"/>
        <v>1857.9</v>
      </c>
      <c r="I82" s="85">
        <f t="shared" si="29"/>
        <v>1857.9</v>
      </c>
      <c r="J82" s="85">
        <f t="shared" si="29"/>
        <v>1857.9</v>
      </c>
      <c r="K82" s="85">
        <f t="shared" si="29"/>
        <v>1857.9</v>
      </c>
      <c r="L82" s="85">
        <f t="shared" si="29"/>
        <v>1857.9</v>
      </c>
      <c r="M82" s="85">
        <f t="shared" si="29"/>
        <v>1857.9</v>
      </c>
      <c r="N82" s="85">
        <f t="shared" si="29"/>
        <v>1857.9</v>
      </c>
      <c r="O82" s="85">
        <f t="shared" si="29"/>
        <v>1857.9</v>
      </c>
      <c r="Q82" s="113"/>
      <c r="R82" s="113"/>
      <c r="S82" s="113"/>
      <c r="T82" s="113"/>
      <c r="U82" s="113"/>
      <c r="V82" s="113"/>
      <c r="W82" s="113"/>
    </row>
    <row r="83" spans="1:23" ht="13.5" customHeight="1">
      <c r="A83" s="527"/>
      <c r="B83" s="132">
        <v>3.1</v>
      </c>
      <c r="C83" s="82" t="s">
        <v>61</v>
      </c>
      <c r="D83" s="85">
        <f t="shared" si="16"/>
        <v>1995.8400000000004</v>
      </c>
      <c r="E83" s="94"/>
      <c r="F83" s="85">
        <f>F76</f>
        <v>124.74000000000001</v>
      </c>
      <c r="G83" s="85">
        <f>G76</f>
        <v>207.9</v>
      </c>
      <c r="H83" s="85">
        <f t="shared" ref="H83:O83" si="30">H76</f>
        <v>207.9</v>
      </c>
      <c r="I83" s="85">
        <f t="shared" si="30"/>
        <v>207.9</v>
      </c>
      <c r="J83" s="85">
        <f t="shared" si="30"/>
        <v>207.9</v>
      </c>
      <c r="K83" s="85">
        <f t="shared" si="30"/>
        <v>207.9</v>
      </c>
      <c r="L83" s="85">
        <f t="shared" si="30"/>
        <v>207.9</v>
      </c>
      <c r="M83" s="85">
        <f t="shared" si="30"/>
        <v>207.9</v>
      </c>
      <c r="N83" s="85">
        <f t="shared" si="30"/>
        <v>207.9</v>
      </c>
      <c r="O83" s="85">
        <f t="shared" si="30"/>
        <v>207.9</v>
      </c>
      <c r="Q83" s="113"/>
      <c r="R83" s="113"/>
      <c r="S83" s="113"/>
      <c r="T83" s="113"/>
      <c r="U83" s="113"/>
      <c r="V83" s="113"/>
      <c r="W83" s="113"/>
    </row>
    <row r="84" spans="1:23" ht="13.5" customHeight="1">
      <c r="A84" s="527"/>
      <c r="B84" s="132">
        <v>3.2</v>
      </c>
      <c r="C84" s="122" t="s">
        <v>194</v>
      </c>
      <c r="D84" s="85">
        <f t="shared" si="16"/>
        <v>15840</v>
      </c>
      <c r="E84" s="94"/>
      <c r="F84" s="85">
        <f>F75</f>
        <v>990</v>
      </c>
      <c r="G84" s="85">
        <f t="shared" ref="G84:O84" si="31">G75</f>
        <v>1650</v>
      </c>
      <c r="H84" s="85">
        <f>H75</f>
        <v>1650</v>
      </c>
      <c r="I84" s="85">
        <f t="shared" si="31"/>
        <v>1650</v>
      </c>
      <c r="J84" s="85">
        <f t="shared" si="31"/>
        <v>1650</v>
      </c>
      <c r="K84" s="85">
        <f t="shared" si="31"/>
        <v>1650</v>
      </c>
      <c r="L84" s="85">
        <f t="shared" si="31"/>
        <v>1650</v>
      </c>
      <c r="M84" s="85">
        <f t="shared" si="31"/>
        <v>1650</v>
      </c>
      <c r="N84" s="85">
        <f t="shared" si="31"/>
        <v>1650</v>
      </c>
      <c r="O84" s="85">
        <f t="shared" si="31"/>
        <v>1650</v>
      </c>
      <c r="Q84" s="113"/>
      <c r="R84" s="113"/>
      <c r="S84" s="113"/>
      <c r="T84" s="113"/>
      <c r="U84" s="113"/>
      <c r="V84" s="113"/>
      <c r="W84" s="113"/>
    </row>
    <row r="85" spans="1:23" ht="13.5" customHeight="1">
      <c r="A85" s="527"/>
      <c r="B85" s="132">
        <v>4</v>
      </c>
      <c r="C85" s="132" t="s">
        <v>91</v>
      </c>
      <c r="D85" s="85">
        <f t="shared" ref="D85:D93" si="32">SUM(F85:O85)</f>
        <v>219512.48667336995</v>
      </c>
      <c r="E85" s="94"/>
      <c r="F85" s="85">
        <f>F70</f>
        <v>14258.151667336999</v>
      </c>
      <c r="G85" s="85">
        <f>G70</f>
        <v>23049.871667337</v>
      </c>
      <c r="H85" s="85">
        <f>H70</f>
        <v>23049.871667337</v>
      </c>
      <c r="I85" s="85">
        <f t="shared" ref="I85:O85" si="33">I70</f>
        <v>23049.871667337</v>
      </c>
      <c r="J85" s="85">
        <f t="shared" si="33"/>
        <v>23049.871667337</v>
      </c>
      <c r="K85" s="85">
        <f t="shared" si="33"/>
        <v>22610.969667336998</v>
      </c>
      <c r="L85" s="85">
        <f t="shared" si="33"/>
        <v>22610.969667336998</v>
      </c>
      <c r="M85" s="85">
        <f t="shared" si="33"/>
        <v>22610.969667336998</v>
      </c>
      <c r="N85" s="85">
        <f t="shared" si="33"/>
        <v>22610.969667336998</v>
      </c>
      <c r="O85" s="85">
        <f t="shared" si="33"/>
        <v>22610.969667336998</v>
      </c>
      <c r="Q85" s="113"/>
      <c r="R85" s="113"/>
      <c r="S85" s="113"/>
      <c r="T85" s="113"/>
      <c r="U85" s="113"/>
      <c r="V85" s="113"/>
      <c r="W85" s="113"/>
    </row>
    <row r="86" spans="1:23" ht="13.5" customHeight="1">
      <c r="A86" s="527"/>
      <c r="B86" s="132">
        <v>5</v>
      </c>
      <c r="C86" s="132" t="s">
        <v>100</v>
      </c>
      <c r="D86" s="85">
        <f t="shared" si="32"/>
        <v>79451.67332663</v>
      </c>
      <c r="E86" s="123"/>
      <c r="F86" s="85">
        <f>F80+F81-F82-F85</f>
        <v>4427.1083326629996</v>
      </c>
      <c r="G86" s="85">
        <f t="shared" ref="G86:O86" si="34">G80+G81-G82-G85</f>
        <v>8092.2283326629986</v>
      </c>
      <c r="H86" s="85">
        <f>H80+H81-H82-H85</f>
        <v>8092.2283326629986</v>
      </c>
      <c r="I86" s="85">
        <f t="shared" si="34"/>
        <v>8092.2283326629986</v>
      </c>
      <c r="J86" s="85">
        <f t="shared" si="34"/>
        <v>8092.2283326629986</v>
      </c>
      <c r="K86" s="85">
        <f t="shared" si="34"/>
        <v>8531.1303326630004</v>
      </c>
      <c r="L86" s="85">
        <f t="shared" si="34"/>
        <v>8531.1303326630004</v>
      </c>
      <c r="M86" s="85">
        <f t="shared" si="34"/>
        <v>8531.1303326630004</v>
      </c>
      <c r="N86" s="85">
        <f t="shared" si="34"/>
        <v>8531.1303326630004</v>
      </c>
      <c r="O86" s="85">
        <f t="shared" si="34"/>
        <v>8531.1303326630004</v>
      </c>
    </row>
    <row r="87" spans="1:23" ht="13.5" customHeight="1">
      <c r="A87" s="527"/>
      <c r="B87" s="132">
        <v>6</v>
      </c>
      <c r="C87" s="132" t="s">
        <v>62</v>
      </c>
      <c r="D87" s="85">
        <f t="shared" si="32"/>
        <v>19862.9183316575</v>
      </c>
      <c r="E87" s="94"/>
      <c r="F87" s="85">
        <f>F86*$D$27</f>
        <v>1106.7770831657499</v>
      </c>
      <c r="G87" s="85">
        <f t="shared" ref="G87:O87" si="35">G86*$D$27</f>
        <v>2023.0570831657496</v>
      </c>
      <c r="H87" s="85">
        <f>H86*$D$27</f>
        <v>2023.0570831657496</v>
      </c>
      <c r="I87" s="85">
        <f t="shared" si="35"/>
        <v>2023.0570831657496</v>
      </c>
      <c r="J87" s="85">
        <f t="shared" si="35"/>
        <v>2023.0570831657496</v>
      </c>
      <c r="K87" s="85">
        <f t="shared" si="35"/>
        <v>2132.7825831657501</v>
      </c>
      <c r="L87" s="85">
        <f t="shared" si="35"/>
        <v>2132.7825831657501</v>
      </c>
      <c r="M87" s="85">
        <f t="shared" si="35"/>
        <v>2132.7825831657501</v>
      </c>
      <c r="N87" s="85">
        <f t="shared" si="35"/>
        <v>2132.7825831657501</v>
      </c>
      <c r="O87" s="85">
        <f t="shared" si="35"/>
        <v>2132.7825831657501</v>
      </c>
      <c r="P87" s="119"/>
    </row>
    <row r="88" spans="1:23" ht="13.5" customHeight="1">
      <c r="A88" s="527"/>
      <c r="B88" s="132">
        <v>7</v>
      </c>
      <c r="C88" s="132" t="s">
        <v>101</v>
      </c>
      <c r="D88" s="85">
        <f t="shared" si="32"/>
        <v>59588.754994972478</v>
      </c>
      <c r="E88" s="123"/>
      <c r="F88" s="85">
        <f>F86-F87</f>
        <v>3320.3312494972497</v>
      </c>
      <c r="G88" s="85">
        <f>G86-G87</f>
        <v>6069.1712494972489</v>
      </c>
      <c r="H88" s="85">
        <f t="shared" ref="H88:O88" si="36">H86-H87</f>
        <v>6069.1712494972489</v>
      </c>
      <c r="I88" s="85">
        <f t="shared" si="36"/>
        <v>6069.1712494972489</v>
      </c>
      <c r="J88" s="85">
        <f t="shared" si="36"/>
        <v>6069.1712494972489</v>
      </c>
      <c r="K88" s="85">
        <f t="shared" si="36"/>
        <v>6398.3477494972503</v>
      </c>
      <c r="L88" s="85">
        <f t="shared" si="36"/>
        <v>6398.3477494972503</v>
      </c>
      <c r="M88" s="85">
        <f t="shared" si="36"/>
        <v>6398.3477494972503</v>
      </c>
      <c r="N88" s="85">
        <f t="shared" si="36"/>
        <v>6398.3477494972503</v>
      </c>
      <c r="O88" s="85">
        <f t="shared" si="36"/>
        <v>6398.3477494972503</v>
      </c>
    </row>
    <row r="89" spans="1:23" ht="13.5" customHeight="1">
      <c r="A89" s="527"/>
      <c r="B89" s="132">
        <v>8</v>
      </c>
      <c r="C89" s="132" t="s">
        <v>46</v>
      </c>
      <c r="D89" s="85">
        <f t="shared" si="32"/>
        <v>0</v>
      </c>
      <c r="E89" s="94"/>
      <c r="F89" s="85">
        <f t="shared" ref="F89:O89" si="37">F88*$D$21</f>
        <v>0</v>
      </c>
      <c r="G89" s="85">
        <f t="shared" si="37"/>
        <v>0</v>
      </c>
      <c r="H89" s="85">
        <f t="shared" si="37"/>
        <v>0</v>
      </c>
      <c r="I89" s="85">
        <f t="shared" si="37"/>
        <v>0</v>
      </c>
      <c r="J89" s="85">
        <f t="shared" si="37"/>
        <v>0</v>
      </c>
      <c r="K89" s="85">
        <f t="shared" si="37"/>
        <v>0</v>
      </c>
      <c r="L89" s="85">
        <f t="shared" si="37"/>
        <v>0</v>
      </c>
      <c r="M89" s="85">
        <f t="shared" si="37"/>
        <v>0</v>
      </c>
      <c r="N89" s="85">
        <f t="shared" si="37"/>
        <v>0</v>
      </c>
      <c r="O89" s="85">
        <f t="shared" si="37"/>
        <v>0</v>
      </c>
    </row>
    <row r="90" spans="1:23" ht="13.5" customHeight="1">
      <c r="A90" s="527"/>
      <c r="B90" s="132">
        <v>9</v>
      </c>
      <c r="C90" s="132" t="s">
        <v>54</v>
      </c>
      <c r="D90" s="85">
        <f t="shared" si="32"/>
        <v>8938.3132492458735</v>
      </c>
      <c r="E90" s="94"/>
      <c r="F90" s="85">
        <f>F88*$D$30</f>
        <v>498.04968742458743</v>
      </c>
      <c r="G90" s="85">
        <f t="shared" ref="G90:O90" si="38">G88*$D$30</f>
        <v>910.37568742458734</v>
      </c>
      <c r="H90" s="85">
        <f t="shared" si="38"/>
        <v>910.37568742458734</v>
      </c>
      <c r="I90" s="85">
        <f t="shared" si="38"/>
        <v>910.37568742458734</v>
      </c>
      <c r="J90" s="85">
        <f t="shared" si="38"/>
        <v>910.37568742458734</v>
      </c>
      <c r="K90" s="85">
        <f t="shared" si="38"/>
        <v>959.75216242458748</v>
      </c>
      <c r="L90" s="85">
        <f t="shared" si="38"/>
        <v>959.75216242458748</v>
      </c>
      <c r="M90" s="85">
        <f t="shared" si="38"/>
        <v>959.75216242458748</v>
      </c>
      <c r="N90" s="85">
        <f t="shared" si="38"/>
        <v>959.75216242458748</v>
      </c>
      <c r="O90" s="85">
        <f t="shared" si="38"/>
        <v>959.75216242458748</v>
      </c>
    </row>
    <row r="91" spans="1:23" ht="13.5" customHeight="1">
      <c r="A91" s="527"/>
      <c r="B91" s="132">
        <v>10</v>
      </c>
      <c r="C91" s="132" t="s">
        <v>102</v>
      </c>
      <c r="D91" s="85">
        <f t="shared" si="32"/>
        <v>0</v>
      </c>
      <c r="E91" s="94"/>
      <c r="F91" s="85">
        <f t="shared" ref="F91:O91" si="39">F88*$D$31</f>
        <v>0</v>
      </c>
      <c r="G91" s="85">
        <f t="shared" si="39"/>
        <v>0</v>
      </c>
      <c r="H91" s="85">
        <f t="shared" si="39"/>
        <v>0</v>
      </c>
      <c r="I91" s="85">
        <f t="shared" si="39"/>
        <v>0</v>
      </c>
      <c r="J91" s="85">
        <f t="shared" si="39"/>
        <v>0</v>
      </c>
      <c r="K91" s="85">
        <f t="shared" si="39"/>
        <v>0</v>
      </c>
      <c r="L91" s="85">
        <f t="shared" si="39"/>
        <v>0</v>
      </c>
      <c r="M91" s="85">
        <f t="shared" si="39"/>
        <v>0</v>
      </c>
      <c r="N91" s="85">
        <f t="shared" si="39"/>
        <v>0</v>
      </c>
      <c r="O91" s="85">
        <f t="shared" si="39"/>
        <v>0</v>
      </c>
    </row>
    <row r="92" spans="1:23" ht="13.5" customHeight="1">
      <c r="A92" s="527"/>
      <c r="B92" s="132">
        <v>11</v>
      </c>
      <c r="C92" s="132" t="s">
        <v>103</v>
      </c>
      <c r="D92" s="85">
        <f t="shared" si="32"/>
        <v>50650.441745726617</v>
      </c>
      <c r="E92" s="94">
        <v>0</v>
      </c>
      <c r="F92" s="85">
        <f t="shared" ref="F92:O92" si="40">F88-F89-F90-F91</f>
        <v>2822.2815620726624</v>
      </c>
      <c r="G92" s="85">
        <f t="shared" si="40"/>
        <v>5158.7955620726616</v>
      </c>
      <c r="H92" s="85">
        <f t="shared" si="40"/>
        <v>5158.7955620726616</v>
      </c>
      <c r="I92" s="85">
        <f t="shared" si="40"/>
        <v>5158.7955620726616</v>
      </c>
      <c r="J92" s="85">
        <f t="shared" si="40"/>
        <v>5158.7955620726616</v>
      </c>
      <c r="K92" s="85">
        <f t="shared" si="40"/>
        <v>5438.595587072663</v>
      </c>
      <c r="L92" s="85">
        <f t="shared" si="40"/>
        <v>5438.595587072663</v>
      </c>
      <c r="M92" s="85">
        <f t="shared" si="40"/>
        <v>5438.595587072663</v>
      </c>
      <c r="N92" s="85">
        <f t="shared" si="40"/>
        <v>5438.595587072663</v>
      </c>
      <c r="O92" s="85">
        <f t="shared" si="40"/>
        <v>5438.595587072663</v>
      </c>
    </row>
    <row r="93" spans="1:23" ht="13.5" customHeight="1">
      <c r="A93" s="527"/>
      <c r="B93" s="132">
        <v>12</v>
      </c>
      <c r="C93" s="132" t="s">
        <v>104</v>
      </c>
      <c r="D93" s="85">
        <f t="shared" si="32"/>
        <v>50650.441745726617</v>
      </c>
      <c r="E93" s="94">
        <v>0</v>
      </c>
      <c r="F93" s="85">
        <f t="shared" ref="F93:O93" si="41">F92</f>
        <v>2822.2815620726624</v>
      </c>
      <c r="G93" s="85">
        <f t="shared" si="41"/>
        <v>5158.7955620726616</v>
      </c>
      <c r="H93" s="85">
        <f t="shared" si="41"/>
        <v>5158.7955620726616</v>
      </c>
      <c r="I93" s="85">
        <f t="shared" si="41"/>
        <v>5158.7955620726616</v>
      </c>
      <c r="J93" s="85">
        <f t="shared" si="41"/>
        <v>5158.7955620726616</v>
      </c>
      <c r="K93" s="85">
        <f t="shared" si="41"/>
        <v>5438.595587072663</v>
      </c>
      <c r="L93" s="85">
        <f t="shared" si="41"/>
        <v>5438.595587072663</v>
      </c>
      <c r="M93" s="85">
        <f t="shared" si="41"/>
        <v>5438.595587072663</v>
      </c>
      <c r="N93" s="85">
        <f t="shared" si="41"/>
        <v>5438.595587072663</v>
      </c>
      <c r="O93" s="85">
        <f t="shared" si="41"/>
        <v>5438.595587072663</v>
      </c>
    </row>
    <row r="94" spans="1:23" ht="13.5" customHeight="1">
      <c r="A94" s="527"/>
      <c r="B94" s="132">
        <v>13</v>
      </c>
      <c r="C94" s="132" t="s">
        <v>105</v>
      </c>
      <c r="D94" s="94"/>
      <c r="E94" s="94">
        <v>0</v>
      </c>
      <c r="F94" s="85">
        <f t="shared" ref="F94:O94" si="42">E94+F93</f>
        <v>2822.2815620726624</v>
      </c>
      <c r="G94" s="85">
        <f t="shared" si="42"/>
        <v>7981.077124145324</v>
      </c>
      <c r="H94" s="85">
        <f t="shared" si="42"/>
        <v>13139.872686217986</v>
      </c>
      <c r="I94" s="85">
        <f t="shared" si="42"/>
        <v>18298.668248290647</v>
      </c>
      <c r="J94" s="85">
        <f t="shared" si="42"/>
        <v>23457.463810363308</v>
      </c>
      <c r="K94" s="85">
        <f>J94+K93</f>
        <v>28896.059397435973</v>
      </c>
      <c r="L94" s="85">
        <f t="shared" si="42"/>
        <v>34334.654984508634</v>
      </c>
      <c r="M94" s="85">
        <f t="shared" si="42"/>
        <v>39773.250571581295</v>
      </c>
      <c r="N94" s="85">
        <f>M94+N93</f>
        <v>45211.846158653956</v>
      </c>
      <c r="O94" s="85">
        <f t="shared" si="42"/>
        <v>50650.441745726617</v>
      </c>
    </row>
    <row r="95" spans="1:23" ht="13.5" customHeight="1">
      <c r="A95" s="527" t="s">
        <v>106</v>
      </c>
      <c r="B95" s="132">
        <v>1</v>
      </c>
      <c r="C95" s="132" t="s">
        <v>107</v>
      </c>
      <c r="D95" s="85">
        <f t="shared" ref="D95:D106" si="43">SUM(F95:O95)</f>
        <v>316800</v>
      </c>
      <c r="E95" s="94">
        <v>0</v>
      </c>
      <c r="F95" s="85">
        <f>SUM(F96:F99)</f>
        <v>19800</v>
      </c>
      <c r="G95" s="85">
        <f t="shared" ref="G95:O95" si="44">SUM(G96:G99)</f>
        <v>33000</v>
      </c>
      <c r="H95" s="85">
        <f t="shared" si="44"/>
        <v>33000</v>
      </c>
      <c r="I95" s="85">
        <f t="shared" si="44"/>
        <v>33000</v>
      </c>
      <c r="J95" s="85">
        <f t="shared" si="44"/>
        <v>33000</v>
      </c>
      <c r="K95" s="85">
        <f t="shared" si="44"/>
        <v>33000</v>
      </c>
      <c r="L95" s="85">
        <f t="shared" si="44"/>
        <v>33000</v>
      </c>
      <c r="M95" s="85">
        <f t="shared" si="44"/>
        <v>33000</v>
      </c>
      <c r="N95" s="85">
        <f t="shared" si="44"/>
        <v>33000</v>
      </c>
      <c r="O95" s="85">
        <f t="shared" si="44"/>
        <v>33000</v>
      </c>
    </row>
    <row r="96" spans="1:23" ht="13.5" customHeight="1">
      <c r="A96" s="527"/>
      <c r="B96" s="132">
        <v>1.1000000000000001</v>
      </c>
      <c r="C96" s="82" t="s">
        <v>26</v>
      </c>
      <c r="D96" s="85">
        <f t="shared" si="43"/>
        <v>316800</v>
      </c>
      <c r="E96" s="94">
        <v>0</v>
      </c>
      <c r="F96" s="85">
        <f>F74</f>
        <v>19800</v>
      </c>
      <c r="G96" s="85">
        <f t="shared" ref="G96:O96" si="45">G74</f>
        <v>33000</v>
      </c>
      <c r="H96" s="85">
        <f t="shared" si="45"/>
        <v>33000</v>
      </c>
      <c r="I96" s="85">
        <f t="shared" si="45"/>
        <v>33000</v>
      </c>
      <c r="J96" s="85">
        <f t="shared" si="45"/>
        <v>33000</v>
      </c>
      <c r="K96" s="85">
        <f t="shared" si="45"/>
        <v>33000</v>
      </c>
      <c r="L96" s="85">
        <f t="shared" si="45"/>
        <v>33000</v>
      </c>
      <c r="M96" s="85">
        <f t="shared" si="45"/>
        <v>33000</v>
      </c>
      <c r="N96" s="85">
        <f t="shared" si="45"/>
        <v>33000</v>
      </c>
      <c r="O96" s="85">
        <f t="shared" si="45"/>
        <v>33000</v>
      </c>
    </row>
    <row r="97" spans="1:15" ht="13.5" customHeight="1">
      <c r="A97" s="527"/>
      <c r="B97" s="132">
        <v>1.2</v>
      </c>
      <c r="C97" s="132" t="s">
        <v>108</v>
      </c>
      <c r="D97" s="85">
        <f t="shared" si="43"/>
        <v>0</v>
      </c>
      <c r="E97" s="94"/>
      <c r="F97" s="85">
        <f t="shared" ref="F97:O97" si="46">F81</f>
        <v>0</v>
      </c>
      <c r="G97" s="85">
        <f t="shared" si="46"/>
        <v>0</v>
      </c>
      <c r="H97" s="85">
        <f t="shared" si="46"/>
        <v>0</v>
      </c>
      <c r="I97" s="85">
        <f t="shared" si="46"/>
        <v>0</v>
      </c>
      <c r="J97" s="85">
        <f t="shared" si="46"/>
        <v>0</v>
      </c>
      <c r="K97" s="85">
        <f t="shared" si="46"/>
        <v>0</v>
      </c>
      <c r="L97" s="85">
        <f t="shared" si="46"/>
        <v>0</v>
      </c>
      <c r="M97" s="85">
        <f t="shared" si="46"/>
        <v>0</v>
      </c>
      <c r="N97" s="85">
        <f t="shared" si="46"/>
        <v>0</v>
      </c>
      <c r="O97" s="85">
        <f t="shared" si="46"/>
        <v>0</v>
      </c>
    </row>
    <row r="98" spans="1:15" ht="13.5" customHeight="1">
      <c r="A98" s="527"/>
      <c r="B98" s="132">
        <v>1.3</v>
      </c>
      <c r="C98" s="132" t="s">
        <v>109</v>
      </c>
      <c r="D98" s="85">
        <f t="shared" si="43"/>
        <v>0</v>
      </c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85">
        <f>O117</f>
        <v>0</v>
      </c>
    </row>
    <row r="99" spans="1:15" ht="13.5" customHeight="1">
      <c r="A99" s="527"/>
      <c r="B99" s="132">
        <v>1.4</v>
      </c>
      <c r="C99" s="132" t="s">
        <v>110</v>
      </c>
      <c r="D99" s="85">
        <f t="shared" si="43"/>
        <v>0</v>
      </c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87">
        <v>0</v>
      </c>
    </row>
    <row r="100" spans="1:15" ht="13.5" customHeight="1">
      <c r="A100" s="527"/>
      <c r="B100" s="132">
        <v>2</v>
      </c>
      <c r="C100" s="132" t="s">
        <v>111</v>
      </c>
      <c r="D100" s="85">
        <f t="shared" si="43"/>
        <v>252829.2273835275</v>
      </c>
      <c r="E100" s="85">
        <f>SUM(E101:E105)</f>
        <v>9605.0039400000005</v>
      </c>
      <c r="F100" s="85">
        <f>SUM(F101:F105)</f>
        <v>17835.015988352752</v>
      </c>
      <c r="G100" s="85">
        <f t="shared" ref="G100:O100" si="47">SUM(G101:G105)</f>
        <v>29356.175988352752</v>
      </c>
      <c r="H100" s="85">
        <f t="shared" si="47"/>
        <v>25636.175988352752</v>
      </c>
      <c r="I100" s="85">
        <f>SUM(I101:I105)</f>
        <v>25636.175988352752</v>
      </c>
      <c r="J100" s="85">
        <f t="shared" si="47"/>
        <v>25636.175988352752</v>
      </c>
      <c r="K100" s="85">
        <f t="shared" si="47"/>
        <v>25745.901488352752</v>
      </c>
      <c r="L100" s="85">
        <f t="shared" si="47"/>
        <v>25745.901488352752</v>
      </c>
      <c r="M100" s="85">
        <f t="shared" si="47"/>
        <v>25745.901488352752</v>
      </c>
      <c r="N100" s="85">
        <f t="shared" si="47"/>
        <v>25745.901488352752</v>
      </c>
      <c r="O100" s="85">
        <f t="shared" si="47"/>
        <v>25745.901488352752</v>
      </c>
    </row>
    <row r="101" spans="1:15" ht="13.5" customHeight="1">
      <c r="A101" s="527"/>
      <c r="B101" s="132">
        <v>2.1</v>
      </c>
      <c r="C101" s="132" t="s">
        <v>112</v>
      </c>
      <c r="D101" s="85">
        <f t="shared" si="43"/>
        <v>2720</v>
      </c>
      <c r="E101" s="85">
        <f>E45</f>
        <v>9605.0039400000005</v>
      </c>
      <c r="F101" s="85">
        <f>F45</f>
        <v>0</v>
      </c>
      <c r="G101" s="85">
        <f>G45</f>
        <v>2720</v>
      </c>
      <c r="H101" s="85">
        <f>H45</f>
        <v>0</v>
      </c>
      <c r="I101" s="85">
        <f>I45</f>
        <v>0</v>
      </c>
      <c r="J101" s="94"/>
      <c r="K101" s="94"/>
      <c r="L101" s="94"/>
      <c r="M101" s="94"/>
      <c r="N101" s="94"/>
      <c r="O101" s="94"/>
    </row>
    <row r="102" spans="1:15" ht="13.5" customHeight="1">
      <c r="A102" s="527"/>
      <c r="B102" s="132">
        <v>2.2000000000000002</v>
      </c>
      <c r="C102" s="132" t="s">
        <v>71</v>
      </c>
      <c r="D102" s="85">
        <f t="shared" si="43"/>
        <v>3500</v>
      </c>
      <c r="E102" s="94">
        <v>0</v>
      </c>
      <c r="F102" s="85">
        <f>F46</f>
        <v>2500</v>
      </c>
      <c r="G102" s="85">
        <f>G46</f>
        <v>1000</v>
      </c>
      <c r="H102" s="85">
        <f>H46</f>
        <v>0</v>
      </c>
      <c r="I102" s="85">
        <f>I46</f>
        <v>0</v>
      </c>
      <c r="J102" s="94"/>
      <c r="K102" s="94"/>
      <c r="L102" s="94"/>
      <c r="M102" s="94"/>
      <c r="N102" s="94"/>
      <c r="O102" s="94"/>
    </row>
    <row r="103" spans="1:15" ht="13.5" customHeight="1">
      <c r="A103" s="527"/>
      <c r="B103" s="132">
        <v>2.2999999999999998</v>
      </c>
      <c r="C103" s="132" t="s">
        <v>113</v>
      </c>
      <c r="D103" s="85">
        <f t="shared" si="43"/>
        <v>208910.46905187005</v>
      </c>
      <c r="E103" s="94">
        <v>0</v>
      </c>
      <c r="F103" s="85">
        <f t="shared" ref="F103:O103" si="48">F73</f>
        <v>13113.498905187002</v>
      </c>
      <c r="G103" s="85">
        <f t="shared" si="48"/>
        <v>21755.218905187001</v>
      </c>
      <c r="H103" s="85">
        <f t="shared" si="48"/>
        <v>21755.218905187001</v>
      </c>
      <c r="I103" s="85">
        <f t="shared" si="48"/>
        <v>21755.218905187001</v>
      </c>
      <c r="J103" s="85">
        <f t="shared" si="48"/>
        <v>21755.218905187001</v>
      </c>
      <c r="K103" s="85">
        <f t="shared" si="48"/>
        <v>21755.218905187001</v>
      </c>
      <c r="L103" s="85">
        <f t="shared" si="48"/>
        <v>21755.218905187001</v>
      </c>
      <c r="M103" s="85">
        <f t="shared" si="48"/>
        <v>21755.218905187001</v>
      </c>
      <c r="N103" s="85">
        <f t="shared" si="48"/>
        <v>21755.218905187001</v>
      </c>
      <c r="O103" s="85">
        <f t="shared" si="48"/>
        <v>21755.218905187001</v>
      </c>
    </row>
    <row r="104" spans="1:15" ht="13.5" customHeight="1">
      <c r="A104" s="527"/>
      <c r="B104" s="132">
        <v>2.4</v>
      </c>
      <c r="C104" s="82" t="s">
        <v>99</v>
      </c>
      <c r="D104" s="85">
        <f t="shared" si="43"/>
        <v>17835.84</v>
      </c>
      <c r="E104" s="94"/>
      <c r="F104" s="85">
        <f>F82</f>
        <v>1114.74</v>
      </c>
      <c r="G104" s="85">
        <f t="shared" ref="G104:O104" si="49">G82</f>
        <v>1857.9</v>
      </c>
      <c r="H104" s="85">
        <f t="shared" si="49"/>
        <v>1857.9</v>
      </c>
      <c r="I104" s="85">
        <f t="shared" si="49"/>
        <v>1857.9</v>
      </c>
      <c r="J104" s="85">
        <f t="shared" si="49"/>
        <v>1857.9</v>
      </c>
      <c r="K104" s="85">
        <f t="shared" si="49"/>
        <v>1857.9</v>
      </c>
      <c r="L104" s="85">
        <f t="shared" si="49"/>
        <v>1857.9</v>
      </c>
      <c r="M104" s="85">
        <f t="shared" si="49"/>
        <v>1857.9</v>
      </c>
      <c r="N104" s="85">
        <f t="shared" si="49"/>
        <v>1857.9</v>
      </c>
      <c r="O104" s="85">
        <f t="shared" si="49"/>
        <v>1857.9</v>
      </c>
    </row>
    <row r="105" spans="1:15" ht="13.5" customHeight="1">
      <c r="A105" s="527"/>
      <c r="B105" s="132">
        <v>2.5</v>
      </c>
      <c r="C105" s="132" t="s">
        <v>114</v>
      </c>
      <c r="D105" s="85">
        <f t="shared" si="43"/>
        <v>19862.9183316575</v>
      </c>
      <c r="E105" s="94">
        <v>0</v>
      </c>
      <c r="F105" s="85">
        <f>F87</f>
        <v>1106.7770831657499</v>
      </c>
      <c r="G105" s="85">
        <f t="shared" ref="G105:O105" si="50">G87</f>
        <v>2023.0570831657496</v>
      </c>
      <c r="H105" s="85">
        <f>H87</f>
        <v>2023.0570831657496</v>
      </c>
      <c r="I105" s="85">
        <f t="shared" si="50"/>
        <v>2023.0570831657496</v>
      </c>
      <c r="J105" s="85">
        <f t="shared" si="50"/>
        <v>2023.0570831657496</v>
      </c>
      <c r="K105" s="85">
        <f t="shared" si="50"/>
        <v>2132.7825831657501</v>
      </c>
      <c r="L105" s="85">
        <f t="shared" si="50"/>
        <v>2132.7825831657501</v>
      </c>
      <c r="M105" s="85">
        <f t="shared" si="50"/>
        <v>2132.7825831657501</v>
      </c>
      <c r="N105" s="85">
        <f t="shared" si="50"/>
        <v>2132.7825831657501</v>
      </c>
      <c r="O105" s="85">
        <f t="shared" si="50"/>
        <v>2132.7825831657501</v>
      </c>
    </row>
    <row r="106" spans="1:15" ht="13.5" customHeight="1">
      <c r="A106" s="527"/>
      <c r="B106" s="132">
        <v>3</v>
      </c>
      <c r="C106" s="82" t="s">
        <v>115</v>
      </c>
      <c r="D106" s="85">
        <f t="shared" si="43"/>
        <v>63970.772616472459</v>
      </c>
      <c r="E106" s="85">
        <f>E95-E100</f>
        <v>-9605.0039400000005</v>
      </c>
      <c r="F106" s="85">
        <f t="shared" ref="F106:O106" si="51">F95-F100</f>
        <v>1964.9840116472478</v>
      </c>
      <c r="G106" s="85">
        <f t="shared" si="51"/>
        <v>3643.824011647248</v>
      </c>
      <c r="H106" s="85">
        <f t="shared" si="51"/>
        <v>7363.824011647248</v>
      </c>
      <c r="I106" s="85">
        <f>I95-I100</f>
        <v>7363.824011647248</v>
      </c>
      <c r="J106" s="85">
        <f t="shared" si="51"/>
        <v>7363.824011647248</v>
      </c>
      <c r="K106" s="85">
        <f t="shared" si="51"/>
        <v>7254.0985116472475</v>
      </c>
      <c r="L106" s="85">
        <f t="shared" si="51"/>
        <v>7254.0985116472475</v>
      </c>
      <c r="M106" s="85">
        <f t="shared" si="51"/>
        <v>7254.0985116472475</v>
      </c>
      <c r="N106" s="85">
        <f t="shared" si="51"/>
        <v>7254.0985116472475</v>
      </c>
      <c r="O106" s="85">
        <f t="shared" si="51"/>
        <v>7254.0985116472475</v>
      </c>
    </row>
    <row r="107" spans="1:15" ht="13.5" customHeight="1">
      <c r="A107" s="527"/>
      <c r="B107" s="132">
        <v>4</v>
      </c>
      <c r="C107" s="82" t="s">
        <v>116</v>
      </c>
      <c r="D107" s="94"/>
      <c r="E107" s="85">
        <f>E106</f>
        <v>-9605.0039400000005</v>
      </c>
      <c r="F107" s="85">
        <f t="shared" ref="F107:O107" si="52">E107+F106</f>
        <v>-7640.0199283527527</v>
      </c>
      <c r="G107" s="85">
        <f t="shared" si="52"/>
        <v>-3996.1959167055047</v>
      </c>
      <c r="H107" s="85">
        <f t="shared" si="52"/>
        <v>3367.6280949417433</v>
      </c>
      <c r="I107" s="85">
        <f t="shared" si="52"/>
        <v>10731.452106588991</v>
      </c>
      <c r="J107" s="85">
        <f t="shared" si="52"/>
        <v>18095.276118236237</v>
      </c>
      <c r="K107" s="85">
        <f>J107+K106</f>
        <v>25349.374629883485</v>
      </c>
      <c r="L107" s="85">
        <f t="shared" si="52"/>
        <v>32603.473141530732</v>
      </c>
      <c r="M107" s="85">
        <f t="shared" si="52"/>
        <v>39857.571653177976</v>
      </c>
      <c r="N107" s="85">
        <f>M107+N106</f>
        <v>47111.67016482522</v>
      </c>
      <c r="O107" s="85">
        <f t="shared" si="52"/>
        <v>54365.768676472464</v>
      </c>
    </row>
    <row r="108" spans="1:15" ht="13.5" customHeight="1">
      <c r="A108" s="527"/>
      <c r="B108" s="132">
        <v>5</v>
      </c>
      <c r="C108" s="132" t="s">
        <v>117</v>
      </c>
      <c r="D108" s="94"/>
      <c r="E108" s="85">
        <f>E106+E105</f>
        <v>-9605.0039400000005</v>
      </c>
      <c r="F108" s="85">
        <f>F106+F105</f>
        <v>3071.7610948129977</v>
      </c>
      <c r="G108" s="85">
        <f t="shared" ref="G108:O108" si="53">G106+G105</f>
        <v>5666.8810948129976</v>
      </c>
      <c r="H108" s="85">
        <f t="shared" si="53"/>
        <v>9386.8810948129976</v>
      </c>
      <c r="I108" s="85">
        <f t="shared" si="53"/>
        <v>9386.8810948129976</v>
      </c>
      <c r="J108" s="85">
        <f t="shared" si="53"/>
        <v>9386.8810948129976</v>
      </c>
      <c r="K108" s="85">
        <f t="shared" si="53"/>
        <v>9386.8810948129976</v>
      </c>
      <c r="L108" s="85">
        <f t="shared" si="53"/>
        <v>9386.8810948129976</v>
      </c>
      <c r="M108" s="85">
        <f t="shared" si="53"/>
        <v>9386.8810948129976</v>
      </c>
      <c r="N108" s="85">
        <f>N106+N105</f>
        <v>9386.8810948129976</v>
      </c>
      <c r="O108" s="85">
        <f t="shared" si="53"/>
        <v>9386.8810948129976</v>
      </c>
    </row>
    <row r="109" spans="1:15" ht="13.5" customHeight="1">
      <c r="A109" s="527"/>
      <c r="B109" s="132">
        <v>6</v>
      </c>
      <c r="C109" s="132" t="s">
        <v>118</v>
      </c>
      <c r="D109" s="94"/>
      <c r="E109" s="85">
        <f>E108</f>
        <v>-9605.0039400000005</v>
      </c>
      <c r="F109" s="85">
        <f t="shared" ref="F109:O109" si="54">E109+F108</f>
        <v>-6533.2428451870028</v>
      </c>
      <c r="G109" s="85">
        <f t="shared" si="54"/>
        <v>-866.36175037400517</v>
      </c>
      <c r="H109" s="85">
        <f t="shared" si="54"/>
        <v>8520.5193444389915</v>
      </c>
      <c r="I109" s="85">
        <f t="shared" si="54"/>
        <v>17907.400439251989</v>
      </c>
      <c r="J109" s="85">
        <f t="shared" si="54"/>
        <v>27294.281534064987</v>
      </c>
      <c r="K109" s="85">
        <f>J109+K108</f>
        <v>36681.162628877981</v>
      </c>
      <c r="L109" s="85">
        <f t="shared" si="54"/>
        <v>46068.043723690978</v>
      </c>
      <c r="M109" s="85">
        <f t="shared" si="54"/>
        <v>55454.924818503976</v>
      </c>
      <c r="N109" s="85">
        <f>M109+N108</f>
        <v>64841.805913316974</v>
      </c>
      <c r="O109" s="85">
        <f t="shared" si="54"/>
        <v>74228.687008129971</v>
      </c>
    </row>
    <row r="110" spans="1:15" ht="13.5" customHeight="1">
      <c r="A110" s="527"/>
      <c r="B110" s="132"/>
      <c r="C110" s="132"/>
      <c r="D110" s="94" t="s">
        <v>48</v>
      </c>
      <c r="E110" s="94" t="s">
        <v>49</v>
      </c>
      <c r="F110" s="94"/>
      <c r="G110" s="94"/>
      <c r="H110" s="94"/>
      <c r="I110" s="94"/>
      <c r="J110" s="94"/>
      <c r="K110" s="94"/>
      <c r="L110" s="94"/>
      <c r="M110" s="94"/>
      <c r="N110" s="94"/>
      <c r="O110" s="94"/>
    </row>
    <row r="111" spans="1:15" ht="13.5" customHeight="1">
      <c r="A111" s="527"/>
      <c r="B111" s="132"/>
      <c r="C111" s="132" t="s">
        <v>51</v>
      </c>
      <c r="D111" s="116">
        <f>IRR(E106:O106)</f>
        <v>0.48239879900057825</v>
      </c>
      <c r="E111" s="116">
        <f>IRR(E108:O108)</f>
        <v>0.62510749322923553</v>
      </c>
      <c r="F111" s="94"/>
      <c r="G111" s="94"/>
      <c r="H111" s="94"/>
      <c r="I111" s="94"/>
      <c r="J111" s="94"/>
      <c r="K111" s="94"/>
      <c r="L111" s="94"/>
      <c r="M111" s="94"/>
      <c r="N111" s="94"/>
      <c r="O111" s="94"/>
    </row>
    <row r="112" spans="1:15" ht="13.5" customHeight="1">
      <c r="A112" s="527"/>
      <c r="B112" s="132"/>
      <c r="C112" s="82" t="s">
        <v>119</v>
      </c>
      <c r="D112" s="85">
        <f>NPV(D32,E106:O106)</f>
        <v>21421.296705739282</v>
      </c>
      <c r="E112" s="85">
        <f>NPV(D32,E108:O108)</f>
        <v>31097.238002122474</v>
      </c>
      <c r="F112" s="94"/>
      <c r="G112" s="94"/>
      <c r="H112" s="94"/>
      <c r="I112" s="94"/>
      <c r="J112" s="94"/>
      <c r="K112" s="94"/>
      <c r="L112" s="94"/>
      <c r="M112" s="94"/>
      <c r="N112" s="94"/>
      <c r="O112" s="94"/>
    </row>
    <row r="113" spans="1:15" ht="13.5" customHeight="1">
      <c r="A113" s="527"/>
      <c r="B113" s="132"/>
      <c r="C113" s="132" t="s">
        <v>55</v>
      </c>
      <c r="D113" s="85">
        <f t="array" ref="D113">INDEX(E43:O43,1,MATCH(1,SIGN(E107:O107),0))-1+ABS(INDEX(E107:O107,1,MATCH(1,SIGN(E107:O107),0)-1))/INDEX(E106:O106,1,MATCH(1,SIGN(E107:O107),0))</f>
        <v>3.5426794435044595</v>
      </c>
      <c r="E113" s="117">
        <f t="array" ref="E113">INDEX(F43:O43,1,MATCH(1,SIGN(F109:O109),0))-1+ABS(INDEX(F109:O109,1,MATCH(1,SIGN(F109:O109),0)-1))/INDEX(F108:O108,1,MATCH(1,SIGN(F109:O109),0))</f>
        <v>3.0922949530971198</v>
      </c>
      <c r="F113" s="91"/>
      <c r="G113" s="94"/>
      <c r="H113" s="91"/>
      <c r="I113" s="94"/>
      <c r="J113" s="91"/>
      <c r="K113" s="94"/>
      <c r="L113" s="91"/>
      <c r="M113" s="94"/>
      <c r="N113" s="91"/>
      <c r="O113" s="94"/>
    </row>
    <row r="114" spans="1:15" ht="13.5" customHeight="1">
      <c r="A114" s="527" t="s">
        <v>120</v>
      </c>
      <c r="B114" s="132">
        <v>1</v>
      </c>
      <c r="C114" s="132" t="s">
        <v>107</v>
      </c>
      <c r="D114" s="94"/>
      <c r="E114" s="94">
        <v>0</v>
      </c>
      <c r="F114" s="85">
        <f t="shared" ref="F114:O114" si="55">SUM(F115:F118)</f>
        <v>19800</v>
      </c>
      <c r="G114" s="85">
        <f t="shared" si="55"/>
        <v>33000</v>
      </c>
      <c r="H114" s="85">
        <f t="shared" si="55"/>
        <v>33000</v>
      </c>
      <c r="I114" s="85">
        <f t="shared" si="55"/>
        <v>33000</v>
      </c>
      <c r="J114" s="85">
        <f t="shared" si="55"/>
        <v>33000</v>
      </c>
      <c r="K114" s="85">
        <f t="shared" si="55"/>
        <v>33000</v>
      </c>
      <c r="L114" s="85">
        <f t="shared" si="55"/>
        <v>33000</v>
      </c>
      <c r="M114" s="85">
        <f t="shared" si="55"/>
        <v>33000</v>
      </c>
      <c r="N114" s="85">
        <f t="shared" si="55"/>
        <v>33000</v>
      </c>
      <c r="O114" s="85">
        <f t="shared" si="55"/>
        <v>33000</v>
      </c>
    </row>
    <row r="115" spans="1:15" ht="13.5" customHeight="1">
      <c r="A115" s="527"/>
      <c r="B115" s="132">
        <v>1.1000000000000001</v>
      </c>
      <c r="C115" s="82" t="s">
        <v>26</v>
      </c>
      <c r="D115" s="94"/>
      <c r="E115" s="94">
        <v>0</v>
      </c>
      <c r="F115" s="85">
        <f t="shared" ref="F115:O115" si="56">F96</f>
        <v>19800</v>
      </c>
      <c r="G115" s="85">
        <f t="shared" si="56"/>
        <v>33000</v>
      </c>
      <c r="H115" s="85">
        <f t="shared" si="56"/>
        <v>33000</v>
      </c>
      <c r="I115" s="85">
        <f t="shared" si="56"/>
        <v>33000</v>
      </c>
      <c r="J115" s="85">
        <f t="shared" si="56"/>
        <v>33000</v>
      </c>
      <c r="K115" s="85">
        <f t="shared" si="56"/>
        <v>33000</v>
      </c>
      <c r="L115" s="85">
        <f t="shared" si="56"/>
        <v>33000</v>
      </c>
      <c r="M115" s="85">
        <f t="shared" si="56"/>
        <v>33000</v>
      </c>
      <c r="N115" s="85">
        <f t="shared" si="56"/>
        <v>33000</v>
      </c>
      <c r="O115" s="85">
        <f t="shared" si="56"/>
        <v>33000</v>
      </c>
    </row>
    <row r="116" spans="1:15" ht="13.5" customHeight="1">
      <c r="A116" s="527"/>
      <c r="B116" s="132">
        <v>1.2</v>
      </c>
      <c r="C116" s="132" t="s">
        <v>108</v>
      </c>
      <c r="D116" s="94"/>
      <c r="E116" s="94"/>
      <c r="F116" s="85">
        <f t="shared" ref="F116:O116" si="57">F81</f>
        <v>0</v>
      </c>
      <c r="G116" s="85">
        <f t="shared" si="57"/>
        <v>0</v>
      </c>
      <c r="H116" s="85">
        <f t="shared" si="57"/>
        <v>0</v>
      </c>
      <c r="I116" s="85">
        <f t="shared" si="57"/>
        <v>0</v>
      </c>
      <c r="J116" s="85">
        <f t="shared" si="57"/>
        <v>0</v>
      </c>
      <c r="K116" s="85">
        <f t="shared" si="57"/>
        <v>0</v>
      </c>
      <c r="L116" s="85">
        <f t="shared" si="57"/>
        <v>0</v>
      </c>
      <c r="M116" s="85">
        <f t="shared" si="57"/>
        <v>0</v>
      </c>
      <c r="N116" s="85">
        <f t="shared" si="57"/>
        <v>0</v>
      </c>
      <c r="O116" s="85">
        <f t="shared" si="57"/>
        <v>0</v>
      </c>
    </row>
    <row r="117" spans="1:15" ht="13.5" customHeight="1">
      <c r="A117" s="527"/>
      <c r="B117" s="132">
        <v>1.3</v>
      </c>
      <c r="C117" s="132" t="s">
        <v>109</v>
      </c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85">
        <f>D45*$E$61</f>
        <v>0</v>
      </c>
    </row>
    <row r="118" spans="1:15" ht="13.5" customHeight="1">
      <c r="A118" s="527"/>
      <c r="B118" s="132">
        <v>1.4</v>
      </c>
      <c r="C118" s="132" t="s">
        <v>110</v>
      </c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2">
        <f>O99</f>
        <v>0</v>
      </c>
    </row>
    <row r="119" spans="1:15" ht="13.5" customHeight="1">
      <c r="A119" s="527"/>
      <c r="B119" s="132">
        <v>2</v>
      </c>
      <c r="C119" s="132" t="s">
        <v>111</v>
      </c>
      <c r="D119" s="94"/>
      <c r="E119" s="85">
        <f>SUM(E120:E127)-E123-E124</f>
        <v>10000.003940000001</v>
      </c>
      <c r="F119" s="85">
        <f t="shared" ref="F119:O119" si="58">SUM(F120:F127)-F123-F124</f>
        <v>15560.015988352752</v>
      </c>
      <c r="G119" s="85">
        <f>SUM(G120:G127)-H123-H124</f>
        <v>29731.175988352752</v>
      </c>
      <c r="H119" s="85">
        <f>SUM(H120:H127)-J123-J124</f>
        <v>26011.175988352752</v>
      </c>
      <c r="I119" s="85">
        <f>SUM(I120:I127)-K123-K124</f>
        <v>31836.175988352752</v>
      </c>
      <c r="J119" s="85">
        <f>SUM(J120:J127)-I123-I124</f>
        <v>26011.175988352752</v>
      </c>
      <c r="K119" s="85">
        <f>SUM(K120:K127)-G123-G124</f>
        <v>25745.901488352752</v>
      </c>
      <c r="L119" s="85">
        <f t="shared" si="58"/>
        <v>25745.901488352752</v>
      </c>
      <c r="M119" s="85">
        <f t="shared" si="58"/>
        <v>25745.901488352752</v>
      </c>
      <c r="N119" s="85">
        <f t="shared" si="58"/>
        <v>25745.901488352752</v>
      </c>
      <c r="O119" s="85">
        <f t="shared" si="58"/>
        <v>25745.901488352752</v>
      </c>
    </row>
    <row r="120" spans="1:15" ht="13.5" customHeight="1">
      <c r="A120" s="527"/>
      <c r="B120" s="132">
        <v>2.1</v>
      </c>
      <c r="C120" s="132" t="s">
        <v>121</v>
      </c>
      <c r="D120" s="94"/>
      <c r="E120" s="85">
        <f>D11</f>
        <v>10000.003940000001</v>
      </c>
      <c r="F120" s="93">
        <v>0</v>
      </c>
      <c r="G120" s="93">
        <f>G49</f>
        <v>3720</v>
      </c>
      <c r="H120" s="93">
        <f>H49</f>
        <v>0</v>
      </c>
      <c r="I120" s="93">
        <f>I49</f>
        <v>0</v>
      </c>
      <c r="J120" s="94"/>
      <c r="K120" s="94"/>
      <c r="L120" s="94"/>
      <c r="M120" s="94"/>
      <c r="N120" s="94"/>
      <c r="O120" s="94"/>
    </row>
    <row r="121" spans="1:15" ht="13.5" customHeight="1">
      <c r="A121" s="527"/>
      <c r="B121" s="132">
        <v>2.2000000000000002</v>
      </c>
      <c r="C121" s="132" t="s">
        <v>122</v>
      </c>
      <c r="D121" s="94"/>
      <c r="E121" s="94">
        <v>0</v>
      </c>
      <c r="F121" s="85">
        <f>F63</f>
        <v>225</v>
      </c>
      <c r="G121" s="85">
        <f t="shared" ref="G121:O121" si="59">G63</f>
        <v>375</v>
      </c>
      <c r="H121" s="85">
        <f t="shared" si="59"/>
        <v>375</v>
      </c>
      <c r="I121" s="85">
        <f t="shared" si="59"/>
        <v>375</v>
      </c>
      <c r="J121" s="85">
        <f t="shared" si="59"/>
        <v>375</v>
      </c>
      <c r="K121" s="85">
        <f t="shared" si="59"/>
        <v>0</v>
      </c>
      <c r="L121" s="85">
        <f t="shared" si="59"/>
        <v>0</v>
      </c>
      <c r="M121" s="85">
        <f t="shared" si="59"/>
        <v>0</v>
      </c>
      <c r="N121" s="85">
        <f t="shared" si="59"/>
        <v>0</v>
      </c>
      <c r="O121" s="85">
        <f t="shared" si="59"/>
        <v>0</v>
      </c>
    </row>
    <row r="122" spans="1:15" ht="13.5" customHeight="1">
      <c r="A122" s="527"/>
      <c r="B122" s="132">
        <v>2.2999999999999998</v>
      </c>
      <c r="C122" s="132" t="s">
        <v>123</v>
      </c>
      <c r="D122" s="94"/>
      <c r="E122" s="94"/>
      <c r="F122" s="85">
        <f>F123+F124</f>
        <v>0</v>
      </c>
      <c r="G122" s="85">
        <f>H123+H124</f>
        <v>0</v>
      </c>
      <c r="H122" s="85">
        <f>J123+J124</f>
        <v>0</v>
      </c>
      <c r="I122" s="85">
        <f>K123+K124</f>
        <v>0</v>
      </c>
      <c r="J122" s="85">
        <f>I123+I124</f>
        <v>5825</v>
      </c>
      <c r="K122" s="85"/>
      <c r="L122" s="85"/>
      <c r="M122" s="85"/>
      <c r="N122" s="85"/>
      <c r="O122" s="85"/>
    </row>
    <row r="123" spans="1:15" ht="13.5" customHeight="1">
      <c r="A123" s="527"/>
      <c r="B123" s="132" t="s">
        <v>124</v>
      </c>
      <c r="C123" s="132" t="s">
        <v>125</v>
      </c>
      <c r="D123" s="118" t="s">
        <v>126</v>
      </c>
      <c r="E123" s="94"/>
      <c r="F123" s="93"/>
      <c r="G123" s="93"/>
      <c r="H123" s="93"/>
      <c r="I123" s="85">
        <f>D12</f>
        <v>5825</v>
      </c>
      <c r="J123" s="93"/>
      <c r="K123" s="93"/>
      <c r="L123" s="93"/>
      <c r="M123" s="93"/>
      <c r="N123" s="93"/>
      <c r="O123" s="93"/>
    </row>
    <row r="124" spans="1:15" ht="13.5" customHeight="1">
      <c r="A124" s="527"/>
      <c r="B124" s="132" t="s">
        <v>127</v>
      </c>
      <c r="C124" s="132" t="s">
        <v>128</v>
      </c>
      <c r="D124" s="118" t="s">
        <v>126</v>
      </c>
      <c r="E124" s="94"/>
      <c r="F124" s="93"/>
      <c r="G124" s="93"/>
      <c r="H124" s="93"/>
      <c r="I124" s="85"/>
      <c r="J124" s="93"/>
      <c r="K124" s="93"/>
      <c r="L124" s="93"/>
      <c r="M124" s="93"/>
      <c r="N124" s="93"/>
      <c r="O124" s="93"/>
    </row>
    <row r="125" spans="1:15" ht="13.5" customHeight="1">
      <c r="A125" s="527"/>
      <c r="B125" s="132">
        <v>2.4</v>
      </c>
      <c r="C125" s="132" t="s">
        <v>113</v>
      </c>
      <c r="D125" s="94"/>
      <c r="E125" s="94"/>
      <c r="F125" s="85">
        <f t="shared" ref="F125:O125" si="60">F73</f>
        <v>13113.498905187002</v>
      </c>
      <c r="G125" s="85">
        <f t="shared" si="60"/>
        <v>21755.218905187001</v>
      </c>
      <c r="H125" s="85">
        <f t="shared" si="60"/>
        <v>21755.218905187001</v>
      </c>
      <c r="I125" s="85">
        <f t="shared" si="60"/>
        <v>21755.218905187001</v>
      </c>
      <c r="J125" s="85">
        <f t="shared" si="60"/>
        <v>21755.218905187001</v>
      </c>
      <c r="K125" s="85">
        <f t="shared" si="60"/>
        <v>21755.218905187001</v>
      </c>
      <c r="L125" s="85">
        <f t="shared" si="60"/>
        <v>21755.218905187001</v>
      </c>
      <c r="M125" s="85">
        <f t="shared" si="60"/>
        <v>21755.218905187001</v>
      </c>
      <c r="N125" s="85">
        <f t="shared" si="60"/>
        <v>21755.218905187001</v>
      </c>
      <c r="O125" s="85">
        <f t="shared" si="60"/>
        <v>21755.218905187001</v>
      </c>
    </row>
    <row r="126" spans="1:15" ht="13.5" customHeight="1">
      <c r="A126" s="527"/>
      <c r="B126" s="132">
        <v>2.5</v>
      </c>
      <c r="C126" s="82" t="s">
        <v>99</v>
      </c>
      <c r="D126" s="94"/>
      <c r="E126" s="94"/>
      <c r="F126" s="85">
        <f>F104</f>
        <v>1114.74</v>
      </c>
      <c r="G126" s="85">
        <f t="shared" ref="G126:O126" si="61">G104</f>
        <v>1857.9</v>
      </c>
      <c r="H126" s="85">
        <f t="shared" si="61"/>
        <v>1857.9</v>
      </c>
      <c r="I126" s="85">
        <f t="shared" si="61"/>
        <v>1857.9</v>
      </c>
      <c r="J126" s="85">
        <f t="shared" si="61"/>
        <v>1857.9</v>
      </c>
      <c r="K126" s="85">
        <f t="shared" si="61"/>
        <v>1857.9</v>
      </c>
      <c r="L126" s="85">
        <f t="shared" si="61"/>
        <v>1857.9</v>
      </c>
      <c r="M126" s="85">
        <f t="shared" si="61"/>
        <v>1857.9</v>
      </c>
      <c r="N126" s="85">
        <f t="shared" si="61"/>
        <v>1857.9</v>
      </c>
      <c r="O126" s="85">
        <f t="shared" si="61"/>
        <v>1857.9</v>
      </c>
    </row>
    <row r="127" spans="1:15" ht="13.5" customHeight="1">
      <c r="A127" s="527"/>
      <c r="B127" s="132">
        <v>2.6</v>
      </c>
      <c r="C127" s="132" t="s">
        <v>114</v>
      </c>
      <c r="D127" s="94"/>
      <c r="E127" s="94">
        <v>0</v>
      </c>
      <c r="F127" s="85">
        <f t="shared" ref="F127:O127" si="62">F105</f>
        <v>1106.7770831657499</v>
      </c>
      <c r="G127" s="85">
        <f t="shared" si="62"/>
        <v>2023.0570831657496</v>
      </c>
      <c r="H127" s="85">
        <f t="shared" si="62"/>
        <v>2023.0570831657496</v>
      </c>
      <c r="I127" s="85">
        <f t="shared" si="62"/>
        <v>2023.0570831657496</v>
      </c>
      <c r="J127" s="85">
        <f t="shared" si="62"/>
        <v>2023.0570831657496</v>
      </c>
      <c r="K127" s="85">
        <f t="shared" si="62"/>
        <v>2132.7825831657501</v>
      </c>
      <c r="L127" s="85">
        <f t="shared" si="62"/>
        <v>2132.7825831657501</v>
      </c>
      <c r="M127" s="85">
        <f t="shared" si="62"/>
        <v>2132.7825831657501</v>
      </c>
      <c r="N127" s="85">
        <f t="shared" si="62"/>
        <v>2132.7825831657501</v>
      </c>
      <c r="O127" s="85">
        <f t="shared" si="62"/>
        <v>2132.7825831657501</v>
      </c>
    </row>
    <row r="128" spans="1:15" ht="13.5" customHeight="1">
      <c r="A128" s="527"/>
      <c r="B128" s="132">
        <v>3</v>
      </c>
      <c r="C128" s="82" t="s">
        <v>115</v>
      </c>
      <c r="D128" s="94"/>
      <c r="E128" s="85">
        <f>E114-E119</f>
        <v>-10000.003940000001</v>
      </c>
      <c r="F128" s="85">
        <f t="shared" ref="F128:O128" si="63">F114-F119</f>
        <v>4239.9840116472478</v>
      </c>
      <c r="G128" s="85">
        <f t="shared" si="63"/>
        <v>3268.824011647248</v>
      </c>
      <c r="H128" s="85">
        <f t="shared" si="63"/>
        <v>6988.824011647248</v>
      </c>
      <c r="I128" s="85">
        <f t="shared" si="63"/>
        <v>1163.824011647248</v>
      </c>
      <c r="J128" s="85">
        <f t="shared" si="63"/>
        <v>6988.824011647248</v>
      </c>
      <c r="K128" s="85">
        <f t="shared" si="63"/>
        <v>7254.0985116472475</v>
      </c>
      <c r="L128" s="85">
        <f t="shared" si="63"/>
        <v>7254.0985116472475</v>
      </c>
      <c r="M128" s="85">
        <f t="shared" si="63"/>
        <v>7254.0985116472475</v>
      </c>
      <c r="N128" s="85">
        <f t="shared" si="63"/>
        <v>7254.0985116472475</v>
      </c>
      <c r="O128" s="85">
        <f t="shared" si="63"/>
        <v>7254.0985116472475</v>
      </c>
    </row>
    <row r="129" spans="1:15" ht="13.5" customHeight="1">
      <c r="A129" s="527"/>
      <c r="B129" s="132"/>
      <c r="C129" s="132" t="s">
        <v>64</v>
      </c>
      <c r="D129" s="116">
        <f>IRR(E128:O128)</f>
        <v>0.46050970695545246</v>
      </c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</row>
    <row r="130" spans="1:15" ht="13.5" customHeight="1">
      <c r="A130" s="527"/>
      <c r="B130" s="132"/>
      <c r="C130" s="82" t="s">
        <v>129</v>
      </c>
      <c r="D130" s="85">
        <f>NPV(D32,E128:O128)</f>
        <v>18668.964157510629</v>
      </c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</row>
    <row r="131" spans="1:15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</row>
  </sheetData>
  <protectedRanges>
    <protectedRange sqref="D16:E34 D36:E38 D11:E13 D5:E9" name="区域1" securityDescriptor=""/>
  </protectedRanges>
  <mergeCells count="74">
    <mergeCell ref="F6:N6"/>
    <mergeCell ref="F7:N7"/>
    <mergeCell ref="A4:A10"/>
    <mergeCell ref="A39:A40"/>
    <mergeCell ref="A11:A14"/>
    <mergeCell ref="R5:S5"/>
    <mergeCell ref="R4:S4"/>
    <mergeCell ref="W8:W9"/>
    <mergeCell ref="V8:V9"/>
    <mergeCell ref="U8:U9"/>
    <mergeCell ref="T8:T9"/>
    <mergeCell ref="S8:S9"/>
    <mergeCell ref="Q2:Q5"/>
    <mergeCell ref="U4:V5"/>
    <mergeCell ref="G14:N14"/>
    <mergeCell ref="F8:N8"/>
    <mergeCell ref="A1:D2"/>
    <mergeCell ref="F4:N4"/>
    <mergeCell ref="F5:N5"/>
    <mergeCell ref="Q7:W7"/>
    <mergeCell ref="U10:U13"/>
    <mergeCell ref="R8:R9"/>
    <mergeCell ref="Q8:Q9"/>
    <mergeCell ref="Q10:Q13"/>
    <mergeCell ref="Q14:Q17"/>
    <mergeCell ref="W14:W17"/>
    <mergeCell ref="U14:U17"/>
    <mergeCell ref="W10:W13"/>
    <mergeCell ref="A114:A130"/>
    <mergeCell ref="B42:B43"/>
    <mergeCell ref="U26:U29"/>
    <mergeCell ref="A55:A73"/>
    <mergeCell ref="A74:A79"/>
    <mergeCell ref="A80:A94"/>
    <mergeCell ref="A95:A113"/>
    <mergeCell ref="N32:N33"/>
    <mergeCell ref="N34:N40"/>
    <mergeCell ref="F31:N31"/>
    <mergeCell ref="H32:H33"/>
    <mergeCell ref="I32:I33"/>
    <mergeCell ref="J32:J33"/>
    <mergeCell ref="K32:K33"/>
    <mergeCell ref="Q58:W58"/>
    <mergeCell ref="Q59:R60"/>
    <mergeCell ref="A44:A54"/>
    <mergeCell ref="C42:C43"/>
    <mergeCell ref="D42:D43"/>
    <mergeCell ref="A15:A18"/>
    <mergeCell ref="R31:W31"/>
    <mergeCell ref="F42:O42"/>
    <mergeCell ref="A19:A34"/>
    <mergeCell ref="A35:A38"/>
    <mergeCell ref="A42:A43"/>
    <mergeCell ref="Q26:Q29"/>
    <mergeCell ref="F32:F33"/>
    <mergeCell ref="L32:L33"/>
    <mergeCell ref="M32:M33"/>
    <mergeCell ref="F40:G40"/>
    <mergeCell ref="G32:G33"/>
    <mergeCell ref="Q22:Q25"/>
    <mergeCell ref="U22:U25"/>
    <mergeCell ref="W22:W25"/>
    <mergeCell ref="W18:W21"/>
    <mergeCell ref="Q63:R63"/>
    <mergeCell ref="Q62:R62"/>
    <mergeCell ref="Q61:R61"/>
    <mergeCell ref="W26:W29"/>
    <mergeCell ref="Q18:Q21"/>
    <mergeCell ref="W59:W60"/>
    <mergeCell ref="V59:V60"/>
    <mergeCell ref="U59:U60"/>
    <mergeCell ref="T59:T60"/>
    <mergeCell ref="S59:S60"/>
    <mergeCell ref="U18:U21"/>
  </mergeCells>
  <phoneticPr fontId="40" type="noConversion"/>
  <pageMargins left="0.75" right="0.75" top="1" bottom="1" header="0.5" footer="0.5"/>
  <pageSetup paperSize="9" orientation="portrait" horizontalDpi="200" verticalDpi="300" r:id="rId1"/>
  <headerFooter alignWithMargins="0"/>
  <ignoredErrors>
    <ignoredError sqref="W10:W29 S61:W62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7"/>
  <sheetViews>
    <sheetView showGridLines="0" topLeftCell="A7" workbookViewId="0">
      <selection activeCell="H11" sqref="H11"/>
    </sheetView>
  </sheetViews>
  <sheetFormatPr defaultColWidth="8.75" defaultRowHeight="14.25"/>
  <cols>
    <col min="1" max="1" width="5" style="4" customWidth="1"/>
    <col min="2" max="2" width="29.625" style="4"/>
    <col min="3" max="3" width="5" style="55"/>
    <col min="4" max="4" width="10.625" style="4"/>
    <col min="5" max="5" width="14.125" style="56"/>
    <col min="6" max="7" width="9" style="4"/>
    <col min="8" max="8" width="25.25" style="4" customWidth="1"/>
    <col min="9" max="9" width="9.375" style="4" bestFit="1" customWidth="1"/>
    <col min="10" max="10" width="9.125" style="4" bestFit="1" customWidth="1"/>
    <col min="11" max="32" width="9" style="4"/>
    <col min="33" max="16384" width="8.75" style="4"/>
  </cols>
  <sheetData>
    <row r="1" spans="1:10" ht="18.75" customHeight="1">
      <c r="A1" s="601" t="s">
        <v>132</v>
      </c>
      <c r="B1" s="601"/>
      <c r="C1" s="601"/>
      <c r="D1" s="601"/>
      <c r="E1" s="601"/>
      <c r="F1" s="57"/>
    </row>
    <row r="2" spans="1:10" ht="16.149999999999999" customHeight="1">
      <c r="A2" s="58" t="s">
        <v>2</v>
      </c>
      <c r="B2" s="58" t="s">
        <v>133</v>
      </c>
      <c r="C2" s="58" t="s">
        <v>134</v>
      </c>
      <c r="D2" s="58" t="s">
        <v>130</v>
      </c>
      <c r="E2" s="58" t="s">
        <v>135</v>
      </c>
      <c r="F2" s="57"/>
      <c r="H2" s="641" t="s">
        <v>359</v>
      </c>
      <c r="I2" s="641"/>
      <c r="J2" s="641"/>
    </row>
    <row r="3" spans="1:10" ht="16.149999999999999" customHeight="1">
      <c r="A3" s="59">
        <v>1</v>
      </c>
      <c r="B3" s="60" t="s">
        <v>25</v>
      </c>
      <c r="C3" s="28" t="s">
        <v>136</v>
      </c>
      <c r="D3" s="61">
        <f>D4+D5</f>
        <v>15825.003940000001</v>
      </c>
      <c r="E3" s="62"/>
      <c r="F3" s="57"/>
      <c r="H3" s="434" t="s">
        <v>320</v>
      </c>
      <c r="I3" s="434" t="s">
        <v>137</v>
      </c>
      <c r="J3" s="434" t="s">
        <v>138</v>
      </c>
    </row>
    <row r="4" spans="1:10" ht="16.149999999999999" customHeight="1">
      <c r="A4" s="59">
        <v>2</v>
      </c>
      <c r="B4" s="33" t="str">
        <f>项目参数页!C4</f>
        <v xml:space="preserve"> 固定资产建设投资</v>
      </c>
      <c r="C4" s="28" t="s">
        <v>136</v>
      </c>
      <c r="D4" s="61">
        <f>项目参数页!D4</f>
        <v>12325.003940000001</v>
      </c>
      <c r="E4" s="62"/>
      <c r="F4" s="57"/>
      <c r="H4" s="433" t="s">
        <v>139</v>
      </c>
      <c r="I4" s="435">
        <f>项目参数页!D5+项目参数页!D8+项目参数页!D7</f>
        <v>5525.0039399999996</v>
      </c>
      <c r="J4" s="171">
        <f>I4/I6</f>
        <v>0.44827603844157476</v>
      </c>
    </row>
    <row r="5" spans="1:10" ht="16.149999999999999" customHeight="1">
      <c r="A5" s="59">
        <v>3</v>
      </c>
      <c r="B5" s="60" t="s">
        <v>328</v>
      </c>
      <c r="C5" s="28" t="s">
        <v>136</v>
      </c>
      <c r="D5" s="61">
        <f>项目参数页!D9</f>
        <v>3500</v>
      </c>
      <c r="E5" s="62"/>
      <c r="F5" s="57"/>
      <c r="H5" s="433" t="s">
        <v>140</v>
      </c>
      <c r="I5" s="435">
        <f>项目参数页!D6</f>
        <v>6800</v>
      </c>
      <c r="J5" s="171">
        <f>I5/I6</f>
        <v>0.55172396155842529</v>
      </c>
    </row>
    <row r="6" spans="1:10" ht="16.149999999999999" customHeight="1">
      <c r="A6" s="59">
        <v>4</v>
      </c>
      <c r="B6" s="60" t="s">
        <v>142</v>
      </c>
      <c r="C6" s="28" t="s">
        <v>136</v>
      </c>
      <c r="D6" s="61">
        <f>项目参数页!D34</f>
        <v>33000</v>
      </c>
      <c r="E6" s="62"/>
      <c r="F6" s="57"/>
      <c r="H6" s="433" t="s">
        <v>141</v>
      </c>
      <c r="I6" s="435">
        <f>I5+I4</f>
        <v>12325.003939999999</v>
      </c>
      <c r="J6" s="171">
        <v>1</v>
      </c>
    </row>
    <row r="7" spans="1:10" ht="16.149999999999999" customHeight="1">
      <c r="A7" s="59">
        <v>5</v>
      </c>
      <c r="B7" s="60" t="s">
        <v>143</v>
      </c>
      <c r="C7" s="28" t="s">
        <v>136</v>
      </c>
      <c r="D7" s="61">
        <f>项目参数页!H70</f>
        <v>23049.871667337</v>
      </c>
      <c r="E7" s="62"/>
      <c r="F7" s="57"/>
    </row>
    <row r="8" spans="1:10" ht="16.149999999999999" customHeight="1">
      <c r="A8" s="59">
        <v>6</v>
      </c>
      <c r="B8" s="60" t="s">
        <v>144</v>
      </c>
      <c r="C8" s="28" t="s">
        <v>136</v>
      </c>
      <c r="D8" s="61">
        <f>项目参数页!H73</f>
        <v>21755.218905187001</v>
      </c>
      <c r="E8" s="62"/>
      <c r="F8" s="57"/>
    </row>
    <row r="9" spans="1:10" ht="16.149999999999999" customHeight="1">
      <c r="A9" s="59">
        <v>7</v>
      </c>
      <c r="B9" s="60" t="s">
        <v>145</v>
      </c>
      <c r="C9" s="28" t="s">
        <v>136</v>
      </c>
      <c r="D9" s="61">
        <f>项目参数页!H75</f>
        <v>1650</v>
      </c>
      <c r="E9" s="62"/>
      <c r="F9" s="57"/>
    </row>
    <row r="10" spans="1:10" ht="16.149999999999999" customHeight="1">
      <c r="A10" s="59">
        <v>8</v>
      </c>
      <c r="B10" s="60" t="s">
        <v>146</v>
      </c>
      <c r="C10" s="28" t="s">
        <v>136</v>
      </c>
      <c r="D10" s="61">
        <f>项目参数页!H76</f>
        <v>207.9</v>
      </c>
      <c r="E10" s="62"/>
      <c r="F10" s="57"/>
    </row>
    <row r="11" spans="1:10" ht="16.149999999999999" customHeight="1">
      <c r="A11" s="59">
        <v>9</v>
      </c>
      <c r="B11" s="60" t="s">
        <v>147</v>
      </c>
      <c r="C11" s="28" t="s">
        <v>136</v>
      </c>
      <c r="D11" s="61">
        <f>项目参数页!H86</f>
        <v>8092.2283326629986</v>
      </c>
      <c r="E11" s="62"/>
      <c r="F11" s="57"/>
    </row>
    <row r="12" spans="1:10" ht="16.149999999999999" customHeight="1">
      <c r="A12" s="59">
        <v>10</v>
      </c>
      <c r="B12" s="60" t="s">
        <v>148</v>
      </c>
      <c r="C12" s="28" t="s">
        <v>136</v>
      </c>
      <c r="D12" s="61">
        <f>项目参数页!H87</f>
        <v>2023.0570831657496</v>
      </c>
      <c r="E12" s="62"/>
      <c r="F12" s="57"/>
    </row>
    <row r="13" spans="1:10" ht="16.149999999999999" customHeight="1">
      <c r="A13" s="59">
        <v>11</v>
      </c>
      <c r="B13" s="60" t="s">
        <v>149</v>
      </c>
      <c r="C13" s="28" t="s">
        <v>136</v>
      </c>
      <c r="D13" s="61">
        <f>项目参数页!H88</f>
        <v>6069.1712494972489</v>
      </c>
      <c r="E13" s="62"/>
      <c r="F13" s="57"/>
    </row>
    <row r="14" spans="1:10" ht="16.149999999999999" customHeight="1">
      <c r="A14" s="59">
        <v>12</v>
      </c>
      <c r="B14" s="60" t="s">
        <v>150</v>
      </c>
      <c r="C14" s="28" t="s">
        <v>151</v>
      </c>
      <c r="D14" s="63">
        <f>项目参数页!D86/项目参数页!D44/10</f>
        <v>0.50206416142370958</v>
      </c>
      <c r="E14" s="62"/>
      <c r="F14" s="57"/>
    </row>
    <row r="15" spans="1:10" ht="16.149999999999999" customHeight="1">
      <c r="A15" s="59">
        <v>13</v>
      </c>
      <c r="B15" s="60" t="s">
        <v>152</v>
      </c>
      <c r="C15" s="28" t="s">
        <v>151</v>
      </c>
      <c r="D15" s="63">
        <f>(项目参数页!D47+项目参数页!D75+项目参数页!D76+项目参数页!D86)/项目参数页!D44/10</f>
        <v>0.6147708632205876</v>
      </c>
      <c r="E15" s="62"/>
      <c r="F15" s="57"/>
    </row>
    <row r="16" spans="1:10" ht="16.149999999999999" customHeight="1">
      <c r="A16" s="59">
        <v>14</v>
      </c>
      <c r="B16" s="60" t="s">
        <v>153</v>
      </c>
      <c r="C16" s="28" t="s">
        <v>151</v>
      </c>
      <c r="D16" s="63">
        <f>项目参数页!D86/项目参数页!D11/10</f>
        <v>0.79451642022683033</v>
      </c>
      <c r="E16" s="62"/>
      <c r="F16" s="57"/>
    </row>
    <row r="17" spans="1:6" ht="16.149999999999999" customHeight="1">
      <c r="A17" s="59">
        <v>15</v>
      </c>
      <c r="B17" s="60" t="s">
        <v>154</v>
      </c>
      <c r="C17" s="28" t="s">
        <v>151</v>
      </c>
      <c r="D17" s="63">
        <f>(项目参数页!D47+项目参数页!D75+项目参数页!D76+项目参数页!D86)/项目参数页!D11/10</f>
        <v>0.97287474995364831</v>
      </c>
      <c r="E17" s="62"/>
      <c r="F17" s="57"/>
    </row>
    <row r="18" spans="1:6" ht="16.149999999999999" customHeight="1">
      <c r="A18" s="59">
        <v>16</v>
      </c>
      <c r="B18" s="60" t="s">
        <v>155</v>
      </c>
      <c r="C18" s="28" t="s">
        <v>151</v>
      </c>
      <c r="D18" s="63">
        <f>项目参数页!D86/项目参数页!D80</f>
        <v>0.25079442337951391</v>
      </c>
      <c r="E18" s="62"/>
      <c r="F18" s="57"/>
    </row>
    <row r="19" spans="1:6" s="165" customFormat="1" ht="16.149999999999999" customHeight="1">
      <c r="A19" s="59">
        <v>17</v>
      </c>
      <c r="B19" s="60" t="s">
        <v>301</v>
      </c>
      <c r="C19" s="166" t="s">
        <v>151</v>
      </c>
      <c r="D19" s="63">
        <f>(项目参数页!D47+项目参数页!D75+项目参数页!D76+项目参数页!D86)/项目参数页!D74</f>
        <v>0.30709442337951387</v>
      </c>
      <c r="E19" s="62"/>
      <c r="F19" s="57"/>
    </row>
    <row r="20" spans="1:6" s="173" customFormat="1" ht="16.149999999999999" customHeight="1">
      <c r="A20" s="59">
        <v>18</v>
      </c>
      <c r="B20" s="60" t="s">
        <v>342</v>
      </c>
      <c r="C20" s="175" t="s">
        <v>151</v>
      </c>
      <c r="D20" s="63">
        <f>项目参数页!D88/项目参数页!D80</f>
        <v>0.18809581753463533</v>
      </c>
      <c r="E20" s="62"/>
      <c r="F20" s="57"/>
    </row>
    <row r="21" spans="1:6" ht="16.149999999999999" customHeight="1">
      <c r="A21" s="59">
        <v>19</v>
      </c>
      <c r="B21" s="60" t="s">
        <v>156</v>
      </c>
      <c r="C21" s="28" t="s">
        <v>151</v>
      </c>
      <c r="D21" s="64">
        <f>项目参数页!D111</f>
        <v>0.48239879900057825</v>
      </c>
      <c r="E21" s="62"/>
      <c r="F21" s="57"/>
    </row>
    <row r="22" spans="1:6" ht="16.149999999999999" customHeight="1">
      <c r="A22" s="59">
        <v>20</v>
      </c>
      <c r="B22" s="60" t="s">
        <v>157</v>
      </c>
      <c r="C22" s="28" t="s">
        <v>151</v>
      </c>
      <c r="D22" s="64">
        <f>项目参数页!E111</f>
        <v>0.62510749322923553</v>
      </c>
      <c r="E22" s="62"/>
      <c r="F22" s="57"/>
    </row>
    <row r="23" spans="1:6" ht="16.149999999999999" customHeight="1">
      <c r="A23" s="59">
        <v>21</v>
      </c>
      <c r="B23" s="60" t="s">
        <v>158</v>
      </c>
      <c r="C23" s="28" t="s">
        <v>136</v>
      </c>
      <c r="D23" s="65">
        <f>项目参数页!D112</f>
        <v>21421.296705739282</v>
      </c>
      <c r="E23" s="60"/>
      <c r="F23" s="57"/>
    </row>
    <row r="24" spans="1:6" ht="16.149999999999999" customHeight="1">
      <c r="A24" s="59">
        <v>22</v>
      </c>
      <c r="B24" s="60" t="s">
        <v>159</v>
      </c>
      <c r="C24" s="28" t="s">
        <v>136</v>
      </c>
      <c r="D24" s="65">
        <f>项目参数页!E112</f>
        <v>31097.238002122474</v>
      </c>
      <c r="E24" s="60"/>
      <c r="F24" s="57"/>
    </row>
    <row r="25" spans="1:6" ht="16.149999999999999" customHeight="1">
      <c r="A25" s="59">
        <v>23</v>
      </c>
      <c r="B25" s="60" t="s">
        <v>160</v>
      </c>
      <c r="C25" s="28" t="s">
        <v>161</v>
      </c>
      <c r="D25" s="66">
        <f>项目参数页!D113</f>
        <v>3.5426794435044595</v>
      </c>
      <c r="E25" s="67" t="s">
        <v>162</v>
      </c>
      <c r="F25" s="57"/>
    </row>
    <row r="26" spans="1:6" ht="16.149999999999999" customHeight="1">
      <c r="A26" s="59">
        <v>24</v>
      </c>
      <c r="B26" s="60" t="s">
        <v>163</v>
      </c>
      <c r="C26" s="28" t="s">
        <v>161</v>
      </c>
      <c r="D26" s="66">
        <f>项目参数页!E113</f>
        <v>3.0922949530971198</v>
      </c>
      <c r="E26" s="67" t="s">
        <v>162</v>
      </c>
      <c r="F26" s="57"/>
    </row>
    <row r="27" spans="1:6" ht="16.149999999999999" customHeight="1">
      <c r="A27" s="59">
        <v>25</v>
      </c>
      <c r="B27" s="60" t="s">
        <v>164</v>
      </c>
      <c r="C27" s="28" t="s">
        <v>151</v>
      </c>
      <c r="D27" s="68">
        <f>项目参数页!D72/(项目参数页!D74-项目参数页!D71-项目参数页!D76)</f>
        <v>0.38469164141531731</v>
      </c>
      <c r="E27" s="67"/>
      <c r="F27" s="57"/>
    </row>
    <row r="28" spans="1:6" ht="16.149999999999999" customHeight="1">
      <c r="F28" s="57"/>
    </row>
    <row r="29" spans="1:6" ht="16.149999999999999" customHeight="1">
      <c r="F29" s="57"/>
    </row>
    <row r="30" spans="1:6" ht="16.149999999999999" customHeight="1">
      <c r="F30" s="57"/>
    </row>
    <row r="31" spans="1:6">
      <c r="A31" s="57"/>
      <c r="B31" s="57"/>
      <c r="C31" s="69"/>
      <c r="D31" s="57"/>
      <c r="E31" s="70"/>
      <c r="F31" s="57"/>
    </row>
    <row r="32" spans="1:6">
      <c r="A32" s="57"/>
      <c r="B32" s="57"/>
      <c r="C32" s="69"/>
      <c r="D32" s="57"/>
      <c r="E32" s="70"/>
      <c r="F32" s="57"/>
    </row>
    <row r="33" spans="1:6">
      <c r="A33" s="57"/>
      <c r="B33" s="57"/>
      <c r="C33" s="69"/>
      <c r="D33" s="57"/>
      <c r="E33" s="70"/>
      <c r="F33" s="57"/>
    </row>
    <row r="34" spans="1:6">
      <c r="A34" s="57"/>
      <c r="B34" s="57"/>
      <c r="C34" s="69"/>
      <c r="D34" s="57"/>
      <c r="E34" s="70"/>
      <c r="F34" s="57"/>
    </row>
    <row r="35" spans="1:6">
      <c r="A35" s="57"/>
      <c r="B35" s="57"/>
      <c r="C35" s="69"/>
      <c r="D35" s="57"/>
      <c r="E35" s="70"/>
      <c r="F35" s="57"/>
    </row>
    <row r="36" spans="1:6" ht="18.75">
      <c r="A36" s="57"/>
      <c r="B36" s="57"/>
      <c r="C36" s="69"/>
      <c r="D36" s="640"/>
      <c r="E36" s="70"/>
      <c r="F36" s="57"/>
    </row>
    <row r="37" spans="1:6">
      <c r="A37" s="57"/>
      <c r="B37" s="57"/>
      <c r="C37" s="69"/>
      <c r="D37" s="57"/>
      <c r="E37" s="70"/>
      <c r="F37" s="57"/>
    </row>
    <row r="38" spans="1:6">
      <c r="A38" s="57"/>
      <c r="B38" s="57"/>
      <c r="C38" s="69"/>
      <c r="D38" s="57"/>
      <c r="E38" s="70"/>
      <c r="F38" s="57"/>
    </row>
    <row r="39" spans="1:6">
      <c r="A39" s="57"/>
      <c r="B39" s="57"/>
      <c r="C39" s="69"/>
      <c r="D39" s="57"/>
      <c r="E39" s="70"/>
      <c r="F39" s="57"/>
    </row>
    <row r="40" spans="1:6">
      <c r="A40" s="57"/>
      <c r="B40" s="57"/>
      <c r="C40" s="69"/>
      <c r="D40" s="57"/>
      <c r="E40" s="70"/>
      <c r="F40" s="57"/>
    </row>
    <row r="41" spans="1:6">
      <c r="A41" s="57"/>
      <c r="B41" s="57"/>
      <c r="C41" s="69"/>
      <c r="D41" s="57"/>
      <c r="E41" s="70"/>
      <c r="F41" s="57"/>
    </row>
    <row r="42" spans="1:6">
      <c r="A42" s="57"/>
      <c r="B42" s="57"/>
      <c r="C42" s="69"/>
      <c r="D42" s="57"/>
      <c r="E42" s="70"/>
      <c r="F42" s="57"/>
    </row>
    <row r="43" spans="1:6">
      <c r="A43" s="57"/>
      <c r="B43" s="57"/>
      <c r="C43" s="69"/>
      <c r="D43" s="57"/>
      <c r="E43" s="70"/>
      <c r="F43" s="57"/>
    </row>
    <row r="44" spans="1:6">
      <c r="A44" s="57"/>
      <c r="B44" s="57"/>
      <c r="C44" s="69"/>
      <c r="D44" s="57"/>
      <c r="E44" s="70"/>
      <c r="F44" s="57"/>
    </row>
    <row r="45" spans="1:6">
      <c r="A45" s="57"/>
      <c r="B45" s="57"/>
      <c r="C45" s="69"/>
      <c r="D45" s="57"/>
      <c r="E45" s="70"/>
      <c r="F45" s="57"/>
    </row>
    <row r="46" spans="1:6">
      <c r="A46" s="57"/>
      <c r="B46" s="57"/>
      <c r="C46" s="69"/>
      <c r="D46" s="57"/>
      <c r="E46" s="70"/>
      <c r="F46" s="57"/>
    </row>
    <row r="47" spans="1:6">
      <c r="A47" s="57"/>
      <c r="B47" s="57"/>
      <c r="C47" s="69"/>
      <c r="D47" s="57"/>
      <c r="E47" s="70"/>
      <c r="F47" s="57"/>
    </row>
  </sheetData>
  <mergeCells count="2">
    <mergeCell ref="A1:E1"/>
    <mergeCell ref="H2:J2"/>
  </mergeCells>
  <phoneticPr fontId="40" type="noConversion"/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showGridLines="0" workbookViewId="0">
      <selection activeCell="I9" sqref="I9"/>
    </sheetView>
  </sheetViews>
  <sheetFormatPr defaultColWidth="8.75" defaultRowHeight="14.25"/>
  <cols>
    <col min="1" max="1" width="4.25" style="4"/>
    <col min="2" max="2" width="19.875" style="4" customWidth="1"/>
    <col min="3" max="3" width="6.5" style="4"/>
    <col min="4" max="4" width="11.5" style="4"/>
    <col min="5" max="7" width="7.75" style="4" customWidth="1"/>
    <col min="8" max="13" width="5.5" style="4"/>
    <col min="14" max="32" width="9" style="4"/>
    <col min="33" max="16384" width="8.75" style="4"/>
  </cols>
  <sheetData>
    <row r="1" spans="1:8" ht="18.75" customHeight="1">
      <c r="A1" s="639" t="s">
        <v>357</v>
      </c>
      <c r="B1" s="639"/>
      <c r="C1" s="635"/>
      <c r="D1" s="635"/>
      <c r="E1" s="635"/>
      <c r="F1" s="635"/>
      <c r="G1" s="635"/>
      <c r="H1" s="46"/>
    </row>
    <row r="2" spans="1:8" ht="15.75" customHeight="1">
      <c r="A2" s="599"/>
      <c r="B2" s="600" t="s">
        <v>7</v>
      </c>
      <c r="C2" s="595" t="s">
        <v>165</v>
      </c>
      <c r="D2" s="595" t="s">
        <v>166</v>
      </c>
      <c r="E2" s="175" t="s">
        <v>68</v>
      </c>
      <c r="F2" s="595" t="s">
        <v>69</v>
      </c>
      <c r="G2" s="596"/>
      <c r="H2" s="47"/>
    </row>
    <row r="3" spans="1:8" ht="15.75" customHeight="1">
      <c r="A3" s="599"/>
      <c r="B3" s="595"/>
      <c r="C3" s="595"/>
      <c r="D3" s="595"/>
      <c r="E3" s="175">
        <v>1</v>
      </c>
      <c r="F3" s="175">
        <v>2</v>
      </c>
      <c r="G3" s="175">
        <v>3</v>
      </c>
      <c r="H3" s="47"/>
    </row>
    <row r="4" spans="1:8" ht="15.75" customHeight="1">
      <c r="A4" s="48">
        <f>项目参数页!B44</f>
        <v>1</v>
      </c>
      <c r="B4" s="60" t="str">
        <f>项目参数页!C44</f>
        <v>项目投入总资金</v>
      </c>
      <c r="C4" s="49"/>
      <c r="D4" s="50">
        <f>项目参数页!D10</f>
        <v>15825.003940000001</v>
      </c>
      <c r="E4" s="50">
        <f>项目参数页!E44</f>
        <v>9605.0039400000005</v>
      </c>
      <c r="F4" s="50">
        <f>项目参数页!F44</f>
        <v>2500</v>
      </c>
      <c r="G4" s="50">
        <f>项目参数页!G44</f>
        <v>3720</v>
      </c>
      <c r="H4" s="47"/>
    </row>
    <row r="5" spans="1:8" ht="15.75" customHeight="1">
      <c r="A5" s="48">
        <f>项目参数页!B45</f>
        <v>1.1000000000000001</v>
      </c>
      <c r="B5" s="60" t="str">
        <f>项目参数页!C45</f>
        <v xml:space="preserve"> 固定资产建设投资</v>
      </c>
      <c r="C5" s="49"/>
      <c r="D5" s="50">
        <f>项目参数页!D4</f>
        <v>12325.003940000001</v>
      </c>
      <c r="E5" s="50">
        <f>项目参数页!E45</f>
        <v>9605.0039400000005</v>
      </c>
      <c r="F5" s="50">
        <f>项目参数页!F45</f>
        <v>0</v>
      </c>
      <c r="G5" s="50">
        <f>项目参数页!G45</f>
        <v>2720</v>
      </c>
      <c r="H5" s="47"/>
    </row>
    <row r="6" spans="1:8" ht="15.75" customHeight="1">
      <c r="A6" s="48">
        <f>项目参数页!B46</f>
        <v>1.2</v>
      </c>
      <c r="B6" s="60" t="str">
        <f>项目参数页!C46</f>
        <v xml:space="preserve"> 流动资金</v>
      </c>
      <c r="C6" s="49"/>
      <c r="D6" s="50">
        <f>项目参数页!D12</f>
        <v>5825</v>
      </c>
      <c r="E6" s="50">
        <f>项目参数页!E46</f>
        <v>0</v>
      </c>
      <c r="F6" s="50">
        <f>项目参数页!F46</f>
        <v>2500</v>
      </c>
      <c r="G6" s="50">
        <f>项目参数页!G46</f>
        <v>1000</v>
      </c>
      <c r="H6" s="47"/>
    </row>
    <row r="7" spans="1:8" ht="15.75" customHeight="1">
      <c r="A7" s="48">
        <f>项目参数页!B47</f>
        <v>1.3</v>
      </c>
      <c r="B7" s="60" t="str">
        <f>项目参数页!C47</f>
        <v xml:space="preserve"> 投资方向调节税</v>
      </c>
      <c r="C7" s="51"/>
      <c r="D7" s="50">
        <f>项目参数页!D47</f>
        <v>0</v>
      </c>
      <c r="E7" s="50">
        <f>项目参数页!E47</f>
        <v>0</v>
      </c>
      <c r="F7" s="50">
        <f>项目参数页!F47</f>
        <v>0</v>
      </c>
      <c r="G7" s="50">
        <f>项目参数页!G47</f>
        <v>0</v>
      </c>
      <c r="H7" s="47"/>
    </row>
    <row r="8" spans="1:8" ht="15.75" customHeight="1">
      <c r="A8" s="48">
        <f>项目参数页!B48</f>
        <v>2</v>
      </c>
      <c r="B8" s="60" t="str">
        <f>项目参数页!C48</f>
        <v>资金筹措</v>
      </c>
      <c r="C8" s="49"/>
      <c r="D8" s="50">
        <f>项目参数页!D48</f>
        <v>15325.003940000001</v>
      </c>
      <c r="E8" s="50">
        <f>项目参数页!E48</f>
        <v>9605.0039400000005</v>
      </c>
      <c r="F8" s="50">
        <f>项目参数页!F48</f>
        <v>2000</v>
      </c>
      <c r="G8" s="50">
        <f>项目参数页!G48</f>
        <v>3720</v>
      </c>
      <c r="H8" s="47"/>
    </row>
    <row r="9" spans="1:8" ht="15.75" customHeight="1">
      <c r="A9" s="48">
        <f>项目参数页!B49</f>
        <v>2.1</v>
      </c>
      <c r="B9" s="60" t="str">
        <f>项目参数页!C49</f>
        <v xml:space="preserve"> 项目总投资</v>
      </c>
      <c r="C9" s="49"/>
      <c r="D9" s="50">
        <f>项目参数页!D49</f>
        <v>15825.003940000001</v>
      </c>
      <c r="E9" s="50">
        <f>项目参数页!E49</f>
        <v>9605.0039400000005</v>
      </c>
      <c r="F9" s="50">
        <f>项目参数页!F49</f>
        <v>2500</v>
      </c>
      <c r="G9" s="50">
        <f>项目参数页!G49</f>
        <v>3720</v>
      </c>
      <c r="H9" s="47"/>
    </row>
    <row r="10" spans="1:8" ht="15.75" customHeight="1">
      <c r="A10" s="48" t="str">
        <f>项目参数页!B50</f>
        <v>2.1.1</v>
      </c>
      <c r="B10" s="60" t="str">
        <f>项目参数页!C50</f>
        <v xml:space="preserve">   固定资产建设投资</v>
      </c>
      <c r="C10" s="51"/>
      <c r="D10" s="50">
        <f>项目参数页!D50</f>
        <v>12325.003940000001</v>
      </c>
      <c r="E10" s="50">
        <f>项目参数页!E50</f>
        <v>9605.0039400000005</v>
      </c>
      <c r="F10" s="50">
        <f>项目参数页!F50</f>
        <v>0</v>
      </c>
      <c r="G10" s="50">
        <f>项目参数页!G50</f>
        <v>2720</v>
      </c>
      <c r="H10" s="47"/>
    </row>
    <row r="11" spans="1:8" ht="15.75" customHeight="1">
      <c r="A11" s="48" t="str">
        <f>项目参数页!B51</f>
        <v>2.1.2</v>
      </c>
      <c r="B11" s="60" t="str">
        <f>项目参数页!C51</f>
        <v xml:space="preserve">   铺底流动资金</v>
      </c>
      <c r="C11" s="51"/>
      <c r="D11" s="50">
        <f>项目参数页!D51</f>
        <v>3500</v>
      </c>
      <c r="E11" s="50">
        <f>项目参数页!E51</f>
        <v>0</v>
      </c>
      <c r="F11" s="50">
        <f>项目参数页!F51</f>
        <v>2500</v>
      </c>
      <c r="G11" s="50">
        <f>项目参数页!G51</f>
        <v>1000</v>
      </c>
      <c r="H11" s="47"/>
    </row>
    <row r="12" spans="1:8" ht="15.75" customHeight="1">
      <c r="A12" s="48">
        <f>项目参数页!B52</f>
        <v>2.2000000000000002</v>
      </c>
      <c r="B12" s="60" t="str">
        <f>项目参数页!C52</f>
        <v xml:space="preserve"> 流动资金贷款</v>
      </c>
      <c r="C12" s="51"/>
      <c r="D12" s="50">
        <f>项目参数页!D52</f>
        <v>5000</v>
      </c>
      <c r="E12" s="50">
        <f>项目参数页!E52</f>
        <v>0</v>
      </c>
      <c r="F12" s="50">
        <f>项目参数页!F52</f>
        <v>3000</v>
      </c>
      <c r="G12" s="50">
        <f>项目参数页!G52</f>
        <v>2000</v>
      </c>
      <c r="H12" s="47"/>
    </row>
    <row r="13" spans="1:8" ht="15.75" customHeight="1">
      <c r="A13" s="48">
        <v>3</v>
      </c>
      <c r="B13" s="436" t="s">
        <v>167</v>
      </c>
      <c r="C13" s="52"/>
      <c r="D13" s="53">
        <f>D14+D15</f>
        <v>15825.003940000001</v>
      </c>
      <c r="E13" s="53"/>
      <c r="F13" s="53"/>
      <c r="G13" s="53"/>
    </row>
    <row r="14" spans="1:8" ht="15.75" customHeight="1">
      <c r="A14" s="48">
        <v>3.1</v>
      </c>
      <c r="B14" s="437" t="str">
        <f>项目参数页!C11</f>
        <v>自筹资本金</v>
      </c>
      <c r="C14" s="52"/>
      <c r="D14" s="53">
        <f>项目参数页!D11</f>
        <v>10000.003940000001</v>
      </c>
      <c r="E14" s="53"/>
      <c r="F14" s="53"/>
      <c r="G14" s="53"/>
    </row>
    <row r="15" spans="1:8" ht="15.75" customHeight="1">
      <c r="A15" s="48">
        <v>3.2</v>
      </c>
      <c r="B15" s="437" t="str">
        <f>项目参数页!C12</f>
        <v>银行贷款</v>
      </c>
      <c r="C15" s="54">
        <f>项目参数页!D19</f>
        <v>7.4999999999999997E-2</v>
      </c>
      <c r="D15" s="53">
        <f>项目参数页!D12</f>
        <v>5825</v>
      </c>
      <c r="E15" s="53"/>
      <c r="F15" s="53"/>
      <c r="G15" s="53"/>
    </row>
    <row r="16" spans="1:8" ht="15.75" customHeight="1">
      <c r="A16" s="60" t="s">
        <v>135</v>
      </c>
      <c r="B16" s="597" t="s">
        <v>321</v>
      </c>
      <c r="C16" s="598"/>
      <c r="D16" s="598"/>
      <c r="E16" s="598"/>
      <c r="F16" s="598"/>
      <c r="G16" s="598"/>
    </row>
  </sheetData>
  <mergeCells count="7">
    <mergeCell ref="A1:G1"/>
    <mergeCell ref="F2:G2"/>
    <mergeCell ref="B16:G16"/>
    <mergeCell ref="A2:A3"/>
    <mergeCell ref="B2:B3"/>
    <mergeCell ref="C2:C3"/>
    <mergeCell ref="D2:D3"/>
  </mergeCells>
  <phoneticPr fontId="40" type="noConversion"/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3"/>
  <sheetViews>
    <sheetView showGridLines="0" topLeftCell="A10" workbookViewId="0">
      <selection sqref="A1:L1"/>
    </sheetView>
  </sheetViews>
  <sheetFormatPr defaultColWidth="8.75" defaultRowHeight="14.25"/>
  <cols>
    <col min="1" max="1" width="5" style="39"/>
    <col min="2" max="2" width="15.625" style="39" customWidth="1"/>
    <col min="3" max="12" width="9.375" style="39" customWidth="1"/>
    <col min="13" max="13" width="9" style="39"/>
    <col min="14" max="14" width="9.125" style="39" bestFit="1" customWidth="1"/>
    <col min="15" max="15" width="12.125" style="39" customWidth="1"/>
    <col min="16" max="16" width="10.625" style="39" bestFit="1" customWidth="1"/>
    <col min="17" max="18" width="10.25" style="39" bestFit="1" customWidth="1"/>
    <col min="19" max="32" width="9" style="39"/>
    <col min="33" max="16384" width="8.75" style="39"/>
  </cols>
  <sheetData>
    <row r="1" spans="1:18" ht="18.75">
      <c r="A1" s="601" t="s">
        <v>168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4"/>
      <c r="N1" s="4"/>
      <c r="O1" s="4"/>
      <c r="P1" s="4"/>
      <c r="Q1" s="4"/>
      <c r="R1" s="4"/>
    </row>
    <row r="2" spans="1:18" ht="15.75" customHeight="1">
      <c r="A2" s="607" t="s">
        <v>2</v>
      </c>
      <c r="B2" s="607" t="s">
        <v>169</v>
      </c>
      <c r="C2" s="596" t="s">
        <v>170</v>
      </c>
      <c r="D2" s="602"/>
      <c r="E2" s="602"/>
      <c r="F2" s="602"/>
      <c r="G2" s="602"/>
      <c r="H2" s="602"/>
      <c r="I2" s="602"/>
      <c r="J2" s="602"/>
      <c r="K2" s="602"/>
      <c r="L2" s="602"/>
      <c r="M2" s="4"/>
      <c r="N2" s="4"/>
      <c r="O2" s="4"/>
      <c r="P2" s="4"/>
      <c r="Q2" s="4"/>
      <c r="R2" s="4"/>
    </row>
    <row r="3" spans="1:18" ht="15.75" customHeight="1">
      <c r="A3" s="607"/>
      <c r="B3" s="607"/>
      <c r="C3" s="5">
        <f>项目参数页!F43</f>
        <v>2</v>
      </c>
      <c r="D3" s="172">
        <f>项目参数页!G43</f>
        <v>3</v>
      </c>
      <c r="E3" s="172">
        <f>项目参数页!H43</f>
        <v>4</v>
      </c>
      <c r="F3" s="172">
        <f>项目参数页!I43</f>
        <v>5</v>
      </c>
      <c r="G3" s="172">
        <f>项目参数页!J43</f>
        <v>6</v>
      </c>
      <c r="H3" s="172">
        <f>项目参数页!K43</f>
        <v>7</v>
      </c>
      <c r="I3" s="172">
        <f>项目参数页!L43</f>
        <v>8</v>
      </c>
      <c r="J3" s="172">
        <f>项目参数页!M43</f>
        <v>9</v>
      </c>
      <c r="K3" s="172">
        <f>项目参数页!N43</f>
        <v>10</v>
      </c>
      <c r="L3" s="172">
        <f>项目参数页!O43</f>
        <v>11</v>
      </c>
      <c r="M3" s="4"/>
      <c r="N3" s="603" t="s">
        <v>171</v>
      </c>
      <c r="O3" s="604"/>
      <c r="P3" s="604"/>
      <c r="Q3" s="604"/>
      <c r="R3" s="604"/>
    </row>
    <row r="4" spans="1:18" ht="15.75" customHeight="1">
      <c r="A4" s="6"/>
      <c r="B4" s="40" t="str">
        <f>项目参数页!C55</f>
        <v>生产负荷</v>
      </c>
      <c r="C4" s="41">
        <f>项目参数页!F55</f>
        <v>0.6</v>
      </c>
      <c r="D4" s="41">
        <f>项目参数页!G55</f>
        <v>1</v>
      </c>
      <c r="E4" s="41">
        <f>项目参数页!H55</f>
        <v>1</v>
      </c>
      <c r="F4" s="41">
        <f>项目参数页!I55</f>
        <v>1</v>
      </c>
      <c r="G4" s="41">
        <f>项目参数页!J55</f>
        <v>1</v>
      </c>
      <c r="H4" s="41">
        <f>项目参数页!K55</f>
        <v>1</v>
      </c>
      <c r="I4" s="41">
        <f>项目参数页!L55</f>
        <v>1</v>
      </c>
      <c r="J4" s="41">
        <f>项目参数页!M55</f>
        <v>1</v>
      </c>
      <c r="K4" s="41">
        <f>项目参数页!N55</f>
        <v>1</v>
      </c>
      <c r="L4" s="41">
        <f>项目参数页!O55</f>
        <v>1</v>
      </c>
      <c r="M4" s="4"/>
      <c r="N4" s="608" t="s">
        <v>2</v>
      </c>
      <c r="O4" s="608" t="s">
        <v>3</v>
      </c>
      <c r="P4" s="605" t="s">
        <v>69</v>
      </c>
      <c r="Q4" s="606"/>
      <c r="R4" s="606"/>
    </row>
    <row r="5" spans="1:18" ht="15.75" customHeight="1">
      <c r="A5" s="6">
        <f>项目参数页!B56</f>
        <v>1</v>
      </c>
      <c r="B5" s="40" t="str">
        <f>项目参数页!C56</f>
        <v>直接成本</v>
      </c>
      <c r="C5" s="42">
        <f>项目参数页!F56</f>
        <v>9996</v>
      </c>
      <c r="D5" s="42">
        <f>项目参数页!G56</f>
        <v>16660</v>
      </c>
      <c r="E5" s="42">
        <f>项目参数页!H56</f>
        <v>16660</v>
      </c>
      <c r="F5" s="42">
        <f>项目参数页!I56</f>
        <v>16660</v>
      </c>
      <c r="G5" s="42">
        <f>项目参数页!J56</f>
        <v>16660</v>
      </c>
      <c r="H5" s="42">
        <f>项目参数页!K56</f>
        <v>16660</v>
      </c>
      <c r="I5" s="42">
        <f>项目参数页!L56</f>
        <v>16660</v>
      </c>
      <c r="J5" s="42">
        <f>项目参数页!M56</f>
        <v>16660</v>
      </c>
      <c r="K5" s="42">
        <f>项目参数页!N56</f>
        <v>16660</v>
      </c>
      <c r="L5" s="42">
        <f>项目参数页!O56</f>
        <v>16660</v>
      </c>
      <c r="M5" s="4"/>
      <c r="N5" s="609"/>
      <c r="O5" s="609"/>
      <c r="P5" s="43" t="s">
        <v>326</v>
      </c>
      <c r="Q5" s="43" t="s">
        <v>324</v>
      </c>
      <c r="R5" s="43" t="s">
        <v>325</v>
      </c>
    </row>
    <row r="6" spans="1:18" ht="15.75" customHeight="1">
      <c r="A6" s="6">
        <f>项目参数页!B57</f>
        <v>1.1000000000000001</v>
      </c>
      <c r="B6" s="40" t="str">
        <f>项目参数页!C57</f>
        <v xml:space="preserve"> 外购原材料</v>
      </c>
      <c r="C6" s="42">
        <f>项目参数页!F57</f>
        <v>9540</v>
      </c>
      <c r="D6" s="42">
        <f>项目参数页!G57</f>
        <v>15900</v>
      </c>
      <c r="E6" s="42">
        <f>项目参数页!H57</f>
        <v>15900</v>
      </c>
      <c r="F6" s="42">
        <f>项目参数页!I57</f>
        <v>15900</v>
      </c>
      <c r="G6" s="42">
        <f>项目参数页!J57</f>
        <v>15900</v>
      </c>
      <c r="H6" s="42">
        <f>项目参数页!K57</f>
        <v>15900</v>
      </c>
      <c r="I6" s="42">
        <f>项目参数页!L57</f>
        <v>15900</v>
      </c>
      <c r="J6" s="42">
        <f>项目参数页!M57</f>
        <v>15900</v>
      </c>
      <c r="K6" s="42">
        <f>项目参数页!N57</f>
        <v>15900</v>
      </c>
      <c r="L6" s="42">
        <f>项目参数页!O57</f>
        <v>15900</v>
      </c>
      <c r="M6" s="4"/>
      <c r="N6" s="438"/>
      <c r="O6" s="439" t="str">
        <f>B4</f>
        <v>生产负荷</v>
      </c>
      <c r="P6" s="44">
        <f t="shared" ref="P6:R9" si="0">C4</f>
        <v>0.6</v>
      </c>
      <c r="Q6" s="44">
        <f t="shared" si="0"/>
        <v>1</v>
      </c>
      <c r="R6" s="44">
        <f t="shared" si="0"/>
        <v>1</v>
      </c>
    </row>
    <row r="7" spans="1:18" ht="15.75" customHeight="1">
      <c r="A7" s="6">
        <f>项目参数页!B58</f>
        <v>1.2</v>
      </c>
      <c r="B7" s="40" t="str">
        <f>项目参数页!C58</f>
        <v xml:space="preserve"> 燃料及动力费</v>
      </c>
      <c r="C7" s="42">
        <f>项目参数页!F58</f>
        <v>456</v>
      </c>
      <c r="D7" s="42">
        <f>项目参数页!G58</f>
        <v>760</v>
      </c>
      <c r="E7" s="42">
        <f>项目参数页!H58</f>
        <v>760</v>
      </c>
      <c r="F7" s="42">
        <f>项目参数页!I58</f>
        <v>760</v>
      </c>
      <c r="G7" s="42">
        <f>项目参数页!J58</f>
        <v>760</v>
      </c>
      <c r="H7" s="42">
        <f>项目参数页!K58</f>
        <v>760</v>
      </c>
      <c r="I7" s="42">
        <f>项目参数页!L58</f>
        <v>760</v>
      </c>
      <c r="J7" s="42">
        <f>项目参数页!M58</f>
        <v>760</v>
      </c>
      <c r="K7" s="42">
        <f>项目参数页!N58</f>
        <v>760</v>
      </c>
      <c r="L7" s="42">
        <f>项目参数页!O58</f>
        <v>760</v>
      </c>
      <c r="M7" s="4"/>
      <c r="N7" s="438">
        <f t="shared" ref="N7:O9" si="1">A5</f>
        <v>1</v>
      </c>
      <c r="O7" s="439" t="str">
        <f t="shared" si="1"/>
        <v>直接成本</v>
      </c>
      <c r="P7" s="45">
        <f t="shared" si="0"/>
        <v>9996</v>
      </c>
      <c r="Q7" s="45">
        <f t="shared" si="0"/>
        <v>16660</v>
      </c>
      <c r="R7" s="45">
        <f t="shared" si="0"/>
        <v>16660</v>
      </c>
    </row>
    <row r="8" spans="1:18" ht="15.75" customHeight="1">
      <c r="A8" s="6">
        <f>项目参数页!B59</f>
        <v>2</v>
      </c>
      <c r="B8" s="40" t="str">
        <f>项目参数页!C59</f>
        <v>工资及福利费</v>
      </c>
      <c r="C8" s="42">
        <f>项目参数页!F59</f>
        <v>1105.3800000000001</v>
      </c>
      <c r="D8" s="42">
        <f>项目参数页!G59</f>
        <v>1842.3000000000002</v>
      </c>
      <c r="E8" s="42">
        <f>项目参数页!H59</f>
        <v>1842.3000000000002</v>
      </c>
      <c r="F8" s="42">
        <f>项目参数页!I59</f>
        <v>1842.3000000000002</v>
      </c>
      <c r="G8" s="42">
        <f>项目参数页!J59</f>
        <v>1842.3000000000002</v>
      </c>
      <c r="H8" s="42">
        <f>项目参数页!K59</f>
        <v>1842.3000000000002</v>
      </c>
      <c r="I8" s="42">
        <f>项目参数页!L59</f>
        <v>1842.3000000000002</v>
      </c>
      <c r="J8" s="42">
        <f>项目参数页!M59</f>
        <v>1842.3000000000002</v>
      </c>
      <c r="K8" s="42">
        <f>项目参数页!N59</f>
        <v>1842.3000000000002</v>
      </c>
      <c r="L8" s="42">
        <f>项目参数页!O59</f>
        <v>1842.3000000000002</v>
      </c>
      <c r="M8" s="4"/>
      <c r="N8" s="438">
        <f t="shared" si="1"/>
        <v>1.1000000000000001</v>
      </c>
      <c r="O8" s="439" t="str">
        <f t="shared" si="1"/>
        <v xml:space="preserve"> 外购原材料</v>
      </c>
      <c r="P8" s="45">
        <f t="shared" si="0"/>
        <v>9540</v>
      </c>
      <c r="Q8" s="45">
        <f t="shared" si="0"/>
        <v>15900</v>
      </c>
      <c r="R8" s="45">
        <f t="shared" si="0"/>
        <v>15900</v>
      </c>
    </row>
    <row r="9" spans="1:18" ht="15.75" customHeight="1">
      <c r="A9" s="6">
        <f>项目参数页!B60</f>
        <v>3</v>
      </c>
      <c r="B9" s="40" t="str">
        <f>项目参数页!C60</f>
        <v>修理费</v>
      </c>
      <c r="C9" s="42">
        <f>项目参数页!F60</f>
        <v>150.91890518699998</v>
      </c>
      <c r="D9" s="42">
        <f>项目参数页!G60</f>
        <v>150.91890518699998</v>
      </c>
      <c r="E9" s="42">
        <f>项目参数页!H60</f>
        <v>150.91890518699998</v>
      </c>
      <c r="F9" s="42">
        <f>项目参数页!I60</f>
        <v>150.91890518699998</v>
      </c>
      <c r="G9" s="42">
        <f>项目参数页!J60</f>
        <v>150.91890518699998</v>
      </c>
      <c r="H9" s="42">
        <f>项目参数页!K60</f>
        <v>150.91890518699998</v>
      </c>
      <c r="I9" s="42">
        <f>项目参数页!L60</f>
        <v>150.91890518699998</v>
      </c>
      <c r="J9" s="42">
        <f>项目参数页!M60</f>
        <v>150.91890518699998</v>
      </c>
      <c r="K9" s="42">
        <f>项目参数页!N60</f>
        <v>150.91890518699998</v>
      </c>
      <c r="L9" s="42">
        <f>项目参数页!O60</f>
        <v>150.91890518699998</v>
      </c>
      <c r="M9" s="4"/>
      <c r="N9" s="438">
        <f t="shared" si="1"/>
        <v>1.2</v>
      </c>
      <c r="O9" s="439" t="str">
        <f t="shared" si="1"/>
        <v xml:space="preserve"> 燃料及动力费</v>
      </c>
      <c r="P9" s="45">
        <f t="shared" si="0"/>
        <v>456</v>
      </c>
      <c r="Q9" s="45">
        <f t="shared" si="0"/>
        <v>760</v>
      </c>
      <c r="R9" s="45">
        <f t="shared" si="0"/>
        <v>760</v>
      </c>
    </row>
    <row r="10" spans="1:18" ht="15.75" customHeight="1">
      <c r="A10" s="6">
        <f>项目参数页!B61</f>
        <v>4</v>
      </c>
      <c r="B10" s="40" t="str">
        <f>项目参数页!C61</f>
        <v>折旧费</v>
      </c>
      <c r="C10" s="42">
        <f>项目参数页!F61</f>
        <v>838.43836214999999</v>
      </c>
      <c r="D10" s="42">
        <f>项目参数页!G61</f>
        <v>838.43836214999999</v>
      </c>
      <c r="E10" s="42">
        <f>项目参数页!H61</f>
        <v>838.43836214999999</v>
      </c>
      <c r="F10" s="42">
        <f>项目参数页!I61</f>
        <v>838.43836214999999</v>
      </c>
      <c r="G10" s="42">
        <f>项目参数页!J61</f>
        <v>838.43836214999999</v>
      </c>
      <c r="H10" s="42">
        <f>项目参数页!K61</f>
        <v>838.43836214999999</v>
      </c>
      <c r="I10" s="42">
        <f>项目参数页!L61</f>
        <v>838.43836214999999</v>
      </c>
      <c r="J10" s="42">
        <f>项目参数页!M61</f>
        <v>838.43836214999999</v>
      </c>
      <c r="K10" s="42">
        <f>项目参数页!N61</f>
        <v>838.43836214999999</v>
      </c>
      <c r="L10" s="42">
        <f>项目参数页!O61</f>
        <v>838.43836214999999</v>
      </c>
      <c r="M10" s="4"/>
    </row>
    <row r="11" spans="1:18" ht="15.75" customHeight="1">
      <c r="A11" s="6">
        <f>项目参数页!B62</f>
        <v>5</v>
      </c>
      <c r="B11" s="40" t="str">
        <f>项目参数页!C62</f>
        <v>摊销费</v>
      </c>
      <c r="C11" s="42">
        <f>项目参数页!F62</f>
        <v>81.214399999999998</v>
      </c>
      <c r="D11" s="42">
        <f>项目参数页!G62</f>
        <v>81.214399999999998</v>
      </c>
      <c r="E11" s="42">
        <f>项目参数页!H62</f>
        <v>81.214399999999998</v>
      </c>
      <c r="F11" s="42">
        <f>项目参数页!I62</f>
        <v>81.214399999999998</v>
      </c>
      <c r="G11" s="42">
        <f>项目参数页!J62</f>
        <v>81.214399999999998</v>
      </c>
      <c r="H11" s="42">
        <f>项目参数页!K62</f>
        <v>17.312399999999997</v>
      </c>
      <c r="I11" s="42">
        <f>项目参数页!L62</f>
        <v>17.312399999999997</v>
      </c>
      <c r="J11" s="42">
        <f>项目参数页!M62</f>
        <v>17.312399999999997</v>
      </c>
      <c r="K11" s="42">
        <f>项目参数页!N62</f>
        <v>17.312399999999997</v>
      </c>
      <c r="L11" s="42">
        <f>项目参数页!O62</f>
        <v>17.312399999999997</v>
      </c>
      <c r="M11" s="4"/>
      <c r="N11" s="4"/>
      <c r="O11" s="4"/>
      <c r="P11" s="4"/>
      <c r="Q11" s="4"/>
      <c r="R11" s="4"/>
    </row>
    <row r="12" spans="1:18" ht="15.75" customHeight="1">
      <c r="A12" s="6">
        <f>项目参数页!B63</f>
        <v>6</v>
      </c>
      <c r="B12" s="40" t="str">
        <f>项目参数页!C63</f>
        <v>利息支出</v>
      </c>
      <c r="C12" s="42">
        <f>项目参数页!F63</f>
        <v>225</v>
      </c>
      <c r="D12" s="42">
        <f>项目参数页!G63</f>
        <v>375</v>
      </c>
      <c r="E12" s="42">
        <f>项目参数页!H63</f>
        <v>375</v>
      </c>
      <c r="F12" s="42">
        <f>项目参数页!I63</f>
        <v>375</v>
      </c>
      <c r="G12" s="42">
        <f>项目参数页!J63</f>
        <v>375</v>
      </c>
      <c r="H12" s="42">
        <f>项目参数页!K63</f>
        <v>0</v>
      </c>
      <c r="I12" s="42">
        <f>项目参数页!L63</f>
        <v>0</v>
      </c>
      <c r="J12" s="42">
        <f>项目参数页!M63</f>
        <v>0</v>
      </c>
      <c r="K12" s="42">
        <f>项目参数页!N63</f>
        <v>0</v>
      </c>
      <c r="L12" s="42">
        <f>项目参数页!O63</f>
        <v>0</v>
      </c>
      <c r="M12" s="4"/>
      <c r="N12" s="4"/>
      <c r="O12" s="4"/>
      <c r="P12" s="4"/>
      <c r="Q12" s="4"/>
      <c r="R12" s="4"/>
    </row>
    <row r="13" spans="1:18" ht="15.75" customHeight="1">
      <c r="A13" s="6">
        <f>项目参数页!B64</f>
        <v>6.1</v>
      </c>
      <c r="B13" s="40" t="str">
        <f>项目参数页!C64</f>
        <v xml:space="preserve"> 总投资贷款利息</v>
      </c>
      <c r="C13" s="42">
        <f>项目参数页!F64</f>
        <v>0</v>
      </c>
      <c r="D13" s="42">
        <f>项目参数页!G64</f>
        <v>0</v>
      </c>
      <c r="E13" s="42">
        <f>项目参数页!H64</f>
        <v>0</v>
      </c>
      <c r="F13" s="42">
        <f>项目参数页!I64</f>
        <v>0</v>
      </c>
      <c r="G13" s="42">
        <f>项目参数页!J64</f>
        <v>0</v>
      </c>
      <c r="H13" s="42">
        <f>项目参数页!K64</f>
        <v>0</v>
      </c>
      <c r="I13" s="42">
        <f>项目参数页!L64</f>
        <v>0</v>
      </c>
      <c r="J13" s="42">
        <f>项目参数页!M64</f>
        <v>0</v>
      </c>
      <c r="K13" s="42">
        <f>项目参数页!N64</f>
        <v>0</v>
      </c>
      <c r="L13" s="42">
        <f>项目参数页!O64</f>
        <v>0</v>
      </c>
      <c r="M13" s="4"/>
      <c r="N13" s="4"/>
      <c r="O13" s="4"/>
      <c r="P13" s="4"/>
      <c r="Q13" s="4"/>
      <c r="R13" s="4"/>
    </row>
    <row r="14" spans="1:18" ht="15.75" customHeight="1">
      <c r="A14" s="6">
        <f>项目参数页!B65</f>
        <v>6.2</v>
      </c>
      <c r="B14" s="40" t="str">
        <f>项目参数页!C65</f>
        <v xml:space="preserve"> 流动资金贷款利息</v>
      </c>
      <c r="C14" s="42">
        <f>项目参数页!F65</f>
        <v>225</v>
      </c>
      <c r="D14" s="42">
        <f>项目参数页!G65</f>
        <v>375</v>
      </c>
      <c r="E14" s="42">
        <f>项目参数页!H65</f>
        <v>375</v>
      </c>
      <c r="F14" s="42">
        <f>项目参数页!I65</f>
        <v>375</v>
      </c>
      <c r="G14" s="42">
        <f>项目参数页!J65</f>
        <v>375</v>
      </c>
      <c r="H14" s="42">
        <f>项目参数页!K65</f>
        <v>0</v>
      </c>
      <c r="I14" s="42">
        <f>项目参数页!L65</f>
        <v>0</v>
      </c>
      <c r="J14" s="42">
        <f>项目参数页!M65</f>
        <v>0</v>
      </c>
      <c r="K14" s="42">
        <f>项目参数页!N65</f>
        <v>0</v>
      </c>
      <c r="L14" s="42">
        <f>项目参数页!O65</f>
        <v>0</v>
      </c>
      <c r="M14" s="4"/>
      <c r="N14" s="4"/>
      <c r="O14" s="4"/>
      <c r="P14" s="4"/>
      <c r="Q14" s="4"/>
      <c r="R14" s="4"/>
    </row>
    <row r="15" spans="1:18" ht="15.75" customHeight="1">
      <c r="A15" s="6">
        <f>项目参数页!B66</f>
        <v>7</v>
      </c>
      <c r="B15" s="40" t="str">
        <f>项目参数页!C66</f>
        <v>经营管理费用</v>
      </c>
      <c r="C15" s="42">
        <f>项目参数页!F66</f>
        <v>1861.1999999999998</v>
      </c>
      <c r="D15" s="42">
        <f>项目参数页!G66</f>
        <v>3102</v>
      </c>
      <c r="E15" s="42">
        <f>项目参数页!H66</f>
        <v>3102</v>
      </c>
      <c r="F15" s="42">
        <f>项目参数页!I66</f>
        <v>3102</v>
      </c>
      <c r="G15" s="42">
        <f>项目参数页!J66</f>
        <v>3102</v>
      </c>
      <c r="H15" s="42">
        <f>项目参数页!K66</f>
        <v>3102</v>
      </c>
      <c r="I15" s="42">
        <f>项目参数页!L66</f>
        <v>3102</v>
      </c>
      <c r="J15" s="42">
        <f>项目参数页!M66</f>
        <v>3102</v>
      </c>
      <c r="K15" s="42">
        <f>项目参数页!N66</f>
        <v>3102</v>
      </c>
      <c r="L15" s="42">
        <f>项目参数页!O66</f>
        <v>3102</v>
      </c>
      <c r="M15" s="4"/>
      <c r="N15" s="4"/>
      <c r="O15" s="4"/>
      <c r="P15" s="4"/>
      <c r="Q15" s="4"/>
      <c r="R15" s="4"/>
    </row>
    <row r="16" spans="1:18" ht="15.75" customHeight="1">
      <c r="A16" s="6">
        <f>项目参数页!B67</f>
        <v>7.1</v>
      </c>
      <c r="B16" s="40" t="str">
        <f>项目参数页!C67</f>
        <v xml:space="preserve"> 销售费用</v>
      </c>
      <c r="C16" s="42">
        <f>项目参数页!F67</f>
        <v>386.1</v>
      </c>
      <c r="D16" s="42">
        <f>项目参数页!G67</f>
        <v>643.5</v>
      </c>
      <c r="E16" s="42">
        <f>项目参数页!H67</f>
        <v>643.5</v>
      </c>
      <c r="F16" s="42">
        <f>项目参数页!I67</f>
        <v>643.5</v>
      </c>
      <c r="G16" s="42">
        <f>项目参数页!J67</f>
        <v>643.5</v>
      </c>
      <c r="H16" s="42">
        <f>项目参数页!K67</f>
        <v>643.5</v>
      </c>
      <c r="I16" s="42">
        <f>项目参数页!L67</f>
        <v>643.5</v>
      </c>
      <c r="J16" s="42">
        <f>项目参数页!M67</f>
        <v>643.5</v>
      </c>
      <c r="K16" s="42">
        <f>项目参数页!N67</f>
        <v>643.5</v>
      </c>
      <c r="L16" s="42">
        <f>项目参数页!O67</f>
        <v>643.5</v>
      </c>
      <c r="M16" s="4"/>
      <c r="N16" s="4"/>
      <c r="O16" s="4"/>
      <c r="P16" s="4"/>
      <c r="Q16" s="4"/>
      <c r="R16" s="4"/>
    </row>
    <row r="17" spans="1:18" ht="15.75" customHeight="1">
      <c r="A17" s="6">
        <f>项目参数页!B68</f>
        <v>7.2</v>
      </c>
      <c r="B17" s="40" t="str">
        <f>项目参数页!C68</f>
        <v xml:space="preserve"> 研发费用</v>
      </c>
      <c r="C17" s="42">
        <f>项目参数页!F68</f>
        <v>366.29999999999995</v>
      </c>
      <c r="D17" s="42">
        <f>项目参数页!G68</f>
        <v>610.5</v>
      </c>
      <c r="E17" s="42">
        <f>项目参数页!H68</f>
        <v>610.5</v>
      </c>
      <c r="F17" s="42">
        <f>项目参数页!I68</f>
        <v>610.5</v>
      </c>
      <c r="G17" s="42">
        <f>项目参数页!J68</f>
        <v>610.5</v>
      </c>
      <c r="H17" s="42">
        <f>项目参数页!K68</f>
        <v>610.5</v>
      </c>
      <c r="I17" s="42">
        <f>项目参数页!L68</f>
        <v>610.5</v>
      </c>
      <c r="J17" s="42">
        <f>项目参数页!M68</f>
        <v>610.5</v>
      </c>
      <c r="K17" s="42">
        <f>项目参数页!N68</f>
        <v>610.5</v>
      </c>
      <c r="L17" s="42">
        <f>项目参数页!O68</f>
        <v>610.5</v>
      </c>
      <c r="M17" s="4"/>
      <c r="N17" s="4"/>
      <c r="O17" s="4"/>
      <c r="P17" s="4"/>
      <c r="Q17" s="4"/>
      <c r="R17" s="4"/>
    </row>
    <row r="18" spans="1:18" ht="15.75" customHeight="1">
      <c r="A18" s="6">
        <f>项目参数页!B69</f>
        <v>7.3</v>
      </c>
      <c r="B18" s="40" t="str">
        <f>项目参数页!C69</f>
        <v xml:space="preserve"> 管理费用</v>
      </c>
      <c r="C18" s="42">
        <f>项目参数页!F69</f>
        <v>1108.8</v>
      </c>
      <c r="D18" s="42">
        <f>项目参数页!G69</f>
        <v>1848</v>
      </c>
      <c r="E18" s="42">
        <f>项目参数页!H69</f>
        <v>1848</v>
      </c>
      <c r="F18" s="42">
        <f>项目参数页!I69</f>
        <v>1848</v>
      </c>
      <c r="G18" s="42">
        <f>项目参数页!J69</f>
        <v>1848</v>
      </c>
      <c r="H18" s="42">
        <f>项目参数页!K69</f>
        <v>1848</v>
      </c>
      <c r="I18" s="42">
        <f>项目参数页!L69</f>
        <v>1848</v>
      </c>
      <c r="J18" s="42">
        <f>项目参数页!M69</f>
        <v>1848</v>
      </c>
      <c r="K18" s="42">
        <f>项目参数页!N69</f>
        <v>1848</v>
      </c>
      <c r="L18" s="42">
        <f>项目参数页!O69</f>
        <v>1848</v>
      </c>
      <c r="M18" s="4"/>
      <c r="N18" s="4"/>
      <c r="O18" s="4"/>
      <c r="P18" s="4"/>
      <c r="Q18" s="4"/>
      <c r="R18" s="4"/>
    </row>
    <row r="19" spans="1:18" ht="15.75" customHeight="1">
      <c r="A19" s="6"/>
      <c r="B19" s="40" t="str">
        <f>项目参数页!C70</f>
        <v>总成本费用</v>
      </c>
      <c r="C19" s="42">
        <f>项目参数页!F70</f>
        <v>14258.151667336999</v>
      </c>
      <c r="D19" s="42">
        <f>项目参数页!G70</f>
        <v>23049.871667337</v>
      </c>
      <c r="E19" s="42">
        <f>项目参数页!H70</f>
        <v>23049.871667337</v>
      </c>
      <c r="F19" s="42">
        <f>项目参数页!I70</f>
        <v>23049.871667337</v>
      </c>
      <c r="G19" s="42">
        <f>项目参数页!J70</f>
        <v>23049.871667337</v>
      </c>
      <c r="H19" s="42">
        <f>项目参数页!K70</f>
        <v>22610.969667336998</v>
      </c>
      <c r="I19" s="42">
        <f>项目参数页!L70</f>
        <v>22610.969667336998</v>
      </c>
      <c r="J19" s="42">
        <f>项目参数页!M70</f>
        <v>22610.969667336998</v>
      </c>
      <c r="K19" s="42">
        <f>项目参数页!N70</f>
        <v>22610.969667336998</v>
      </c>
      <c r="L19" s="42">
        <f>项目参数页!O70</f>
        <v>22610.969667336998</v>
      </c>
      <c r="M19" s="4"/>
      <c r="N19" s="4"/>
      <c r="O19" s="4"/>
      <c r="P19" s="4"/>
      <c r="Q19" s="4"/>
      <c r="R19" s="4"/>
    </row>
    <row r="20" spans="1:18" ht="15.75" customHeight="1">
      <c r="A20" s="6">
        <f>项目参数页!B71</f>
        <v>9</v>
      </c>
      <c r="B20" s="40" t="str">
        <f>项目参数页!C71</f>
        <v>可变成本</v>
      </c>
      <c r="C20" s="42">
        <f>项目参数页!F71</f>
        <v>9996</v>
      </c>
      <c r="D20" s="42">
        <f>项目参数页!G71</f>
        <v>16660</v>
      </c>
      <c r="E20" s="42">
        <f>项目参数页!H71</f>
        <v>16660</v>
      </c>
      <c r="F20" s="42">
        <f>项目参数页!I71</f>
        <v>16660</v>
      </c>
      <c r="G20" s="42">
        <f>项目参数页!J71</f>
        <v>16660</v>
      </c>
      <c r="H20" s="42">
        <f>项目参数页!K71</f>
        <v>16660</v>
      </c>
      <c r="I20" s="42">
        <f>项目参数页!L71</f>
        <v>16660</v>
      </c>
      <c r="J20" s="42">
        <f>项目参数页!M71</f>
        <v>16660</v>
      </c>
      <c r="K20" s="42">
        <f>项目参数页!N71</f>
        <v>16660</v>
      </c>
      <c r="L20" s="42">
        <f>项目参数页!O71</f>
        <v>16660</v>
      </c>
      <c r="M20" s="4"/>
      <c r="N20" s="4"/>
      <c r="O20" s="4"/>
      <c r="P20" s="4"/>
      <c r="Q20" s="4"/>
      <c r="R20" s="4"/>
    </row>
    <row r="21" spans="1:18" ht="15.75" customHeight="1">
      <c r="A21" s="6">
        <f>项目参数页!B72</f>
        <v>10</v>
      </c>
      <c r="B21" s="40" t="str">
        <f>项目参数页!C72</f>
        <v>固定成本</v>
      </c>
      <c r="C21" s="42">
        <f>项目参数页!F72</f>
        <v>4262.1516673369988</v>
      </c>
      <c r="D21" s="42">
        <f>项目参数页!G72</f>
        <v>6389.871667337</v>
      </c>
      <c r="E21" s="42">
        <f>项目参数页!H72</f>
        <v>6389.871667337</v>
      </c>
      <c r="F21" s="42">
        <f>项目参数页!I72</f>
        <v>6389.871667337</v>
      </c>
      <c r="G21" s="42">
        <f>项目参数页!J72</f>
        <v>6389.871667337</v>
      </c>
      <c r="H21" s="42">
        <f>项目参数页!K72</f>
        <v>5950.9696673369981</v>
      </c>
      <c r="I21" s="42">
        <f>项目参数页!L72</f>
        <v>5950.9696673369981</v>
      </c>
      <c r="J21" s="42">
        <f>项目参数页!M72</f>
        <v>5950.9696673369981</v>
      </c>
      <c r="K21" s="42">
        <f>项目参数页!N72</f>
        <v>5950.9696673369981</v>
      </c>
      <c r="L21" s="42">
        <f>项目参数页!O72</f>
        <v>5950.9696673369981</v>
      </c>
      <c r="M21" s="4"/>
      <c r="N21" s="4"/>
      <c r="O21" s="4"/>
      <c r="P21" s="4"/>
      <c r="Q21" s="4"/>
      <c r="R21" s="4"/>
    </row>
    <row r="22" spans="1:18" ht="15.75" customHeight="1">
      <c r="A22" s="6">
        <f>项目参数页!B73</f>
        <v>11</v>
      </c>
      <c r="B22" s="40" t="str">
        <f>项目参数页!C73</f>
        <v>经营成本</v>
      </c>
      <c r="C22" s="42">
        <f>项目参数页!F73</f>
        <v>13113.498905187002</v>
      </c>
      <c r="D22" s="42">
        <f>项目参数页!G73</f>
        <v>21755.218905187001</v>
      </c>
      <c r="E22" s="42">
        <f>项目参数页!H73</f>
        <v>21755.218905187001</v>
      </c>
      <c r="F22" s="42">
        <f>项目参数页!I73</f>
        <v>21755.218905187001</v>
      </c>
      <c r="G22" s="42">
        <f>项目参数页!J73</f>
        <v>21755.218905187001</v>
      </c>
      <c r="H22" s="42">
        <f>项目参数页!K73</f>
        <v>21755.218905187001</v>
      </c>
      <c r="I22" s="42">
        <f>项目参数页!L73</f>
        <v>21755.218905187001</v>
      </c>
      <c r="J22" s="42">
        <f>项目参数页!M73</f>
        <v>21755.218905187001</v>
      </c>
      <c r="K22" s="42">
        <f>项目参数页!N73</f>
        <v>21755.218905187001</v>
      </c>
      <c r="L22" s="42">
        <f>项目参数页!O73</f>
        <v>21755.218905187001</v>
      </c>
      <c r="M22" s="4"/>
      <c r="N22" s="4"/>
      <c r="O22" s="4"/>
      <c r="P22" s="4"/>
      <c r="Q22" s="4"/>
      <c r="R22" s="4"/>
    </row>
    <row r="23" spans="1:18">
      <c r="M23" s="4"/>
      <c r="N23" s="4"/>
      <c r="O23" s="4"/>
      <c r="P23" s="4"/>
      <c r="Q23" s="4"/>
      <c r="R23" s="4"/>
    </row>
  </sheetData>
  <mergeCells count="8">
    <mergeCell ref="A1:L1"/>
    <mergeCell ref="C2:L2"/>
    <mergeCell ref="N3:R3"/>
    <mergeCell ref="P4:R4"/>
    <mergeCell ref="A2:A3"/>
    <mergeCell ref="B2:B3"/>
    <mergeCell ref="N4:N5"/>
    <mergeCell ref="O4:O5"/>
  </mergeCells>
  <phoneticPr fontId="40" type="noConversion"/>
  <pageMargins left="0.94861111111111096" right="0.75138888888888899" top="1.1965277777777801" bottom="1" header="0.5" footer="0.5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showGridLines="0" workbookViewId="0">
      <selection activeCell="D15" sqref="D15"/>
    </sheetView>
  </sheetViews>
  <sheetFormatPr defaultColWidth="8.75" defaultRowHeight="14.25"/>
  <cols>
    <col min="1" max="1" width="4.25" style="4" customWidth="1"/>
    <col min="2" max="2" width="14.125" style="4"/>
    <col min="3" max="3" width="7.375" style="4" customWidth="1"/>
    <col min="4" max="13" width="8.125" style="4" customWidth="1"/>
    <col min="14" max="14" width="9" style="4"/>
    <col min="15" max="15" width="4.375" style="4" customWidth="1"/>
    <col min="16" max="16" width="15" style="4" customWidth="1"/>
    <col min="17" max="32" width="9" style="4"/>
    <col min="33" max="16384" width="8.75" style="4"/>
  </cols>
  <sheetData>
    <row r="1" spans="1:20" ht="18.75" customHeight="1">
      <c r="A1" s="631" t="s">
        <v>358</v>
      </c>
      <c r="B1" s="632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158"/>
      <c r="O1" s="635" t="s">
        <v>172</v>
      </c>
      <c r="P1" s="635"/>
      <c r="Q1" s="635"/>
      <c r="R1" s="635"/>
      <c r="S1" s="635"/>
      <c r="T1" s="57"/>
    </row>
    <row r="2" spans="1:20" ht="15.75" customHeight="1">
      <c r="A2" s="612" t="s">
        <v>2</v>
      </c>
      <c r="B2" s="612" t="s">
        <v>3</v>
      </c>
      <c r="C2" s="32" t="str">
        <f>项目参数页!E42</f>
        <v>建设期</v>
      </c>
      <c r="D2" s="610" t="str">
        <f>项目参数页!F42</f>
        <v>生产经营期</v>
      </c>
      <c r="E2" s="602"/>
      <c r="F2" s="602"/>
      <c r="G2" s="602"/>
      <c r="H2" s="602"/>
      <c r="I2" s="602"/>
      <c r="J2" s="602"/>
      <c r="K2" s="602"/>
      <c r="L2" s="602"/>
      <c r="M2" s="602"/>
      <c r="N2" s="36"/>
      <c r="O2" s="613" t="s">
        <v>2</v>
      </c>
      <c r="P2" s="613" t="s">
        <v>3</v>
      </c>
      <c r="Q2" s="611" t="str">
        <f>项目参数页!F42</f>
        <v>生产经营期</v>
      </c>
      <c r="R2" s="596"/>
      <c r="S2" s="596"/>
    </row>
    <row r="3" spans="1:20" ht="15.75" customHeight="1">
      <c r="A3" s="612"/>
      <c r="B3" s="612"/>
      <c r="C3" s="174">
        <f>项目参数页!E43</f>
        <v>1</v>
      </c>
      <c r="D3" s="174">
        <f>项目参数页!F43</f>
        <v>2</v>
      </c>
      <c r="E3" s="174">
        <f>项目参数页!G43</f>
        <v>3</v>
      </c>
      <c r="F3" s="174">
        <f>项目参数页!H43</f>
        <v>4</v>
      </c>
      <c r="G3" s="174">
        <f>项目参数页!I43</f>
        <v>5</v>
      </c>
      <c r="H3" s="174">
        <f>项目参数页!J43</f>
        <v>6</v>
      </c>
      <c r="I3" s="174">
        <f>项目参数页!K43</f>
        <v>7</v>
      </c>
      <c r="J3" s="174">
        <f>项目参数页!L43</f>
        <v>8</v>
      </c>
      <c r="K3" s="174">
        <f>项目参数页!M43</f>
        <v>9</v>
      </c>
      <c r="L3" s="174">
        <f>项目参数页!N43</f>
        <v>10</v>
      </c>
      <c r="M3" s="174">
        <f>项目参数页!O43</f>
        <v>11</v>
      </c>
      <c r="N3" s="36"/>
      <c r="O3" s="613"/>
      <c r="P3" s="613"/>
      <c r="Q3" s="440" t="s">
        <v>322</v>
      </c>
      <c r="R3" s="440" t="s">
        <v>323</v>
      </c>
      <c r="S3" s="440" t="s">
        <v>327</v>
      </c>
    </row>
    <row r="4" spans="1:20" ht="15.75" customHeight="1">
      <c r="A4" s="33"/>
      <c r="B4" s="33" t="str">
        <f>项目参数页!C55</f>
        <v>生产负荷</v>
      </c>
      <c r="C4" s="34"/>
      <c r="D4" s="12">
        <f>项目参数页!F55</f>
        <v>0.6</v>
      </c>
      <c r="E4" s="12">
        <f>项目参数页!G55</f>
        <v>1</v>
      </c>
      <c r="F4" s="12">
        <f>项目参数页!H55</f>
        <v>1</v>
      </c>
      <c r="G4" s="12">
        <f>项目参数页!I55</f>
        <v>1</v>
      </c>
      <c r="H4" s="12">
        <f>项目参数页!J55</f>
        <v>1</v>
      </c>
      <c r="I4" s="12">
        <f>项目参数页!K55</f>
        <v>1</v>
      </c>
      <c r="J4" s="12">
        <f>项目参数页!L55</f>
        <v>1</v>
      </c>
      <c r="K4" s="12">
        <f>项目参数页!M55</f>
        <v>1</v>
      </c>
      <c r="L4" s="12">
        <f>项目参数页!N55</f>
        <v>1</v>
      </c>
      <c r="M4" s="12">
        <f>项目参数页!O55</f>
        <v>1</v>
      </c>
      <c r="N4" s="36"/>
      <c r="O4" s="37"/>
      <c r="P4" s="441" t="str">
        <f>B4</f>
        <v>生产负荷</v>
      </c>
      <c r="Q4" s="38">
        <f t="shared" ref="Q4:S10" si="0">D4</f>
        <v>0.6</v>
      </c>
      <c r="R4" s="38">
        <f t="shared" si="0"/>
        <v>1</v>
      </c>
      <c r="S4" s="38">
        <f t="shared" si="0"/>
        <v>1</v>
      </c>
    </row>
    <row r="5" spans="1:20" ht="15.75" customHeight="1">
      <c r="A5" s="33">
        <f>项目参数页!B74</f>
        <v>1</v>
      </c>
      <c r="B5" s="33" t="str">
        <f>项目参数页!C74</f>
        <v>销售收入</v>
      </c>
      <c r="C5" s="34"/>
      <c r="D5" s="35">
        <f>项目参数页!F74</f>
        <v>19800</v>
      </c>
      <c r="E5" s="35">
        <f>项目参数页!G74</f>
        <v>33000</v>
      </c>
      <c r="F5" s="35">
        <f>项目参数页!H74</f>
        <v>33000</v>
      </c>
      <c r="G5" s="35">
        <f>项目参数页!I74</f>
        <v>33000</v>
      </c>
      <c r="H5" s="35">
        <f>项目参数页!J74</f>
        <v>33000</v>
      </c>
      <c r="I5" s="35">
        <f>项目参数页!K74</f>
        <v>33000</v>
      </c>
      <c r="J5" s="35">
        <f>项目参数页!L74</f>
        <v>33000</v>
      </c>
      <c r="K5" s="35">
        <f>项目参数页!M74</f>
        <v>33000</v>
      </c>
      <c r="L5" s="35">
        <f>项目参数页!N74</f>
        <v>33000</v>
      </c>
      <c r="M5" s="35">
        <f>项目参数页!O74</f>
        <v>33000</v>
      </c>
      <c r="N5" s="36"/>
      <c r="O5" s="37">
        <f t="shared" ref="O5:O10" si="1">A5</f>
        <v>1</v>
      </c>
      <c r="P5" s="441" t="str">
        <f t="shared" ref="P5:P10" si="2">B5</f>
        <v>销售收入</v>
      </c>
      <c r="Q5" s="442">
        <f t="shared" si="0"/>
        <v>19800</v>
      </c>
      <c r="R5" s="442">
        <f t="shared" si="0"/>
        <v>33000</v>
      </c>
      <c r="S5" s="442">
        <f t="shared" si="0"/>
        <v>33000</v>
      </c>
    </row>
    <row r="6" spans="1:20" ht="15.75" customHeight="1">
      <c r="A6" s="33">
        <f>项目参数页!B75</f>
        <v>2</v>
      </c>
      <c r="B6" s="33" t="str">
        <f>项目参数页!C75</f>
        <v>综合增值税</v>
      </c>
      <c r="C6" s="34"/>
      <c r="D6" s="35">
        <f>项目参数页!F75</f>
        <v>990</v>
      </c>
      <c r="E6" s="35">
        <f>项目参数页!G75</f>
        <v>1650</v>
      </c>
      <c r="F6" s="35">
        <f>项目参数页!H75</f>
        <v>1650</v>
      </c>
      <c r="G6" s="35">
        <f>项目参数页!I75</f>
        <v>1650</v>
      </c>
      <c r="H6" s="35">
        <f>项目参数页!J75</f>
        <v>1650</v>
      </c>
      <c r="I6" s="35">
        <f>项目参数页!K75</f>
        <v>1650</v>
      </c>
      <c r="J6" s="35">
        <f>项目参数页!L75</f>
        <v>1650</v>
      </c>
      <c r="K6" s="35">
        <f>项目参数页!M75</f>
        <v>1650</v>
      </c>
      <c r="L6" s="35">
        <f>项目参数页!N75</f>
        <v>1650</v>
      </c>
      <c r="M6" s="35">
        <f>项目参数页!O75</f>
        <v>1650</v>
      </c>
      <c r="N6" s="36"/>
      <c r="O6" s="37">
        <f t="shared" si="1"/>
        <v>2</v>
      </c>
      <c r="P6" s="441" t="str">
        <f t="shared" si="2"/>
        <v>综合增值税</v>
      </c>
      <c r="Q6" s="442">
        <f t="shared" si="0"/>
        <v>990</v>
      </c>
      <c r="R6" s="442">
        <f t="shared" si="0"/>
        <v>1650</v>
      </c>
      <c r="S6" s="442">
        <f t="shared" si="0"/>
        <v>1650</v>
      </c>
    </row>
    <row r="7" spans="1:20" ht="15.75" customHeight="1">
      <c r="A7" s="33">
        <f>项目参数页!B76</f>
        <v>3</v>
      </c>
      <c r="B7" s="33" t="str">
        <f>项目参数页!C76</f>
        <v>销售税金及附加</v>
      </c>
      <c r="C7" s="34"/>
      <c r="D7" s="35">
        <f>项目参数页!F76</f>
        <v>124.74000000000001</v>
      </c>
      <c r="E7" s="35">
        <f>项目参数页!G76</f>
        <v>207.9</v>
      </c>
      <c r="F7" s="35">
        <f>项目参数页!H76</f>
        <v>207.9</v>
      </c>
      <c r="G7" s="35">
        <f>项目参数页!I76</f>
        <v>207.9</v>
      </c>
      <c r="H7" s="35">
        <f>项目参数页!J76</f>
        <v>207.9</v>
      </c>
      <c r="I7" s="35">
        <f>项目参数页!K76</f>
        <v>207.9</v>
      </c>
      <c r="J7" s="35">
        <f>项目参数页!L76</f>
        <v>207.9</v>
      </c>
      <c r="K7" s="35">
        <f>项目参数页!M76</f>
        <v>207.9</v>
      </c>
      <c r="L7" s="35">
        <f>项目参数页!N76</f>
        <v>207.9</v>
      </c>
      <c r="M7" s="35">
        <f>项目参数页!O76</f>
        <v>207.9</v>
      </c>
      <c r="N7" s="36"/>
      <c r="O7" s="37">
        <f t="shared" si="1"/>
        <v>3</v>
      </c>
      <c r="P7" s="441" t="str">
        <f t="shared" si="2"/>
        <v>销售税金及附加</v>
      </c>
      <c r="Q7" s="442">
        <f t="shared" si="0"/>
        <v>124.74000000000001</v>
      </c>
      <c r="R7" s="442">
        <f t="shared" si="0"/>
        <v>207.9</v>
      </c>
      <c r="S7" s="442">
        <f t="shared" si="0"/>
        <v>207.9</v>
      </c>
    </row>
    <row r="8" spans="1:20" ht="15.75" customHeight="1">
      <c r="A8" s="33">
        <f>项目参数页!B77</f>
        <v>3.1</v>
      </c>
      <c r="B8" s="33" t="str">
        <f>项目参数页!C77</f>
        <v xml:space="preserve"> 城市维护建设税</v>
      </c>
      <c r="C8" s="34"/>
      <c r="D8" s="35">
        <f>项目参数页!F77</f>
        <v>69.300000000000011</v>
      </c>
      <c r="E8" s="35">
        <f>项目参数页!G77</f>
        <v>115.50000000000001</v>
      </c>
      <c r="F8" s="35">
        <f>项目参数页!H77</f>
        <v>115.50000000000001</v>
      </c>
      <c r="G8" s="35">
        <f>项目参数页!I77</f>
        <v>115.50000000000001</v>
      </c>
      <c r="H8" s="35">
        <f>项目参数页!J77</f>
        <v>115.50000000000001</v>
      </c>
      <c r="I8" s="35">
        <f>项目参数页!K77</f>
        <v>115.50000000000001</v>
      </c>
      <c r="J8" s="35">
        <f>项目参数页!L77</f>
        <v>115.50000000000001</v>
      </c>
      <c r="K8" s="35">
        <f>项目参数页!M77</f>
        <v>115.50000000000001</v>
      </c>
      <c r="L8" s="35">
        <f>项目参数页!N77</f>
        <v>115.50000000000001</v>
      </c>
      <c r="M8" s="35">
        <f>项目参数页!O77</f>
        <v>115.50000000000001</v>
      </c>
      <c r="N8" s="36"/>
      <c r="O8" s="37">
        <f t="shared" si="1"/>
        <v>3.1</v>
      </c>
      <c r="P8" s="441" t="str">
        <f t="shared" si="2"/>
        <v xml:space="preserve"> 城市维护建设税</v>
      </c>
      <c r="Q8" s="442">
        <f t="shared" si="0"/>
        <v>69.300000000000011</v>
      </c>
      <c r="R8" s="442">
        <f t="shared" si="0"/>
        <v>115.50000000000001</v>
      </c>
      <c r="S8" s="442">
        <f t="shared" si="0"/>
        <v>115.50000000000001</v>
      </c>
    </row>
    <row r="9" spans="1:20" ht="15.75" customHeight="1">
      <c r="A9" s="33">
        <f>项目参数页!B78</f>
        <v>3.2</v>
      </c>
      <c r="B9" s="33" t="str">
        <f>项目参数页!C78</f>
        <v xml:space="preserve"> 教育费附加</v>
      </c>
      <c r="C9" s="34"/>
      <c r="D9" s="35">
        <f>项目参数页!F78</f>
        <v>49.5</v>
      </c>
      <c r="E9" s="35">
        <f>项目参数页!G78</f>
        <v>82.5</v>
      </c>
      <c r="F9" s="35">
        <f>项目参数页!H78</f>
        <v>82.5</v>
      </c>
      <c r="G9" s="35">
        <f>项目参数页!I78</f>
        <v>82.5</v>
      </c>
      <c r="H9" s="35">
        <f>项目参数页!J78</f>
        <v>82.5</v>
      </c>
      <c r="I9" s="35">
        <f>项目参数页!K78</f>
        <v>82.5</v>
      </c>
      <c r="J9" s="35">
        <f>项目参数页!L78</f>
        <v>82.5</v>
      </c>
      <c r="K9" s="35">
        <f>项目参数页!M78</f>
        <v>82.5</v>
      </c>
      <c r="L9" s="35">
        <f>项目参数页!N78</f>
        <v>82.5</v>
      </c>
      <c r="M9" s="35">
        <f>项目参数页!O78</f>
        <v>82.5</v>
      </c>
      <c r="N9" s="36"/>
      <c r="O9" s="37">
        <f t="shared" si="1"/>
        <v>3.2</v>
      </c>
      <c r="P9" s="441" t="str">
        <f t="shared" si="2"/>
        <v xml:space="preserve"> 教育费附加</v>
      </c>
      <c r="Q9" s="442">
        <f t="shared" si="0"/>
        <v>49.5</v>
      </c>
      <c r="R9" s="442">
        <f t="shared" si="0"/>
        <v>82.5</v>
      </c>
      <c r="S9" s="442">
        <f t="shared" si="0"/>
        <v>82.5</v>
      </c>
    </row>
    <row r="10" spans="1:20" ht="15.75" customHeight="1">
      <c r="A10" s="33">
        <f>项目参数页!B79</f>
        <v>3.3</v>
      </c>
      <c r="B10" s="33" t="str">
        <f>项目参数页!C79</f>
        <v xml:space="preserve"> 印花税</v>
      </c>
      <c r="C10" s="34"/>
      <c r="D10" s="35">
        <f>项目参数页!F79</f>
        <v>5.9399999999999995</v>
      </c>
      <c r="E10" s="35">
        <f>项目参数页!G79</f>
        <v>9.8999999999999986</v>
      </c>
      <c r="F10" s="35">
        <f>项目参数页!H79</f>
        <v>9.8999999999999986</v>
      </c>
      <c r="G10" s="35">
        <f>项目参数页!I79</f>
        <v>9.8999999999999986</v>
      </c>
      <c r="H10" s="35">
        <f>项目参数页!J79</f>
        <v>9.8999999999999986</v>
      </c>
      <c r="I10" s="35">
        <f>项目参数页!K79</f>
        <v>9.8999999999999986</v>
      </c>
      <c r="J10" s="35">
        <f>项目参数页!L79</f>
        <v>9.8999999999999986</v>
      </c>
      <c r="K10" s="35">
        <f>项目参数页!M79</f>
        <v>9.8999999999999986</v>
      </c>
      <c r="L10" s="35">
        <f>项目参数页!N79</f>
        <v>9.8999999999999986</v>
      </c>
      <c r="M10" s="35">
        <f>项目参数页!O79</f>
        <v>9.8999999999999986</v>
      </c>
      <c r="O10" s="37">
        <f t="shared" si="1"/>
        <v>3.3</v>
      </c>
      <c r="P10" s="441" t="str">
        <f t="shared" si="2"/>
        <v xml:space="preserve"> 印花税</v>
      </c>
      <c r="Q10" s="442">
        <f>D10</f>
        <v>5.9399999999999995</v>
      </c>
      <c r="R10" s="442">
        <f t="shared" si="0"/>
        <v>9.8999999999999986</v>
      </c>
      <c r="S10" s="442">
        <f t="shared" si="0"/>
        <v>9.8999999999999986</v>
      </c>
    </row>
  </sheetData>
  <mergeCells count="8">
    <mergeCell ref="A1:M1"/>
    <mergeCell ref="O1:S1"/>
    <mergeCell ref="D2:M2"/>
    <mergeCell ref="Q2:S2"/>
    <mergeCell ref="A2:A3"/>
    <mergeCell ref="B2:B3"/>
    <mergeCell ref="O2:O3"/>
    <mergeCell ref="P2:P3"/>
  </mergeCells>
  <phoneticPr fontId="4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18"/>
  <sheetViews>
    <sheetView showGridLines="0" workbookViewId="0">
      <selection activeCell="I22" sqref="I22"/>
    </sheetView>
  </sheetViews>
  <sheetFormatPr defaultColWidth="8.75" defaultRowHeight="14.25"/>
  <cols>
    <col min="1" max="1" width="3.75" style="4" customWidth="1"/>
    <col min="2" max="2" width="20" style="4" customWidth="1"/>
    <col min="3" max="3" width="8.75" style="4" customWidth="1"/>
    <col min="4" max="4" width="7.375" style="4" customWidth="1"/>
    <col min="5" max="14" width="8" style="4" customWidth="1"/>
    <col min="15" max="32" width="9" style="4"/>
    <col min="33" max="16384" width="8.75" style="4"/>
  </cols>
  <sheetData>
    <row r="1" spans="1:28" ht="19.149999999999999" customHeight="1">
      <c r="A1" s="633" t="s">
        <v>173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</row>
    <row r="2" spans="1:28" ht="15.75" customHeight="1">
      <c r="A2" s="595" t="s">
        <v>2</v>
      </c>
      <c r="B2" s="595" t="s">
        <v>174</v>
      </c>
      <c r="C2" s="595" t="s">
        <v>175</v>
      </c>
      <c r="D2" s="28" t="str">
        <f>项目参数页!E42</f>
        <v>建设期</v>
      </c>
      <c r="E2" s="595" t="str">
        <f>项目参数页!F42</f>
        <v>生产经营期</v>
      </c>
      <c r="F2" s="602"/>
      <c r="G2" s="602"/>
      <c r="H2" s="602"/>
      <c r="I2" s="602"/>
      <c r="J2" s="602"/>
      <c r="K2" s="602"/>
      <c r="L2" s="602"/>
      <c r="M2" s="602"/>
      <c r="N2" s="602"/>
      <c r="O2" s="614"/>
      <c r="P2" s="614"/>
      <c r="Q2" s="615"/>
      <c r="R2" s="615"/>
      <c r="S2" s="615"/>
      <c r="T2" s="615"/>
      <c r="U2" s="615"/>
      <c r="V2" s="615"/>
      <c r="W2" s="615"/>
      <c r="X2" s="615"/>
      <c r="Y2" s="615"/>
      <c r="Z2" s="615"/>
      <c r="AA2" s="615"/>
      <c r="AB2" s="615"/>
    </row>
    <row r="3" spans="1:28" ht="15.75" customHeight="1">
      <c r="A3" s="616"/>
      <c r="B3" s="616"/>
      <c r="C3" s="616"/>
      <c r="D3" s="175">
        <f>项目参数页!E43</f>
        <v>1</v>
      </c>
      <c r="E3" s="175">
        <f>项目参数页!F43</f>
        <v>2</v>
      </c>
      <c r="F3" s="175">
        <f>项目参数页!G43</f>
        <v>3</v>
      </c>
      <c r="G3" s="175">
        <f>项目参数页!H43</f>
        <v>4</v>
      </c>
      <c r="H3" s="175">
        <f>项目参数页!I43</f>
        <v>5</v>
      </c>
      <c r="I3" s="175">
        <f>项目参数页!J43</f>
        <v>6</v>
      </c>
      <c r="J3" s="175">
        <f>项目参数页!K43</f>
        <v>7</v>
      </c>
      <c r="K3" s="175">
        <f>项目参数页!L43</f>
        <v>8</v>
      </c>
      <c r="L3" s="175">
        <f>项目参数页!M43</f>
        <v>9</v>
      </c>
      <c r="M3" s="175">
        <f>项目参数页!N43</f>
        <v>10</v>
      </c>
      <c r="N3" s="175">
        <f>项目参数页!O43</f>
        <v>11</v>
      </c>
    </row>
    <row r="4" spans="1:28" ht="15.75" customHeight="1">
      <c r="A4" s="29">
        <f>项目参数页!B80</f>
        <v>1</v>
      </c>
      <c r="B4" s="30" t="str">
        <f>项目参数页!C80</f>
        <v>销售收入</v>
      </c>
      <c r="C4" s="31">
        <f>项目参数页!D80</f>
        <v>316800</v>
      </c>
      <c r="D4" s="31"/>
      <c r="E4" s="31">
        <f>项目参数页!F80</f>
        <v>19800</v>
      </c>
      <c r="F4" s="31">
        <f>项目参数页!G80</f>
        <v>33000</v>
      </c>
      <c r="G4" s="31">
        <f>项目参数页!H80</f>
        <v>33000</v>
      </c>
      <c r="H4" s="31">
        <f>项目参数页!I80</f>
        <v>33000</v>
      </c>
      <c r="I4" s="31">
        <f>项目参数页!J80</f>
        <v>33000</v>
      </c>
      <c r="J4" s="31">
        <f>项目参数页!K80</f>
        <v>33000</v>
      </c>
      <c r="K4" s="31">
        <f>项目参数页!L80</f>
        <v>33000</v>
      </c>
      <c r="L4" s="31">
        <f>项目参数页!M80</f>
        <v>33000</v>
      </c>
      <c r="M4" s="31">
        <f>项目参数页!N80</f>
        <v>33000</v>
      </c>
      <c r="N4" s="31">
        <f>项目参数页!O80</f>
        <v>33000</v>
      </c>
    </row>
    <row r="5" spans="1:28" ht="15.75" customHeight="1">
      <c r="A5" s="29">
        <f>项目参数页!B81</f>
        <v>2</v>
      </c>
      <c r="B5" s="30" t="str">
        <f>项目参数页!C81</f>
        <v>退税及补贴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28" ht="15.75" customHeight="1">
      <c r="A6" s="29">
        <f>项目参数页!B82</f>
        <v>3</v>
      </c>
      <c r="B6" s="30" t="str">
        <f>项目参数页!C82</f>
        <v>综合增值税、税金及附加</v>
      </c>
      <c r="C6" s="31">
        <f>项目参数页!D82</f>
        <v>17835.84</v>
      </c>
      <c r="D6" s="31"/>
      <c r="E6" s="31">
        <f>项目参数页!F82</f>
        <v>1114.74</v>
      </c>
      <c r="F6" s="31">
        <f>项目参数页!G82</f>
        <v>1857.9</v>
      </c>
      <c r="G6" s="31">
        <f>项目参数页!H82</f>
        <v>1857.9</v>
      </c>
      <c r="H6" s="31">
        <f>项目参数页!I82</f>
        <v>1857.9</v>
      </c>
      <c r="I6" s="31">
        <f>项目参数页!J82</f>
        <v>1857.9</v>
      </c>
      <c r="J6" s="31">
        <f>项目参数页!K82</f>
        <v>1857.9</v>
      </c>
      <c r="K6" s="31">
        <f>项目参数页!L82</f>
        <v>1857.9</v>
      </c>
      <c r="L6" s="31">
        <f>项目参数页!M82</f>
        <v>1857.9</v>
      </c>
      <c r="M6" s="31">
        <f>项目参数页!N82</f>
        <v>1857.9</v>
      </c>
      <c r="N6" s="31">
        <f>项目参数页!O82</f>
        <v>1857.9</v>
      </c>
    </row>
    <row r="7" spans="1:28" ht="15.75" customHeight="1">
      <c r="A7" s="29">
        <f>项目参数页!B83</f>
        <v>3.1</v>
      </c>
      <c r="B7" s="30" t="str">
        <f>项目参数页!C83</f>
        <v>税金及附加</v>
      </c>
      <c r="C7" s="31">
        <f>项目参数页!D83</f>
        <v>1995.8400000000004</v>
      </c>
      <c r="D7" s="31"/>
      <c r="E7" s="31">
        <f>项目参数页!F83</f>
        <v>124.74000000000001</v>
      </c>
      <c r="F7" s="31">
        <f>项目参数页!G83</f>
        <v>207.9</v>
      </c>
      <c r="G7" s="31">
        <f>项目参数页!H83</f>
        <v>207.9</v>
      </c>
      <c r="H7" s="31">
        <f>项目参数页!I83</f>
        <v>207.9</v>
      </c>
      <c r="I7" s="31">
        <f>项目参数页!J83</f>
        <v>207.9</v>
      </c>
      <c r="J7" s="31">
        <f>项目参数页!K83</f>
        <v>207.9</v>
      </c>
      <c r="K7" s="31">
        <f>项目参数页!L83</f>
        <v>207.9</v>
      </c>
      <c r="L7" s="31">
        <f>项目参数页!M83</f>
        <v>207.9</v>
      </c>
      <c r="M7" s="31">
        <f>项目参数页!N83</f>
        <v>207.9</v>
      </c>
      <c r="N7" s="31">
        <f>项目参数页!O83</f>
        <v>207.9</v>
      </c>
    </row>
    <row r="8" spans="1:28" ht="15.75" customHeight="1">
      <c r="A8" s="29">
        <f>项目参数页!B84</f>
        <v>3.2</v>
      </c>
      <c r="B8" s="30" t="str">
        <f>项目参数页!C84</f>
        <v>综合增值税</v>
      </c>
      <c r="C8" s="31">
        <f>项目参数页!D84</f>
        <v>15840</v>
      </c>
      <c r="D8" s="31"/>
      <c r="E8" s="31">
        <f>项目参数页!F84</f>
        <v>990</v>
      </c>
      <c r="F8" s="31">
        <f>项目参数页!G84</f>
        <v>1650</v>
      </c>
      <c r="G8" s="31">
        <f>项目参数页!H84</f>
        <v>1650</v>
      </c>
      <c r="H8" s="31">
        <f>项目参数页!I84</f>
        <v>1650</v>
      </c>
      <c r="I8" s="31">
        <f>项目参数页!J84</f>
        <v>1650</v>
      </c>
      <c r="J8" s="31">
        <f>项目参数页!K84</f>
        <v>1650</v>
      </c>
      <c r="K8" s="31">
        <f>项目参数页!L84</f>
        <v>1650</v>
      </c>
      <c r="L8" s="31">
        <f>项目参数页!M84</f>
        <v>1650</v>
      </c>
      <c r="M8" s="31">
        <f>项目参数页!N84</f>
        <v>1650</v>
      </c>
      <c r="N8" s="31">
        <f>项目参数页!O84</f>
        <v>1650</v>
      </c>
    </row>
    <row r="9" spans="1:28" ht="15.75" customHeight="1">
      <c r="A9" s="29">
        <f>项目参数页!B85</f>
        <v>4</v>
      </c>
      <c r="B9" s="30" t="str">
        <f>项目参数页!C85</f>
        <v>总成本费用</v>
      </c>
      <c r="C9" s="31">
        <f>项目参数页!D85</f>
        <v>219512.48667336995</v>
      </c>
      <c r="D9" s="31"/>
      <c r="E9" s="31">
        <f>项目参数页!F85</f>
        <v>14258.151667336999</v>
      </c>
      <c r="F9" s="31">
        <f>项目参数页!G85</f>
        <v>23049.871667337</v>
      </c>
      <c r="G9" s="31">
        <f>项目参数页!H85</f>
        <v>23049.871667337</v>
      </c>
      <c r="H9" s="31">
        <f>项目参数页!I85</f>
        <v>23049.871667337</v>
      </c>
      <c r="I9" s="31">
        <f>项目参数页!J85</f>
        <v>23049.871667337</v>
      </c>
      <c r="J9" s="31">
        <f>项目参数页!K85</f>
        <v>22610.969667336998</v>
      </c>
      <c r="K9" s="31">
        <f>项目参数页!L85</f>
        <v>22610.969667336998</v>
      </c>
      <c r="L9" s="31">
        <f>项目参数页!M85</f>
        <v>22610.969667336998</v>
      </c>
      <c r="M9" s="31">
        <f>项目参数页!N85</f>
        <v>22610.969667336998</v>
      </c>
      <c r="N9" s="31">
        <f>项目参数页!O85</f>
        <v>22610.969667336998</v>
      </c>
    </row>
    <row r="10" spans="1:28" ht="15.75" customHeight="1">
      <c r="A10" s="29">
        <f>项目参数页!B86</f>
        <v>5</v>
      </c>
      <c r="B10" s="30" t="str">
        <f>项目参数页!C86</f>
        <v>利润总额</v>
      </c>
      <c r="C10" s="31">
        <f>项目参数页!D86</f>
        <v>79451.67332663</v>
      </c>
      <c r="D10" s="31"/>
      <c r="E10" s="31">
        <f>项目参数页!F86</f>
        <v>4427.1083326629996</v>
      </c>
      <c r="F10" s="31">
        <f>项目参数页!G86</f>
        <v>8092.2283326629986</v>
      </c>
      <c r="G10" s="31">
        <f>项目参数页!H86</f>
        <v>8092.2283326629986</v>
      </c>
      <c r="H10" s="31">
        <f>项目参数页!I86</f>
        <v>8092.2283326629986</v>
      </c>
      <c r="I10" s="31">
        <f>项目参数页!J86</f>
        <v>8092.2283326629986</v>
      </c>
      <c r="J10" s="31">
        <f>项目参数页!K86</f>
        <v>8531.1303326630004</v>
      </c>
      <c r="K10" s="31">
        <f>项目参数页!L86</f>
        <v>8531.1303326630004</v>
      </c>
      <c r="L10" s="31">
        <f>项目参数页!M86</f>
        <v>8531.1303326630004</v>
      </c>
      <c r="M10" s="31">
        <f>项目参数页!N86</f>
        <v>8531.1303326630004</v>
      </c>
      <c r="N10" s="31">
        <f>项目参数页!O86</f>
        <v>8531.1303326630004</v>
      </c>
    </row>
    <row r="11" spans="1:28" ht="15.75" customHeight="1">
      <c r="A11" s="29">
        <f>项目参数页!B87</f>
        <v>6</v>
      </c>
      <c r="B11" s="30" t="str">
        <f>项目参数页!C87</f>
        <v>所得税</v>
      </c>
      <c r="C11" s="31">
        <f>项目参数页!D87</f>
        <v>19862.9183316575</v>
      </c>
      <c r="D11" s="31"/>
      <c r="E11" s="31">
        <f>项目参数页!F87</f>
        <v>1106.7770831657499</v>
      </c>
      <c r="F11" s="31">
        <f>项目参数页!G87</f>
        <v>2023.0570831657496</v>
      </c>
      <c r="G11" s="31">
        <f>项目参数页!H87</f>
        <v>2023.0570831657496</v>
      </c>
      <c r="H11" s="31">
        <f>项目参数页!I87</f>
        <v>2023.0570831657496</v>
      </c>
      <c r="I11" s="31">
        <f>项目参数页!J87</f>
        <v>2023.0570831657496</v>
      </c>
      <c r="J11" s="31">
        <f>项目参数页!K87</f>
        <v>2132.7825831657501</v>
      </c>
      <c r="K11" s="31">
        <f>项目参数页!L87</f>
        <v>2132.7825831657501</v>
      </c>
      <c r="L11" s="31">
        <f>项目参数页!M87</f>
        <v>2132.7825831657501</v>
      </c>
      <c r="M11" s="31">
        <f>项目参数页!N87</f>
        <v>2132.7825831657501</v>
      </c>
      <c r="N11" s="31">
        <f>项目参数页!O87</f>
        <v>2132.7825831657501</v>
      </c>
    </row>
    <row r="12" spans="1:28" ht="15.75" customHeight="1">
      <c r="A12" s="29">
        <f>项目参数页!B88</f>
        <v>7</v>
      </c>
      <c r="B12" s="30" t="str">
        <f>项目参数页!C88</f>
        <v>税后利润</v>
      </c>
      <c r="C12" s="31">
        <f>项目参数页!D88</f>
        <v>59588.754994972478</v>
      </c>
      <c r="D12" s="31"/>
      <c r="E12" s="31">
        <f>项目参数页!F88</f>
        <v>3320.3312494972497</v>
      </c>
      <c r="F12" s="31">
        <f>项目参数页!G88</f>
        <v>6069.1712494972489</v>
      </c>
      <c r="G12" s="31">
        <f>项目参数页!H88</f>
        <v>6069.1712494972489</v>
      </c>
      <c r="H12" s="31">
        <f>项目参数页!I88</f>
        <v>6069.1712494972489</v>
      </c>
      <c r="I12" s="31">
        <f>项目参数页!J88</f>
        <v>6069.1712494972489</v>
      </c>
      <c r="J12" s="31">
        <f>项目参数页!K88</f>
        <v>6398.3477494972503</v>
      </c>
      <c r="K12" s="31">
        <f>项目参数页!L88</f>
        <v>6398.3477494972503</v>
      </c>
      <c r="L12" s="31">
        <f>项目参数页!M88</f>
        <v>6398.3477494972503</v>
      </c>
      <c r="M12" s="31">
        <f>项目参数页!N88</f>
        <v>6398.3477494972503</v>
      </c>
      <c r="N12" s="31">
        <f>项目参数页!O88</f>
        <v>6398.3477494972503</v>
      </c>
    </row>
    <row r="13" spans="1:28" ht="15.75" customHeight="1">
      <c r="A13" s="29">
        <f>项目参数页!B89</f>
        <v>8</v>
      </c>
      <c r="B13" s="30" t="str">
        <f>项目参数页!C89</f>
        <v>奖励及福利基金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</row>
    <row r="14" spans="1:28" ht="15.75" customHeight="1">
      <c r="A14" s="29">
        <f>项目参数页!B90</f>
        <v>9</v>
      </c>
      <c r="B14" s="30" t="str">
        <f>项目参数页!C90</f>
        <v>盈余公积金</v>
      </c>
      <c r="C14" s="31">
        <f>项目参数页!D90</f>
        <v>8938.3132492458735</v>
      </c>
      <c r="D14" s="31"/>
      <c r="E14" s="31">
        <f>项目参数页!F90</f>
        <v>498.04968742458743</v>
      </c>
      <c r="F14" s="31">
        <f>项目参数页!G90</f>
        <v>910.37568742458734</v>
      </c>
      <c r="G14" s="31">
        <f>项目参数页!H90</f>
        <v>910.37568742458734</v>
      </c>
      <c r="H14" s="31">
        <f>项目参数页!I90</f>
        <v>910.37568742458734</v>
      </c>
      <c r="I14" s="31">
        <f>项目参数页!J90</f>
        <v>910.37568742458734</v>
      </c>
      <c r="J14" s="31">
        <f>项目参数页!K90</f>
        <v>959.75216242458748</v>
      </c>
      <c r="K14" s="31">
        <f>项目参数页!L90</f>
        <v>959.75216242458748</v>
      </c>
      <c r="L14" s="31">
        <f>项目参数页!M90</f>
        <v>959.75216242458748</v>
      </c>
      <c r="M14" s="31">
        <f>项目参数页!N90</f>
        <v>959.75216242458748</v>
      </c>
      <c r="N14" s="31">
        <f>项目参数页!O90</f>
        <v>959.75216242458748</v>
      </c>
    </row>
    <row r="15" spans="1:28" ht="15.75" customHeight="1">
      <c r="A15" s="29">
        <f>项目参数页!B91</f>
        <v>10</v>
      </c>
      <c r="B15" s="30" t="str">
        <f>项目参数页!C91</f>
        <v>盈余公益金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28" ht="15.75" customHeight="1">
      <c r="A16" s="29">
        <f>项目参数页!B92</f>
        <v>11</v>
      </c>
      <c r="B16" s="30" t="str">
        <f>项目参数页!C92</f>
        <v>可供投资者分配的利润</v>
      </c>
      <c r="C16" s="31">
        <f>项目参数页!D92</f>
        <v>50650.441745726617</v>
      </c>
      <c r="D16" s="31"/>
      <c r="E16" s="31">
        <f>项目参数页!F92</f>
        <v>2822.2815620726624</v>
      </c>
      <c r="F16" s="31">
        <f>项目参数页!G92</f>
        <v>5158.7955620726616</v>
      </c>
      <c r="G16" s="31">
        <f>项目参数页!H92</f>
        <v>5158.7955620726616</v>
      </c>
      <c r="H16" s="31">
        <f>项目参数页!I92</f>
        <v>5158.7955620726616</v>
      </c>
      <c r="I16" s="31">
        <f>项目参数页!J92</f>
        <v>5158.7955620726616</v>
      </c>
      <c r="J16" s="31">
        <f>项目参数页!K92</f>
        <v>5438.595587072663</v>
      </c>
      <c r="K16" s="31">
        <f>项目参数页!L92</f>
        <v>5438.595587072663</v>
      </c>
      <c r="L16" s="31">
        <f>项目参数页!M92</f>
        <v>5438.595587072663</v>
      </c>
      <c r="M16" s="31">
        <f>项目参数页!N92</f>
        <v>5438.595587072663</v>
      </c>
      <c r="N16" s="31">
        <f>项目参数页!O92</f>
        <v>5438.595587072663</v>
      </c>
    </row>
    <row r="17" spans="1:14" ht="15.75" customHeight="1">
      <c r="A17" s="29">
        <f>项目参数页!B93</f>
        <v>12</v>
      </c>
      <c r="B17" s="30" t="str">
        <f>项目参数页!C93</f>
        <v>未分配利润</v>
      </c>
      <c r="C17" s="31">
        <f>项目参数页!D93</f>
        <v>50650.441745726617</v>
      </c>
      <c r="D17" s="31"/>
      <c r="E17" s="31">
        <f>项目参数页!F93</f>
        <v>2822.2815620726624</v>
      </c>
      <c r="F17" s="31">
        <f>项目参数页!G93</f>
        <v>5158.7955620726616</v>
      </c>
      <c r="G17" s="31">
        <f>项目参数页!H93</f>
        <v>5158.7955620726616</v>
      </c>
      <c r="H17" s="31">
        <f>项目参数页!I93</f>
        <v>5158.7955620726616</v>
      </c>
      <c r="I17" s="31">
        <f>项目参数页!J93</f>
        <v>5158.7955620726616</v>
      </c>
      <c r="J17" s="31">
        <f>项目参数页!K93</f>
        <v>5438.595587072663</v>
      </c>
      <c r="K17" s="31">
        <f>项目参数页!L93</f>
        <v>5438.595587072663</v>
      </c>
      <c r="L17" s="31">
        <f>项目参数页!M93</f>
        <v>5438.595587072663</v>
      </c>
      <c r="M17" s="31">
        <f>项目参数页!N93</f>
        <v>5438.595587072663</v>
      </c>
      <c r="N17" s="31">
        <f>项目参数页!O93</f>
        <v>5438.595587072663</v>
      </c>
    </row>
    <row r="18" spans="1:14" ht="15.75" customHeight="1">
      <c r="A18" s="29">
        <f>项目参数页!B94</f>
        <v>13</v>
      </c>
      <c r="B18" s="30" t="str">
        <f>项目参数页!C94</f>
        <v>累计未分配利润</v>
      </c>
      <c r="C18" s="31"/>
      <c r="D18" s="31"/>
      <c r="E18" s="31">
        <f>项目参数页!F94</f>
        <v>2822.2815620726624</v>
      </c>
      <c r="F18" s="31">
        <f>项目参数页!G94</f>
        <v>7981.077124145324</v>
      </c>
      <c r="G18" s="31">
        <f>项目参数页!H94</f>
        <v>13139.872686217986</v>
      </c>
      <c r="H18" s="31">
        <f>项目参数页!I94</f>
        <v>18298.668248290647</v>
      </c>
      <c r="I18" s="31">
        <f>项目参数页!J94</f>
        <v>23457.463810363308</v>
      </c>
      <c r="J18" s="31">
        <f>项目参数页!K94</f>
        <v>28896.059397435973</v>
      </c>
      <c r="K18" s="31">
        <f>项目参数页!L94</f>
        <v>34334.654984508634</v>
      </c>
      <c r="L18" s="31">
        <f>项目参数页!M94</f>
        <v>39773.250571581295</v>
      </c>
      <c r="M18" s="31">
        <f>项目参数页!N94</f>
        <v>45211.846158653956</v>
      </c>
      <c r="N18" s="31">
        <f>项目参数页!O94</f>
        <v>50650.441745726617</v>
      </c>
    </row>
  </sheetData>
  <mergeCells count="6">
    <mergeCell ref="A1:N1"/>
    <mergeCell ref="E2:N2"/>
    <mergeCell ref="O2:AB2"/>
    <mergeCell ref="A2:A3"/>
    <mergeCell ref="B2:B3"/>
    <mergeCell ref="C2:C3"/>
  </mergeCells>
  <phoneticPr fontId="40" type="noConversion"/>
  <pageMargins left="1.14513888888889" right="0.75138888888888899" top="1.1965277777777801" bottom="1" header="0.5" footer="0.5"/>
  <pageSetup paperSize="9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24"/>
  <sheetViews>
    <sheetView showGridLines="0" workbookViewId="0">
      <selection activeCell="Q17" sqref="Q17"/>
    </sheetView>
  </sheetViews>
  <sheetFormatPr defaultColWidth="8.75" defaultRowHeight="14.25"/>
  <cols>
    <col min="1" max="1" width="3.25" style="4" customWidth="1"/>
    <col min="2" max="2" width="20" style="4" customWidth="1"/>
    <col min="3" max="3" width="9.375" style="4" customWidth="1"/>
    <col min="4" max="14" width="8.5" style="4" customWidth="1"/>
    <col min="15" max="16" width="9" style="4"/>
    <col min="17" max="18" width="11.625" style="4"/>
    <col min="19" max="32" width="9" style="4"/>
    <col min="33" max="16384" width="8.75" style="4"/>
  </cols>
  <sheetData>
    <row r="1" spans="1:28">
      <c r="A1" s="634" t="s">
        <v>106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634"/>
      <c r="M1" s="634"/>
      <c r="N1" s="634"/>
    </row>
    <row r="2" spans="1:28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4"/>
      <c r="N2" s="634"/>
      <c r="O2" s="617"/>
      <c r="P2" s="618"/>
      <c r="Q2" s="619"/>
      <c r="R2" s="619"/>
      <c r="S2" s="619"/>
      <c r="T2" s="619"/>
      <c r="U2" s="619"/>
      <c r="V2" s="619"/>
      <c r="W2" s="619"/>
      <c r="X2" s="619"/>
      <c r="Y2" s="619"/>
      <c r="Z2" s="619"/>
      <c r="AA2" s="619"/>
      <c r="AB2" s="619"/>
    </row>
    <row r="3" spans="1:28" ht="15.75" customHeight="1">
      <c r="A3" s="620" t="s">
        <v>2</v>
      </c>
      <c r="B3" s="620" t="s">
        <v>176</v>
      </c>
      <c r="C3" s="620" t="s">
        <v>166</v>
      </c>
      <c r="D3" s="9" t="str">
        <f>项目参数页!E42</f>
        <v>建设期</v>
      </c>
      <c r="E3" s="620" t="str">
        <f>项目参数页!F42</f>
        <v>生产经营期</v>
      </c>
      <c r="F3" s="621"/>
      <c r="G3" s="621"/>
      <c r="H3" s="621"/>
      <c r="I3" s="621"/>
      <c r="J3" s="621"/>
      <c r="K3" s="621"/>
      <c r="L3" s="621"/>
      <c r="M3" s="621"/>
      <c r="N3" s="621"/>
    </row>
    <row r="4" spans="1:28" ht="15.75" customHeight="1">
      <c r="A4" s="624"/>
      <c r="B4" s="624"/>
      <c r="C4" s="624"/>
      <c r="D4" s="176">
        <f>项目参数页!E43</f>
        <v>1</v>
      </c>
      <c r="E4" s="176">
        <f>项目参数页!F43</f>
        <v>2</v>
      </c>
      <c r="F4" s="176">
        <f>项目参数页!G43</f>
        <v>3</v>
      </c>
      <c r="G4" s="176">
        <f>项目参数页!H43</f>
        <v>4</v>
      </c>
      <c r="H4" s="176">
        <f>项目参数页!I43</f>
        <v>5</v>
      </c>
      <c r="I4" s="176">
        <f>项目参数页!J43</f>
        <v>6</v>
      </c>
      <c r="J4" s="176">
        <f>项目参数页!K43</f>
        <v>7</v>
      </c>
      <c r="K4" s="176">
        <f>项目参数页!L43</f>
        <v>8</v>
      </c>
      <c r="L4" s="176">
        <f>项目参数页!M43</f>
        <v>9</v>
      </c>
      <c r="M4" s="176">
        <f>项目参数页!N43</f>
        <v>10</v>
      </c>
      <c r="N4" s="176">
        <f>项目参数页!O43</f>
        <v>11</v>
      </c>
    </row>
    <row r="5" spans="1:28" ht="15.75" customHeight="1">
      <c r="A5" s="10"/>
      <c r="B5" s="29" t="s">
        <v>82</v>
      </c>
      <c r="C5" s="11"/>
      <c r="D5" s="12">
        <f>项目参数页!E55</f>
        <v>0</v>
      </c>
      <c r="E5" s="12">
        <f>项目参数页!F55</f>
        <v>0.6</v>
      </c>
      <c r="F5" s="12">
        <f>项目参数页!G55</f>
        <v>1</v>
      </c>
      <c r="G5" s="12">
        <f>项目参数页!H55</f>
        <v>1</v>
      </c>
      <c r="H5" s="12">
        <f>项目参数页!I55</f>
        <v>1</v>
      </c>
      <c r="I5" s="12">
        <f>项目参数页!J55</f>
        <v>1</v>
      </c>
      <c r="J5" s="12">
        <f>项目参数页!K55</f>
        <v>1</v>
      </c>
      <c r="K5" s="12">
        <f>项目参数页!L55</f>
        <v>1</v>
      </c>
      <c r="L5" s="12">
        <f>项目参数页!M55</f>
        <v>1</v>
      </c>
      <c r="M5" s="12">
        <f>项目参数页!N55</f>
        <v>1</v>
      </c>
      <c r="N5" s="12">
        <f>项目参数页!O55</f>
        <v>1</v>
      </c>
    </row>
    <row r="6" spans="1:28" ht="15.75" customHeight="1">
      <c r="A6" s="10">
        <f>项目参数页!B95</f>
        <v>1</v>
      </c>
      <c r="B6" s="29" t="str">
        <f>项目参数页!C95</f>
        <v>现金流入</v>
      </c>
      <c r="C6" s="13">
        <f>项目参数页!D95</f>
        <v>316800</v>
      </c>
      <c r="D6" s="13">
        <f>项目参数页!E95</f>
        <v>0</v>
      </c>
      <c r="E6" s="13">
        <f>项目参数页!F95</f>
        <v>19800</v>
      </c>
      <c r="F6" s="13">
        <f>项目参数页!G95</f>
        <v>33000</v>
      </c>
      <c r="G6" s="13">
        <f>项目参数页!H95</f>
        <v>33000</v>
      </c>
      <c r="H6" s="13">
        <f>项目参数页!I95</f>
        <v>33000</v>
      </c>
      <c r="I6" s="13">
        <f>项目参数页!J95</f>
        <v>33000</v>
      </c>
      <c r="J6" s="13">
        <f>项目参数页!K95</f>
        <v>33000</v>
      </c>
      <c r="K6" s="13">
        <f>项目参数页!L95</f>
        <v>33000</v>
      </c>
      <c r="L6" s="13">
        <f>项目参数页!M95</f>
        <v>33000</v>
      </c>
      <c r="M6" s="13">
        <f>项目参数页!N95</f>
        <v>33000</v>
      </c>
      <c r="N6" s="13">
        <f>项目参数页!O95</f>
        <v>33000</v>
      </c>
    </row>
    <row r="7" spans="1:28" ht="15.75" customHeight="1">
      <c r="A7" s="10">
        <f>项目参数页!B96</f>
        <v>1.1000000000000001</v>
      </c>
      <c r="B7" s="29" t="str">
        <f>项目参数页!C96</f>
        <v>销售收入</v>
      </c>
      <c r="C7" s="13">
        <f>项目参数页!D96</f>
        <v>316800</v>
      </c>
      <c r="D7" s="13">
        <f>项目参数页!E96</f>
        <v>0</v>
      </c>
      <c r="E7" s="13">
        <f>项目参数页!F96</f>
        <v>19800</v>
      </c>
      <c r="F7" s="13">
        <f>项目参数页!G96</f>
        <v>33000</v>
      </c>
      <c r="G7" s="13">
        <f>项目参数页!H96</f>
        <v>33000</v>
      </c>
      <c r="H7" s="13">
        <f>项目参数页!I96</f>
        <v>33000</v>
      </c>
      <c r="I7" s="13">
        <f>项目参数页!J96</f>
        <v>33000</v>
      </c>
      <c r="J7" s="13">
        <f>项目参数页!K96</f>
        <v>33000</v>
      </c>
      <c r="K7" s="13">
        <f>项目参数页!L96</f>
        <v>33000</v>
      </c>
      <c r="L7" s="13">
        <f>项目参数页!M96</f>
        <v>33000</v>
      </c>
      <c r="M7" s="13">
        <f>项目参数页!N96</f>
        <v>33000</v>
      </c>
      <c r="N7" s="13">
        <f>项目参数页!O96</f>
        <v>33000</v>
      </c>
    </row>
    <row r="8" spans="1:28" ht="15.75" customHeight="1">
      <c r="A8" s="10">
        <f>项目参数页!B97</f>
        <v>1.2</v>
      </c>
      <c r="B8" s="29" t="str">
        <f>项目参数页!C97</f>
        <v xml:space="preserve"> 退税及补贴</v>
      </c>
      <c r="C8" s="13">
        <f>项目参数页!D97</f>
        <v>0</v>
      </c>
      <c r="D8" s="13">
        <f>项目参数页!E97</f>
        <v>0</v>
      </c>
      <c r="E8" s="13">
        <f>项目参数页!F97</f>
        <v>0</v>
      </c>
      <c r="F8" s="13">
        <f>项目参数页!G97</f>
        <v>0</v>
      </c>
      <c r="G8" s="13">
        <f>项目参数页!H97</f>
        <v>0</v>
      </c>
      <c r="H8" s="13">
        <f>项目参数页!I97</f>
        <v>0</v>
      </c>
      <c r="I8" s="13">
        <f>项目参数页!J97</f>
        <v>0</v>
      </c>
      <c r="J8" s="13">
        <f>项目参数页!K97</f>
        <v>0</v>
      </c>
      <c r="K8" s="13">
        <f>项目参数页!L97</f>
        <v>0</v>
      </c>
      <c r="L8" s="13">
        <f>项目参数页!M97</f>
        <v>0</v>
      </c>
      <c r="M8" s="13">
        <f>项目参数页!N97</f>
        <v>0</v>
      </c>
      <c r="N8" s="13">
        <f>项目参数页!O97</f>
        <v>0</v>
      </c>
      <c r="P8" s="636" t="s">
        <v>177</v>
      </c>
      <c r="Q8" s="636"/>
      <c r="R8" s="636"/>
    </row>
    <row r="9" spans="1:28" ht="15.75" customHeight="1">
      <c r="A9" s="10">
        <f>项目参数页!B98</f>
        <v>1.3</v>
      </c>
      <c r="B9" s="29" t="str">
        <f>项目参数页!C98</f>
        <v xml:space="preserve"> 回收固定资产余值</v>
      </c>
      <c r="C9" s="13">
        <f>项目参数页!D98</f>
        <v>0</v>
      </c>
      <c r="D9" s="13">
        <f>项目参数页!E98</f>
        <v>0</v>
      </c>
      <c r="E9" s="13">
        <f>项目参数页!F98</f>
        <v>0</v>
      </c>
      <c r="F9" s="13">
        <f>项目参数页!G98</f>
        <v>0</v>
      </c>
      <c r="G9" s="13">
        <f>项目参数页!H98</f>
        <v>0</v>
      </c>
      <c r="H9" s="13">
        <f>项目参数页!I98</f>
        <v>0</v>
      </c>
      <c r="I9" s="13">
        <f>项目参数页!J98</f>
        <v>0</v>
      </c>
      <c r="J9" s="13">
        <f>项目参数页!K98</f>
        <v>0</v>
      </c>
      <c r="K9" s="13">
        <f>项目参数页!L98</f>
        <v>0</v>
      </c>
      <c r="L9" s="13">
        <f>项目参数页!M98</f>
        <v>0</v>
      </c>
      <c r="M9" s="13">
        <f>项目参数页!N98</f>
        <v>0</v>
      </c>
      <c r="N9" s="13">
        <f>项目参数页!O98</f>
        <v>0</v>
      </c>
      <c r="P9" s="443" t="s">
        <v>178</v>
      </c>
      <c r="Q9" s="443" t="s">
        <v>48</v>
      </c>
      <c r="R9" s="443" t="s">
        <v>49</v>
      </c>
    </row>
    <row r="10" spans="1:28" ht="15.75" customHeight="1">
      <c r="A10" s="10">
        <f>项目参数页!B99</f>
        <v>1.4</v>
      </c>
      <c r="B10" s="29" t="str">
        <f>项目参数页!C99</f>
        <v xml:space="preserve"> 回收流动资金</v>
      </c>
      <c r="C10" s="13">
        <f>项目参数页!D99</f>
        <v>0</v>
      </c>
      <c r="D10" s="13">
        <f>项目参数页!E99</f>
        <v>0</v>
      </c>
      <c r="E10" s="13">
        <f>项目参数页!F99</f>
        <v>0</v>
      </c>
      <c r="F10" s="13">
        <f>项目参数页!G99</f>
        <v>0</v>
      </c>
      <c r="G10" s="13">
        <f>项目参数页!H99</f>
        <v>0</v>
      </c>
      <c r="H10" s="13">
        <f>项目参数页!I99</f>
        <v>0</v>
      </c>
      <c r="I10" s="13">
        <f>项目参数页!J99</f>
        <v>0</v>
      </c>
      <c r="J10" s="13">
        <f>项目参数页!K99</f>
        <v>0</v>
      </c>
      <c r="K10" s="13">
        <f>项目参数页!L99</f>
        <v>0</v>
      </c>
      <c r="L10" s="13">
        <f>项目参数页!M99</f>
        <v>0</v>
      </c>
      <c r="M10" s="13">
        <f>项目参数页!N99</f>
        <v>0</v>
      </c>
      <c r="N10" s="13">
        <f>项目参数页!O99</f>
        <v>0</v>
      </c>
      <c r="P10" s="444" t="s">
        <v>179</v>
      </c>
      <c r="Q10" s="26">
        <f t="shared" ref="Q10:R12" si="0">C22</f>
        <v>0.48239879900057825</v>
      </c>
      <c r="R10" s="26">
        <f t="shared" si="0"/>
        <v>0.62510749322923553</v>
      </c>
    </row>
    <row r="11" spans="1:28" ht="15.75" customHeight="1">
      <c r="A11" s="10">
        <f>项目参数页!B100</f>
        <v>2</v>
      </c>
      <c r="B11" s="29" t="str">
        <f>项目参数页!C100</f>
        <v>现金流出</v>
      </c>
      <c r="C11" s="13">
        <f>项目参数页!D100</f>
        <v>252829.2273835275</v>
      </c>
      <c r="D11" s="13">
        <f>项目参数页!E100</f>
        <v>9605.0039400000005</v>
      </c>
      <c r="E11" s="13">
        <f>项目参数页!F100</f>
        <v>17835.015988352752</v>
      </c>
      <c r="F11" s="13">
        <f>项目参数页!G100</f>
        <v>29356.175988352752</v>
      </c>
      <c r="G11" s="13">
        <f>项目参数页!H100</f>
        <v>25636.175988352752</v>
      </c>
      <c r="H11" s="13">
        <f>项目参数页!I100</f>
        <v>25636.175988352752</v>
      </c>
      <c r="I11" s="13">
        <f>项目参数页!J100</f>
        <v>25636.175988352752</v>
      </c>
      <c r="J11" s="13">
        <f>项目参数页!K100</f>
        <v>25745.901488352752</v>
      </c>
      <c r="K11" s="13">
        <f>项目参数页!L100</f>
        <v>25745.901488352752</v>
      </c>
      <c r="L11" s="13">
        <f>项目参数页!M100</f>
        <v>25745.901488352752</v>
      </c>
      <c r="M11" s="13">
        <f>项目参数页!N100</f>
        <v>25745.901488352752</v>
      </c>
      <c r="N11" s="13">
        <f>项目参数页!O100</f>
        <v>25745.901488352752</v>
      </c>
      <c r="P11" s="444" t="s">
        <v>53</v>
      </c>
      <c r="Q11" s="27">
        <f t="shared" si="0"/>
        <v>21421.296705739282</v>
      </c>
      <c r="R11" s="27">
        <f t="shared" si="0"/>
        <v>31097.238002122474</v>
      </c>
    </row>
    <row r="12" spans="1:28" ht="15.75" customHeight="1">
      <c r="A12" s="10">
        <f>项目参数页!B101</f>
        <v>2.1</v>
      </c>
      <c r="B12" s="29" t="str">
        <f>项目参数页!C101</f>
        <v xml:space="preserve"> 固定资产投资</v>
      </c>
      <c r="C12" s="13">
        <f>项目参数页!D101</f>
        <v>2720</v>
      </c>
      <c r="D12" s="13">
        <f>项目参数页!E101</f>
        <v>9605.0039400000005</v>
      </c>
      <c r="E12" s="13">
        <f>项目参数页!F101</f>
        <v>0</v>
      </c>
      <c r="F12" s="13">
        <f>项目参数页!G101</f>
        <v>2720</v>
      </c>
      <c r="G12" s="13">
        <f>项目参数页!H101</f>
        <v>0</v>
      </c>
      <c r="H12" s="13">
        <f>项目参数页!I101</f>
        <v>0</v>
      </c>
      <c r="I12" s="13">
        <f>项目参数页!J101</f>
        <v>0</v>
      </c>
      <c r="J12" s="13">
        <f>项目参数页!K101</f>
        <v>0</v>
      </c>
      <c r="K12" s="13">
        <f>项目参数页!L101</f>
        <v>0</v>
      </c>
      <c r="L12" s="13">
        <f>项目参数页!M101</f>
        <v>0</v>
      </c>
      <c r="M12" s="13">
        <f>项目参数页!N101</f>
        <v>0</v>
      </c>
      <c r="N12" s="13">
        <f>项目参数页!O101</f>
        <v>0</v>
      </c>
      <c r="P12" s="444" t="s">
        <v>55</v>
      </c>
      <c r="Q12" s="27">
        <f t="shared" si="0"/>
        <v>3.5426794435044595</v>
      </c>
      <c r="R12" s="27">
        <f t="shared" si="0"/>
        <v>3.0922949530971198</v>
      </c>
    </row>
    <row r="13" spans="1:28" ht="15.75" customHeight="1">
      <c r="A13" s="10">
        <f>项目参数页!B102</f>
        <v>2.2000000000000002</v>
      </c>
      <c r="B13" s="29" t="str">
        <f>项目参数页!C102</f>
        <v xml:space="preserve"> 流动资金</v>
      </c>
      <c r="C13" s="13">
        <f>项目参数页!D102</f>
        <v>3500</v>
      </c>
      <c r="D13" s="13">
        <f>项目参数页!E102</f>
        <v>0</v>
      </c>
      <c r="E13" s="13">
        <f>项目参数页!F102</f>
        <v>2500</v>
      </c>
      <c r="F13" s="13">
        <f>项目参数页!G102</f>
        <v>1000</v>
      </c>
      <c r="G13" s="13">
        <f>项目参数页!H102</f>
        <v>0</v>
      </c>
      <c r="H13" s="13">
        <f>项目参数页!I102</f>
        <v>0</v>
      </c>
      <c r="I13" s="13">
        <f>项目参数页!J102</f>
        <v>0</v>
      </c>
      <c r="J13" s="13">
        <f>项目参数页!K102</f>
        <v>0</v>
      </c>
      <c r="K13" s="13">
        <f>项目参数页!L102</f>
        <v>0</v>
      </c>
      <c r="L13" s="13">
        <f>项目参数页!M102</f>
        <v>0</v>
      </c>
      <c r="M13" s="13">
        <f>项目参数页!N102</f>
        <v>0</v>
      </c>
      <c r="N13" s="13">
        <f>项目参数页!O102</f>
        <v>0</v>
      </c>
    </row>
    <row r="14" spans="1:28" ht="15.75" customHeight="1">
      <c r="A14" s="10">
        <f>项目参数页!B103</f>
        <v>2.2999999999999998</v>
      </c>
      <c r="B14" s="29" t="str">
        <f>项目参数页!C103</f>
        <v xml:space="preserve"> 经营成本</v>
      </c>
      <c r="C14" s="13">
        <f>项目参数页!D103</f>
        <v>208910.46905187005</v>
      </c>
      <c r="D14" s="13">
        <f>项目参数页!E103</f>
        <v>0</v>
      </c>
      <c r="E14" s="13">
        <f>项目参数页!F103</f>
        <v>13113.498905187002</v>
      </c>
      <c r="F14" s="13">
        <f>项目参数页!G103</f>
        <v>21755.218905187001</v>
      </c>
      <c r="G14" s="13">
        <f>项目参数页!H103</f>
        <v>21755.218905187001</v>
      </c>
      <c r="H14" s="13">
        <f>项目参数页!I103</f>
        <v>21755.218905187001</v>
      </c>
      <c r="I14" s="13">
        <f>项目参数页!J103</f>
        <v>21755.218905187001</v>
      </c>
      <c r="J14" s="13">
        <f>项目参数页!K103</f>
        <v>21755.218905187001</v>
      </c>
      <c r="K14" s="13">
        <f>项目参数页!L103</f>
        <v>21755.218905187001</v>
      </c>
      <c r="L14" s="13">
        <f>项目参数页!M103</f>
        <v>21755.218905187001</v>
      </c>
      <c r="M14" s="13">
        <f>项目参数页!N103</f>
        <v>21755.218905187001</v>
      </c>
      <c r="N14" s="13">
        <f>项目参数页!O103</f>
        <v>21755.218905187001</v>
      </c>
    </row>
    <row r="15" spans="1:28" ht="15.75" customHeight="1">
      <c r="A15" s="10">
        <f>项目参数页!B104</f>
        <v>2.4</v>
      </c>
      <c r="B15" s="29" t="str">
        <f>项目参数页!C104</f>
        <v>应缴增值税、税金及附加</v>
      </c>
      <c r="C15" s="13">
        <f>项目参数页!D104</f>
        <v>17835.84</v>
      </c>
      <c r="D15" s="13">
        <f>项目参数页!E104</f>
        <v>0</v>
      </c>
      <c r="E15" s="13">
        <f>项目参数页!F104</f>
        <v>1114.74</v>
      </c>
      <c r="F15" s="13">
        <f>项目参数页!G104</f>
        <v>1857.9</v>
      </c>
      <c r="G15" s="13">
        <f>项目参数页!H104</f>
        <v>1857.9</v>
      </c>
      <c r="H15" s="13">
        <f>项目参数页!I104</f>
        <v>1857.9</v>
      </c>
      <c r="I15" s="13">
        <f>项目参数页!J104</f>
        <v>1857.9</v>
      </c>
      <c r="J15" s="13">
        <f>项目参数页!K104</f>
        <v>1857.9</v>
      </c>
      <c r="K15" s="13">
        <f>项目参数页!L104</f>
        <v>1857.9</v>
      </c>
      <c r="L15" s="13">
        <f>项目参数页!M104</f>
        <v>1857.9</v>
      </c>
      <c r="M15" s="13">
        <f>项目参数页!N104</f>
        <v>1857.9</v>
      </c>
      <c r="N15" s="13">
        <f>项目参数页!O104</f>
        <v>1857.9</v>
      </c>
    </row>
    <row r="16" spans="1:28" ht="15.75" customHeight="1">
      <c r="A16" s="10">
        <f>项目参数页!B105</f>
        <v>2.5</v>
      </c>
      <c r="B16" s="29" t="str">
        <f>项目参数页!C105</f>
        <v xml:space="preserve"> 所得税</v>
      </c>
      <c r="C16" s="13">
        <f>项目参数页!D105</f>
        <v>19862.9183316575</v>
      </c>
      <c r="D16" s="13">
        <f>项目参数页!E105</f>
        <v>0</v>
      </c>
      <c r="E16" s="13">
        <f>项目参数页!F105</f>
        <v>1106.7770831657499</v>
      </c>
      <c r="F16" s="13">
        <f>项目参数页!G105</f>
        <v>2023.0570831657496</v>
      </c>
      <c r="G16" s="13">
        <f>项目参数页!H105</f>
        <v>2023.0570831657496</v>
      </c>
      <c r="H16" s="13">
        <f>项目参数页!I105</f>
        <v>2023.0570831657496</v>
      </c>
      <c r="I16" s="13">
        <f>项目参数页!J105</f>
        <v>2023.0570831657496</v>
      </c>
      <c r="J16" s="13">
        <f>项目参数页!K105</f>
        <v>2132.7825831657501</v>
      </c>
      <c r="K16" s="13">
        <f>项目参数页!L105</f>
        <v>2132.7825831657501</v>
      </c>
      <c r="L16" s="13">
        <f>项目参数页!M105</f>
        <v>2132.7825831657501</v>
      </c>
      <c r="M16" s="13">
        <f>项目参数页!N105</f>
        <v>2132.7825831657501</v>
      </c>
      <c r="N16" s="13">
        <f>项目参数页!O105</f>
        <v>2132.7825831657501</v>
      </c>
    </row>
    <row r="17" spans="1:14" ht="15.75" customHeight="1">
      <c r="A17" s="10">
        <f>项目参数页!B106</f>
        <v>3</v>
      </c>
      <c r="B17" s="29" t="str">
        <f>项目参数页!C106</f>
        <v>税后净现金流量</v>
      </c>
      <c r="C17" s="13">
        <f>项目参数页!D106</f>
        <v>63970.772616472459</v>
      </c>
      <c r="D17" s="13">
        <f>项目参数页!E106</f>
        <v>-9605.0039400000005</v>
      </c>
      <c r="E17" s="13">
        <f>项目参数页!F106</f>
        <v>1964.9840116472478</v>
      </c>
      <c r="F17" s="13">
        <f>项目参数页!G106</f>
        <v>3643.824011647248</v>
      </c>
      <c r="G17" s="13">
        <f>项目参数页!H106</f>
        <v>7363.824011647248</v>
      </c>
      <c r="H17" s="13">
        <f>项目参数页!I106</f>
        <v>7363.824011647248</v>
      </c>
      <c r="I17" s="13">
        <f>项目参数页!J106</f>
        <v>7363.824011647248</v>
      </c>
      <c r="J17" s="13">
        <f>项目参数页!K106</f>
        <v>7254.0985116472475</v>
      </c>
      <c r="K17" s="13">
        <f>项目参数页!L106</f>
        <v>7254.0985116472475</v>
      </c>
      <c r="L17" s="13">
        <f>项目参数页!M106</f>
        <v>7254.0985116472475</v>
      </c>
      <c r="M17" s="13">
        <f>项目参数页!N106</f>
        <v>7254.0985116472475</v>
      </c>
      <c r="N17" s="13">
        <f>项目参数页!O106</f>
        <v>7254.0985116472475</v>
      </c>
    </row>
    <row r="18" spans="1:14" ht="15.75" customHeight="1">
      <c r="A18" s="10">
        <f>项目参数页!B107</f>
        <v>4</v>
      </c>
      <c r="B18" s="29" t="str">
        <f>项目参数页!C107</f>
        <v>累计税后净现金流量</v>
      </c>
      <c r="C18" s="13">
        <f>项目参数页!D107</f>
        <v>0</v>
      </c>
      <c r="D18" s="13">
        <f>项目参数页!E107</f>
        <v>-9605.0039400000005</v>
      </c>
      <c r="E18" s="13">
        <f>项目参数页!F107</f>
        <v>-7640.0199283527527</v>
      </c>
      <c r="F18" s="13">
        <f>项目参数页!G107</f>
        <v>-3996.1959167055047</v>
      </c>
      <c r="G18" s="13">
        <f>项目参数页!H107</f>
        <v>3367.6280949417433</v>
      </c>
      <c r="H18" s="13">
        <f>项目参数页!I107</f>
        <v>10731.452106588991</v>
      </c>
      <c r="I18" s="13">
        <f>项目参数页!J107</f>
        <v>18095.276118236237</v>
      </c>
      <c r="J18" s="13">
        <f>项目参数页!K107</f>
        <v>25349.374629883485</v>
      </c>
      <c r="K18" s="13">
        <f>项目参数页!L107</f>
        <v>32603.473141530732</v>
      </c>
      <c r="L18" s="13">
        <f>项目参数页!M107</f>
        <v>39857.571653177976</v>
      </c>
      <c r="M18" s="13">
        <f>项目参数页!N107</f>
        <v>47111.67016482522</v>
      </c>
      <c r="N18" s="13">
        <f>项目参数页!O107</f>
        <v>54365.768676472464</v>
      </c>
    </row>
    <row r="19" spans="1:14" ht="15.75" customHeight="1">
      <c r="A19" s="10">
        <f>项目参数页!B108</f>
        <v>5</v>
      </c>
      <c r="B19" s="29" t="str">
        <f>项目参数页!C108</f>
        <v>税前净现金流量</v>
      </c>
      <c r="C19" s="13">
        <f>项目参数页!D108</f>
        <v>0</v>
      </c>
      <c r="D19" s="13">
        <f>项目参数页!E108</f>
        <v>-9605.0039400000005</v>
      </c>
      <c r="E19" s="13">
        <f>项目参数页!F108</f>
        <v>3071.7610948129977</v>
      </c>
      <c r="F19" s="13">
        <f>项目参数页!G108</f>
        <v>5666.8810948129976</v>
      </c>
      <c r="G19" s="13">
        <f>项目参数页!H108</f>
        <v>9386.8810948129976</v>
      </c>
      <c r="H19" s="13">
        <f>项目参数页!I108</f>
        <v>9386.8810948129976</v>
      </c>
      <c r="I19" s="13">
        <f>项目参数页!J108</f>
        <v>9386.8810948129976</v>
      </c>
      <c r="J19" s="13">
        <f>项目参数页!K108</f>
        <v>9386.8810948129976</v>
      </c>
      <c r="K19" s="13">
        <f>项目参数页!L108</f>
        <v>9386.8810948129976</v>
      </c>
      <c r="L19" s="13">
        <f>项目参数页!M108</f>
        <v>9386.8810948129976</v>
      </c>
      <c r="M19" s="13">
        <f>项目参数页!N108</f>
        <v>9386.8810948129976</v>
      </c>
      <c r="N19" s="13">
        <f>项目参数页!O108</f>
        <v>9386.8810948129976</v>
      </c>
    </row>
    <row r="20" spans="1:14" ht="15.75" customHeight="1">
      <c r="A20" s="10">
        <f>项目参数页!B109</f>
        <v>6</v>
      </c>
      <c r="B20" s="29" t="str">
        <f>项目参数页!C109</f>
        <v>累计税前净现金流量</v>
      </c>
      <c r="C20" s="13">
        <f>项目参数页!D109</f>
        <v>0</v>
      </c>
      <c r="D20" s="13">
        <f>项目参数页!E109</f>
        <v>-9605.0039400000005</v>
      </c>
      <c r="E20" s="13">
        <f>项目参数页!F109</f>
        <v>-6533.2428451870028</v>
      </c>
      <c r="F20" s="13">
        <f>项目参数页!G109</f>
        <v>-866.36175037400517</v>
      </c>
      <c r="G20" s="13">
        <f>项目参数页!H109</f>
        <v>8520.5193444389915</v>
      </c>
      <c r="H20" s="13">
        <f>项目参数页!I109</f>
        <v>17907.400439251989</v>
      </c>
      <c r="I20" s="13">
        <f>项目参数页!J109</f>
        <v>27294.281534064987</v>
      </c>
      <c r="J20" s="13">
        <f>项目参数页!K109</f>
        <v>36681.162628877981</v>
      </c>
      <c r="K20" s="13">
        <f>项目参数页!L109</f>
        <v>46068.043723690978</v>
      </c>
      <c r="L20" s="13">
        <f>项目参数页!M109</f>
        <v>55454.924818503976</v>
      </c>
      <c r="M20" s="13">
        <f>项目参数页!N109</f>
        <v>64841.805913316974</v>
      </c>
      <c r="N20" s="13">
        <f>项目参数页!O109</f>
        <v>74228.687008129971</v>
      </c>
    </row>
    <row r="21" spans="1:14" ht="15.75" customHeight="1">
      <c r="A21" s="622"/>
      <c r="B21" s="623"/>
      <c r="C21" s="14" t="str">
        <f>项目参数页!D110</f>
        <v>税后</v>
      </c>
      <c r="D21" s="14" t="str">
        <f>项目参数页!E110</f>
        <v>税前</v>
      </c>
      <c r="E21" s="15"/>
      <c r="F21" s="16"/>
      <c r="G21" s="16"/>
      <c r="H21" s="16"/>
      <c r="I21" s="16"/>
      <c r="J21" s="16"/>
      <c r="K21" s="16"/>
      <c r="L21" s="16"/>
      <c r="M21" s="16"/>
      <c r="N21" s="23"/>
    </row>
    <row r="22" spans="1:14" ht="15.75" customHeight="1">
      <c r="A22" s="10"/>
      <c r="B22" s="10" t="str">
        <f>项目参数页!C111</f>
        <v>财务内部收益率</v>
      </c>
      <c r="C22" s="17">
        <f>项目参数页!D111</f>
        <v>0.48239879900057825</v>
      </c>
      <c r="D22" s="17">
        <f>项目参数页!E111</f>
        <v>0.62510749322923553</v>
      </c>
      <c r="E22" s="18"/>
      <c r="F22" s="19"/>
      <c r="G22" s="19"/>
      <c r="H22" s="19"/>
      <c r="I22" s="19"/>
      <c r="J22" s="19"/>
      <c r="K22" s="19"/>
      <c r="L22" s="19"/>
      <c r="M22" s="19"/>
      <c r="N22" s="24"/>
    </row>
    <row r="23" spans="1:14" ht="15.75" customHeight="1">
      <c r="A23" s="10"/>
      <c r="B23" s="10" t="str">
        <f>项目参数页!C112</f>
        <v>净现值(ic=12%)</v>
      </c>
      <c r="C23" s="20">
        <f>项目参数页!D112</f>
        <v>21421.296705739282</v>
      </c>
      <c r="D23" s="20">
        <f>项目参数页!E112</f>
        <v>31097.238002122474</v>
      </c>
      <c r="E23" s="18"/>
      <c r="F23" s="19"/>
      <c r="G23" s="19"/>
      <c r="H23" s="19"/>
      <c r="I23" s="19"/>
      <c r="J23" s="19"/>
      <c r="K23" s="19"/>
      <c r="L23" s="19"/>
      <c r="M23" s="19"/>
      <c r="N23" s="24"/>
    </row>
    <row r="24" spans="1:14" ht="15.75" customHeight="1">
      <c r="A24" s="10"/>
      <c r="B24" s="10" t="str">
        <f>项目参数页!C113</f>
        <v>投资回收期</v>
      </c>
      <c r="C24" s="20">
        <f>项目参数页!D113</f>
        <v>3.5426794435044595</v>
      </c>
      <c r="D24" s="20">
        <f>项目参数页!E113</f>
        <v>3.0922949530971198</v>
      </c>
      <c r="E24" s="21"/>
      <c r="F24" s="22"/>
      <c r="G24" s="22"/>
      <c r="H24" s="22"/>
      <c r="I24" s="22"/>
      <c r="J24" s="22"/>
      <c r="K24" s="22"/>
      <c r="L24" s="22"/>
      <c r="M24" s="22"/>
      <c r="N24" s="25"/>
    </row>
  </sheetData>
  <mergeCells count="8">
    <mergeCell ref="O2:AB2"/>
    <mergeCell ref="E3:N3"/>
    <mergeCell ref="P8:R8"/>
    <mergeCell ref="A21:B21"/>
    <mergeCell ref="A3:A4"/>
    <mergeCell ref="B3:B4"/>
    <mergeCell ref="C3:C4"/>
    <mergeCell ref="A1:N2"/>
  </mergeCells>
  <phoneticPr fontId="40" type="noConversion"/>
  <pageMargins left="1.14513888888889" right="0.75138888888888899" top="1.1965277777777801" bottom="1" header="0.5" footer="0.5"/>
  <pageSetup paperSize="9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6"/>
  <sheetViews>
    <sheetView showGridLines="0" workbookViewId="0">
      <selection activeCell="O14" sqref="O14"/>
    </sheetView>
  </sheetViews>
  <sheetFormatPr defaultColWidth="8.75" defaultRowHeight="14.25"/>
  <cols>
    <col min="1" max="1" width="4.75" style="4"/>
    <col min="2" max="2" width="20.75" style="4" customWidth="1"/>
    <col min="3" max="3" width="9.25" style="4" bestFit="1" customWidth="1"/>
    <col min="4" max="4" width="8.375" style="4" customWidth="1"/>
    <col min="5" max="13" width="8.75" style="4" bestFit="1" customWidth="1"/>
    <col min="14" max="32" width="9" style="4"/>
    <col min="33" max="16384" width="8.75" style="4"/>
  </cols>
  <sheetData>
    <row r="1" spans="1:13" ht="18.75" customHeight="1">
      <c r="A1" s="637" t="s">
        <v>180</v>
      </c>
      <c r="B1" s="637"/>
      <c r="C1" s="638"/>
      <c r="D1" s="638"/>
      <c r="E1" s="638"/>
      <c r="F1" s="638"/>
      <c r="G1" s="638"/>
      <c r="H1" s="638"/>
      <c r="I1" s="638"/>
      <c r="J1" s="638"/>
      <c r="K1" s="638"/>
      <c r="L1" s="638"/>
      <c r="M1" s="638"/>
    </row>
    <row r="2" spans="1:13" ht="15.75" customHeight="1">
      <c r="A2" s="595" t="s">
        <v>2</v>
      </c>
      <c r="B2" s="595" t="s">
        <v>7</v>
      </c>
      <c r="C2" s="175" t="str">
        <f>项目参数页!E42</f>
        <v>建设期</v>
      </c>
      <c r="D2" s="595" t="str">
        <f>项目参数页!F42</f>
        <v>生产经营期</v>
      </c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.75" customHeight="1">
      <c r="A3" s="595"/>
      <c r="B3" s="595"/>
      <c r="C3" s="175">
        <f>项目参数页!E43</f>
        <v>1</v>
      </c>
      <c r="D3" s="175">
        <f>项目参数页!F43</f>
        <v>2</v>
      </c>
      <c r="E3" s="175">
        <f>项目参数页!G43</f>
        <v>3</v>
      </c>
      <c r="F3" s="175">
        <f>项目参数页!H43</f>
        <v>4</v>
      </c>
      <c r="G3" s="175">
        <f>项目参数页!I43</f>
        <v>5</v>
      </c>
      <c r="H3" s="175">
        <f>项目参数页!J43</f>
        <v>6</v>
      </c>
      <c r="I3" s="175">
        <f>项目参数页!K43</f>
        <v>7</v>
      </c>
      <c r="J3" s="175">
        <f>项目参数页!L43</f>
        <v>8</v>
      </c>
      <c r="K3" s="175">
        <f>项目参数页!M43</f>
        <v>9</v>
      </c>
      <c r="L3" s="175">
        <f>项目参数页!N43</f>
        <v>10</v>
      </c>
      <c r="M3" s="175">
        <f>项目参数页!O43</f>
        <v>11</v>
      </c>
    </row>
    <row r="4" spans="1:13" ht="15.75" customHeight="1">
      <c r="A4" s="6"/>
      <c r="B4" s="445" t="s">
        <v>82</v>
      </c>
      <c r="C4" s="7"/>
      <c r="D4" s="8">
        <f>项目参数页!F55</f>
        <v>0.6</v>
      </c>
      <c r="E4" s="8">
        <f>项目参数页!G55</f>
        <v>1</v>
      </c>
      <c r="F4" s="8">
        <f>项目参数页!H55</f>
        <v>1</v>
      </c>
      <c r="G4" s="8">
        <f>项目参数页!I55</f>
        <v>1</v>
      </c>
      <c r="H4" s="8">
        <f>项目参数页!J55</f>
        <v>1</v>
      </c>
      <c r="I4" s="8">
        <f>项目参数页!K55</f>
        <v>1</v>
      </c>
      <c r="J4" s="8">
        <f>项目参数页!L55</f>
        <v>1</v>
      </c>
      <c r="K4" s="8">
        <f>项目参数页!M55</f>
        <v>1</v>
      </c>
      <c r="L4" s="8">
        <f>项目参数页!N55</f>
        <v>1</v>
      </c>
      <c r="M4" s="8">
        <f>项目参数页!O55</f>
        <v>1</v>
      </c>
    </row>
    <row r="5" spans="1:13" ht="15.75" customHeight="1">
      <c r="A5" s="6">
        <f>项目参数页!B114</f>
        <v>1</v>
      </c>
      <c r="B5" s="445" t="str">
        <f>项目参数页!C114</f>
        <v>现金流入</v>
      </c>
      <c r="C5" s="446">
        <f>项目参数页!E114</f>
        <v>0</v>
      </c>
      <c r="D5" s="446">
        <f>项目参数页!F114</f>
        <v>19800</v>
      </c>
      <c r="E5" s="446">
        <f>项目参数页!G114</f>
        <v>33000</v>
      </c>
      <c r="F5" s="446">
        <f>项目参数页!H114</f>
        <v>33000</v>
      </c>
      <c r="G5" s="446">
        <f>项目参数页!I114</f>
        <v>33000</v>
      </c>
      <c r="H5" s="446">
        <f>项目参数页!J114</f>
        <v>33000</v>
      </c>
      <c r="I5" s="446">
        <f>项目参数页!K114</f>
        <v>33000</v>
      </c>
      <c r="J5" s="446">
        <f>项目参数页!L114</f>
        <v>33000</v>
      </c>
      <c r="K5" s="446">
        <f>项目参数页!M114</f>
        <v>33000</v>
      </c>
      <c r="L5" s="446">
        <f>项目参数页!N114</f>
        <v>33000</v>
      </c>
      <c r="M5" s="446">
        <f>项目参数页!O114</f>
        <v>33000</v>
      </c>
    </row>
    <row r="6" spans="1:13" ht="15.75" customHeight="1">
      <c r="A6" s="6">
        <f>项目参数页!B115</f>
        <v>1.1000000000000001</v>
      </c>
      <c r="B6" s="445" t="str">
        <f>项目参数页!C115</f>
        <v>销售收入</v>
      </c>
      <c r="C6" s="446">
        <f>项目参数页!E115</f>
        <v>0</v>
      </c>
      <c r="D6" s="446">
        <f>项目参数页!F115</f>
        <v>19800</v>
      </c>
      <c r="E6" s="446">
        <f>项目参数页!G115</f>
        <v>33000</v>
      </c>
      <c r="F6" s="446">
        <f>项目参数页!H115</f>
        <v>33000</v>
      </c>
      <c r="G6" s="446">
        <f>项目参数页!I115</f>
        <v>33000</v>
      </c>
      <c r="H6" s="446">
        <f>项目参数页!J115</f>
        <v>33000</v>
      </c>
      <c r="I6" s="446">
        <f>项目参数页!K115</f>
        <v>33000</v>
      </c>
      <c r="J6" s="446">
        <f>项目参数页!L115</f>
        <v>33000</v>
      </c>
      <c r="K6" s="446">
        <f>项目参数页!M115</f>
        <v>33000</v>
      </c>
      <c r="L6" s="446">
        <f>项目参数页!N115</f>
        <v>33000</v>
      </c>
      <c r="M6" s="446">
        <f>项目参数页!O115</f>
        <v>33000</v>
      </c>
    </row>
    <row r="7" spans="1:13" ht="15.75" customHeight="1">
      <c r="A7" s="6">
        <f>项目参数页!B116</f>
        <v>1.2</v>
      </c>
      <c r="B7" s="445" t="str">
        <f>项目参数页!C116</f>
        <v xml:space="preserve"> 退税及补贴</v>
      </c>
      <c r="C7" s="446">
        <f>项目参数页!E116</f>
        <v>0</v>
      </c>
      <c r="D7" s="446">
        <f>项目参数页!F116</f>
        <v>0</v>
      </c>
      <c r="E7" s="446">
        <f>项目参数页!G116</f>
        <v>0</v>
      </c>
      <c r="F7" s="446">
        <f>项目参数页!H116</f>
        <v>0</v>
      </c>
      <c r="G7" s="446">
        <f>项目参数页!I116</f>
        <v>0</v>
      </c>
      <c r="H7" s="446">
        <f>项目参数页!J116</f>
        <v>0</v>
      </c>
      <c r="I7" s="446">
        <f>项目参数页!K116</f>
        <v>0</v>
      </c>
      <c r="J7" s="446">
        <f>项目参数页!L116</f>
        <v>0</v>
      </c>
      <c r="K7" s="446">
        <f>项目参数页!M116</f>
        <v>0</v>
      </c>
      <c r="L7" s="446">
        <f>项目参数页!N116</f>
        <v>0</v>
      </c>
      <c r="M7" s="446">
        <f>项目参数页!O116</f>
        <v>0</v>
      </c>
    </row>
    <row r="8" spans="1:13" ht="15.75" customHeight="1">
      <c r="A8" s="6">
        <f>项目参数页!B117</f>
        <v>1.3</v>
      </c>
      <c r="B8" s="445" t="str">
        <f>项目参数页!C117</f>
        <v xml:space="preserve"> 回收固定资产余值</v>
      </c>
      <c r="C8" s="446">
        <f>项目参数页!E117</f>
        <v>0</v>
      </c>
      <c r="D8" s="446">
        <f>项目参数页!F117</f>
        <v>0</v>
      </c>
      <c r="E8" s="446">
        <f>项目参数页!G117</f>
        <v>0</v>
      </c>
      <c r="F8" s="446">
        <f>项目参数页!H117</f>
        <v>0</v>
      </c>
      <c r="G8" s="446">
        <f>项目参数页!I117</f>
        <v>0</v>
      </c>
      <c r="H8" s="446">
        <f>项目参数页!J117</f>
        <v>0</v>
      </c>
      <c r="I8" s="446">
        <f>项目参数页!K117</f>
        <v>0</v>
      </c>
      <c r="J8" s="446">
        <f>项目参数页!L117</f>
        <v>0</v>
      </c>
      <c r="K8" s="446">
        <f>项目参数页!M117</f>
        <v>0</v>
      </c>
      <c r="L8" s="446">
        <f>项目参数页!N117</f>
        <v>0</v>
      </c>
      <c r="M8" s="446">
        <f>项目参数页!O117</f>
        <v>0</v>
      </c>
    </row>
    <row r="9" spans="1:13" ht="15.75" customHeight="1">
      <c r="A9" s="6">
        <f>项目参数页!B118</f>
        <v>1.4</v>
      </c>
      <c r="B9" s="445" t="str">
        <f>项目参数页!C118</f>
        <v xml:space="preserve"> 回收流动资金</v>
      </c>
      <c r="C9" s="446">
        <f>项目参数页!E118</f>
        <v>0</v>
      </c>
      <c r="D9" s="446">
        <f>项目参数页!F118</f>
        <v>0</v>
      </c>
      <c r="E9" s="446">
        <f>项目参数页!G118</f>
        <v>0</v>
      </c>
      <c r="F9" s="446">
        <f>项目参数页!H118</f>
        <v>0</v>
      </c>
      <c r="G9" s="446">
        <f>项目参数页!I118</f>
        <v>0</v>
      </c>
      <c r="H9" s="446">
        <f>项目参数页!J118</f>
        <v>0</v>
      </c>
      <c r="I9" s="446">
        <f>项目参数页!K118</f>
        <v>0</v>
      </c>
      <c r="J9" s="446">
        <f>项目参数页!L118</f>
        <v>0</v>
      </c>
      <c r="K9" s="446">
        <f>项目参数页!M118</f>
        <v>0</v>
      </c>
      <c r="L9" s="446">
        <f>项目参数页!N118</f>
        <v>0</v>
      </c>
      <c r="M9" s="446">
        <f>项目参数页!O118</f>
        <v>0</v>
      </c>
    </row>
    <row r="10" spans="1:13" ht="15.75" customHeight="1">
      <c r="A10" s="6">
        <f>项目参数页!B119</f>
        <v>2</v>
      </c>
      <c r="B10" s="445" t="str">
        <f>项目参数页!C119</f>
        <v>现金流出</v>
      </c>
      <c r="C10" s="446">
        <f>项目参数页!E119</f>
        <v>10000.003940000001</v>
      </c>
      <c r="D10" s="446">
        <f>项目参数页!F119</f>
        <v>15560.015988352752</v>
      </c>
      <c r="E10" s="446">
        <f>项目参数页!G119</f>
        <v>29731.175988352752</v>
      </c>
      <c r="F10" s="446">
        <f>项目参数页!H119</f>
        <v>26011.175988352752</v>
      </c>
      <c r="G10" s="446">
        <f>项目参数页!I119</f>
        <v>31836.175988352752</v>
      </c>
      <c r="H10" s="446">
        <f>项目参数页!J119</f>
        <v>26011.175988352752</v>
      </c>
      <c r="I10" s="446">
        <f>项目参数页!K119</f>
        <v>25745.901488352752</v>
      </c>
      <c r="J10" s="446">
        <f>项目参数页!L119</f>
        <v>25745.901488352752</v>
      </c>
      <c r="K10" s="446">
        <f>项目参数页!M119</f>
        <v>25745.901488352752</v>
      </c>
      <c r="L10" s="446">
        <f>项目参数页!N119</f>
        <v>25745.901488352752</v>
      </c>
      <c r="M10" s="446">
        <f>项目参数页!O119</f>
        <v>25745.901488352752</v>
      </c>
    </row>
    <row r="11" spans="1:13" ht="15.75" customHeight="1">
      <c r="A11" s="6">
        <f>项目参数页!B120</f>
        <v>2.1</v>
      </c>
      <c r="B11" s="445" t="str">
        <f>项目参数页!C120</f>
        <v xml:space="preserve"> 项目资本金</v>
      </c>
      <c r="C11" s="446">
        <f>项目参数页!E120</f>
        <v>10000.003940000001</v>
      </c>
      <c r="D11" s="446">
        <f>项目参数页!F120</f>
        <v>0</v>
      </c>
      <c r="E11" s="446">
        <f>项目参数页!G120</f>
        <v>3720</v>
      </c>
      <c r="F11" s="446">
        <f>项目参数页!H120</f>
        <v>0</v>
      </c>
      <c r="G11" s="446">
        <f>项目参数页!I120</f>
        <v>0</v>
      </c>
      <c r="H11" s="446">
        <f>项目参数页!J120</f>
        <v>0</v>
      </c>
      <c r="I11" s="446">
        <f>项目参数页!K120</f>
        <v>0</v>
      </c>
      <c r="J11" s="446">
        <f>项目参数页!L120</f>
        <v>0</v>
      </c>
      <c r="K11" s="446">
        <f>项目参数页!M120</f>
        <v>0</v>
      </c>
      <c r="L11" s="446">
        <f>项目参数页!N120</f>
        <v>0</v>
      </c>
      <c r="M11" s="446">
        <f>项目参数页!O120</f>
        <v>0</v>
      </c>
    </row>
    <row r="12" spans="1:13" ht="15.75" customHeight="1">
      <c r="A12" s="6">
        <f>项目参数页!B121</f>
        <v>2.2000000000000002</v>
      </c>
      <c r="B12" s="445" t="str">
        <f>项目参数页!C121</f>
        <v xml:space="preserve"> 借款利息支付</v>
      </c>
      <c r="C12" s="446">
        <f>项目参数页!E121</f>
        <v>0</v>
      </c>
      <c r="D12" s="446">
        <f>项目参数页!F121</f>
        <v>225</v>
      </c>
      <c r="E12" s="446">
        <f>项目参数页!G121</f>
        <v>375</v>
      </c>
      <c r="F12" s="446">
        <f>项目参数页!H121</f>
        <v>375</v>
      </c>
      <c r="G12" s="446">
        <f>项目参数页!I121</f>
        <v>375</v>
      </c>
      <c r="H12" s="446">
        <f>项目参数页!J121</f>
        <v>375</v>
      </c>
      <c r="I12" s="446">
        <f>项目参数页!K121</f>
        <v>0</v>
      </c>
      <c r="J12" s="446">
        <f>项目参数页!L121</f>
        <v>0</v>
      </c>
      <c r="K12" s="446">
        <f>项目参数页!M121</f>
        <v>0</v>
      </c>
      <c r="L12" s="446">
        <f>项目参数页!N121</f>
        <v>0</v>
      </c>
      <c r="M12" s="446">
        <f>项目参数页!O121</f>
        <v>0</v>
      </c>
    </row>
    <row r="13" spans="1:13" ht="15.75" customHeight="1">
      <c r="A13" s="6">
        <f>项目参数页!B122</f>
        <v>2.2999999999999998</v>
      </c>
      <c r="B13" s="445" t="str">
        <f>项目参数页!C122</f>
        <v xml:space="preserve"> 借款本金偿还</v>
      </c>
      <c r="C13" s="446">
        <f>项目参数页!E122</f>
        <v>0</v>
      </c>
      <c r="D13" s="446">
        <f>项目参数页!F122</f>
        <v>0</v>
      </c>
      <c r="E13" s="446">
        <f>项目参数页!G122</f>
        <v>0</v>
      </c>
      <c r="F13" s="446">
        <f>项目参数页!H122</f>
        <v>0</v>
      </c>
      <c r="G13" s="446">
        <f>项目参数页!I122</f>
        <v>0</v>
      </c>
      <c r="H13" s="446">
        <f>项目参数页!J122</f>
        <v>5825</v>
      </c>
      <c r="I13" s="446">
        <f>项目参数页!K122</f>
        <v>0</v>
      </c>
      <c r="J13" s="446">
        <f>项目参数页!L122</f>
        <v>0</v>
      </c>
      <c r="K13" s="446">
        <f>项目参数页!M122</f>
        <v>0</v>
      </c>
      <c r="L13" s="446">
        <f>项目参数页!N122</f>
        <v>0</v>
      </c>
      <c r="M13" s="446">
        <f>项目参数页!O122</f>
        <v>0</v>
      </c>
    </row>
    <row r="14" spans="1:13" ht="15.75" customHeight="1">
      <c r="A14" s="6" t="str">
        <f>项目参数页!B123</f>
        <v>2.3.1</v>
      </c>
      <c r="B14" s="445" t="str">
        <f>项目参数页!C123</f>
        <v xml:space="preserve">  总投资借款本金偿还</v>
      </c>
      <c r="C14" s="446">
        <f>项目参数页!E123</f>
        <v>0</v>
      </c>
      <c r="D14" s="446">
        <f>项目参数页!F123</f>
        <v>0</v>
      </c>
      <c r="E14" s="446">
        <f>项目参数页!G123</f>
        <v>0</v>
      </c>
      <c r="F14" s="446">
        <f>项目参数页!H123</f>
        <v>0</v>
      </c>
      <c r="G14" s="446">
        <f>项目参数页!I123</f>
        <v>5825</v>
      </c>
      <c r="H14" s="446">
        <f>项目参数页!J123</f>
        <v>0</v>
      </c>
      <c r="I14" s="446">
        <f>项目参数页!K123</f>
        <v>0</v>
      </c>
      <c r="J14" s="446">
        <f>项目参数页!L123</f>
        <v>0</v>
      </c>
      <c r="K14" s="446">
        <f>项目参数页!M123</f>
        <v>0</v>
      </c>
      <c r="L14" s="446">
        <f>项目参数页!N123</f>
        <v>0</v>
      </c>
      <c r="M14" s="446">
        <f>项目参数页!O123</f>
        <v>0</v>
      </c>
    </row>
    <row r="15" spans="1:13" ht="15.75" customHeight="1">
      <c r="A15" s="6" t="str">
        <f>项目参数页!B124</f>
        <v>2.3.2</v>
      </c>
      <c r="B15" s="445" t="str">
        <f>项目参数页!C124</f>
        <v xml:space="preserve">  流动资金借款本金偿还</v>
      </c>
      <c r="C15" s="446">
        <f>项目参数页!E124</f>
        <v>0</v>
      </c>
      <c r="D15" s="446">
        <f>项目参数页!F124</f>
        <v>0</v>
      </c>
      <c r="E15" s="446">
        <f>项目参数页!G124</f>
        <v>0</v>
      </c>
      <c r="F15" s="446">
        <f>项目参数页!H124</f>
        <v>0</v>
      </c>
      <c r="G15" s="446">
        <f>项目参数页!I124</f>
        <v>0</v>
      </c>
      <c r="H15" s="446">
        <f>项目参数页!J124</f>
        <v>0</v>
      </c>
      <c r="I15" s="446">
        <f>项目参数页!K124</f>
        <v>0</v>
      </c>
      <c r="J15" s="446">
        <f>项目参数页!L124</f>
        <v>0</v>
      </c>
      <c r="K15" s="446">
        <f>项目参数页!M124</f>
        <v>0</v>
      </c>
      <c r="L15" s="446">
        <f>项目参数页!N124</f>
        <v>0</v>
      </c>
      <c r="M15" s="446">
        <f>项目参数页!O124</f>
        <v>0</v>
      </c>
    </row>
    <row r="16" spans="1:13" ht="15.75" customHeight="1">
      <c r="A16" s="6">
        <f>项目参数页!B125</f>
        <v>2.4</v>
      </c>
      <c r="B16" s="445" t="str">
        <f>项目参数页!C125</f>
        <v xml:space="preserve"> 经营成本</v>
      </c>
      <c r="C16" s="446">
        <f>项目参数页!E125</f>
        <v>0</v>
      </c>
      <c r="D16" s="446">
        <f>项目参数页!F125</f>
        <v>13113.498905187002</v>
      </c>
      <c r="E16" s="446">
        <f>项目参数页!G125</f>
        <v>21755.218905187001</v>
      </c>
      <c r="F16" s="446">
        <f>项目参数页!H125</f>
        <v>21755.218905187001</v>
      </c>
      <c r="G16" s="446">
        <f>项目参数页!I125</f>
        <v>21755.218905187001</v>
      </c>
      <c r="H16" s="446">
        <f>项目参数页!J125</f>
        <v>21755.218905187001</v>
      </c>
      <c r="I16" s="446">
        <f>项目参数页!K125</f>
        <v>21755.218905187001</v>
      </c>
      <c r="J16" s="446">
        <f>项目参数页!L125</f>
        <v>21755.218905187001</v>
      </c>
      <c r="K16" s="446">
        <f>项目参数页!M125</f>
        <v>21755.218905187001</v>
      </c>
      <c r="L16" s="446">
        <f>项目参数页!N125</f>
        <v>21755.218905187001</v>
      </c>
      <c r="M16" s="446">
        <f>项目参数页!O125</f>
        <v>21755.218905187001</v>
      </c>
    </row>
    <row r="17" spans="1:13" ht="15.75" customHeight="1">
      <c r="A17" s="6">
        <f>项目参数页!B126</f>
        <v>2.5</v>
      </c>
      <c r="B17" s="445" t="str">
        <f>项目参数页!C126</f>
        <v>应缴增值税、税金及附加</v>
      </c>
      <c r="C17" s="446">
        <f>项目参数页!E126</f>
        <v>0</v>
      </c>
      <c r="D17" s="446">
        <f>项目参数页!F126</f>
        <v>1114.74</v>
      </c>
      <c r="E17" s="446">
        <f>项目参数页!G126</f>
        <v>1857.9</v>
      </c>
      <c r="F17" s="446">
        <f>项目参数页!H126</f>
        <v>1857.9</v>
      </c>
      <c r="G17" s="446">
        <f>项目参数页!I126</f>
        <v>1857.9</v>
      </c>
      <c r="H17" s="446">
        <f>项目参数页!J126</f>
        <v>1857.9</v>
      </c>
      <c r="I17" s="446">
        <f>项目参数页!K126</f>
        <v>1857.9</v>
      </c>
      <c r="J17" s="446">
        <f>项目参数页!L126</f>
        <v>1857.9</v>
      </c>
      <c r="K17" s="446">
        <f>项目参数页!M126</f>
        <v>1857.9</v>
      </c>
      <c r="L17" s="446">
        <f>项目参数页!N126</f>
        <v>1857.9</v>
      </c>
      <c r="M17" s="446">
        <f>项目参数页!O126</f>
        <v>1857.9</v>
      </c>
    </row>
    <row r="18" spans="1:13" ht="15.75" customHeight="1">
      <c r="A18" s="6">
        <f>项目参数页!B127</f>
        <v>2.6</v>
      </c>
      <c r="B18" s="445" t="str">
        <f>项目参数页!C127</f>
        <v xml:space="preserve"> 所得税</v>
      </c>
      <c r="C18" s="446">
        <f>项目参数页!E127</f>
        <v>0</v>
      </c>
      <c r="D18" s="446">
        <f>项目参数页!F127</f>
        <v>1106.7770831657499</v>
      </c>
      <c r="E18" s="446">
        <f>项目参数页!G127</f>
        <v>2023.0570831657496</v>
      </c>
      <c r="F18" s="446">
        <f>项目参数页!H127</f>
        <v>2023.0570831657496</v>
      </c>
      <c r="G18" s="446">
        <f>项目参数页!I127</f>
        <v>2023.0570831657496</v>
      </c>
      <c r="H18" s="446">
        <f>项目参数页!J127</f>
        <v>2023.0570831657496</v>
      </c>
      <c r="I18" s="446">
        <f>项目参数页!K127</f>
        <v>2132.7825831657501</v>
      </c>
      <c r="J18" s="446">
        <f>项目参数页!L127</f>
        <v>2132.7825831657501</v>
      </c>
      <c r="K18" s="446">
        <f>项目参数页!M127</f>
        <v>2132.7825831657501</v>
      </c>
      <c r="L18" s="446">
        <f>项目参数页!N127</f>
        <v>2132.7825831657501</v>
      </c>
      <c r="M18" s="446">
        <f>项目参数页!O127</f>
        <v>2132.7825831657501</v>
      </c>
    </row>
    <row r="19" spans="1:13" ht="15.75" customHeight="1">
      <c r="A19" s="6">
        <f>项目参数页!B128</f>
        <v>3</v>
      </c>
      <c r="B19" s="445" t="str">
        <f>项目参数页!C128</f>
        <v>税后净现金流量</v>
      </c>
      <c r="C19" s="446">
        <f>项目参数页!E128</f>
        <v>-10000.003940000001</v>
      </c>
      <c r="D19" s="446">
        <f>项目参数页!F128</f>
        <v>4239.9840116472478</v>
      </c>
      <c r="E19" s="446">
        <f>项目参数页!G128</f>
        <v>3268.824011647248</v>
      </c>
      <c r="F19" s="446">
        <f>项目参数页!H128</f>
        <v>6988.824011647248</v>
      </c>
      <c r="G19" s="446">
        <f>项目参数页!I128</f>
        <v>1163.824011647248</v>
      </c>
      <c r="H19" s="446">
        <f>项目参数页!J128</f>
        <v>6988.824011647248</v>
      </c>
      <c r="I19" s="446">
        <f>项目参数页!K128</f>
        <v>7254.0985116472475</v>
      </c>
      <c r="J19" s="446">
        <f>项目参数页!L128</f>
        <v>7254.0985116472475</v>
      </c>
      <c r="K19" s="446">
        <f>项目参数页!M128</f>
        <v>7254.0985116472475</v>
      </c>
      <c r="L19" s="446">
        <f>项目参数页!N128</f>
        <v>7254.0985116472475</v>
      </c>
      <c r="M19" s="446">
        <f>项目参数页!O128</f>
        <v>7254.0985116472475</v>
      </c>
    </row>
    <row r="20" spans="1:13" ht="15.75" customHeight="1">
      <c r="A20" s="6"/>
      <c r="B20" s="445" t="str">
        <f>项目参数页!C129</f>
        <v>税后财务内部收益率</v>
      </c>
      <c r="C20" s="625">
        <f>项目参数页!D129</f>
        <v>0.46050970695545246</v>
      </c>
      <c r="D20" s="626"/>
      <c r="E20" s="626"/>
      <c r="F20" s="626"/>
      <c r="G20" s="626"/>
      <c r="H20" s="626"/>
      <c r="I20" s="626"/>
      <c r="J20" s="626"/>
      <c r="K20" s="626"/>
      <c r="L20" s="626"/>
      <c r="M20" s="627"/>
    </row>
    <row r="21" spans="1:13" ht="15.75" customHeight="1">
      <c r="A21" s="6"/>
      <c r="B21" s="445" t="str">
        <f>项目参数页!C130</f>
        <v>税后财务净现值(i=12%)</v>
      </c>
      <c r="C21" s="628">
        <f>项目参数页!D130</f>
        <v>18668.964157510629</v>
      </c>
      <c r="D21" s="629"/>
      <c r="E21" s="629"/>
      <c r="F21" s="629"/>
      <c r="G21" s="629"/>
      <c r="H21" s="629"/>
      <c r="I21" s="629"/>
      <c r="J21" s="629"/>
      <c r="K21" s="629"/>
      <c r="L21" s="629"/>
      <c r="M21" s="630"/>
    </row>
    <row r="26" spans="1:13">
      <c r="F26" s="55"/>
    </row>
  </sheetData>
  <mergeCells count="6">
    <mergeCell ref="A1:M1"/>
    <mergeCell ref="D2:M2"/>
    <mergeCell ref="C20:M20"/>
    <mergeCell ref="C21:M21"/>
    <mergeCell ref="A2:A3"/>
    <mergeCell ref="B2:B3"/>
  </mergeCells>
  <phoneticPr fontId="40" type="noConversion"/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基础估算</vt:lpstr>
      <vt:lpstr>项目参数页</vt:lpstr>
      <vt:lpstr>项目财务评价主要数据汇总表（表8-1、9-9）</vt:lpstr>
      <vt:lpstr>投资计划与资金筹措表（表8-3）</vt:lpstr>
      <vt:lpstr>总成本费用估算表（表9-1、2）</vt:lpstr>
      <vt:lpstr>销售收入、销售税金及附加和增值税估算表（表9-3）</vt:lpstr>
      <vt:lpstr>损益和利润分配表（表9-4）</vt:lpstr>
      <vt:lpstr>项目财务现金流量表（表9-5、6）</vt:lpstr>
      <vt:lpstr>项目资本金财务现金流量表（表9-7）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1700X</dc:creator>
  <cp:lastModifiedBy>acer</cp:lastModifiedBy>
  <cp:lastPrinted>2008-02-25T05:24:00Z</cp:lastPrinted>
  <dcterms:created xsi:type="dcterms:W3CDTF">2008-02-22T18:34:00Z</dcterms:created>
  <dcterms:modified xsi:type="dcterms:W3CDTF">2018-07-06T03:49:31Z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