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mycloud\public\DATefact\Clientes\Paretto\20190401-PruebaAgregarListaPrecios\"/>
    </mc:Choice>
  </mc:AlternateContent>
  <xr:revisionPtr revIDLastSave="0" documentId="8_{7A2A0269-69B3-4B8E-8D69-6CDA103E6786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od 2018 09 18" sheetId="1" r:id="rId1"/>
    <sheet name="20190110" sheetId="2" r:id="rId2"/>
    <sheet name="Hoja1" sheetId="3" r:id="rId3"/>
  </sheets>
  <definedNames>
    <definedName name="_xlnm._FilterDatabase" localSheetId="0" hidden="1">'cod 2018 09 18'!$A$7:$AE$282</definedName>
    <definedName name="_xlnm.Print_Area" localSheetId="0">'cod 2018 09 18'!$A$3:$I$288</definedName>
    <definedName name="_xlnm.Print_Titles" localSheetId="0">'cod 2018 09 18'!$3:$7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5" i="1" l="1"/>
  <c r="G164" i="1"/>
  <c r="G162" i="1"/>
  <c r="G161" i="1"/>
  <c r="G154" i="1"/>
  <c r="G153" i="1"/>
  <c r="G152" i="1"/>
  <c r="G151" i="1"/>
  <c r="G149" i="1"/>
  <c r="G160" i="1"/>
  <c r="X160" i="1" s="1"/>
  <c r="U160" i="1" s="1"/>
  <c r="S160" i="1" l="1"/>
  <c r="I160" i="1"/>
  <c r="W160" i="1"/>
  <c r="P160" i="1" l="1"/>
  <c r="R160" i="1" s="1"/>
  <c r="N160" i="1"/>
  <c r="K160" i="1" s="1"/>
  <c r="AD160" i="1" l="1"/>
  <c r="Z160" i="1" s="1"/>
  <c r="M160" i="1"/>
  <c r="AA160" i="1" l="1"/>
  <c r="AC160" i="1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G23" i="2"/>
  <c r="A24" i="2"/>
  <c r="B24" i="2"/>
  <c r="G24" i="2"/>
  <c r="A25" i="2"/>
  <c r="B25" i="2"/>
  <c r="G25" i="2"/>
  <c r="A26" i="2"/>
  <c r="B26" i="2"/>
  <c r="G26" i="2"/>
  <c r="A27" i="2"/>
  <c r="B27" i="2"/>
  <c r="G27" i="2"/>
  <c r="A28" i="2"/>
  <c r="B28" i="2"/>
  <c r="G28" i="2"/>
  <c r="A29" i="2"/>
  <c r="B29" i="2"/>
  <c r="E29" i="2"/>
  <c r="G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C39" i="2"/>
  <c r="D39" i="2"/>
  <c r="E39" i="2"/>
  <c r="F39" i="2"/>
  <c r="A40" i="2"/>
  <c r="B40" i="2"/>
  <c r="A41" i="2"/>
  <c r="B41" i="2"/>
  <c r="A42" i="2"/>
  <c r="B42" i="2"/>
  <c r="G42" i="2"/>
  <c r="A43" i="2"/>
  <c r="B43" i="2"/>
  <c r="A44" i="2"/>
  <c r="B44" i="2"/>
  <c r="A45" i="2"/>
  <c r="B45" i="2"/>
  <c r="G45" i="2"/>
  <c r="A46" i="2"/>
  <c r="B46" i="2"/>
  <c r="A47" i="2"/>
  <c r="B47" i="2"/>
  <c r="G47" i="2"/>
  <c r="A48" i="2"/>
  <c r="B48" i="2"/>
  <c r="G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G56" i="2"/>
  <c r="A57" i="2"/>
  <c r="B57" i="2"/>
  <c r="A58" i="2"/>
  <c r="B58" i="2"/>
  <c r="A59" i="2"/>
  <c r="B59" i="2"/>
  <c r="A60" i="2"/>
  <c r="B60" i="2"/>
  <c r="E60" i="2"/>
  <c r="G60" i="2"/>
  <c r="A61" i="2"/>
  <c r="B61" i="2"/>
  <c r="E61" i="2"/>
  <c r="G61" i="2"/>
  <c r="A62" i="2"/>
  <c r="B62" i="2"/>
  <c r="E62" i="2"/>
  <c r="G62" i="2"/>
  <c r="A63" i="2"/>
  <c r="B63" i="2"/>
  <c r="E63" i="2"/>
  <c r="G63" i="2"/>
  <c r="A64" i="2"/>
  <c r="B64" i="2"/>
  <c r="E64" i="2"/>
  <c r="G64" i="2"/>
  <c r="A65" i="2"/>
  <c r="B65" i="2"/>
  <c r="E65" i="2"/>
  <c r="G65" i="2"/>
  <c r="A66" i="2"/>
  <c r="B66" i="2"/>
  <c r="E66" i="2"/>
  <c r="G66" i="2"/>
  <c r="A67" i="2"/>
  <c r="B67" i="2"/>
  <c r="E67" i="2"/>
  <c r="G67" i="2"/>
  <c r="A68" i="2"/>
  <c r="B68" i="2"/>
  <c r="E68" i="2"/>
  <c r="G68" i="2"/>
  <c r="A69" i="2"/>
  <c r="B69" i="2"/>
  <c r="E69" i="2"/>
  <c r="G69" i="2"/>
  <c r="A70" i="2"/>
  <c r="B70" i="2"/>
  <c r="E70" i="2"/>
  <c r="G70" i="2"/>
  <c r="A71" i="2"/>
  <c r="B71" i="2"/>
  <c r="E71" i="2"/>
  <c r="G71" i="2"/>
  <c r="A72" i="2"/>
  <c r="B72" i="2"/>
  <c r="G72" i="2"/>
  <c r="A73" i="2"/>
  <c r="B73" i="2"/>
  <c r="E73" i="2"/>
  <c r="G73" i="2"/>
  <c r="A74" i="2"/>
  <c r="B74" i="2"/>
  <c r="E74" i="2"/>
  <c r="G74" i="2"/>
  <c r="A75" i="2"/>
  <c r="B75" i="2"/>
  <c r="E75" i="2"/>
  <c r="G75" i="2"/>
  <c r="A76" i="2"/>
  <c r="B76" i="2"/>
  <c r="G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G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E120" i="2"/>
  <c r="G120" i="2"/>
  <c r="A121" i="2"/>
  <c r="B121" i="2"/>
  <c r="E121" i="2"/>
  <c r="G121" i="2"/>
  <c r="A122" i="2"/>
  <c r="B122" i="2"/>
  <c r="E122" i="2"/>
  <c r="G122" i="2"/>
  <c r="A123" i="2"/>
  <c r="B123" i="2"/>
  <c r="E123" i="2"/>
  <c r="G123" i="2"/>
  <c r="A124" i="2"/>
  <c r="B124" i="2"/>
  <c r="E124" i="2"/>
  <c r="G124" i="2"/>
  <c r="A125" i="2"/>
  <c r="B125" i="2"/>
  <c r="E125" i="2"/>
  <c r="G125" i="2"/>
  <c r="A126" i="2"/>
  <c r="B126" i="2"/>
  <c r="E126" i="2"/>
  <c r="G126" i="2"/>
  <c r="A127" i="2"/>
  <c r="B127" i="2"/>
  <c r="E127" i="2"/>
  <c r="G127" i="2"/>
  <c r="A128" i="2"/>
  <c r="B128" i="2"/>
  <c r="E128" i="2"/>
  <c r="G128" i="2"/>
  <c r="A129" i="2"/>
  <c r="B129" i="2"/>
  <c r="E129" i="2"/>
  <c r="G129" i="2"/>
  <c r="A130" i="2"/>
  <c r="B130" i="2"/>
  <c r="A131" i="2"/>
  <c r="B131" i="2"/>
  <c r="G131" i="2"/>
  <c r="A132" i="2"/>
  <c r="B132" i="2"/>
  <c r="G132" i="2"/>
  <c r="A133" i="2"/>
  <c r="B133" i="2"/>
  <c r="G133" i="2"/>
  <c r="A134" i="2"/>
  <c r="B134" i="2"/>
  <c r="G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G143" i="2"/>
  <c r="A144" i="2"/>
  <c r="B144" i="2"/>
  <c r="A145" i="2"/>
  <c r="B145" i="2"/>
  <c r="G145" i="2"/>
  <c r="A146" i="2"/>
  <c r="B146" i="2"/>
  <c r="G146" i="2"/>
  <c r="A147" i="2"/>
  <c r="B147" i="2"/>
  <c r="G147" i="2"/>
  <c r="A148" i="2"/>
  <c r="B148" i="2"/>
  <c r="G148" i="2"/>
  <c r="A149" i="2"/>
  <c r="B149" i="2"/>
  <c r="G149" i="2"/>
  <c r="A150" i="2"/>
  <c r="B150" i="2"/>
  <c r="A151" i="2"/>
  <c r="B151" i="2"/>
  <c r="A152" i="2"/>
  <c r="B152" i="2"/>
  <c r="A153" i="2"/>
  <c r="B153" i="2"/>
  <c r="A154" i="2"/>
  <c r="B154" i="2"/>
  <c r="G154" i="2"/>
  <c r="A155" i="2"/>
  <c r="B155" i="2"/>
  <c r="A156" i="2"/>
  <c r="B156" i="2"/>
  <c r="A157" i="2"/>
  <c r="B157" i="2"/>
  <c r="G157" i="2"/>
  <c r="A158" i="2"/>
  <c r="B158" i="2"/>
  <c r="G158" i="2"/>
  <c r="A159" i="2"/>
  <c r="B159" i="2"/>
  <c r="G159" i="2"/>
  <c r="A160" i="2"/>
  <c r="B160" i="2"/>
  <c r="G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G173" i="2"/>
  <c r="A174" i="2"/>
  <c r="B174" i="2"/>
  <c r="A175" i="2"/>
  <c r="B175" i="2"/>
  <c r="A176" i="2"/>
  <c r="B176" i="2"/>
  <c r="A177" i="2"/>
  <c r="B177" i="2"/>
  <c r="G177" i="2"/>
  <c r="A178" i="2"/>
  <c r="B178" i="2"/>
  <c r="A179" i="2"/>
  <c r="B179" i="2"/>
  <c r="A180" i="2"/>
  <c r="B180" i="2"/>
  <c r="A181" i="2"/>
  <c r="B181" i="2"/>
  <c r="G181" i="2"/>
  <c r="A182" i="2"/>
  <c r="B182" i="2"/>
  <c r="A183" i="2"/>
  <c r="B183" i="2"/>
  <c r="G183" i="2"/>
  <c r="A184" i="2"/>
  <c r="B184" i="2"/>
  <c r="A185" i="2"/>
  <c r="B185" i="2"/>
  <c r="A186" i="2"/>
  <c r="B186" i="2"/>
  <c r="A187" i="2"/>
  <c r="B187" i="2"/>
  <c r="G187" i="2"/>
  <c r="A188" i="2"/>
  <c r="B188" i="2"/>
  <c r="G188" i="2"/>
  <c r="A189" i="2"/>
  <c r="B189" i="2"/>
  <c r="G189" i="2"/>
  <c r="A190" i="2"/>
  <c r="B190" i="2"/>
  <c r="A191" i="2"/>
  <c r="B191" i="2"/>
  <c r="G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G201" i="2"/>
  <c r="A202" i="2"/>
  <c r="B202" i="2"/>
  <c r="A203" i="2"/>
  <c r="B203" i="2"/>
  <c r="A204" i="2"/>
  <c r="B204" i="2"/>
  <c r="G204" i="2"/>
  <c r="A205" i="2"/>
  <c r="B205" i="2"/>
  <c r="G205" i="2"/>
  <c r="A206" i="2"/>
  <c r="B206" i="2"/>
  <c r="G206" i="2"/>
  <c r="A207" i="2"/>
  <c r="B207" i="2"/>
  <c r="G207" i="2"/>
  <c r="A208" i="2"/>
  <c r="B208" i="2"/>
  <c r="G208" i="2"/>
  <c r="A209" i="2"/>
  <c r="B209" i="2"/>
  <c r="A210" i="2"/>
  <c r="B210" i="2"/>
  <c r="A211" i="2"/>
  <c r="B211" i="2"/>
  <c r="G211" i="2"/>
  <c r="A212" i="2"/>
  <c r="B212" i="2"/>
  <c r="G212" i="2"/>
  <c r="A213" i="2"/>
  <c r="B213" i="2"/>
  <c r="G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E222" i="2"/>
  <c r="G222" i="2"/>
  <c r="A223" i="2"/>
  <c r="B223" i="2"/>
  <c r="A224" i="2"/>
  <c r="B224" i="2"/>
  <c r="A225" i="2"/>
  <c r="B225" i="2"/>
  <c r="A226" i="2"/>
  <c r="B226" i="2"/>
  <c r="A227" i="2"/>
  <c r="B227" i="2"/>
  <c r="G227" i="2"/>
  <c r="A228" i="2"/>
  <c r="B228" i="2"/>
  <c r="A229" i="2"/>
  <c r="B229" i="2"/>
  <c r="A230" i="2"/>
  <c r="B230" i="2"/>
  <c r="A231" i="2"/>
  <c r="B231" i="2"/>
  <c r="G231" i="2"/>
  <c r="A232" i="2"/>
  <c r="B232" i="2"/>
  <c r="G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E248" i="2"/>
  <c r="G248" i="2"/>
  <c r="A249" i="2"/>
  <c r="B249" i="2"/>
  <c r="G249" i="2"/>
  <c r="A250" i="2"/>
  <c r="B250" i="2"/>
  <c r="E250" i="2"/>
  <c r="G250" i="2"/>
  <c r="A251" i="2"/>
  <c r="B251" i="2"/>
  <c r="E251" i="2"/>
  <c r="G251" i="2"/>
  <c r="A252" i="2"/>
  <c r="B252" i="2"/>
  <c r="G252" i="2"/>
  <c r="A253" i="2"/>
  <c r="B253" i="2"/>
  <c r="E253" i="2"/>
  <c r="G253" i="2"/>
  <c r="A254" i="2"/>
  <c r="B254" i="2"/>
  <c r="E254" i="2"/>
  <c r="G254" i="2"/>
  <c r="A255" i="2"/>
  <c r="B255" i="2"/>
  <c r="G255" i="2"/>
  <c r="A256" i="2"/>
  <c r="B256" i="2"/>
  <c r="A257" i="2"/>
  <c r="B257" i="2"/>
  <c r="A258" i="2"/>
  <c r="B258" i="2"/>
  <c r="A259" i="2"/>
  <c r="B259" i="2"/>
  <c r="G259" i="2"/>
  <c r="A260" i="2"/>
  <c r="B260" i="2"/>
  <c r="G57" i="1"/>
  <c r="G51" i="2" s="1"/>
  <c r="G56" i="1"/>
  <c r="G50" i="2" s="1"/>
  <c r="G58" i="1"/>
  <c r="G52" i="2" s="1"/>
  <c r="G37" i="1"/>
  <c r="G31" i="2" s="1"/>
  <c r="G36" i="1"/>
  <c r="G30" i="2" s="1"/>
  <c r="G65" i="1"/>
  <c r="G59" i="2" s="1"/>
  <c r="G64" i="1"/>
  <c r="G58" i="2" s="1"/>
  <c r="G63" i="1"/>
  <c r="G57" i="2" s="1"/>
  <c r="G61" i="1"/>
  <c r="G55" i="2" s="1"/>
  <c r="G60" i="1"/>
  <c r="G54" i="2" s="1"/>
  <c r="S175" i="1" l="1"/>
  <c r="G176" i="1"/>
  <c r="G169" i="2" s="1"/>
  <c r="G177" i="1"/>
  <c r="G170" i="2" s="1"/>
  <c r="G178" i="1"/>
  <c r="G171" i="2" s="1"/>
  <c r="G179" i="1"/>
  <c r="G172" i="2" s="1"/>
  <c r="G181" i="1"/>
  <c r="G174" i="2" s="1"/>
  <c r="G182" i="1"/>
  <c r="G185" i="1"/>
  <c r="G178" i="2" s="1"/>
  <c r="G186" i="1"/>
  <c r="G179" i="2" s="1"/>
  <c r="G187" i="1"/>
  <c r="G180" i="2" s="1"/>
  <c r="G189" i="1"/>
  <c r="G182" i="2" s="1"/>
  <c r="G191" i="1"/>
  <c r="G184" i="2" s="1"/>
  <c r="G192" i="1"/>
  <c r="G185" i="2" s="1"/>
  <c r="G193" i="1"/>
  <c r="G186" i="2" s="1"/>
  <c r="G197" i="1"/>
  <c r="G200" i="1"/>
  <c r="G193" i="2" s="1"/>
  <c r="G201" i="1"/>
  <c r="G194" i="2" s="1"/>
  <c r="G202" i="1"/>
  <c r="G205" i="1"/>
  <c r="G209" i="1"/>
  <c r="G202" i="2" s="1"/>
  <c r="G210" i="1"/>
  <c r="G203" i="2" s="1"/>
  <c r="G216" i="1"/>
  <c r="G209" i="2" s="1"/>
  <c r="G217" i="1"/>
  <c r="G210" i="2" s="1"/>
  <c r="G221" i="1"/>
  <c r="G214" i="2" s="1"/>
  <c r="G222" i="1"/>
  <c r="G215" i="2" s="1"/>
  <c r="G223" i="1"/>
  <c r="G216" i="2" s="1"/>
  <c r="G224" i="1"/>
  <c r="G217" i="2" s="1"/>
  <c r="G225" i="1"/>
  <c r="G218" i="2" s="1"/>
  <c r="G226" i="1"/>
  <c r="G219" i="2" s="1"/>
  <c r="G227" i="1"/>
  <c r="G230" i="1"/>
  <c r="G223" i="2" s="1"/>
  <c r="G231" i="1"/>
  <c r="G224" i="2" s="1"/>
  <c r="G232" i="1"/>
  <c r="G225" i="2" s="1"/>
  <c r="G233" i="1"/>
  <c r="G226" i="2" s="1"/>
  <c r="G235" i="1"/>
  <c r="G228" i="2" s="1"/>
  <c r="G240" i="1"/>
  <c r="G233" i="2" s="1"/>
  <c r="G241" i="1"/>
  <c r="G234" i="2" s="1"/>
  <c r="G242" i="1"/>
  <c r="G263" i="1"/>
  <c r="G256" i="2" s="1"/>
  <c r="G264" i="1"/>
  <c r="G257" i="2" s="1"/>
  <c r="G265" i="1"/>
  <c r="G258" i="2" s="1"/>
  <c r="G267" i="1"/>
  <c r="G271" i="1"/>
  <c r="G272" i="1"/>
  <c r="G273" i="1"/>
  <c r="G274" i="1" s="1"/>
  <c r="G276" i="1"/>
  <c r="G277" i="1"/>
  <c r="G278" i="1"/>
  <c r="G175" i="1"/>
  <c r="G168" i="2" s="1"/>
  <c r="G174" i="1"/>
  <c r="G167" i="2" s="1"/>
  <c r="G268" i="1" l="1"/>
  <c r="G269" i="1" s="1"/>
  <c r="G260" i="2"/>
  <c r="G243" i="1"/>
  <c r="G235" i="2"/>
  <c r="G206" i="1"/>
  <c r="G199" i="2" s="1"/>
  <c r="G198" i="2"/>
  <c r="G199" i="1"/>
  <c r="G192" i="2" s="1"/>
  <c r="G190" i="2"/>
  <c r="G183" i="1"/>
  <c r="G176" i="2" s="1"/>
  <c r="G175" i="2"/>
  <c r="S179" i="1"/>
  <c r="S177" i="1"/>
  <c r="G236" i="1"/>
  <c r="G228" i="1"/>
  <c r="G221" i="2" s="1"/>
  <c r="G220" i="2"/>
  <c r="G203" i="1"/>
  <c r="G196" i="2" s="1"/>
  <c r="G195" i="2"/>
  <c r="S178" i="1"/>
  <c r="S176" i="1"/>
  <c r="S174" i="1"/>
  <c r="G204" i="1"/>
  <c r="G197" i="2" s="1"/>
  <c r="G207" i="1"/>
  <c r="G200" i="2" s="1"/>
  <c r="G237" i="1" l="1"/>
  <c r="G230" i="2" s="1"/>
  <c r="G229" i="2"/>
  <c r="G244" i="1"/>
  <c r="G236" i="2"/>
  <c r="S97" i="1"/>
  <c r="S126" i="1"/>
  <c r="S127" i="1"/>
  <c r="S128" i="1"/>
  <c r="S129" i="1"/>
  <c r="S130" i="1"/>
  <c r="S131" i="1"/>
  <c r="S132" i="1"/>
  <c r="S133" i="1"/>
  <c r="S134" i="1"/>
  <c r="S135" i="1"/>
  <c r="S137" i="1"/>
  <c r="S138" i="1"/>
  <c r="S139" i="1"/>
  <c r="S140" i="1"/>
  <c r="S149" i="1"/>
  <c r="S151" i="1"/>
  <c r="S152" i="1"/>
  <c r="S153" i="1"/>
  <c r="S154" i="1"/>
  <c r="S155" i="1"/>
  <c r="S161" i="1"/>
  <c r="S164" i="1"/>
  <c r="S165" i="1"/>
  <c r="S166" i="1"/>
  <c r="S167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9" i="1" s="1"/>
  <c r="S198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G245" i="1" l="1"/>
  <c r="G237" i="2"/>
  <c r="G45" i="1"/>
  <c r="G39" i="2" s="1"/>
  <c r="G246" i="1" l="1"/>
  <c r="G238" i="2"/>
  <c r="S245" i="1"/>
  <c r="G59" i="1"/>
  <c r="G53" i="2" s="1"/>
  <c r="S58" i="1"/>
  <c r="S57" i="1"/>
  <c r="S56" i="1"/>
  <c r="G55" i="1"/>
  <c r="G52" i="1"/>
  <c r="G49" i="1"/>
  <c r="G47" i="1"/>
  <c r="G44" i="1"/>
  <c r="G42" i="1"/>
  <c r="G36" i="2" s="1"/>
  <c r="G41" i="1"/>
  <c r="G35" i="2" s="1"/>
  <c r="G40" i="1"/>
  <c r="G39" i="1"/>
  <c r="G33" i="2" s="1"/>
  <c r="G38" i="1"/>
  <c r="S38" i="1" l="1"/>
  <c r="G32" i="2"/>
  <c r="S40" i="1"/>
  <c r="G34" i="2"/>
  <c r="S47" i="1"/>
  <c r="G41" i="2"/>
  <c r="S52" i="1"/>
  <c r="G46" i="2"/>
  <c r="S41" i="1"/>
  <c r="S59" i="1"/>
  <c r="S44" i="1"/>
  <c r="G38" i="2"/>
  <c r="S49" i="1"/>
  <c r="G43" i="2"/>
  <c r="S55" i="1"/>
  <c r="G49" i="2"/>
  <c r="S42" i="1"/>
  <c r="G247" i="1"/>
  <c r="G239" i="2"/>
  <c r="S246" i="1"/>
  <c r="S30" i="1"/>
  <c r="S31" i="1"/>
  <c r="S32" i="1"/>
  <c r="S33" i="1"/>
  <c r="S34" i="1"/>
  <c r="S35" i="1"/>
  <c r="S29" i="1"/>
  <c r="G248" i="1" l="1"/>
  <c r="G240" i="2"/>
  <c r="S247" i="1"/>
  <c r="P155" i="1"/>
  <c r="G249" i="1" l="1"/>
  <c r="G241" i="2"/>
  <c r="S248" i="1"/>
  <c r="R155" i="1"/>
  <c r="D149" i="2"/>
  <c r="X166" i="1"/>
  <c r="U166" i="1" s="1"/>
  <c r="E159" i="2" s="1"/>
  <c r="G250" i="1" l="1"/>
  <c r="G242" i="2"/>
  <c r="S249" i="1"/>
  <c r="W166" i="1"/>
  <c r="I166" i="1"/>
  <c r="G251" i="1" l="1"/>
  <c r="G243" i="2"/>
  <c r="S250" i="1"/>
  <c r="P166" i="1"/>
  <c r="N166" i="1"/>
  <c r="K166" i="1" s="1"/>
  <c r="C159" i="2" s="1"/>
  <c r="C223" i="3"/>
  <c r="E223" i="3" s="1"/>
  <c r="L223" i="3"/>
  <c r="C224" i="3"/>
  <c r="E224" i="3" s="1"/>
  <c r="L224" i="3"/>
  <c r="C225" i="3"/>
  <c r="E225" i="3" s="1"/>
  <c r="L225" i="3"/>
  <c r="C226" i="3"/>
  <c r="E226" i="3" s="1"/>
  <c r="L226" i="3"/>
  <c r="A2" i="2"/>
  <c r="B2" i="2"/>
  <c r="G2" i="2"/>
  <c r="H6" i="1"/>
  <c r="I8" i="1"/>
  <c r="N8" i="1"/>
  <c r="K8" i="1" s="1"/>
  <c r="S8" i="1"/>
  <c r="P8" i="1" s="1"/>
  <c r="U8" i="1" s="1"/>
  <c r="X8" i="1"/>
  <c r="AD8" i="1"/>
  <c r="Z8" i="1" s="1"/>
  <c r="G9" i="1"/>
  <c r="G3" i="2" s="1"/>
  <c r="I29" i="1"/>
  <c r="N29" i="1"/>
  <c r="K29" i="1" s="1"/>
  <c r="C23" i="2" s="1"/>
  <c r="AD29" i="1"/>
  <c r="Z29" i="1" s="1"/>
  <c r="F23" i="2" s="1"/>
  <c r="I30" i="1"/>
  <c r="N30" i="1"/>
  <c r="K30" i="1" s="1"/>
  <c r="C24" i="2" s="1"/>
  <c r="X30" i="1"/>
  <c r="U30" i="1" s="1"/>
  <c r="E24" i="2" s="1"/>
  <c r="AD30" i="1"/>
  <c r="Z30" i="1" s="1"/>
  <c r="F24" i="2" s="1"/>
  <c r="I31" i="1"/>
  <c r="N31" i="1"/>
  <c r="K31" i="1" s="1"/>
  <c r="C25" i="2" s="1"/>
  <c r="P31" i="1"/>
  <c r="D25" i="2" s="1"/>
  <c r="AD31" i="1"/>
  <c r="Z31" i="1" s="1"/>
  <c r="F25" i="2" s="1"/>
  <c r="I32" i="1"/>
  <c r="N32" i="1"/>
  <c r="K32" i="1" s="1"/>
  <c r="C26" i="2" s="1"/>
  <c r="P32" i="1"/>
  <c r="D26" i="2" s="1"/>
  <c r="AD32" i="1"/>
  <c r="Z32" i="1" s="1"/>
  <c r="F26" i="2" s="1"/>
  <c r="I33" i="1"/>
  <c r="N33" i="1"/>
  <c r="K33" i="1" s="1"/>
  <c r="C27" i="2" s="1"/>
  <c r="P33" i="1"/>
  <c r="D27" i="2" s="1"/>
  <c r="AD33" i="1"/>
  <c r="Z33" i="1" s="1"/>
  <c r="F27" i="2" s="1"/>
  <c r="I34" i="1"/>
  <c r="N34" i="1"/>
  <c r="K34" i="1" s="1"/>
  <c r="C28" i="2" s="1"/>
  <c r="P34" i="1"/>
  <c r="D28" i="2" s="1"/>
  <c r="AD34" i="1"/>
  <c r="Z34" i="1" s="1"/>
  <c r="F28" i="2" s="1"/>
  <c r="I35" i="1"/>
  <c r="N35" i="1"/>
  <c r="K35" i="1" s="1"/>
  <c r="C29" i="2" s="1"/>
  <c r="P35" i="1"/>
  <c r="D29" i="2" s="1"/>
  <c r="W35" i="1"/>
  <c r="X35" i="1"/>
  <c r="AD35" i="1"/>
  <c r="Z35" i="1" s="1"/>
  <c r="F29" i="2" s="1"/>
  <c r="I36" i="1"/>
  <c r="X38" i="1"/>
  <c r="U38" i="1" s="1"/>
  <c r="E32" i="2" s="1"/>
  <c r="S39" i="1"/>
  <c r="I41" i="1"/>
  <c r="N41" i="1"/>
  <c r="K41" i="1" s="1"/>
  <c r="C35" i="2" s="1"/>
  <c r="X41" i="1"/>
  <c r="U41" i="1" s="1"/>
  <c r="E35" i="2" s="1"/>
  <c r="X42" i="1"/>
  <c r="U42" i="1" s="1"/>
  <c r="E36" i="2" s="1"/>
  <c r="G43" i="1"/>
  <c r="G37" i="2" s="1"/>
  <c r="X44" i="1"/>
  <c r="U44" i="1" s="1"/>
  <c r="E38" i="2" s="1"/>
  <c r="G46" i="1"/>
  <c r="G40" i="2" s="1"/>
  <c r="I48" i="1"/>
  <c r="S48" i="1"/>
  <c r="X48" i="1"/>
  <c r="U48" i="1" s="1"/>
  <c r="E42" i="2" s="1"/>
  <c r="I51" i="1"/>
  <c r="S51" i="1"/>
  <c r="X51" i="1"/>
  <c r="U51" i="1" s="1"/>
  <c r="E45" i="2" s="1"/>
  <c r="I53" i="1"/>
  <c r="S53" i="1"/>
  <c r="N53" i="1" s="1"/>
  <c r="K53" i="1" s="1"/>
  <c r="C47" i="2" s="1"/>
  <c r="X53" i="1"/>
  <c r="U53" i="1" s="1"/>
  <c r="E47" i="2" s="1"/>
  <c r="I54" i="1"/>
  <c r="S54" i="1"/>
  <c r="X54" i="1"/>
  <c r="U54" i="1" s="1"/>
  <c r="E48" i="2" s="1"/>
  <c r="X61" i="1"/>
  <c r="U61" i="1" s="1"/>
  <c r="E55" i="2" s="1"/>
  <c r="I62" i="1"/>
  <c r="N62" i="1"/>
  <c r="K62" i="1" s="1"/>
  <c r="C56" i="2" s="1"/>
  <c r="S62" i="1"/>
  <c r="P62" i="1" s="1"/>
  <c r="D56" i="2" s="1"/>
  <c r="X62" i="1"/>
  <c r="U62" i="1" s="1"/>
  <c r="S63" i="1"/>
  <c r="P63" i="1" s="1"/>
  <c r="D57" i="2" s="1"/>
  <c r="I66" i="1"/>
  <c r="N66" i="1"/>
  <c r="K66" i="1" s="1"/>
  <c r="C60" i="2" s="1"/>
  <c r="S66" i="1"/>
  <c r="P66" i="1" s="1"/>
  <c r="D60" i="2" s="1"/>
  <c r="W66" i="1"/>
  <c r="X66" i="1"/>
  <c r="I67" i="1"/>
  <c r="N67" i="1"/>
  <c r="K67" i="1" s="1"/>
  <c r="C61" i="2" s="1"/>
  <c r="S67" i="1"/>
  <c r="P67" i="1" s="1"/>
  <c r="D61" i="2" s="1"/>
  <c r="W67" i="1"/>
  <c r="X67" i="1"/>
  <c r="I68" i="1"/>
  <c r="N68" i="1"/>
  <c r="K68" i="1" s="1"/>
  <c r="C62" i="2" s="1"/>
  <c r="S68" i="1"/>
  <c r="P68" i="1" s="1"/>
  <c r="D62" i="2" s="1"/>
  <c r="W68" i="1"/>
  <c r="X68" i="1"/>
  <c r="I69" i="1"/>
  <c r="N69" i="1"/>
  <c r="K69" i="1" s="1"/>
  <c r="C63" i="2" s="1"/>
  <c r="S69" i="1"/>
  <c r="P69" i="1" s="1"/>
  <c r="D63" i="2" s="1"/>
  <c r="W69" i="1"/>
  <c r="X69" i="1"/>
  <c r="I70" i="1"/>
  <c r="N70" i="1"/>
  <c r="K70" i="1" s="1"/>
  <c r="C64" i="2" s="1"/>
  <c r="S70" i="1"/>
  <c r="P70" i="1" s="1"/>
  <c r="D64" i="2" s="1"/>
  <c r="W70" i="1"/>
  <c r="X70" i="1"/>
  <c r="I71" i="1"/>
  <c r="N71" i="1"/>
  <c r="K71" i="1" s="1"/>
  <c r="C65" i="2" s="1"/>
  <c r="S71" i="1"/>
  <c r="P71" i="1" s="1"/>
  <c r="D65" i="2" s="1"/>
  <c r="W71" i="1"/>
  <c r="X71" i="1"/>
  <c r="I72" i="1"/>
  <c r="N72" i="1"/>
  <c r="K72" i="1" s="1"/>
  <c r="C66" i="2" s="1"/>
  <c r="S72" i="1"/>
  <c r="P72" i="1" s="1"/>
  <c r="D66" i="2" s="1"/>
  <c r="W72" i="1"/>
  <c r="X72" i="1"/>
  <c r="I73" i="1"/>
  <c r="N73" i="1"/>
  <c r="K73" i="1" s="1"/>
  <c r="C67" i="2" s="1"/>
  <c r="S73" i="1"/>
  <c r="P73" i="1" s="1"/>
  <c r="D67" i="2" s="1"/>
  <c r="W73" i="1"/>
  <c r="X73" i="1"/>
  <c r="I74" i="1"/>
  <c r="N74" i="1"/>
  <c r="K74" i="1" s="1"/>
  <c r="C68" i="2" s="1"/>
  <c r="S74" i="1"/>
  <c r="P74" i="1" s="1"/>
  <c r="D68" i="2" s="1"/>
  <c r="W74" i="1"/>
  <c r="X74" i="1"/>
  <c r="I75" i="1"/>
  <c r="N75" i="1"/>
  <c r="K75" i="1" s="1"/>
  <c r="C69" i="2" s="1"/>
  <c r="S75" i="1"/>
  <c r="P75" i="1" s="1"/>
  <c r="D69" i="2" s="1"/>
  <c r="W75" i="1"/>
  <c r="X75" i="1"/>
  <c r="I76" i="1"/>
  <c r="N76" i="1"/>
  <c r="K76" i="1" s="1"/>
  <c r="C70" i="2" s="1"/>
  <c r="S76" i="1"/>
  <c r="P76" i="1" s="1"/>
  <c r="D70" i="2" s="1"/>
  <c r="W76" i="1"/>
  <c r="X76" i="1"/>
  <c r="I77" i="1"/>
  <c r="N77" i="1"/>
  <c r="K77" i="1" s="1"/>
  <c r="C71" i="2" s="1"/>
  <c r="S77" i="1"/>
  <c r="P77" i="1" s="1"/>
  <c r="D71" i="2" s="1"/>
  <c r="W77" i="1"/>
  <c r="X77" i="1"/>
  <c r="I78" i="1"/>
  <c r="N78" i="1"/>
  <c r="K78" i="1" s="1"/>
  <c r="C72" i="2" s="1"/>
  <c r="S78" i="1"/>
  <c r="P78" i="1" s="1"/>
  <c r="D72" i="2" s="1"/>
  <c r="U78" i="1"/>
  <c r="E72" i="2" s="1"/>
  <c r="X78" i="1"/>
  <c r="I79" i="1"/>
  <c r="N79" i="1"/>
  <c r="K79" i="1" s="1"/>
  <c r="C73" i="2" s="1"/>
  <c r="S79" i="1"/>
  <c r="P79" i="1" s="1"/>
  <c r="D73" i="2" s="1"/>
  <c r="W79" i="1"/>
  <c r="X79" i="1"/>
  <c r="I80" i="1"/>
  <c r="N80" i="1"/>
  <c r="K80" i="1" s="1"/>
  <c r="C74" i="2" s="1"/>
  <c r="S80" i="1"/>
  <c r="P80" i="1" s="1"/>
  <c r="D74" i="2" s="1"/>
  <c r="W80" i="1"/>
  <c r="X80" i="1"/>
  <c r="I81" i="1"/>
  <c r="N81" i="1"/>
  <c r="K81" i="1" s="1"/>
  <c r="C75" i="2" s="1"/>
  <c r="S81" i="1"/>
  <c r="P81" i="1" s="1"/>
  <c r="D75" i="2" s="1"/>
  <c r="W81" i="1"/>
  <c r="X81" i="1"/>
  <c r="I82" i="1"/>
  <c r="N82" i="1"/>
  <c r="K82" i="1" s="1"/>
  <c r="C76" i="2" s="1"/>
  <c r="S82" i="1"/>
  <c r="P82" i="1" s="1"/>
  <c r="D76" i="2" s="1"/>
  <c r="X82" i="1"/>
  <c r="G83" i="1"/>
  <c r="G84" i="1"/>
  <c r="G85" i="1"/>
  <c r="G86" i="1"/>
  <c r="G87" i="1"/>
  <c r="G88" i="1"/>
  <c r="G89" i="1"/>
  <c r="G90" i="1"/>
  <c r="G91" i="1"/>
  <c r="G92" i="1"/>
  <c r="G93" i="1"/>
  <c r="I93" i="1"/>
  <c r="G94" i="1"/>
  <c r="G95" i="1"/>
  <c r="G96" i="1"/>
  <c r="I97" i="1"/>
  <c r="N97" i="1"/>
  <c r="K97" i="1" s="1"/>
  <c r="C91" i="2" s="1"/>
  <c r="P97" i="1"/>
  <c r="D91" i="2" s="1"/>
  <c r="X97" i="1"/>
  <c r="G98" i="1"/>
  <c r="D105" i="1"/>
  <c r="D110" i="1"/>
  <c r="I126" i="1"/>
  <c r="N126" i="1"/>
  <c r="K126" i="1" s="1"/>
  <c r="C120" i="2" s="1"/>
  <c r="P126" i="1"/>
  <c r="D120" i="2" s="1"/>
  <c r="W126" i="1"/>
  <c r="X126" i="1"/>
  <c r="I127" i="1"/>
  <c r="N127" i="1"/>
  <c r="K127" i="1" s="1"/>
  <c r="C121" i="2" s="1"/>
  <c r="P127" i="1"/>
  <c r="D121" i="2" s="1"/>
  <c r="W127" i="1"/>
  <c r="X127" i="1"/>
  <c r="I128" i="1"/>
  <c r="N128" i="1"/>
  <c r="K128" i="1" s="1"/>
  <c r="C122" i="2" s="1"/>
  <c r="P128" i="1"/>
  <c r="D122" i="2" s="1"/>
  <c r="W128" i="1"/>
  <c r="X128" i="1"/>
  <c r="I129" i="1"/>
  <c r="N129" i="1"/>
  <c r="K129" i="1" s="1"/>
  <c r="C123" i="2" s="1"/>
  <c r="P129" i="1"/>
  <c r="D123" i="2" s="1"/>
  <c r="W129" i="1"/>
  <c r="X129" i="1"/>
  <c r="I130" i="1"/>
  <c r="N130" i="1"/>
  <c r="K130" i="1" s="1"/>
  <c r="C124" i="2" s="1"/>
  <c r="P130" i="1"/>
  <c r="D124" i="2" s="1"/>
  <c r="W130" i="1"/>
  <c r="X130" i="1"/>
  <c r="I131" i="1"/>
  <c r="N131" i="1"/>
  <c r="K131" i="1" s="1"/>
  <c r="C125" i="2" s="1"/>
  <c r="P131" i="1"/>
  <c r="D125" i="2" s="1"/>
  <c r="W131" i="1"/>
  <c r="X131" i="1"/>
  <c r="I132" i="1"/>
  <c r="N132" i="1"/>
  <c r="K132" i="1" s="1"/>
  <c r="C126" i="2" s="1"/>
  <c r="P132" i="1"/>
  <c r="D126" i="2" s="1"/>
  <c r="W132" i="1"/>
  <c r="X132" i="1"/>
  <c r="I133" i="1"/>
  <c r="N133" i="1"/>
  <c r="K133" i="1" s="1"/>
  <c r="C127" i="2" s="1"/>
  <c r="P133" i="1"/>
  <c r="D127" i="2" s="1"/>
  <c r="W133" i="1"/>
  <c r="X133" i="1"/>
  <c r="I134" i="1"/>
  <c r="N134" i="1"/>
  <c r="K134" i="1" s="1"/>
  <c r="C128" i="2" s="1"/>
  <c r="P134" i="1"/>
  <c r="D128" i="2" s="1"/>
  <c r="W134" i="1"/>
  <c r="X134" i="1"/>
  <c r="I135" i="1"/>
  <c r="N135" i="1"/>
  <c r="K135" i="1" s="1"/>
  <c r="C129" i="2" s="1"/>
  <c r="P135" i="1"/>
  <c r="D129" i="2" s="1"/>
  <c r="W135" i="1"/>
  <c r="X135" i="1"/>
  <c r="G136" i="1"/>
  <c r="I137" i="1"/>
  <c r="N137" i="1"/>
  <c r="K137" i="1" s="1"/>
  <c r="C131" i="2" s="1"/>
  <c r="P137" i="1"/>
  <c r="D131" i="2" s="1"/>
  <c r="X137" i="1"/>
  <c r="I138" i="1"/>
  <c r="N138" i="1"/>
  <c r="K138" i="1" s="1"/>
  <c r="C132" i="2" s="1"/>
  <c r="P138" i="1"/>
  <c r="D132" i="2" s="1"/>
  <c r="X138" i="1"/>
  <c r="I139" i="1"/>
  <c r="N139" i="1"/>
  <c r="K139" i="1" s="1"/>
  <c r="C133" i="2" s="1"/>
  <c r="P139" i="1"/>
  <c r="D133" i="2" s="1"/>
  <c r="X139" i="1"/>
  <c r="I140" i="1"/>
  <c r="N140" i="1"/>
  <c r="K140" i="1" s="1"/>
  <c r="C134" i="2" s="1"/>
  <c r="P140" i="1"/>
  <c r="D134" i="2" s="1"/>
  <c r="X140" i="1"/>
  <c r="G141" i="1"/>
  <c r="I141" i="1"/>
  <c r="G145" i="1"/>
  <c r="I149" i="1"/>
  <c r="I155" i="1"/>
  <c r="N155" i="1"/>
  <c r="K155" i="1" s="1"/>
  <c r="C149" i="2" s="1"/>
  <c r="X155" i="1"/>
  <c r="U155" i="1" s="1"/>
  <c r="E149" i="2" s="1"/>
  <c r="G156" i="1"/>
  <c r="G157" i="1"/>
  <c r="G158" i="1"/>
  <c r="G159" i="1"/>
  <c r="I161" i="1"/>
  <c r="X161" i="1"/>
  <c r="U161" i="1" s="1"/>
  <c r="E154" i="2" s="1"/>
  <c r="I165" i="1"/>
  <c r="X165" i="1"/>
  <c r="U165" i="1" s="1"/>
  <c r="E158" i="2" s="1"/>
  <c r="I167" i="1"/>
  <c r="X167" i="1"/>
  <c r="U167" i="1" s="1"/>
  <c r="E160" i="2" s="1"/>
  <c r="G168" i="1"/>
  <c r="G171" i="1"/>
  <c r="X171" i="1"/>
  <c r="U171" i="1" s="1"/>
  <c r="E164" i="2" s="1"/>
  <c r="G172" i="1"/>
  <c r="I175" i="1"/>
  <c r="N175" i="1"/>
  <c r="K175" i="1" s="1"/>
  <c r="C168" i="2" s="1"/>
  <c r="P175" i="1"/>
  <c r="D168" i="2" s="1"/>
  <c r="X175" i="1"/>
  <c r="U175" i="1" s="1"/>
  <c r="E168" i="2" s="1"/>
  <c r="I176" i="1"/>
  <c r="N176" i="1"/>
  <c r="K176" i="1" s="1"/>
  <c r="C169" i="2" s="1"/>
  <c r="P176" i="1"/>
  <c r="D169" i="2" s="1"/>
  <c r="X176" i="1"/>
  <c r="U176" i="1" s="1"/>
  <c r="E169" i="2" s="1"/>
  <c r="I177" i="1"/>
  <c r="N177" i="1"/>
  <c r="K177" i="1" s="1"/>
  <c r="C170" i="2" s="1"/>
  <c r="P177" i="1"/>
  <c r="D170" i="2" s="1"/>
  <c r="X177" i="1"/>
  <c r="U177" i="1" s="1"/>
  <c r="E170" i="2" s="1"/>
  <c r="N178" i="1"/>
  <c r="K178" i="1" s="1"/>
  <c r="C171" i="2" s="1"/>
  <c r="X178" i="1"/>
  <c r="U178" i="1" s="1"/>
  <c r="E171" i="2" s="1"/>
  <c r="I180" i="1"/>
  <c r="N180" i="1"/>
  <c r="K180" i="1" s="1"/>
  <c r="C173" i="2" s="1"/>
  <c r="P180" i="1"/>
  <c r="D173" i="2" s="1"/>
  <c r="X180" i="1"/>
  <c r="U180" i="1" s="1"/>
  <c r="E173" i="2" s="1"/>
  <c r="N181" i="1"/>
  <c r="K181" i="1" s="1"/>
  <c r="C174" i="2" s="1"/>
  <c r="P181" i="1"/>
  <c r="D174" i="2" s="1"/>
  <c r="X181" i="1"/>
  <c r="U181" i="1" s="1"/>
  <c r="E174" i="2" s="1"/>
  <c r="N182" i="1"/>
  <c r="K182" i="1" s="1"/>
  <c r="C175" i="2" s="1"/>
  <c r="P182" i="1"/>
  <c r="D175" i="2" s="1"/>
  <c r="X182" i="1"/>
  <c r="U182" i="1" s="1"/>
  <c r="E175" i="2" s="1"/>
  <c r="I184" i="1"/>
  <c r="N184" i="1"/>
  <c r="K184" i="1" s="1"/>
  <c r="C177" i="2" s="1"/>
  <c r="P184" i="1"/>
  <c r="D177" i="2" s="1"/>
  <c r="X184" i="1"/>
  <c r="U184" i="1" s="1"/>
  <c r="E177" i="2" s="1"/>
  <c r="N185" i="1"/>
  <c r="K185" i="1" s="1"/>
  <c r="C178" i="2" s="1"/>
  <c r="P185" i="1"/>
  <c r="D178" i="2" s="1"/>
  <c r="N186" i="1"/>
  <c r="K186" i="1" s="1"/>
  <c r="C179" i="2" s="1"/>
  <c r="I188" i="1"/>
  <c r="N188" i="1"/>
  <c r="K188" i="1" s="1"/>
  <c r="C181" i="2" s="1"/>
  <c r="P188" i="1"/>
  <c r="D181" i="2" s="1"/>
  <c r="X188" i="1"/>
  <c r="U188" i="1" s="1"/>
  <c r="E181" i="2" s="1"/>
  <c r="I190" i="1"/>
  <c r="N190" i="1"/>
  <c r="K190" i="1" s="1"/>
  <c r="C183" i="2" s="1"/>
  <c r="P190" i="1"/>
  <c r="D183" i="2" s="1"/>
  <c r="X190" i="1"/>
  <c r="U190" i="1" s="1"/>
  <c r="E183" i="2" s="1"/>
  <c r="N191" i="1"/>
  <c r="K191" i="1" s="1"/>
  <c r="C184" i="2" s="1"/>
  <c r="P191" i="1"/>
  <c r="D184" i="2" s="1"/>
  <c r="I194" i="1"/>
  <c r="N194" i="1"/>
  <c r="K194" i="1" s="1"/>
  <c r="C187" i="2" s="1"/>
  <c r="P194" i="1"/>
  <c r="D187" i="2" s="1"/>
  <c r="X194" i="1"/>
  <c r="U194" i="1" s="1"/>
  <c r="E187" i="2" s="1"/>
  <c r="I195" i="1"/>
  <c r="N195" i="1"/>
  <c r="K195" i="1" s="1"/>
  <c r="C188" i="2" s="1"/>
  <c r="P195" i="1"/>
  <c r="D188" i="2" s="1"/>
  <c r="X195" i="1"/>
  <c r="U195" i="1" s="1"/>
  <c r="E188" i="2" s="1"/>
  <c r="I197" i="1"/>
  <c r="N197" i="1"/>
  <c r="K197" i="1" s="1"/>
  <c r="C190" i="2" s="1"/>
  <c r="P197" i="1"/>
  <c r="D190" i="2" s="1"/>
  <c r="X197" i="1"/>
  <c r="U197" i="1" s="1"/>
  <c r="E190" i="2" s="1"/>
  <c r="I198" i="1"/>
  <c r="N198" i="1"/>
  <c r="K198" i="1" s="1"/>
  <c r="C191" i="2" s="1"/>
  <c r="P198" i="1"/>
  <c r="D191" i="2" s="1"/>
  <c r="X198" i="1"/>
  <c r="U198" i="1" s="1"/>
  <c r="E191" i="2" s="1"/>
  <c r="N199" i="1"/>
  <c r="K199" i="1" s="1"/>
  <c r="C192" i="2" s="1"/>
  <c r="X199" i="1"/>
  <c r="U199" i="1" s="1"/>
  <c r="E192" i="2" s="1"/>
  <c r="I200" i="1"/>
  <c r="N200" i="1"/>
  <c r="K200" i="1" s="1"/>
  <c r="C193" i="2" s="1"/>
  <c r="P200" i="1"/>
  <c r="D193" i="2" s="1"/>
  <c r="X200" i="1"/>
  <c r="U200" i="1" s="1"/>
  <c r="E193" i="2" s="1"/>
  <c r="I208" i="1"/>
  <c r="N208" i="1"/>
  <c r="K208" i="1" s="1"/>
  <c r="C201" i="2" s="1"/>
  <c r="P208" i="1"/>
  <c r="D201" i="2" s="1"/>
  <c r="X208" i="1"/>
  <c r="U208" i="1" s="1"/>
  <c r="E201" i="2" s="1"/>
  <c r="I209" i="1"/>
  <c r="N209" i="1"/>
  <c r="K209" i="1" s="1"/>
  <c r="C202" i="2" s="1"/>
  <c r="P209" i="1"/>
  <c r="D202" i="2" s="1"/>
  <c r="X209" i="1"/>
  <c r="U209" i="1" s="1"/>
  <c r="E202" i="2" s="1"/>
  <c r="I211" i="1"/>
  <c r="N211" i="1"/>
  <c r="K211" i="1" s="1"/>
  <c r="C204" i="2" s="1"/>
  <c r="P211" i="1"/>
  <c r="D204" i="2" s="1"/>
  <c r="X211" i="1"/>
  <c r="U211" i="1" s="1"/>
  <c r="E204" i="2" s="1"/>
  <c r="I212" i="1"/>
  <c r="N212" i="1"/>
  <c r="K212" i="1" s="1"/>
  <c r="C205" i="2" s="1"/>
  <c r="P212" i="1"/>
  <c r="D205" i="2" s="1"/>
  <c r="X212" i="1"/>
  <c r="U212" i="1" s="1"/>
  <c r="E205" i="2" s="1"/>
  <c r="D213" i="1"/>
  <c r="I213" i="1"/>
  <c r="N213" i="1"/>
  <c r="K213" i="1" s="1"/>
  <c r="C206" i="2" s="1"/>
  <c r="P213" i="1"/>
  <c r="D206" i="2" s="1"/>
  <c r="X213" i="1"/>
  <c r="U213" i="1" s="1"/>
  <c r="E206" i="2" s="1"/>
  <c r="I214" i="1"/>
  <c r="N214" i="1"/>
  <c r="K214" i="1" s="1"/>
  <c r="C207" i="2" s="1"/>
  <c r="P214" i="1"/>
  <c r="D207" i="2" s="1"/>
  <c r="X214" i="1"/>
  <c r="U214" i="1" s="1"/>
  <c r="E207" i="2" s="1"/>
  <c r="I215" i="1"/>
  <c r="N215" i="1"/>
  <c r="K215" i="1" s="1"/>
  <c r="C208" i="2" s="1"/>
  <c r="P215" i="1"/>
  <c r="D208" i="2" s="1"/>
  <c r="X215" i="1"/>
  <c r="U215" i="1" s="1"/>
  <c r="E208" i="2" s="1"/>
  <c r="I217" i="1"/>
  <c r="N217" i="1"/>
  <c r="K217" i="1" s="1"/>
  <c r="C210" i="2" s="1"/>
  <c r="P217" i="1"/>
  <c r="D210" i="2" s="1"/>
  <c r="X217" i="1"/>
  <c r="U217" i="1" s="1"/>
  <c r="E210" i="2" s="1"/>
  <c r="I218" i="1"/>
  <c r="N218" i="1"/>
  <c r="K218" i="1" s="1"/>
  <c r="C211" i="2" s="1"/>
  <c r="P218" i="1"/>
  <c r="D211" i="2" s="1"/>
  <c r="X218" i="1"/>
  <c r="U218" i="1" s="1"/>
  <c r="E211" i="2" s="1"/>
  <c r="I219" i="1"/>
  <c r="N219" i="1"/>
  <c r="K219" i="1" s="1"/>
  <c r="C212" i="2" s="1"/>
  <c r="P219" i="1"/>
  <c r="D212" i="2" s="1"/>
  <c r="X219" i="1"/>
  <c r="U219" i="1" s="1"/>
  <c r="E212" i="2" s="1"/>
  <c r="I220" i="1"/>
  <c r="N220" i="1"/>
  <c r="K220" i="1" s="1"/>
  <c r="C213" i="2" s="1"/>
  <c r="P220" i="1"/>
  <c r="D213" i="2" s="1"/>
  <c r="X220" i="1"/>
  <c r="U220" i="1" s="1"/>
  <c r="E213" i="2" s="1"/>
  <c r="I221" i="1"/>
  <c r="N221" i="1"/>
  <c r="K221" i="1" s="1"/>
  <c r="C214" i="2" s="1"/>
  <c r="P221" i="1"/>
  <c r="D214" i="2" s="1"/>
  <c r="X221" i="1"/>
  <c r="U221" i="1" s="1"/>
  <c r="E214" i="2" s="1"/>
  <c r="I222" i="1"/>
  <c r="N222" i="1"/>
  <c r="K222" i="1" s="1"/>
  <c r="C215" i="2" s="1"/>
  <c r="P222" i="1"/>
  <c r="D215" i="2" s="1"/>
  <c r="X222" i="1"/>
  <c r="N224" i="1"/>
  <c r="K224" i="1" s="1"/>
  <c r="C217" i="2" s="1"/>
  <c r="I224" i="1"/>
  <c r="P224" i="1"/>
  <c r="D217" i="2" s="1"/>
  <c r="I225" i="1"/>
  <c r="X225" i="1"/>
  <c r="N227" i="1"/>
  <c r="K227" i="1" s="1"/>
  <c r="C220" i="2" s="1"/>
  <c r="P227" i="1"/>
  <c r="D220" i="2" s="1"/>
  <c r="X227" i="1"/>
  <c r="I229" i="1"/>
  <c r="N229" i="1"/>
  <c r="K229" i="1" s="1"/>
  <c r="C222" i="2" s="1"/>
  <c r="P229" i="1"/>
  <c r="D222" i="2" s="1"/>
  <c r="W229" i="1"/>
  <c r="X229" i="1"/>
  <c r="I230" i="1"/>
  <c r="P230" i="1"/>
  <c r="D223" i="2" s="1"/>
  <c r="I231" i="1"/>
  <c r="X231" i="1"/>
  <c r="I232" i="1"/>
  <c r="N232" i="1"/>
  <c r="K232" i="1" s="1"/>
  <c r="C225" i="2" s="1"/>
  <c r="P233" i="1"/>
  <c r="D226" i="2" s="1"/>
  <c r="X232" i="1"/>
  <c r="I234" i="1"/>
  <c r="N234" i="1"/>
  <c r="K234" i="1" s="1"/>
  <c r="C227" i="2" s="1"/>
  <c r="P234" i="1"/>
  <c r="D227" i="2" s="1"/>
  <c r="X234" i="1"/>
  <c r="I235" i="1"/>
  <c r="N235" i="1"/>
  <c r="K235" i="1" s="1"/>
  <c r="C228" i="2" s="1"/>
  <c r="P235" i="1"/>
  <c r="D228" i="2" s="1"/>
  <c r="X235" i="1"/>
  <c r="P236" i="1"/>
  <c r="D229" i="2" s="1"/>
  <c r="I238" i="1"/>
  <c r="N238" i="1"/>
  <c r="K238" i="1" s="1"/>
  <c r="C231" i="2" s="1"/>
  <c r="P238" i="1"/>
  <c r="D231" i="2" s="1"/>
  <c r="X238" i="1"/>
  <c r="I239" i="1"/>
  <c r="N239" i="1"/>
  <c r="K239" i="1" s="1"/>
  <c r="C232" i="2" s="1"/>
  <c r="P239" i="1"/>
  <c r="D232" i="2" s="1"/>
  <c r="X239" i="1"/>
  <c r="N241" i="1"/>
  <c r="K241" i="1" s="1"/>
  <c r="C234" i="2" s="1"/>
  <c r="I255" i="1"/>
  <c r="N255" i="1"/>
  <c r="K255" i="1" s="1"/>
  <c r="C248" i="2" s="1"/>
  <c r="P255" i="1"/>
  <c r="D248" i="2" s="1"/>
  <c r="W255" i="1"/>
  <c r="X255" i="1"/>
  <c r="I256" i="1"/>
  <c r="N256" i="1"/>
  <c r="K256" i="1" s="1"/>
  <c r="C249" i="2" s="1"/>
  <c r="P256" i="1"/>
  <c r="D249" i="2" s="1"/>
  <c r="U256" i="1"/>
  <c r="E249" i="2" s="1"/>
  <c r="X256" i="1"/>
  <c r="I257" i="1"/>
  <c r="N257" i="1"/>
  <c r="K257" i="1" s="1"/>
  <c r="C250" i="2" s="1"/>
  <c r="P257" i="1"/>
  <c r="D250" i="2" s="1"/>
  <c r="W257" i="1"/>
  <c r="X257" i="1"/>
  <c r="I258" i="1"/>
  <c r="N258" i="1"/>
  <c r="K258" i="1" s="1"/>
  <c r="C251" i="2" s="1"/>
  <c r="P258" i="1"/>
  <c r="D251" i="2" s="1"/>
  <c r="W258" i="1"/>
  <c r="X258" i="1"/>
  <c r="I259" i="1"/>
  <c r="N259" i="1"/>
  <c r="K259" i="1" s="1"/>
  <c r="C252" i="2" s="1"/>
  <c r="P259" i="1"/>
  <c r="D252" i="2" s="1"/>
  <c r="U259" i="1"/>
  <c r="E252" i="2" s="1"/>
  <c r="X259" i="1"/>
  <c r="I260" i="1"/>
  <c r="N260" i="1"/>
  <c r="K260" i="1" s="1"/>
  <c r="C253" i="2" s="1"/>
  <c r="P260" i="1"/>
  <c r="D253" i="2" s="1"/>
  <c r="W260" i="1"/>
  <c r="X260" i="1"/>
  <c r="I261" i="1"/>
  <c r="N261" i="1"/>
  <c r="K261" i="1" s="1"/>
  <c r="C254" i="2" s="1"/>
  <c r="P261" i="1"/>
  <c r="D254" i="2" s="1"/>
  <c r="W261" i="1"/>
  <c r="X261" i="1"/>
  <c r="I262" i="1"/>
  <c r="N262" i="1"/>
  <c r="K262" i="1" s="1"/>
  <c r="C255" i="2" s="1"/>
  <c r="P262" i="1"/>
  <c r="D255" i="2" s="1"/>
  <c r="X262" i="1"/>
  <c r="I264" i="1"/>
  <c r="N264" i="1"/>
  <c r="K264" i="1" s="1"/>
  <c r="C257" i="2" s="1"/>
  <c r="I266" i="1"/>
  <c r="N266" i="1"/>
  <c r="K266" i="1" s="1"/>
  <c r="C259" i="2" s="1"/>
  <c r="P266" i="1"/>
  <c r="D259" i="2" s="1"/>
  <c r="X266" i="1"/>
  <c r="N267" i="1"/>
  <c r="K267" i="1" s="1"/>
  <c r="C260" i="2" s="1"/>
  <c r="I270" i="1"/>
  <c r="N270" i="1"/>
  <c r="K270" i="1" s="1"/>
  <c r="P270" i="1"/>
  <c r="X270" i="1"/>
  <c r="I271" i="1"/>
  <c r="I273" i="1"/>
  <c r="X273" i="1"/>
  <c r="I275" i="1"/>
  <c r="N275" i="1"/>
  <c r="K275" i="1" s="1"/>
  <c r="P275" i="1"/>
  <c r="R275" i="1" s="1"/>
  <c r="X275" i="1"/>
  <c r="U275" i="1" s="1"/>
  <c r="W275" i="1" s="1"/>
  <c r="N276" i="1"/>
  <c r="K276" i="1" s="1"/>
  <c r="AD276" i="1" s="1"/>
  <c r="Z276" i="1" s="1"/>
  <c r="I276" i="1"/>
  <c r="X277" i="1"/>
  <c r="U277" i="1" s="1"/>
  <c r="W277" i="1" s="1"/>
  <c r="I277" i="1"/>
  <c r="M279" i="1"/>
  <c r="M280" i="1"/>
  <c r="M281" i="1"/>
  <c r="M282" i="1"/>
  <c r="M283" i="1"/>
  <c r="G165" i="2" l="1"/>
  <c r="S172" i="1"/>
  <c r="S173" i="1" s="1"/>
  <c r="G161" i="2"/>
  <c r="S168" i="1"/>
  <c r="G151" i="2"/>
  <c r="S157" i="1"/>
  <c r="G150" i="2"/>
  <c r="S156" i="1"/>
  <c r="G130" i="2"/>
  <c r="S136" i="1"/>
  <c r="G90" i="2"/>
  <c r="S96" i="1"/>
  <c r="G88" i="2"/>
  <c r="S94" i="1"/>
  <c r="G86" i="2"/>
  <c r="S92" i="1"/>
  <c r="G84" i="2"/>
  <c r="S90" i="1"/>
  <c r="G82" i="2"/>
  <c r="S88" i="1"/>
  <c r="G80" i="2"/>
  <c r="S86" i="1"/>
  <c r="G78" i="2"/>
  <c r="S84" i="1"/>
  <c r="G164" i="2"/>
  <c r="S171" i="1"/>
  <c r="N171" i="1" s="1"/>
  <c r="K171" i="1" s="1"/>
  <c r="C164" i="2" s="1"/>
  <c r="G153" i="2"/>
  <c r="S159" i="1"/>
  <c r="G152" i="2"/>
  <c r="S158" i="1"/>
  <c r="P158" i="1" s="1"/>
  <c r="D152" i="2" s="1"/>
  <c r="I156" i="1"/>
  <c r="G139" i="2"/>
  <c r="S145" i="1"/>
  <c r="G135" i="2"/>
  <c r="S141" i="1"/>
  <c r="G92" i="2"/>
  <c r="S98" i="1"/>
  <c r="G89" i="2"/>
  <c r="S95" i="1"/>
  <c r="G87" i="2"/>
  <c r="S93" i="1"/>
  <c r="N93" i="1" s="1"/>
  <c r="G85" i="2"/>
  <c r="S91" i="1"/>
  <c r="G83" i="2"/>
  <c r="S89" i="1"/>
  <c r="G81" i="2"/>
  <c r="S87" i="1"/>
  <c r="G79" i="2"/>
  <c r="S85" i="1"/>
  <c r="G77" i="2"/>
  <c r="S83" i="1"/>
  <c r="G252" i="1"/>
  <c r="G244" i="2"/>
  <c r="S251" i="1"/>
  <c r="R166" i="1"/>
  <c r="D159" i="2"/>
  <c r="E56" i="2"/>
  <c r="W62" i="1"/>
  <c r="AD176" i="1"/>
  <c r="Z176" i="1" s="1"/>
  <c r="F169" i="2" s="1"/>
  <c r="P152" i="1"/>
  <c r="D146" i="2" s="1"/>
  <c r="P149" i="1"/>
  <c r="D143" i="2" s="1"/>
  <c r="W51" i="1"/>
  <c r="P277" i="1"/>
  <c r="R277" i="1" s="1"/>
  <c r="P154" i="1"/>
  <c r="D148" i="2" s="1"/>
  <c r="N277" i="1"/>
  <c r="K277" i="1" s="1"/>
  <c r="AD277" i="1" s="1"/>
  <c r="Z277" i="1" s="1"/>
  <c r="AA277" i="1" s="1"/>
  <c r="X267" i="1"/>
  <c r="P264" i="1"/>
  <c r="D257" i="2" s="1"/>
  <c r="W259" i="1"/>
  <c r="W256" i="1"/>
  <c r="X240" i="1"/>
  <c r="X216" i="1"/>
  <c r="U216" i="1" s="1"/>
  <c r="E209" i="2" s="1"/>
  <c r="X185" i="1"/>
  <c r="U185" i="1" s="1"/>
  <c r="E178" i="2" s="1"/>
  <c r="G173" i="1"/>
  <c r="G166" i="2" s="1"/>
  <c r="I157" i="1"/>
  <c r="N149" i="1"/>
  <c r="K149" i="1" s="1"/>
  <c r="C143" i="2" s="1"/>
  <c r="N141" i="1"/>
  <c r="K141" i="1" s="1"/>
  <c r="C135" i="2" s="1"/>
  <c r="X93" i="1"/>
  <c r="S43" i="1"/>
  <c r="P43" i="1" s="1"/>
  <c r="D37" i="2" s="1"/>
  <c r="R190" i="1"/>
  <c r="R31" i="1"/>
  <c r="M188" i="1"/>
  <c r="X191" i="1"/>
  <c r="U191" i="1" s="1"/>
  <c r="E184" i="2" s="1"/>
  <c r="I193" i="1"/>
  <c r="P232" i="1"/>
  <c r="D225" i="2" s="1"/>
  <c r="R229" i="1"/>
  <c r="AD241" i="1"/>
  <c r="Z241" i="1" s="1"/>
  <c r="F234" i="2" s="1"/>
  <c r="M257" i="1"/>
  <c r="G169" i="1"/>
  <c r="AD97" i="1"/>
  <c r="Z97" i="1" s="1"/>
  <c r="F91" i="2" s="1"/>
  <c r="M74" i="1"/>
  <c r="W48" i="1"/>
  <c r="W44" i="1"/>
  <c r="I242" i="1"/>
  <c r="I278" i="1"/>
  <c r="M277" i="1"/>
  <c r="X276" i="1"/>
  <c r="U276" i="1" s="1"/>
  <c r="W276" i="1" s="1"/>
  <c r="I181" i="1"/>
  <c r="N172" i="1"/>
  <c r="K172" i="1" s="1"/>
  <c r="C165" i="2" s="1"/>
  <c r="I171" i="1"/>
  <c r="X168" i="1"/>
  <c r="U168" i="1" s="1"/>
  <c r="E161" i="2" s="1"/>
  <c r="X96" i="1"/>
  <c r="X90" i="1"/>
  <c r="R75" i="1"/>
  <c r="X64" i="1"/>
  <c r="U64" i="1" s="1"/>
  <c r="E58" i="2" s="1"/>
  <c r="I45" i="1"/>
  <c r="M241" i="1"/>
  <c r="R220" i="1"/>
  <c r="X241" i="1"/>
  <c r="I241" i="1"/>
  <c r="R213" i="1"/>
  <c r="X202" i="1"/>
  <c r="U202" i="1" s="1"/>
  <c r="E195" i="2" s="1"/>
  <c r="P199" i="1"/>
  <c r="D192" i="2" s="1"/>
  <c r="I187" i="1"/>
  <c r="P168" i="1"/>
  <c r="D161" i="2" s="1"/>
  <c r="I164" i="1"/>
  <c r="X157" i="1"/>
  <c r="U157" i="1" s="1"/>
  <c r="E151" i="2" s="1"/>
  <c r="X156" i="1"/>
  <c r="U156" i="1" s="1"/>
  <c r="E150" i="2" s="1"/>
  <c r="P151" i="1"/>
  <c r="D145" i="2" s="1"/>
  <c r="I96" i="1"/>
  <c r="X92" i="1"/>
  <c r="X86" i="1"/>
  <c r="S64" i="1"/>
  <c r="P64" i="1" s="1"/>
  <c r="D58" i="2" s="1"/>
  <c r="X60" i="1"/>
  <c r="U60" i="1" s="1"/>
  <c r="E54" i="2" s="1"/>
  <c r="X57" i="1"/>
  <c r="U57" i="1" s="1"/>
  <c r="E51" i="2" s="1"/>
  <c r="W53" i="1"/>
  <c r="X37" i="1"/>
  <c r="U37" i="1" s="1"/>
  <c r="E31" i="2" s="1"/>
  <c r="AD166" i="1"/>
  <c r="Z166" i="1" s="1"/>
  <c r="F159" i="2" s="1"/>
  <c r="M166" i="1"/>
  <c r="R79" i="1"/>
  <c r="M31" i="1"/>
  <c r="N158" i="1"/>
  <c r="K158" i="1" s="1"/>
  <c r="C152" i="2" s="1"/>
  <c r="M129" i="1"/>
  <c r="AD53" i="1"/>
  <c r="Z53" i="1" s="1"/>
  <c r="F47" i="2" s="1"/>
  <c r="AA34" i="1"/>
  <c r="X31" i="1"/>
  <c r="U31" i="1" s="1"/>
  <c r="E25" i="2" s="1"/>
  <c r="M138" i="1"/>
  <c r="R126" i="1"/>
  <c r="AC34" i="1"/>
  <c r="R33" i="1"/>
  <c r="R211" i="1"/>
  <c r="P53" i="1"/>
  <c r="D47" i="2" s="1"/>
  <c r="X34" i="1"/>
  <c r="U34" i="1" s="1"/>
  <c r="E28" i="2" s="1"/>
  <c r="AD270" i="1"/>
  <c r="Z270" i="1" s="1"/>
  <c r="AA270" i="1" s="1"/>
  <c r="M270" i="1"/>
  <c r="AD266" i="1"/>
  <c r="Z266" i="1" s="1"/>
  <c r="F259" i="2" s="1"/>
  <c r="M211" i="1"/>
  <c r="AD211" i="1"/>
  <c r="Z211" i="1" s="1"/>
  <c r="F204" i="2" s="1"/>
  <c r="AD127" i="1"/>
  <c r="Z127" i="1" s="1"/>
  <c r="F121" i="2" s="1"/>
  <c r="M260" i="1"/>
  <c r="AD198" i="1"/>
  <c r="Z198" i="1" s="1"/>
  <c r="F191" i="2" s="1"/>
  <c r="R184" i="1"/>
  <c r="AD181" i="1"/>
  <c r="Z181" i="1" s="1"/>
  <c r="F174" i="2" s="1"/>
  <c r="AD68" i="1"/>
  <c r="Z68" i="1" s="1"/>
  <c r="F62" i="2" s="1"/>
  <c r="R261" i="1"/>
  <c r="W200" i="1"/>
  <c r="AD190" i="1"/>
  <c r="Z190" i="1" s="1"/>
  <c r="F183" i="2" s="1"/>
  <c r="R139" i="1"/>
  <c r="AA35" i="1"/>
  <c r="M264" i="1"/>
  <c r="AD264" i="1"/>
  <c r="Z264" i="1" s="1"/>
  <c r="F257" i="2" s="1"/>
  <c r="AD213" i="1"/>
  <c r="Z213" i="1" s="1"/>
  <c r="F206" i="2" s="1"/>
  <c r="R198" i="1"/>
  <c r="W180" i="1"/>
  <c r="R221" i="1"/>
  <c r="R266" i="1"/>
  <c r="R255" i="1"/>
  <c r="R235" i="1"/>
  <c r="W155" i="1"/>
  <c r="AD79" i="1"/>
  <c r="Z79" i="1" s="1"/>
  <c r="F73" i="2" s="1"/>
  <c r="AD76" i="1"/>
  <c r="Z76" i="1" s="1"/>
  <c r="F70" i="2" s="1"/>
  <c r="P39" i="1"/>
  <c r="D33" i="2" s="1"/>
  <c r="N39" i="1"/>
  <c r="K39" i="1" s="1"/>
  <c r="C33" i="2" s="1"/>
  <c r="M29" i="1"/>
  <c r="U239" i="1"/>
  <c r="E232" i="2" s="1"/>
  <c r="AD221" i="1"/>
  <c r="Z221" i="1" s="1"/>
  <c r="F214" i="2" s="1"/>
  <c r="AD177" i="1"/>
  <c r="Z177" i="1" s="1"/>
  <c r="F170" i="2" s="1"/>
  <c r="N278" i="1"/>
  <c r="K278" i="1" s="1"/>
  <c r="AD278" i="1" s="1"/>
  <c r="Z278" i="1" s="1"/>
  <c r="AA278" i="1" s="1"/>
  <c r="M276" i="1"/>
  <c r="P267" i="1"/>
  <c r="D260" i="2" s="1"/>
  <c r="I267" i="1"/>
  <c r="M239" i="1"/>
  <c r="U234" i="1"/>
  <c r="E227" i="2" s="1"/>
  <c r="P216" i="1"/>
  <c r="D209" i="2" s="1"/>
  <c r="AD215" i="1"/>
  <c r="Z215" i="1" s="1"/>
  <c r="F208" i="2" s="1"/>
  <c r="W208" i="1"/>
  <c r="X205" i="1"/>
  <c r="U205" i="1" s="1"/>
  <c r="E198" i="2" s="1"/>
  <c r="N205" i="1"/>
  <c r="K205" i="1" s="1"/>
  <c r="P202" i="1"/>
  <c r="D195" i="2" s="1"/>
  <c r="N201" i="1"/>
  <c r="K201" i="1" s="1"/>
  <c r="C194" i="2" s="1"/>
  <c r="N196" i="1"/>
  <c r="K196" i="1" s="1"/>
  <c r="C189" i="2" s="1"/>
  <c r="W178" i="1"/>
  <c r="N174" i="1"/>
  <c r="K174" i="1" s="1"/>
  <c r="C167" i="2" s="1"/>
  <c r="W171" i="1"/>
  <c r="I169" i="1"/>
  <c r="W161" i="1"/>
  <c r="W156" i="1"/>
  <c r="X154" i="1"/>
  <c r="U154" i="1" s="1"/>
  <c r="E148" i="2" s="1"/>
  <c r="I154" i="1"/>
  <c r="N151" i="1"/>
  <c r="K151" i="1" s="1"/>
  <c r="U140" i="1"/>
  <c r="E134" i="2" s="1"/>
  <c r="AD139" i="1"/>
  <c r="Z139" i="1" s="1"/>
  <c r="P93" i="1"/>
  <c r="I92" i="1"/>
  <c r="X89" i="1"/>
  <c r="I88" i="1"/>
  <c r="N86" i="1"/>
  <c r="I84" i="1"/>
  <c r="R71" i="1"/>
  <c r="M70" i="1"/>
  <c r="N65" i="1"/>
  <c r="K65" i="1" s="1"/>
  <c r="C59" i="2" s="1"/>
  <c r="I64" i="1"/>
  <c r="R63" i="1"/>
  <c r="I63" i="1"/>
  <c r="S61" i="1"/>
  <c r="P61" i="1" s="1"/>
  <c r="D55" i="2" s="1"/>
  <c r="N60" i="1"/>
  <c r="K60" i="1" s="1"/>
  <c r="I59" i="1"/>
  <c r="N57" i="1"/>
  <c r="K57" i="1" s="1"/>
  <c r="C51" i="2" s="1"/>
  <c r="X52" i="1"/>
  <c r="U52" i="1" s="1"/>
  <c r="E46" i="2" s="1"/>
  <c r="G50" i="1"/>
  <c r="G44" i="2" s="1"/>
  <c r="I47" i="1"/>
  <c r="S45" i="1"/>
  <c r="N43" i="1"/>
  <c r="K43" i="1" s="1"/>
  <c r="C37" i="2" s="1"/>
  <c r="P41" i="1"/>
  <c r="D35" i="2" s="1"/>
  <c r="W37" i="1"/>
  <c r="N37" i="1"/>
  <c r="K37" i="1" s="1"/>
  <c r="C31" i="2" s="1"/>
  <c r="N36" i="1"/>
  <c r="K36" i="1" s="1"/>
  <c r="C30" i="2" s="1"/>
  <c r="X32" i="1"/>
  <c r="U32" i="1" s="1"/>
  <c r="E26" i="2" s="1"/>
  <c r="P30" i="1"/>
  <c r="D24" i="2" s="1"/>
  <c r="AD137" i="1"/>
  <c r="Z137" i="1" s="1"/>
  <c r="F131" i="2" s="1"/>
  <c r="AD267" i="1"/>
  <c r="Z267" i="1" s="1"/>
  <c r="R232" i="1"/>
  <c r="N216" i="1"/>
  <c r="K216" i="1" s="1"/>
  <c r="C209" i="2" s="1"/>
  <c r="I206" i="1"/>
  <c r="P205" i="1"/>
  <c r="D198" i="2" s="1"/>
  <c r="X204" i="1"/>
  <c r="U204" i="1" s="1"/>
  <c r="E197" i="2" s="1"/>
  <c r="N202" i="1"/>
  <c r="K202" i="1" s="1"/>
  <c r="C195" i="2" s="1"/>
  <c r="X201" i="1"/>
  <c r="U201" i="1" s="1"/>
  <c r="E194" i="2" s="1"/>
  <c r="P196" i="1"/>
  <c r="D189" i="2" s="1"/>
  <c r="N192" i="1"/>
  <c r="K192" i="1" s="1"/>
  <c r="C185" i="2" s="1"/>
  <c r="AD184" i="1"/>
  <c r="Z184" i="1" s="1"/>
  <c r="F177" i="2" s="1"/>
  <c r="N183" i="1"/>
  <c r="K183" i="1" s="1"/>
  <c r="C176" i="2" s="1"/>
  <c r="R137" i="1"/>
  <c r="P95" i="1"/>
  <c r="D89" i="2" s="1"/>
  <c r="AD72" i="1"/>
  <c r="Z72" i="1" s="1"/>
  <c r="F66" i="2" s="1"/>
  <c r="X65" i="1"/>
  <c r="U65" i="1" s="1"/>
  <c r="E59" i="2" s="1"/>
  <c r="S60" i="1"/>
  <c r="P60" i="1" s="1"/>
  <c r="D54" i="2" s="1"/>
  <c r="X49" i="1"/>
  <c r="U49" i="1" s="1"/>
  <c r="E43" i="2" s="1"/>
  <c r="S37" i="1"/>
  <c r="P37" i="1" s="1"/>
  <c r="D31" i="2" s="1"/>
  <c r="X196" i="1"/>
  <c r="U196" i="1" s="1"/>
  <c r="E189" i="2" s="1"/>
  <c r="X263" i="1"/>
  <c r="N273" i="1"/>
  <c r="K273" i="1" s="1"/>
  <c r="M273" i="1" s="1"/>
  <c r="M267" i="1"/>
  <c r="N265" i="1"/>
  <c r="K265" i="1" s="1"/>
  <c r="C258" i="2" s="1"/>
  <c r="X264" i="1"/>
  <c r="I263" i="1"/>
  <c r="R258" i="1"/>
  <c r="AD238" i="1"/>
  <c r="Z238" i="1" s="1"/>
  <c r="F231" i="2" s="1"/>
  <c r="M238" i="1"/>
  <c r="R234" i="1"/>
  <c r="M218" i="1"/>
  <c r="W212" i="1"/>
  <c r="AD208" i="1"/>
  <c r="Z208" i="1" s="1"/>
  <c r="F201" i="2" s="1"/>
  <c r="R208" i="1"/>
  <c r="I205" i="1"/>
  <c r="P201" i="1"/>
  <c r="D194" i="2" s="1"/>
  <c r="I201" i="1"/>
  <c r="M199" i="1"/>
  <c r="I196" i="1"/>
  <c r="N189" i="1"/>
  <c r="K189" i="1" s="1"/>
  <c r="N187" i="1"/>
  <c r="K187" i="1" s="1"/>
  <c r="C180" i="2" s="1"/>
  <c r="M185" i="1"/>
  <c r="AD178" i="1"/>
  <c r="Z178" i="1" s="1"/>
  <c r="F171" i="2" s="1"/>
  <c r="R177" i="1"/>
  <c r="X174" i="1"/>
  <c r="U174" i="1" s="1"/>
  <c r="E167" i="2" s="1"/>
  <c r="I174" i="1"/>
  <c r="P171" i="1"/>
  <c r="D164" i="2" s="1"/>
  <c r="P167" i="1"/>
  <c r="D160" i="2" s="1"/>
  <c r="W165" i="1"/>
  <c r="N154" i="1"/>
  <c r="K154" i="1" s="1"/>
  <c r="X151" i="1"/>
  <c r="U151" i="1" s="1"/>
  <c r="E145" i="2" s="1"/>
  <c r="I151" i="1"/>
  <c r="M140" i="1"/>
  <c r="U138" i="1"/>
  <c r="E132" i="2" s="1"/>
  <c r="AD135" i="1"/>
  <c r="Z135" i="1" s="1"/>
  <c r="F129" i="2" s="1"/>
  <c r="R134" i="1"/>
  <c r="M133" i="1"/>
  <c r="AD131" i="1"/>
  <c r="Z131" i="1" s="1"/>
  <c r="F125" i="2" s="1"/>
  <c r="U97" i="1"/>
  <c r="E91" i="2" s="1"/>
  <c r="I95" i="1"/>
  <c r="I89" i="1"/>
  <c r="X85" i="1"/>
  <c r="I85" i="1"/>
  <c r="M82" i="1"/>
  <c r="AD80" i="1"/>
  <c r="Z80" i="1" s="1"/>
  <c r="F74" i="2" s="1"/>
  <c r="M78" i="1"/>
  <c r="M66" i="1"/>
  <c r="S65" i="1"/>
  <c r="P65" i="1" s="1"/>
  <c r="D59" i="2" s="1"/>
  <c r="I65" i="1"/>
  <c r="W64" i="1"/>
  <c r="N64" i="1"/>
  <c r="K64" i="1" s="1"/>
  <c r="C58" i="2" s="1"/>
  <c r="X63" i="1"/>
  <c r="U63" i="1" s="1"/>
  <c r="E57" i="2" s="1"/>
  <c r="N63" i="1"/>
  <c r="K63" i="1" s="1"/>
  <c r="C57" i="2" s="1"/>
  <c r="N61" i="1"/>
  <c r="K61" i="1" s="1"/>
  <c r="C55" i="2" s="1"/>
  <c r="I60" i="1"/>
  <c r="X56" i="1"/>
  <c r="U56" i="1" s="1"/>
  <c r="E50" i="2" s="1"/>
  <c r="I56" i="1"/>
  <c r="N52" i="1"/>
  <c r="K52" i="1" s="1"/>
  <c r="C46" i="2" s="1"/>
  <c r="X46" i="1"/>
  <c r="U46" i="1" s="1"/>
  <c r="E40" i="2" s="1"/>
  <c r="I44" i="1"/>
  <c r="M39" i="1"/>
  <c r="I37" i="1"/>
  <c r="N233" i="1"/>
  <c r="K233" i="1" s="1"/>
  <c r="C226" i="2" s="1"/>
  <c r="U227" i="1"/>
  <c r="E220" i="2" s="1"/>
  <c r="AD222" i="1"/>
  <c r="Z222" i="1" s="1"/>
  <c r="F215" i="2" s="1"/>
  <c r="M222" i="1"/>
  <c r="R264" i="1"/>
  <c r="AD262" i="1"/>
  <c r="Z262" i="1" s="1"/>
  <c r="F255" i="2" s="1"/>
  <c r="M262" i="1"/>
  <c r="U262" i="1"/>
  <c r="E255" i="2" s="1"/>
  <c r="AD256" i="1"/>
  <c r="Z256" i="1" s="1"/>
  <c r="F249" i="2" s="1"/>
  <c r="M256" i="1"/>
  <c r="U238" i="1"/>
  <c r="E231" i="2" s="1"/>
  <c r="R238" i="1"/>
  <c r="M227" i="1"/>
  <c r="AD227" i="1"/>
  <c r="Z227" i="1" s="1"/>
  <c r="F220" i="2" s="1"/>
  <c r="AD259" i="1"/>
  <c r="Z259" i="1" s="1"/>
  <c r="F252" i="2" s="1"/>
  <c r="M259" i="1"/>
  <c r="R257" i="1"/>
  <c r="U230" i="1"/>
  <c r="E223" i="2" s="1"/>
  <c r="U224" i="1"/>
  <c r="E217" i="2" s="1"/>
  <c r="W220" i="1"/>
  <c r="AA33" i="1"/>
  <c r="AC33" i="1"/>
  <c r="AA276" i="1"/>
  <c r="AC276" i="1"/>
  <c r="R260" i="1"/>
  <c r="AD224" i="1"/>
  <c r="Z224" i="1" s="1"/>
  <c r="F217" i="2" s="1"/>
  <c r="M234" i="1"/>
  <c r="AD234" i="1"/>
  <c r="Z234" i="1" s="1"/>
  <c r="F227" i="2" s="1"/>
  <c r="M220" i="1"/>
  <c r="AD220" i="1"/>
  <c r="Z220" i="1" s="1"/>
  <c r="F213" i="2" s="1"/>
  <c r="W177" i="1"/>
  <c r="AD275" i="1"/>
  <c r="Z275" i="1" s="1"/>
  <c r="M275" i="1"/>
  <c r="U270" i="1"/>
  <c r="R270" i="1"/>
  <c r="AD265" i="1"/>
  <c r="Z265" i="1" s="1"/>
  <c r="F258" i="2" s="1"/>
  <c r="AA238" i="1"/>
  <c r="AC238" i="1"/>
  <c r="W221" i="1"/>
  <c r="W219" i="1"/>
  <c r="N271" i="1"/>
  <c r="K271" i="1" s="1"/>
  <c r="AD271" i="1" s="1"/>
  <c r="Z271" i="1" s="1"/>
  <c r="AA271" i="1" s="1"/>
  <c r="P240" i="1"/>
  <c r="D233" i="2" s="1"/>
  <c r="X228" i="1"/>
  <c r="I223" i="1"/>
  <c r="X210" i="1"/>
  <c r="U210" i="1" s="1"/>
  <c r="E203" i="2" s="1"/>
  <c r="P210" i="1"/>
  <c r="D203" i="2" s="1"/>
  <c r="W209" i="1"/>
  <c r="AD200" i="1"/>
  <c r="Z200" i="1" s="1"/>
  <c r="F193" i="2" s="1"/>
  <c r="M200" i="1"/>
  <c r="W197" i="1"/>
  <c r="AD186" i="1"/>
  <c r="Z186" i="1" s="1"/>
  <c r="F179" i="2" s="1"/>
  <c r="AA176" i="1"/>
  <c r="AD130" i="1"/>
  <c r="Z130" i="1" s="1"/>
  <c r="F124" i="2" s="1"/>
  <c r="M130" i="1"/>
  <c r="M79" i="1"/>
  <c r="AA31" i="1"/>
  <c r="AC31" i="1"/>
  <c r="P271" i="1"/>
  <c r="R271" i="1" s="1"/>
  <c r="AD261" i="1"/>
  <c r="Z261" i="1" s="1"/>
  <c r="F254" i="2" s="1"/>
  <c r="AD258" i="1"/>
  <c r="Z258" i="1" s="1"/>
  <c r="F251" i="2" s="1"/>
  <c r="I236" i="1"/>
  <c r="I233" i="1"/>
  <c r="R230" i="1"/>
  <c r="X230" i="1"/>
  <c r="X223" i="1"/>
  <c r="N223" i="1"/>
  <c r="K223" i="1" s="1"/>
  <c r="C216" i="2" s="1"/>
  <c r="M219" i="1"/>
  <c r="AD214" i="1"/>
  <c r="Z214" i="1" s="1"/>
  <c r="F207" i="2" s="1"/>
  <c r="M208" i="1"/>
  <c r="I207" i="1"/>
  <c r="X207" i="1"/>
  <c r="U207" i="1" s="1"/>
  <c r="E200" i="2" s="1"/>
  <c r="R197" i="1"/>
  <c r="R194" i="1"/>
  <c r="X193" i="1"/>
  <c r="U193" i="1" s="1"/>
  <c r="E186" i="2" s="1"/>
  <c r="P193" i="1"/>
  <c r="D186" i="2" s="1"/>
  <c r="AD191" i="1"/>
  <c r="Z191" i="1" s="1"/>
  <c r="F184" i="2" s="1"/>
  <c r="W190" i="1"/>
  <c r="M186" i="1"/>
  <c r="AD182" i="1"/>
  <c r="Z182" i="1" s="1"/>
  <c r="F175" i="2" s="1"/>
  <c r="W181" i="1"/>
  <c r="R175" i="1"/>
  <c r="I172" i="1"/>
  <c r="AD141" i="1"/>
  <c r="Z141" i="1" s="1"/>
  <c r="F135" i="2" s="1"/>
  <c r="I136" i="1"/>
  <c r="X136" i="1"/>
  <c r="N136" i="1"/>
  <c r="K136" i="1" s="1"/>
  <c r="C130" i="2" s="1"/>
  <c r="P136" i="1"/>
  <c r="D130" i="2" s="1"/>
  <c r="R81" i="1"/>
  <c r="R80" i="1"/>
  <c r="P49" i="1"/>
  <c r="D43" i="2" s="1"/>
  <c r="N49" i="1"/>
  <c r="K49" i="1" s="1"/>
  <c r="C43" i="2" s="1"/>
  <c r="X40" i="1"/>
  <c r="U40" i="1" s="1"/>
  <c r="E34" i="2" s="1"/>
  <c r="I40" i="1"/>
  <c r="M32" i="1"/>
  <c r="AC270" i="1"/>
  <c r="X268" i="1"/>
  <c r="X265" i="1"/>
  <c r="N263" i="1"/>
  <c r="K263" i="1" s="1"/>
  <c r="C256" i="2" s="1"/>
  <c r="AD257" i="1"/>
  <c r="Z257" i="1" s="1"/>
  <c r="F250" i="2" s="1"/>
  <c r="AC241" i="1"/>
  <c r="P241" i="1"/>
  <c r="D234" i="2" s="1"/>
  <c r="X236" i="1"/>
  <c r="N236" i="1"/>
  <c r="K236" i="1" s="1"/>
  <c r="C229" i="2" s="1"/>
  <c r="AD235" i="1"/>
  <c r="Z235" i="1" s="1"/>
  <c r="F228" i="2" s="1"/>
  <c r="X233" i="1"/>
  <c r="AD232" i="1"/>
  <c r="Z232" i="1" s="1"/>
  <c r="F225" i="2" s="1"/>
  <c r="P231" i="1"/>
  <c r="D224" i="2" s="1"/>
  <c r="N230" i="1"/>
  <c r="K230" i="1" s="1"/>
  <c r="C223" i="2" s="1"/>
  <c r="AD229" i="1"/>
  <c r="Z229" i="1" s="1"/>
  <c r="F222" i="2" s="1"/>
  <c r="P225" i="1"/>
  <c r="D218" i="2" s="1"/>
  <c r="R217" i="1"/>
  <c r="AA215" i="1"/>
  <c r="M215" i="1"/>
  <c r="M214" i="1"/>
  <c r="AD212" i="1"/>
  <c r="Z212" i="1" s="1"/>
  <c r="F205" i="2" s="1"/>
  <c r="M212" i="1"/>
  <c r="W211" i="1"/>
  <c r="N210" i="1"/>
  <c r="K210" i="1" s="1"/>
  <c r="C203" i="2" s="1"/>
  <c r="AD209" i="1"/>
  <c r="Z209" i="1" s="1"/>
  <c r="F202" i="2" s="1"/>
  <c r="P207" i="1"/>
  <c r="D200" i="2" s="1"/>
  <c r="M201" i="1"/>
  <c r="AD199" i="1"/>
  <c r="Z199" i="1" s="1"/>
  <c r="F192" i="2" s="1"/>
  <c r="R199" i="1"/>
  <c r="W198" i="1"/>
  <c r="AD197" i="1"/>
  <c r="Z197" i="1" s="1"/>
  <c r="F190" i="2" s="1"/>
  <c r="R195" i="1"/>
  <c r="AA190" i="1"/>
  <c r="M190" i="1"/>
  <c r="I189" i="1"/>
  <c r="X189" i="1"/>
  <c r="U189" i="1" s="1"/>
  <c r="E182" i="2" s="1"/>
  <c r="I186" i="1"/>
  <c r="X186" i="1"/>
  <c r="U186" i="1" s="1"/>
  <c r="E179" i="2" s="1"/>
  <c r="AA181" i="1"/>
  <c r="M181" i="1"/>
  <c r="M177" i="1"/>
  <c r="R176" i="1"/>
  <c r="X172" i="1"/>
  <c r="U172" i="1" s="1"/>
  <c r="E165" i="2" s="1"/>
  <c r="AD171" i="1"/>
  <c r="Z171" i="1" s="1"/>
  <c r="F164" i="2" s="1"/>
  <c r="R171" i="1"/>
  <c r="N168" i="1"/>
  <c r="K168" i="1" s="1"/>
  <c r="C161" i="2" s="1"/>
  <c r="AD149" i="1"/>
  <c r="Z149" i="1" s="1"/>
  <c r="F143" i="2" s="1"/>
  <c r="W140" i="1"/>
  <c r="R138" i="1"/>
  <c r="AD134" i="1"/>
  <c r="Z134" i="1" s="1"/>
  <c r="F128" i="2" s="1"/>
  <c r="M134" i="1"/>
  <c r="M132" i="1"/>
  <c r="AD132" i="1"/>
  <c r="Z132" i="1" s="1"/>
  <c r="F126" i="2" s="1"/>
  <c r="R130" i="1"/>
  <c r="AD126" i="1"/>
  <c r="Z126" i="1" s="1"/>
  <c r="F120" i="2" s="1"/>
  <c r="M126" i="1"/>
  <c r="X98" i="1"/>
  <c r="I98" i="1"/>
  <c r="P98" i="1"/>
  <c r="D92" i="2" s="1"/>
  <c r="N98" i="1"/>
  <c r="K98" i="1" s="1"/>
  <c r="C92" i="2" s="1"/>
  <c r="G99" i="1"/>
  <c r="R67" i="1"/>
  <c r="X9" i="1"/>
  <c r="AD9" i="1"/>
  <c r="Z9" i="1" s="1"/>
  <c r="F3" i="2" s="1"/>
  <c r="S9" i="1"/>
  <c r="G10" i="1"/>
  <c r="G4" i="2" s="1"/>
  <c r="N9" i="1"/>
  <c r="K9" i="1" s="1"/>
  <c r="C3" i="2" s="1"/>
  <c r="I9" i="1"/>
  <c r="E2" i="2"/>
  <c r="W8" i="1"/>
  <c r="U9" i="1"/>
  <c r="E3" i="2" s="1"/>
  <c r="R239" i="1"/>
  <c r="U222" i="1"/>
  <c r="E215" i="2" s="1"/>
  <c r="M221" i="1"/>
  <c r="R219" i="1"/>
  <c r="R214" i="1"/>
  <c r="M213" i="1"/>
  <c r="I192" i="1"/>
  <c r="X192" i="1"/>
  <c r="U192" i="1" s="1"/>
  <c r="E185" i="2" s="1"/>
  <c r="AA184" i="1"/>
  <c r="M184" i="1"/>
  <c r="I183" i="1"/>
  <c r="X183" i="1"/>
  <c r="U183" i="1" s="1"/>
  <c r="E176" i="2" s="1"/>
  <c r="AD180" i="1"/>
  <c r="Z180" i="1" s="1"/>
  <c r="F173" i="2" s="1"/>
  <c r="M180" i="1"/>
  <c r="AA177" i="1"/>
  <c r="W175" i="1"/>
  <c r="AD174" i="1"/>
  <c r="Z174" i="1" s="1"/>
  <c r="F167" i="2" s="1"/>
  <c r="X173" i="1"/>
  <c r="U173" i="1" s="1"/>
  <c r="E166" i="2" s="1"/>
  <c r="N173" i="1"/>
  <c r="K173" i="1" s="1"/>
  <c r="C166" i="2" s="1"/>
  <c r="AD158" i="1"/>
  <c r="Z158" i="1" s="1"/>
  <c r="F152" i="2" s="1"/>
  <c r="X153" i="1"/>
  <c r="U153" i="1" s="1"/>
  <c r="E147" i="2" s="1"/>
  <c r="P153" i="1"/>
  <c r="D147" i="2" s="1"/>
  <c r="N153" i="1"/>
  <c r="K153" i="1" s="1"/>
  <c r="C147" i="2" s="1"/>
  <c r="M137" i="1"/>
  <c r="M128" i="1"/>
  <c r="AD128" i="1"/>
  <c r="Z128" i="1" s="1"/>
  <c r="F122" i="2" s="1"/>
  <c r="I94" i="1"/>
  <c r="X94" i="1"/>
  <c r="P86" i="1"/>
  <c r="D80" i="2" s="1"/>
  <c r="M77" i="1"/>
  <c r="AD77" i="1"/>
  <c r="Z77" i="1" s="1"/>
  <c r="F71" i="2" s="1"/>
  <c r="M63" i="1"/>
  <c r="R62" i="1"/>
  <c r="R32" i="1"/>
  <c r="AA30" i="1"/>
  <c r="P278" i="1"/>
  <c r="R278" i="1" s="1"/>
  <c r="P268" i="1"/>
  <c r="P265" i="1"/>
  <c r="D258" i="2" s="1"/>
  <c r="M265" i="1"/>
  <c r="AD255" i="1"/>
  <c r="Z255" i="1" s="1"/>
  <c r="F248" i="2" s="1"/>
  <c r="N240" i="1"/>
  <c r="K240" i="1" s="1"/>
  <c r="C233" i="2" s="1"/>
  <c r="AD239" i="1"/>
  <c r="Z239" i="1" s="1"/>
  <c r="F232" i="2" s="1"/>
  <c r="R236" i="1"/>
  <c r="R233" i="1"/>
  <c r="U232" i="1"/>
  <c r="E225" i="2" s="1"/>
  <c r="N228" i="1"/>
  <c r="K228" i="1" s="1"/>
  <c r="C221" i="2" s="1"/>
  <c r="R224" i="1"/>
  <c r="X224" i="1"/>
  <c r="AD219" i="1"/>
  <c r="Z219" i="1" s="1"/>
  <c r="F212" i="2" s="1"/>
  <c r="W218" i="1"/>
  <c r="AD216" i="1"/>
  <c r="Z216" i="1" s="1"/>
  <c r="F209" i="2" s="1"/>
  <c r="W215" i="1"/>
  <c r="R212" i="1"/>
  <c r="R209" i="1"/>
  <c r="R202" i="1"/>
  <c r="AD194" i="1"/>
  <c r="Z194" i="1" s="1"/>
  <c r="F187" i="2" s="1"/>
  <c r="P192" i="1"/>
  <c r="D185" i="2" s="1"/>
  <c r="R191" i="1"/>
  <c r="W188" i="1"/>
  <c r="AC184" i="1"/>
  <c r="P183" i="1"/>
  <c r="D176" i="2" s="1"/>
  <c r="R182" i="1"/>
  <c r="AA178" i="1"/>
  <c r="AC176" i="1"/>
  <c r="AD175" i="1"/>
  <c r="Z175" i="1" s="1"/>
  <c r="F168" i="2" s="1"/>
  <c r="X159" i="1"/>
  <c r="U159" i="1" s="1"/>
  <c r="E153" i="2" s="1"/>
  <c r="I159" i="1"/>
  <c r="M158" i="1"/>
  <c r="AD155" i="1"/>
  <c r="Z155" i="1" s="1"/>
  <c r="F149" i="2" s="1"/>
  <c r="M155" i="1"/>
  <c r="W138" i="1"/>
  <c r="R131" i="1"/>
  <c r="R68" i="1"/>
  <c r="N48" i="1"/>
  <c r="K48" i="1" s="1"/>
  <c r="C42" i="2" s="1"/>
  <c r="P48" i="1"/>
  <c r="D42" i="2" s="1"/>
  <c r="M35" i="1"/>
  <c r="R34" i="1"/>
  <c r="W31" i="1"/>
  <c r="AC30" i="1"/>
  <c r="AC277" i="1"/>
  <c r="X271" i="1"/>
  <c r="U266" i="1"/>
  <c r="E259" i="2" s="1"/>
  <c r="AD260" i="1"/>
  <c r="Z260" i="1" s="1"/>
  <c r="F253" i="2" s="1"/>
  <c r="P276" i="1"/>
  <c r="R276" i="1" s="1"/>
  <c r="P273" i="1"/>
  <c r="R273" i="1" s="1"/>
  <c r="M266" i="1"/>
  <c r="I265" i="1"/>
  <c r="P263" i="1"/>
  <c r="D256" i="2" s="1"/>
  <c r="R262" i="1"/>
  <c r="M261" i="1"/>
  <c r="R259" i="1"/>
  <c r="M258" i="1"/>
  <c r="R256" i="1"/>
  <c r="M255" i="1"/>
  <c r="I240" i="1"/>
  <c r="M235" i="1"/>
  <c r="U233" i="1"/>
  <c r="E226" i="2" s="1"/>
  <c r="M232" i="1"/>
  <c r="N231" i="1"/>
  <c r="K231" i="1" s="1"/>
  <c r="C224" i="2" s="1"/>
  <c r="M229" i="1"/>
  <c r="P228" i="1"/>
  <c r="D221" i="2" s="1"/>
  <c r="I228" i="1"/>
  <c r="R227" i="1"/>
  <c r="I227" i="1"/>
  <c r="W227" i="1"/>
  <c r="N225" i="1"/>
  <c r="K225" i="1" s="1"/>
  <c r="C218" i="2" s="1"/>
  <c r="AC224" i="1"/>
  <c r="M224" i="1"/>
  <c r="P223" i="1"/>
  <c r="D216" i="2" s="1"/>
  <c r="R222" i="1"/>
  <c r="AD218" i="1"/>
  <c r="Z218" i="1" s="1"/>
  <c r="F211" i="2" s="1"/>
  <c r="R218" i="1"/>
  <c r="W217" i="1"/>
  <c r="AD217" i="1"/>
  <c r="Z217" i="1" s="1"/>
  <c r="F210" i="2" s="1"/>
  <c r="M217" i="1"/>
  <c r="M216" i="1"/>
  <c r="AC215" i="1"/>
  <c r="R215" i="1"/>
  <c r="W214" i="1"/>
  <c r="W213" i="1"/>
  <c r="W210" i="1"/>
  <c r="I210" i="1"/>
  <c r="M209" i="1"/>
  <c r="N207" i="1"/>
  <c r="K207" i="1" s="1"/>
  <c r="C200" i="2" s="1"/>
  <c r="R201" i="1"/>
  <c r="R200" i="1"/>
  <c r="AA198" i="1"/>
  <c r="M198" i="1"/>
  <c r="M197" i="1"/>
  <c r="W195" i="1"/>
  <c r="AD195" i="1"/>
  <c r="Z195" i="1" s="1"/>
  <c r="F188" i="2" s="1"/>
  <c r="M195" i="1"/>
  <c r="W194" i="1"/>
  <c r="M194" i="1"/>
  <c r="N193" i="1"/>
  <c r="K193" i="1" s="1"/>
  <c r="C186" i="2" s="1"/>
  <c r="M191" i="1"/>
  <c r="AC190" i="1"/>
  <c r="P189" i="1"/>
  <c r="D182" i="2" s="1"/>
  <c r="AD188" i="1"/>
  <c r="Z188" i="1" s="1"/>
  <c r="F181" i="2" s="1"/>
  <c r="R188" i="1"/>
  <c r="X187" i="1"/>
  <c r="U187" i="1" s="1"/>
  <c r="E180" i="2" s="1"/>
  <c r="P187" i="1"/>
  <c r="D180" i="2" s="1"/>
  <c r="P186" i="1"/>
  <c r="D179" i="2" s="1"/>
  <c r="AD185" i="1"/>
  <c r="Z185" i="1" s="1"/>
  <c r="F178" i="2" s="1"/>
  <c r="R185" i="1"/>
  <c r="W184" i="1"/>
  <c r="M182" i="1"/>
  <c r="AC181" i="1"/>
  <c r="R181" i="1"/>
  <c r="R180" i="1"/>
  <c r="I178" i="1"/>
  <c r="P178" i="1"/>
  <c r="D171" i="2" s="1"/>
  <c r="M178" i="1"/>
  <c r="W176" i="1"/>
  <c r="M176" i="1"/>
  <c r="M175" i="1"/>
  <c r="I173" i="1"/>
  <c r="M171" i="1"/>
  <c r="X164" i="1"/>
  <c r="U164" i="1" s="1"/>
  <c r="E157" i="2" s="1"/>
  <c r="I153" i="1"/>
  <c r="I152" i="1"/>
  <c r="X152" i="1"/>
  <c r="U152" i="1" s="1"/>
  <c r="E146" i="2" s="1"/>
  <c r="N152" i="1"/>
  <c r="K152" i="1" s="1"/>
  <c r="C146" i="2" s="1"/>
  <c r="X145" i="1"/>
  <c r="U145" i="1" s="1"/>
  <c r="E139" i="2" s="1"/>
  <c r="P145" i="1"/>
  <c r="D139" i="2" s="1"/>
  <c r="G146" i="1"/>
  <c r="I145" i="1"/>
  <c r="N145" i="1"/>
  <c r="K145" i="1" s="1"/>
  <c r="C139" i="2" s="1"/>
  <c r="AD140" i="1"/>
  <c r="Z140" i="1" s="1"/>
  <c r="F134" i="2" s="1"/>
  <c r="U139" i="1"/>
  <c r="E133" i="2" s="1"/>
  <c r="R135" i="1"/>
  <c r="R127" i="1"/>
  <c r="AC97" i="1"/>
  <c r="AA97" i="1"/>
  <c r="M97" i="1"/>
  <c r="AD75" i="1"/>
  <c r="Z75" i="1" s="1"/>
  <c r="F69" i="2" s="1"/>
  <c r="M75" i="1"/>
  <c r="M73" i="1"/>
  <c r="AD73" i="1"/>
  <c r="Z73" i="1" s="1"/>
  <c r="F67" i="2" s="1"/>
  <c r="M53" i="1"/>
  <c r="W41" i="1"/>
  <c r="W216" i="1"/>
  <c r="I216" i="1"/>
  <c r="I202" i="1"/>
  <c r="AC199" i="1"/>
  <c r="W199" i="1"/>
  <c r="I199" i="1"/>
  <c r="I191" i="1"/>
  <c r="W185" i="1"/>
  <c r="I185" i="1"/>
  <c r="W182" i="1"/>
  <c r="I182" i="1"/>
  <c r="M174" i="1"/>
  <c r="P174" i="1"/>
  <c r="D167" i="2" s="1"/>
  <c r="I168" i="1"/>
  <c r="W167" i="1"/>
  <c r="W157" i="1"/>
  <c r="X149" i="1"/>
  <c r="U149" i="1" s="1"/>
  <c r="E143" i="2" s="1"/>
  <c r="M149" i="1"/>
  <c r="G150" i="1"/>
  <c r="X141" i="1"/>
  <c r="U141" i="1" s="1"/>
  <c r="E135" i="2" s="1"/>
  <c r="M141" i="1"/>
  <c r="P141" i="1"/>
  <c r="D135" i="2" s="1"/>
  <c r="G142" i="1"/>
  <c r="AD138" i="1"/>
  <c r="Z138" i="1" s="1"/>
  <c r="F132" i="2" s="1"/>
  <c r="M135" i="1"/>
  <c r="R133" i="1"/>
  <c r="M131" i="1"/>
  <c r="R129" i="1"/>
  <c r="M127" i="1"/>
  <c r="AD81" i="1"/>
  <c r="Z81" i="1" s="1"/>
  <c r="F75" i="2" s="1"/>
  <c r="M81" i="1"/>
  <c r="R76" i="1"/>
  <c r="AD71" i="1"/>
  <c r="Z71" i="1" s="1"/>
  <c r="F65" i="2" s="1"/>
  <c r="M71" i="1"/>
  <c r="M69" i="1"/>
  <c r="AD69" i="1"/>
  <c r="Z69" i="1" s="1"/>
  <c r="F63" i="2" s="1"/>
  <c r="W54" i="1"/>
  <c r="M41" i="1"/>
  <c r="AD41" i="1"/>
  <c r="Z41" i="1" s="1"/>
  <c r="F35" i="2" s="1"/>
  <c r="P29" i="1"/>
  <c r="D23" i="2" s="1"/>
  <c r="X29" i="1"/>
  <c r="U29" i="1" s="1"/>
  <c r="E23" i="2" s="1"/>
  <c r="N167" i="1"/>
  <c r="K167" i="1" s="1"/>
  <c r="C160" i="2" s="1"/>
  <c r="I158" i="1"/>
  <c r="R158" i="1"/>
  <c r="X158" i="1"/>
  <c r="U158" i="1" s="1"/>
  <c r="E152" i="2" s="1"/>
  <c r="N157" i="1"/>
  <c r="K157" i="1" s="1"/>
  <c r="C151" i="2" s="1"/>
  <c r="P157" i="1"/>
  <c r="D151" i="2" s="1"/>
  <c r="R140" i="1"/>
  <c r="M139" i="1"/>
  <c r="U137" i="1"/>
  <c r="E131" i="2" s="1"/>
  <c r="AC135" i="1"/>
  <c r="AD133" i="1"/>
  <c r="Z133" i="1" s="1"/>
  <c r="F127" i="2" s="1"/>
  <c r="R132" i="1"/>
  <c r="AD129" i="1"/>
  <c r="Z129" i="1" s="1"/>
  <c r="F123" i="2" s="1"/>
  <c r="R128" i="1"/>
  <c r="AA127" i="1"/>
  <c r="AC127" i="1"/>
  <c r="X91" i="1"/>
  <c r="I91" i="1"/>
  <c r="N89" i="1"/>
  <c r="P89" i="1"/>
  <c r="D83" i="2" s="1"/>
  <c r="I87" i="1"/>
  <c r="X87" i="1"/>
  <c r="W78" i="1"/>
  <c r="R72" i="1"/>
  <c r="AD67" i="1"/>
  <c r="Z67" i="1" s="1"/>
  <c r="F61" i="2" s="1"/>
  <c r="M67" i="1"/>
  <c r="M64" i="1"/>
  <c r="X55" i="1"/>
  <c r="U55" i="1" s="1"/>
  <c r="E49" i="2" s="1"/>
  <c r="I55" i="1"/>
  <c r="P54" i="1"/>
  <c r="D48" i="2" s="1"/>
  <c r="N54" i="1"/>
  <c r="K54" i="1" s="1"/>
  <c r="C48" i="2" s="1"/>
  <c r="W30" i="1"/>
  <c r="X95" i="1"/>
  <c r="X88" i="1"/>
  <c r="I83" i="1"/>
  <c r="X83" i="1"/>
  <c r="U82" i="1"/>
  <c r="E76" i="2" s="1"/>
  <c r="M80" i="1"/>
  <c r="R78" i="1"/>
  <c r="M76" i="1"/>
  <c r="R74" i="1"/>
  <c r="M72" i="1"/>
  <c r="R70" i="1"/>
  <c r="M68" i="1"/>
  <c r="R66" i="1"/>
  <c r="M65" i="1"/>
  <c r="AD62" i="1"/>
  <c r="Z62" i="1" s="1"/>
  <c r="F56" i="2" s="1"/>
  <c r="M62" i="1"/>
  <c r="I58" i="1"/>
  <c r="X58" i="1"/>
  <c r="U58" i="1" s="1"/>
  <c r="E52" i="2" s="1"/>
  <c r="P52" i="1"/>
  <c r="D46" i="2" s="1"/>
  <c r="N51" i="1"/>
  <c r="K51" i="1" s="1"/>
  <c r="C45" i="2" s="1"/>
  <c r="P51" i="1"/>
  <c r="D45" i="2" s="1"/>
  <c r="X50" i="1"/>
  <c r="U50" i="1" s="1"/>
  <c r="E44" i="2" s="1"/>
  <c r="X47" i="1"/>
  <c r="U47" i="1" s="1"/>
  <c r="E41" i="2" s="1"/>
  <c r="AD36" i="1"/>
  <c r="Z36" i="1" s="1"/>
  <c r="F30" i="2" s="1"/>
  <c r="C2" i="2"/>
  <c r="M8" i="1"/>
  <c r="R97" i="1"/>
  <c r="I90" i="1"/>
  <c r="X84" i="1"/>
  <c r="AD82" i="1"/>
  <c r="Z82" i="1" s="1"/>
  <c r="F76" i="2" s="1"/>
  <c r="R82" i="1"/>
  <c r="AD78" i="1"/>
  <c r="Z78" i="1" s="1"/>
  <c r="F72" i="2" s="1"/>
  <c r="R77" i="1"/>
  <c r="AD74" i="1"/>
  <c r="Z74" i="1" s="1"/>
  <c r="F68" i="2" s="1"/>
  <c r="R73" i="1"/>
  <c r="AD70" i="1"/>
  <c r="Z70" i="1" s="1"/>
  <c r="F64" i="2" s="1"/>
  <c r="R69" i="1"/>
  <c r="AD66" i="1"/>
  <c r="Z66" i="1" s="1"/>
  <c r="F60" i="2" s="1"/>
  <c r="X59" i="1"/>
  <c r="U59" i="1" s="1"/>
  <c r="E53" i="2" s="1"/>
  <c r="I46" i="1"/>
  <c r="S46" i="1"/>
  <c r="AC35" i="1"/>
  <c r="R35" i="1"/>
  <c r="AA32" i="1"/>
  <c r="AC32" i="1"/>
  <c r="M30" i="1"/>
  <c r="I86" i="1"/>
  <c r="W61" i="1"/>
  <c r="I61" i="1"/>
  <c r="W57" i="1"/>
  <c r="I57" i="1"/>
  <c r="I52" i="1"/>
  <c r="I43" i="1"/>
  <c r="X43" i="1"/>
  <c r="U43" i="1" s="1"/>
  <c r="E37" i="2" s="1"/>
  <c r="N42" i="1"/>
  <c r="K42" i="1" s="1"/>
  <c r="C36" i="2" s="1"/>
  <c r="P42" i="1"/>
  <c r="D36" i="2" s="1"/>
  <c r="X36" i="1"/>
  <c r="U36" i="1" s="1"/>
  <c r="E30" i="2" s="1"/>
  <c r="S36" i="1"/>
  <c r="P36" i="1" s="1"/>
  <c r="D30" i="2" s="1"/>
  <c r="M34" i="1"/>
  <c r="X33" i="1"/>
  <c r="U33" i="1" s="1"/>
  <c r="E27" i="2" s="1"/>
  <c r="M33" i="1"/>
  <c r="F2" i="2"/>
  <c r="AC8" i="1"/>
  <c r="AA8" i="1"/>
  <c r="I49" i="1"/>
  <c r="W49" i="1"/>
  <c r="I39" i="1"/>
  <c r="R39" i="1"/>
  <c r="X39" i="1"/>
  <c r="U39" i="1" s="1"/>
  <c r="E33" i="2" s="1"/>
  <c r="N38" i="1"/>
  <c r="K38" i="1" s="1"/>
  <c r="C32" i="2" s="1"/>
  <c r="P38" i="1"/>
  <c r="D32" i="2" s="1"/>
  <c r="R30" i="1"/>
  <c r="AA29" i="1"/>
  <c r="AC29" i="1"/>
  <c r="W42" i="1"/>
  <c r="I42" i="1"/>
  <c r="W38" i="1"/>
  <c r="I38" i="1"/>
  <c r="P9" i="1"/>
  <c r="D3" i="2" s="1"/>
  <c r="D2" i="2"/>
  <c r="R8" i="1"/>
  <c r="G136" i="2" l="1"/>
  <c r="S142" i="1"/>
  <c r="G140" i="2"/>
  <c r="S146" i="1"/>
  <c r="P146" i="1" s="1"/>
  <c r="D140" i="2" s="1"/>
  <c r="AC267" i="1"/>
  <c r="F260" i="2"/>
  <c r="G170" i="1"/>
  <c r="G162" i="2"/>
  <c r="S169" i="1"/>
  <c r="G253" i="1"/>
  <c r="G245" i="2"/>
  <c r="S252" i="1"/>
  <c r="G155" i="2"/>
  <c r="S162" i="1"/>
  <c r="R152" i="1"/>
  <c r="G144" i="2"/>
  <c r="S150" i="1"/>
  <c r="M154" i="1"/>
  <c r="C148" i="2"/>
  <c r="M60" i="1"/>
  <c r="C54" i="2"/>
  <c r="M151" i="1"/>
  <c r="C145" i="2"/>
  <c r="M205" i="1"/>
  <c r="C198" i="2"/>
  <c r="AC9" i="1"/>
  <c r="M9" i="1"/>
  <c r="G93" i="2"/>
  <c r="S99" i="1"/>
  <c r="U93" i="1"/>
  <c r="E87" i="2" s="1"/>
  <c r="D87" i="2"/>
  <c r="AD189" i="1"/>
  <c r="Z189" i="1" s="1"/>
  <c r="F182" i="2" s="1"/>
  <c r="C182" i="2"/>
  <c r="AA139" i="1"/>
  <c r="F133" i="2"/>
  <c r="AC177" i="1"/>
  <c r="R268" i="1"/>
  <c r="W239" i="1"/>
  <c r="R240" i="1"/>
  <c r="W97" i="1"/>
  <c r="U240" i="1"/>
  <c r="E233" i="2" s="1"/>
  <c r="W183" i="1"/>
  <c r="AC80" i="1"/>
  <c r="W205" i="1"/>
  <c r="M172" i="1"/>
  <c r="AD172" i="1"/>
  <c r="Z172" i="1" s="1"/>
  <c r="F165" i="2" s="1"/>
  <c r="AC79" i="1"/>
  <c r="AC221" i="1"/>
  <c r="R37" i="1"/>
  <c r="W60" i="1"/>
  <c r="W191" i="1"/>
  <c r="M233" i="1"/>
  <c r="S50" i="1"/>
  <c r="AC131" i="1"/>
  <c r="AD39" i="1"/>
  <c r="Z39" i="1" s="1"/>
  <c r="K93" i="1"/>
  <c r="C87" i="2" s="1"/>
  <c r="I50" i="1"/>
  <c r="AA131" i="1"/>
  <c r="R151" i="1"/>
  <c r="AD233" i="1"/>
  <c r="Z233" i="1" s="1"/>
  <c r="F226" i="2" s="1"/>
  <c r="AA53" i="1"/>
  <c r="M98" i="1"/>
  <c r="X278" i="1"/>
  <c r="U278" i="1" s="1"/>
  <c r="W278" i="1" s="1"/>
  <c r="N95" i="1"/>
  <c r="R136" i="1"/>
  <c r="W201" i="1"/>
  <c r="AC213" i="1"/>
  <c r="AA213" i="1"/>
  <c r="AA79" i="1"/>
  <c r="R64" i="1"/>
  <c r="P57" i="1"/>
  <c r="D51" i="2" s="1"/>
  <c r="R153" i="1"/>
  <c r="R196" i="1"/>
  <c r="W189" i="1"/>
  <c r="M223" i="1"/>
  <c r="R43" i="1"/>
  <c r="W63" i="1"/>
  <c r="W158" i="1"/>
  <c r="X169" i="1"/>
  <c r="U169" i="1" s="1"/>
  <c r="E162" i="2" s="1"/>
  <c r="W202" i="1"/>
  <c r="R178" i="1"/>
  <c r="N204" i="1"/>
  <c r="K204" i="1" s="1"/>
  <c r="C197" i="2" s="1"/>
  <c r="W234" i="1"/>
  <c r="AA68" i="1"/>
  <c r="P204" i="1"/>
  <c r="D197" i="2" s="1"/>
  <c r="AA211" i="1"/>
  <c r="M43" i="1"/>
  <c r="W168" i="1"/>
  <c r="I170" i="1"/>
  <c r="AA241" i="1"/>
  <c r="AC271" i="1"/>
  <c r="U235" i="1"/>
  <c r="E228" i="2" s="1"/>
  <c r="R267" i="1"/>
  <c r="M236" i="1"/>
  <c r="M271" i="1"/>
  <c r="AC53" i="1"/>
  <c r="W65" i="1"/>
  <c r="R98" i="1"/>
  <c r="AC137" i="1"/>
  <c r="AA221" i="1"/>
  <c r="X170" i="1"/>
  <c r="U170" i="1" s="1"/>
  <c r="E163" i="2" s="1"/>
  <c r="N242" i="1"/>
  <c r="K242" i="1" s="1"/>
  <c r="C235" i="2" s="1"/>
  <c r="AA166" i="1"/>
  <c r="AC166" i="1"/>
  <c r="R95" i="1"/>
  <c r="M36" i="1"/>
  <c r="W40" i="1"/>
  <c r="R53" i="1"/>
  <c r="W46" i="1"/>
  <c r="R65" i="1"/>
  <c r="AA135" i="1"/>
  <c r="M152" i="1"/>
  <c r="M187" i="1"/>
  <c r="M192" i="1"/>
  <c r="M202" i="1"/>
  <c r="AD187" i="1"/>
  <c r="Z187" i="1" s="1"/>
  <c r="F180" i="2" s="1"/>
  <c r="R204" i="1"/>
  <c r="R60" i="1"/>
  <c r="W34" i="1"/>
  <c r="W43" i="1"/>
  <c r="U98" i="1"/>
  <c r="E92" i="2" s="1"/>
  <c r="W151" i="1"/>
  <c r="W153" i="1"/>
  <c r="W159" i="1"/>
  <c r="W174" i="1"/>
  <c r="AC68" i="1"/>
  <c r="R193" i="1"/>
  <c r="AD202" i="1"/>
  <c r="Z202" i="1" s="1"/>
  <c r="F195" i="2" s="1"/>
  <c r="R210" i="1"/>
  <c r="AD192" i="1"/>
  <c r="Z192" i="1" s="1"/>
  <c r="F185" i="2" s="1"/>
  <c r="AC211" i="1"/>
  <c r="N203" i="1"/>
  <c r="K203" i="1" s="1"/>
  <c r="C196" i="2" s="1"/>
  <c r="W154" i="1"/>
  <c r="W50" i="1"/>
  <c r="AC72" i="1"/>
  <c r="R145" i="1"/>
  <c r="M183" i="1"/>
  <c r="R187" i="1"/>
  <c r="AC265" i="1"/>
  <c r="AC278" i="1"/>
  <c r="P203" i="1"/>
  <c r="D196" i="2" s="1"/>
  <c r="R216" i="1"/>
  <c r="W192" i="1"/>
  <c r="W56" i="1"/>
  <c r="AC266" i="1"/>
  <c r="AA137" i="1"/>
  <c r="N56" i="1"/>
  <c r="K56" i="1" s="1"/>
  <c r="C50" i="2" s="1"/>
  <c r="P56" i="1"/>
  <c r="D50" i="2" s="1"/>
  <c r="N206" i="1"/>
  <c r="K206" i="1" s="1"/>
  <c r="C199" i="2" s="1"/>
  <c r="P206" i="1"/>
  <c r="D199" i="2" s="1"/>
  <c r="X206" i="1"/>
  <c r="U206" i="1" s="1"/>
  <c r="E199" i="2" s="1"/>
  <c r="AA267" i="1"/>
  <c r="R61" i="1"/>
  <c r="W196" i="1"/>
  <c r="AD43" i="1"/>
  <c r="Z43" i="1" s="1"/>
  <c r="AA72" i="1"/>
  <c r="AC76" i="1"/>
  <c r="M203" i="1"/>
  <c r="M278" i="1"/>
  <c r="W224" i="1"/>
  <c r="M230" i="1"/>
  <c r="AC264" i="1"/>
  <c r="AA208" i="1"/>
  <c r="AA266" i="1"/>
  <c r="AC222" i="1"/>
  <c r="AD64" i="1"/>
  <c r="Z64" i="1" s="1"/>
  <c r="F58" i="2" s="1"/>
  <c r="M189" i="1"/>
  <c r="R205" i="1"/>
  <c r="N85" i="1"/>
  <c r="P85" i="1"/>
  <c r="D79" i="2" s="1"/>
  <c r="P90" i="1"/>
  <c r="D84" i="2" s="1"/>
  <c r="N90" i="1"/>
  <c r="W32" i="1"/>
  <c r="AD65" i="1"/>
  <c r="Z65" i="1" s="1"/>
  <c r="F59" i="2" s="1"/>
  <c r="R93" i="1"/>
  <c r="AD151" i="1"/>
  <c r="Z151" i="1" s="1"/>
  <c r="F145" i="2" s="1"/>
  <c r="AD201" i="1"/>
  <c r="Z201" i="1" s="1"/>
  <c r="F194" i="2" s="1"/>
  <c r="I268" i="1"/>
  <c r="N268" i="1"/>
  <c r="K268" i="1" s="1"/>
  <c r="W145" i="1"/>
  <c r="AD37" i="1"/>
  <c r="Z37" i="1" s="1"/>
  <c r="F31" i="2" s="1"/>
  <c r="AD205" i="1"/>
  <c r="Z205" i="1" s="1"/>
  <c r="F198" i="2" s="1"/>
  <c r="W39" i="1"/>
  <c r="AC158" i="1"/>
  <c r="M37" i="1"/>
  <c r="W52" i="1"/>
  <c r="AA76" i="1"/>
  <c r="R149" i="1"/>
  <c r="AC185" i="1"/>
  <c r="W152" i="1"/>
  <c r="AC233" i="1"/>
  <c r="AA264" i="1"/>
  <c r="AD196" i="1"/>
  <c r="Z196" i="1" s="1"/>
  <c r="F189" i="2" s="1"/>
  <c r="AD63" i="1"/>
  <c r="Z63" i="1" s="1"/>
  <c r="F57" i="2" s="1"/>
  <c r="AA80" i="1"/>
  <c r="X203" i="1"/>
  <c r="U203" i="1" s="1"/>
  <c r="E196" i="2" s="1"/>
  <c r="I203" i="1"/>
  <c r="AC208" i="1"/>
  <c r="M196" i="1"/>
  <c r="W207" i="1"/>
  <c r="AD183" i="1"/>
  <c r="Z183" i="1" s="1"/>
  <c r="AA222" i="1"/>
  <c r="M61" i="1"/>
  <c r="AD61" i="1"/>
  <c r="Z61" i="1" s="1"/>
  <c r="F55" i="2" s="1"/>
  <c r="AD154" i="1"/>
  <c r="Z154" i="1" s="1"/>
  <c r="F148" i="2" s="1"/>
  <c r="AC178" i="1"/>
  <c r="U273" i="1"/>
  <c r="AD273" i="1"/>
  <c r="Z273" i="1" s="1"/>
  <c r="I204" i="1"/>
  <c r="R41" i="1"/>
  <c r="AD60" i="1"/>
  <c r="Z60" i="1" s="1"/>
  <c r="F54" i="2" s="1"/>
  <c r="AC139" i="1"/>
  <c r="AC198" i="1"/>
  <c r="W33" i="1"/>
  <c r="N59" i="1"/>
  <c r="K59" i="1" s="1"/>
  <c r="C53" i="2" s="1"/>
  <c r="P59" i="1"/>
  <c r="D53" i="2" s="1"/>
  <c r="P96" i="1"/>
  <c r="D90" i="2" s="1"/>
  <c r="N96" i="1"/>
  <c r="N165" i="1"/>
  <c r="K165" i="1" s="1"/>
  <c r="C158" i="2" s="1"/>
  <c r="P165" i="1"/>
  <c r="D158" i="2" s="1"/>
  <c r="R51" i="1"/>
  <c r="U89" i="1"/>
  <c r="E83" i="2" s="1"/>
  <c r="R89" i="1"/>
  <c r="K89" i="1"/>
  <c r="C83" i="2" s="1"/>
  <c r="AD167" i="1"/>
  <c r="Z167" i="1" s="1"/>
  <c r="F160" i="2" s="1"/>
  <c r="M167" i="1"/>
  <c r="W29" i="1"/>
  <c r="G147" i="1"/>
  <c r="N146" i="1"/>
  <c r="K146" i="1" s="1"/>
  <c r="C140" i="2" s="1"/>
  <c r="X146" i="1"/>
  <c r="U146" i="1" s="1"/>
  <c r="E140" i="2" s="1"/>
  <c r="I146" i="1"/>
  <c r="AA217" i="1"/>
  <c r="AC217" i="1"/>
  <c r="U267" i="1"/>
  <c r="E260" i="2" s="1"/>
  <c r="W266" i="1"/>
  <c r="N159" i="1"/>
  <c r="K159" i="1" s="1"/>
  <c r="C153" i="2" s="1"/>
  <c r="P159" i="1"/>
  <c r="D153" i="2" s="1"/>
  <c r="AA219" i="1"/>
  <c r="AC219" i="1"/>
  <c r="X269" i="1"/>
  <c r="P269" i="1"/>
  <c r="R269" i="1" s="1"/>
  <c r="I269" i="1"/>
  <c r="N269" i="1"/>
  <c r="K269" i="1" s="1"/>
  <c r="AE63" i="1"/>
  <c r="AA63" i="1"/>
  <c r="AC63" i="1"/>
  <c r="U86" i="1"/>
  <c r="E80" i="2" s="1"/>
  <c r="R86" i="1"/>
  <c r="K86" i="1"/>
  <c r="C80" i="2" s="1"/>
  <c r="W173" i="1"/>
  <c r="R168" i="1"/>
  <c r="R231" i="1"/>
  <c r="U231" i="1"/>
  <c r="E224" i="2" s="1"/>
  <c r="X237" i="1"/>
  <c r="N237" i="1"/>
  <c r="K237" i="1" s="1"/>
  <c r="C230" i="2" s="1"/>
  <c r="I237" i="1"/>
  <c r="P237" i="1"/>
  <c r="D230" i="2" s="1"/>
  <c r="P172" i="1"/>
  <c r="D165" i="2" s="1"/>
  <c r="P173" i="1"/>
  <c r="D166" i="2" s="1"/>
  <c r="W193" i="1"/>
  <c r="R207" i="1"/>
  <c r="AA262" i="1"/>
  <c r="AC262" i="1"/>
  <c r="P10" i="1"/>
  <c r="D4" i="2" s="1"/>
  <c r="P44" i="1"/>
  <c r="D38" i="2" s="1"/>
  <c r="N44" i="1"/>
  <c r="K44" i="1" s="1"/>
  <c r="C38" i="2" s="1"/>
  <c r="R42" i="1"/>
  <c r="M51" i="1"/>
  <c r="AD51" i="1"/>
  <c r="Z51" i="1" s="1"/>
  <c r="F45" i="2" s="1"/>
  <c r="P88" i="1"/>
  <c r="D82" i="2" s="1"/>
  <c r="N88" i="1"/>
  <c r="W55" i="1"/>
  <c r="AC67" i="1"/>
  <c r="AA67" i="1"/>
  <c r="R29" i="1"/>
  <c r="AC138" i="1"/>
  <c r="AA138" i="1"/>
  <c r="W139" i="1"/>
  <c r="AD231" i="1"/>
  <c r="Z231" i="1" s="1"/>
  <c r="F224" i="2" s="1"/>
  <c r="AA235" i="1"/>
  <c r="AC235" i="1"/>
  <c r="AD263" i="1"/>
  <c r="Z263" i="1" s="1"/>
  <c r="F256" i="2" s="1"/>
  <c r="U136" i="1"/>
  <c r="E130" i="2" s="1"/>
  <c r="AC141" i="1"/>
  <c r="AA141" i="1"/>
  <c r="AA191" i="1"/>
  <c r="W233" i="1"/>
  <c r="X272" i="1"/>
  <c r="N272" i="1"/>
  <c r="K272" i="1" s="1"/>
  <c r="AD272" i="1" s="1"/>
  <c r="Z272" i="1" s="1"/>
  <c r="AA272" i="1" s="1"/>
  <c r="I272" i="1"/>
  <c r="P272" i="1"/>
  <c r="R272" i="1" s="1"/>
  <c r="AA186" i="1"/>
  <c r="W270" i="1"/>
  <c r="U271" i="1"/>
  <c r="AA234" i="1"/>
  <c r="AC234" i="1"/>
  <c r="AA227" i="1"/>
  <c r="W238" i="1"/>
  <c r="AC256" i="1"/>
  <c r="AA256" i="1"/>
  <c r="N84" i="1"/>
  <c r="P84" i="1"/>
  <c r="D78" i="2" s="1"/>
  <c r="N91" i="1"/>
  <c r="P91" i="1"/>
  <c r="D85" i="2" s="1"/>
  <c r="R174" i="1"/>
  <c r="AD153" i="1"/>
  <c r="Z153" i="1" s="1"/>
  <c r="F147" i="2" s="1"/>
  <c r="S10" i="1"/>
  <c r="G11" i="1"/>
  <c r="G5" i="2" s="1"/>
  <c r="N10" i="1"/>
  <c r="K10" i="1" s="1"/>
  <c r="C4" i="2" s="1"/>
  <c r="AD10" i="1"/>
  <c r="Z10" i="1" s="1"/>
  <c r="F4" i="2" s="1"/>
  <c r="I10" i="1"/>
  <c r="X10" i="1"/>
  <c r="AD210" i="1"/>
  <c r="Z210" i="1" s="1"/>
  <c r="F203" i="2" s="1"/>
  <c r="U225" i="1"/>
  <c r="E218" i="2" s="1"/>
  <c r="R225" i="1"/>
  <c r="W204" i="1"/>
  <c r="N161" i="1"/>
  <c r="K161" i="1" s="1"/>
  <c r="C154" i="2" s="1"/>
  <c r="P161" i="1"/>
  <c r="D154" i="2" s="1"/>
  <c r="AA129" i="1"/>
  <c r="AC129" i="1"/>
  <c r="AA69" i="1"/>
  <c r="AC69" i="1"/>
  <c r="N92" i="1"/>
  <c r="P92" i="1"/>
  <c r="D86" i="2" s="1"/>
  <c r="AD145" i="1"/>
  <c r="Z145" i="1" s="1"/>
  <c r="F139" i="2" s="1"/>
  <c r="AD207" i="1"/>
  <c r="Z207" i="1" s="1"/>
  <c r="F200" i="2" s="1"/>
  <c r="M207" i="1"/>
  <c r="U228" i="1"/>
  <c r="E221" i="2" s="1"/>
  <c r="P242" i="1"/>
  <c r="D235" i="2" s="1"/>
  <c r="X242" i="1"/>
  <c r="W222" i="1"/>
  <c r="AC149" i="1"/>
  <c r="AA149" i="1"/>
  <c r="AC229" i="1"/>
  <c r="AA229" i="1"/>
  <c r="AA172" i="1"/>
  <c r="M38" i="1"/>
  <c r="AD38" i="1"/>
  <c r="Z38" i="1" s="1"/>
  <c r="F32" i="2" s="1"/>
  <c r="W36" i="1"/>
  <c r="AD42" i="1"/>
  <c r="Z42" i="1" s="1"/>
  <c r="F36" i="2" s="1"/>
  <c r="M42" i="1"/>
  <c r="W59" i="1"/>
  <c r="AA82" i="1"/>
  <c r="AC82" i="1"/>
  <c r="I162" i="1"/>
  <c r="X162" i="1"/>
  <c r="U162" i="1" s="1"/>
  <c r="E155" i="2" s="1"/>
  <c r="G163" i="1"/>
  <c r="AD52" i="1"/>
  <c r="Z52" i="1" s="1"/>
  <c r="F46" i="2" s="1"/>
  <c r="M52" i="1"/>
  <c r="R57" i="1"/>
  <c r="AA41" i="1"/>
  <c r="AC41" i="1"/>
  <c r="W141" i="1"/>
  <c r="AA73" i="1"/>
  <c r="AC73" i="1"/>
  <c r="AC75" i="1"/>
  <c r="AA75" i="1"/>
  <c r="M145" i="1"/>
  <c r="N179" i="1"/>
  <c r="K179" i="1" s="1"/>
  <c r="C172" i="2" s="1"/>
  <c r="I179" i="1"/>
  <c r="P179" i="1"/>
  <c r="D172" i="2" s="1"/>
  <c r="X179" i="1"/>
  <c r="U179" i="1" s="1"/>
  <c r="E172" i="2" s="1"/>
  <c r="AA195" i="1"/>
  <c r="AC195" i="1"/>
  <c r="R223" i="1"/>
  <c r="U223" i="1"/>
  <c r="E216" i="2" s="1"/>
  <c r="M263" i="1"/>
  <c r="N274" i="1"/>
  <c r="K274" i="1" s="1"/>
  <c r="AD274" i="1" s="1"/>
  <c r="Z274" i="1" s="1"/>
  <c r="AA274" i="1" s="1"/>
  <c r="I274" i="1"/>
  <c r="P274" i="1"/>
  <c r="R274" i="1" s="1"/>
  <c r="X274" i="1"/>
  <c r="AC260" i="1"/>
  <c r="AA260" i="1"/>
  <c r="R48" i="1"/>
  <c r="AA194" i="1"/>
  <c r="AC194" i="1"/>
  <c r="I243" i="1"/>
  <c r="P94" i="1"/>
  <c r="D88" i="2" s="1"/>
  <c r="N94" i="1"/>
  <c r="AA128" i="1"/>
  <c r="AC128" i="1"/>
  <c r="M153" i="1"/>
  <c r="AA158" i="1"/>
  <c r="R183" i="1"/>
  <c r="R192" i="1"/>
  <c r="U10" i="1"/>
  <c r="E4" i="2" s="1"/>
  <c r="W9" i="1"/>
  <c r="P99" i="1"/>
  <c r="D93" i="2" s="1"/>
  <c r="G100" i="1"/>
  <c r="N99" i="1"/>
  <c r="K99" i="1" s="1"/>
  <c r="C93" i="2" s="1"/>
  <c r="X99" i="1"/>
  <c r="I99" i="1"/>
  <c r="AC186" i="1"/>
  <c r="AC209" i="1"/>
  <c r="AA209" i="1"/>
  <c r="AD230" i="1"/>
  <c r="Z230" i="1" s="1"/>
  <c r="F223" i="2" s="1"/>
  <c r="AD236" i="1"/>
  <c r="Z236" i="1" s="1"/>
  <c r="F229" i="2" s="1"/>
  <c r="M49" i="1"/>
  <c r="AD49" i="1"/>
  <c r="Z49" i="1" s="1"/>
  <c r="F43" i="2" s="1"/>
  <c r="AD136" i="1"/>
  <c r="Z136" i="1" s="1"/>
  <c r="F130" i="2" s="1"/>
  <c r="M136" i="1"/>
  <c r="W172" i="1"/>
  <c r="AA187" i="1"/>
  <c r="AC187" i="1"/>
  <c r="AC214" i="1"/>
  <c r="AA214" i="1"/>
  <c r="AD223" i="1"/>
  <c r="Z223" i="1" s="1"/>
  <c r="F216" i="2" s="1"/>
  <c r="AA258" i="1"/>
  <c r="AC258" i="1"/>
  <c r="AC200" i="1"/>
  <c r="AA200" i="1"/>
  <c r="R228" i="1"/>
  <c r="AC220" i="1"/>
  <c r="AA220" i="1"/>
  <c r="U263" i="1"/>
  <c r="E256" i="2" s="1"/>
  <c r="W262" i="1"/>
  <c r="N47" i="1"/>
  <c r="K47" i="1" s="1"/>
  <c r="C41" i="2" s="1"/>
  <c r="P47" i="1"/>
  <c r="D41" i="2" s="1"/>
  <c r="R54" i="1"/>
  <c r="AA133" i="1"/>
  <c r="AC133" i="1"/>
  <c r="M157" i="1"/>
  <c r="AD157" i="1"/>
  <c r="Z157" i="1" s="1"/>
  <c r="F151" i="2" s="1"/>
  <c r="AA39" i="1"/>
  <c r="W149" i="1"/>
  <c r="AA218" i="1"/>
  <c r="AC218" i="1"/>
  <c r="AD228" i="1"/>
  <c r="Z228" i="1" s="1"/>
  <c r="F221" i="2" s="1"/>
  <c r="AC126" i="1"/>
  <c r="AA126" i="1"/>
  <c r="AC212" i="1"/>
  <c r="AA212" i="1"/>
  <c r="AC257" i="1"/>
  <c r="AA257" i="1"/>
  <c r="AA182" i="1"/>
  <c r="AC130" i="1"/>
  <c r="AA130" i="1"/>
  <c r="W235" i="1"/>
  <c r="AA192" i="1"/>
  <c r="AA259" i="1"/>
  <c r="AC259" i="1"/>
  <c r="R38" i="1"/>
  <c r="R154" i="1"/>
  <c r="W82" i="1"/>
  <c r="P87" i="1"/>
  <c r="D81" i="2" s="1"/>
  <c r="N87" i="1"/>
  <c r="W137" i="1"/>
  <c r="AC71" i="1"/>
  <c r="AA71" i="1"/>
  <c r="AA81" i="1"/>
  <c r="AC81" i="1"/>
  <c r="W93" i="1"/>
  <c r="P150" i="1"/>
  <c r="D144" i="2" s="1"/>
  <c r="N150" i="1"/>
  <c r="K150" i="1" s="1"/>
  <c r="C144" i="2" s="1"/>
  <c r="I150" i="1"/>
  <c r="X150" i="1"/>
  <c r="U150" i="1" s="1"/>
  <c r="E144" i="2" s="1"/>
  <c r="AC182" i="1"/>
  <c r="W164" i="1"/>
  <c r="AD193" i="1"/>
  <c r="Z193" i="1" s="1"/>
  <c r="F186" i="2" s="1"/>
  <c r="AD225" i="1"/>
  <c r="Z225" i="1" s="1"/>
  <c r="F218" i="2" s="1"/>
  <c r="AA216" i="1"/>
  <c r="W232" i="1"/>
  <c r="AA239" i="1"/>
  <c r="AC239" i="1"/>
  <c r="AD173" i="1"/>
  <c r="Z173" i="1" s="1"/>
  <c r="F166" i="2" s="1"/>
  <c r="R9" i="1"/>
  <c r="R186" i="1"/>
  <c r="M225" i="1"/>
  <c r="M231" i="1"/>
  <c r="U241" i="1"/>
  <c r="E234" i="2" s="1"/>
  <c r="R241" i="1"/>
  <c r="N40" i="1"/>
  <c r="K40" i="1" s="1"/>
  <c r="C34" i="2" s="1"/>
  <c r="P40" i="1"/>
  <c r="D34" i="2" s="1"/>
  <c r="R36" i="1"/>
  <c r="P46" i="1"/>
  <c r="D40" i="2" s="1"/>
  <c r="N46" i="1"/>
  <c r="K46" i="1" s="1"/>
  <c r="C40" i="2" s="1"/>
  <c r="P58" i="1"/>
  <c r="D52" i="2" s="1"/>
  <c r="N58" i="1"/>
  <c r="K58" i="1" s="1"/>
  <c r="C52" i="2" s="1"/>
  <c r="AA66" i="1"/>
  <c r="AC66" i="1"/>
  <c r="AA70" i="1"/>
  <c r="AC70" i="1"/>
  <c r="AA74" i="1"/>
  <c r="AC74" i="1"/>
  <c r="AC78" i="1"/>
  <c r="AA78" i="1"/>
  <c r="P83" i="1"/>
  <c r="D77" i="2" s="1"/>
  <c r="N83" i="1"/>
  <c r="N156" i="1"/>
  <c r="K156" i="1" s="1"/>
  <c r="C150" i="2" s="1"/>
  <c r="P156" i="1"/>
  <c r="D150" i="2" s="1"/>
  <c r="AC36" i="1"/>
  <c r="AA36" i="1"/>
  <c r="W47" i="1"/>
  <c r="P50" i="1"/>
  <c r="D44" i="2" s="1"/>
  <c r="N50" i="1"/>
  <c r="K50" i="1" s="1"/>
  <c r="C44" i="2" s="1"/>
  <c r="R52" i="1"/>
  <c r="AD57" i="1"/>
  <c r="Z57" i="1" s="1"/>
  <c r="F51" i="2" s="1"/>
  <c r="M57" i="1"/>
  <c r="W58" i="1"/>
  <c r="AC62" i="1"/>
  <c r="AA62" i="1"/>
  <c r="AD54" i="1"/>
  <c r="Z54" i="1" s="1"/>
  <c r="F48" i="2" s="1"/>
  <c r="M54" i="1"/>
  <c r="N55" i="1"/>
  <c r="K55" i="1" s="1"/>
  <c r="C49" i="2" s="1"/>
  <c r="P55" i="1"/>
  <c r="D49" i="2" s="1"/>
  <c r="R157" i="1"/>
  <c r="R167" i="1"/>
  <c r="P142" i="1"/>
  <c r="D136" i="2" s="1"/>
  <c r="G143" i="1"/>
  <c r="N142" i="1"/>
  <c r="K142" i="1" s="1"/>
  <c r="C136" i="2" s="1"/>
  <c r="I142" i="1"/>
  <c r="X142" i="1"/>
  <c r="U142" i="1" s="1"/>
  <c r="E136" i="2" s="1"/>
  <c r="R141" i="1"/>
  <c r="P169" i="1"/>
  <c r="D162" i="2" s="1"/>
  <c r="N169" i="1"/>
  <c r="K169" i="1" s="1"/>
  <c r="C162" i="2" s="1"/>
  <c r="AC191" i="1"/>
  <c r="AC216" i="1"/>
  <c r="AC140" i="1"/>
  <c r="AA140" i="1"/>
  <c r="AD152" i="1"/>
  <c r="Z152" i="1" s="1"/>
  <c r="F146" i="2" s="1"/>
  <c r="N164" i="1"/>
  <c r="K164" i="1" s="1"/>
  <c r="C157" i="2" s="1"/>
  <c r="P164" i="1"/>
  <c r="D157" i="2" s="1"/>
  <c r="AA185" i="1"/>
  <c r="W187" i="1"/>
  <c r="AA188" i="1"/>
  <c r="AC188" i="1"/>
  <c r="AC227" i="1"/>
  <c r="R263" i="1"/>
  <c r="R265" i="1"/>
  <c r="M48" i="1"/>
  <c r="AD48" i="1"/>
  <c r="Z48" i="1" s="1"/>
  <c r="F42" i="2" s="1"/>
  <c r="AA155" i="1"/>
  <c r="AC155" i="1"/>
  <c r="AC175" i="1"/>
  <c r="AA175" i="1"/>
  <c r="AD240" i="1"/>
  <c r="Z240" i="1" s="1"/>
  <c r="F233" i="2" s="1"/>
  <c r="AA255" i="1"/>
  <c r="AC255" i="1"/>
  <c r="AA77" i="1"/>
  <c r="AC77" i="1"/>
  <c r="M173" i="1"/>
  <c r="AA174" i="1"/>
  <c r="AC174" i="1"/>
  <c r="AC180" i="1"/>
  <c r="AA180" i="1"/>
  <c r="AC192" i="1"/>
  <c r="AA9" i="1"/>
  <c r="AD98" i="1"/>
  <c r="Z98" i="1" s="1"/>
  <c r="F92" i="2" s="1"/>
  <c r="AA132" i="1"/>
  <c r="AC132" i="1"/>
  <c r="AC134" i="1"/>
  <c r="AA134" i="1"/>
  <c r="M168" i="1"/>
  <c r="AD168" i="1"/>
  <c r="Z168" i="1" s="1"/>
  <c r="F161" i="2" s="1"/>
  <c r="AA171" i="1"/>
  <c r="AC171" i="1"/>
  <c r="W186" i="1"/>
  <c r="R189" i="1"/>
  <c r="AC197" i="1"/>
  <c r="AA197" i="1"/>
  <c r="AA199" i="1"/>
  <c r="N226" i="1"/>
  <c r="K226" i="1" s="1"/>
  <c r="C219" i="2" s="1"/>
  <c r="X226" i="1"/>
  <c r="P226" i="1"/>
  <c r="D219" i="2" s="1"/>
  <c r="I226" i="1"/>
  <c r="M228" i="1"/>
  <c r="W230" i="1"/>
  <c r="AA232" i="1"/>
  <c r="AC232" i="1"/>
  <c r="R49" i="1"/>
  <c r="K95" i="1"/>
  <c r="C89" i="2" s="1"/>
  <c r="U95" i="1"/>
  <c r="E89" i="2" s="1"/>
  <c r="M193" i="1"/>
  <c r="AA261" i="1"/>
  <c r="AC261" i="1"/>
  <c r="M210" i="1"/>
  <c r="M240" i="1"/>
  <c r="AA265" i="1"/>
  <c r="AA275" i="1"/>
  <c r="AC275" i="1"/>
  <c r="AA224" i="1"/>
  <c r="G141" i="2" l="1"/>
  <c r="S147" i="1"/>
  <c r="G254" i="1"/>
  <c r="G246" i="2"/>
  <c r="S253" i="1"/>
  <c r="AA189" i="1"/>
  <c r="G137" i="2"/>
  <c r="S143" i="1"/>
  <c r="U236" i="1"/>
  <c r="E229" i="2" s="1"/>
  <c r="AA233" i="1"/>
  <c r="AC172" i="1"/>
  <c r="AC189" i="1"/>
  <c r="G163" i="2"/>
  <c r="S170" i="1"/>
  <c r="G156" i="2"/>
  <c r="S163" i="1"/>
  <c r="AA183" i="1"/>
  <c r="F176" i="2"/>
  <c r="AA43" i="1"/>
  <c r="F37" i="2"/>
  <c r="G94" i="2"/>
  <c r="S100" i="1"/>
  <c r="M206" i="1"/>
  <c r="AC39" i="1"/>
  <c r="F33" i="2"/>
  <c r="M237" i="1"/>
  <c r="W240" i="1"/>
  <c r="W142" i="1"/>
  <c r="AD204" i="1"/>
  <c r="Z204" i="1" s="1"/>
  <c r="F197" i="2" s="1"/>
  <c r="AD93" i="1"/>
  <c r="Z93" i="1" s="1"/>
  <c r="F87" i="2" s="1"/>
  <c r="N243" i="1"/>
  <c r="K243" i="1" s="1"/>
  <c r="C236" i="2" s="1"/>
  <c r="M93" i="1"/>
  <c r="M204" i="1"/>
  <c r="R146" i="1"/>
  <c r="W169" i="1"/>
  <c r="R226" i="1"/>
  <c r="M242" i="1"/>
  <c r="AD242" i="1"/>
  <c r="Z242" i="1" s="1"/>
  <c r="F235" i="2" s="1"/>
  <c r="W98" i="1"/>
  <c r="W203" i="1"/>
  <c r="W170" i="1"/>
  <c r="AC202" i="1"/>
  <c r="R142" i="1"/>
  <c r="R99" i="1"/>
  <c r="AA202" i="1"/>
  <c r="M146" i="1"/>
  <c r="AA151" i="1"/>
  <c r="AC151" i="1"/>
  <c r="R206" i="1"/>
  <c r="W150" i="1"/>
  <c r="M150" i="1"/>
  <c r="AC274" i="1"/>
  <c r="M179" i="1"/>
  <c r="W10" i="1"/>
  <c r="AC272" i="1"/>
  <c r="M272" i="1"/>
  <c r="AC60" i="1"/>
  <c r="AA60" i="1"/>
  <c r="AA61" i="1"/>
  <c r="AC61" i="1"/>
  <c r="AC183" i="1"/>
  <c r="U90" i="1"/>
  <c r="E84" i="2" s="1"/>
  <c r="R90" i="1"/>
  <c r="K90" i="1"/>
  <c r="C84" i="2" s="1"/>
  <c r="AC43" i="1"/>
  <c r="M56" i="1"/>
  <c r="AD56" i="1"/>
  <c r="Z56" i="1" s="1"/>
  <c r="F50" i="2" s="1"/>
  <c r="R203" i="1"/>
  <c r="M274" i="1"/>
  <c r="AA37" i="1"/>
  <c r="AC37" i="1"/>
  <c r="AC201" i="1"/>
  <c r="AA201" i="1"/>
  <c r="K85" i="1"/>
  <c r="C79" i="2" s="1"/>
  <c r="R85" i="1"/>
  <c r="U85" i="1"/>
  <c r="E79" i="2" s="1"/>
  <c r="AD206" i="1"/>
  <c r="Z206" i="1" s="1"/>
  <c r="F199" i="2" s="1"/>
  <c r="W273" i="1"/>
  <c r="U274" i="1"/>
  <c r="W274" i="1" s="1"/>
  <c r="AC205" i="1"/>
  <c r="AA205" i="1"/>
  <c r="AA65" i="1"/>
  <c r="AC65" i="1"/>
  <c r="R56" i="1"/>
  <c r="AC196" i="1"/>
  <c r="AA196" i="1"/>
  <c r="AC273" i="1"/>
  <c r="AA273" i="1"/>
  <c r="AC154" i="1"/>
  <c r="AA154" i="1"/>
  <c r="AD268" i="1"/>
  <c r="Z268" i="1" s="1"/>
  <c r="M268" i="1"/>
  <c r="AA64" i="1"/>
  <c r="AE64" i="1"/>
  <c r="AC64" i="1"/>
  <c r="W206" i="1"/>
  <c r="AD203" i="1"/>
  <c r="Z203" i="1" s="1"/>
  <c r="F196" i="2" s="1"/>
  <c r="W95" i="1"/>
  <c r="AD142" i="1"/>
  <c r="Z142" i="1" s="1"/>
  <c r="F136" i="2" s="1"/>
  <c r="AD55" i="1"/>
  <c r="Z55" i="1" s="1"/>
  <c r="F49" i="2" s="1"/>
  <c r="M55" i="1"/>
  <c r="R58" i="1"/>
  <c r="R47" i="1"/>
  <c r="AA236" i="1"/>
  <c r="AC236" i="1"/>
  <c r="AD99" i="1"/>
  <c r="Z99" i="1" s="1"/>
  <c r="F93" i="2" s="1"/>
  <c r="M99" i="1"/>
  <c r="AA210" i="1"/>
  <c r="AC210" i="1"/>
  <c r="K88" i="1"/>
  <c r="C82" i="2" s="1"/>
  <c r="U88" i="1"/>
  <c r="E82" i="2" s="1"/>
  <c r="R88" i="1"/>
  <c r="P11" i="1"/>
  <c r="D5" i="2" s="1"/>
  <c r="W267" i="1"/>
  <c r="U268" i="1"/>
  <c r="R59" i="1"/>
  <c r="AD95" i="1"/>
  <c r="Z95" i="1" s="1"/>
  <c r="F89" i="2" s="1"/>
  <c r="M95" i="1"/>
  <c r="AD226" i="1"/>
  <c r="Z226" i="1" s="1"/>
  <c r="F219" i="2" s="1"/>
  <c r="N143" i="1"/>
  <c r="K143" i="1" s="1"/>
  <c r="C137" i="2" s="1"/>
  <c r="I143" i="1"/>
  <c r="P143" i="1"/>
  <c r="D137" i="2" s="1"/>
  <c r="G144" i="1"/>
  <c r="X143" i="1"/>
  <c r="U143" i="1" s="1"/>
  <c r="E137" i="2" s="1"/>
  <c r="AA57" i="1"/>
  <c r="AC57" i="1"/>
  <c r="AD46" i="1"/>
  <c r="Z46" i="1" s="1"/>
  <c r="F40" i="2" s="1"/>
  <c r="M46" i="1"/>
  <c r="AD40" i="1"/>
  <c r="Z40" i="1" s="1"/>
  <c r="F34" i="2" s="1"/>
  <c r="M40" i="1"/>
  <c r="AA193" i="1"/>
  <c r="AC193" i="1"/>
  <c r="AA228" i="1"/>
  <c r="AC228" i="1"/>
  <c r="AD47" i="1"/>
  <c r="Z47" i="1" s="1"/>
  <c r="F41" i="2" s="1"/>
  <c r="M47" i="1"/>
  <c r="AA223" i="1"/>
  <c r="AC223" i="1"/>
  <c r="AA49" i="1"/>
  <c r="AC49" i="1"/>
  <c r="U94" i="1"/>
  <c r="E88" i="2" s="1"/>
  <c r="K94" i="1"/>
  <c r="C88" i="2" s="1"/>
  <c r="R94" i="1"/>
  <c r="AA207" i="1"/>
  <c r="AC207" i="1"/>
  <c r="R161" i="1"/>
  <c r="AA10" i="1"/>
  <c r="N11" i="1"/>
  <c r="K11" i="1" s="1"/>
  <c r="C5" i="2" s="1"/>
  <c r="I11" i="1"/>
  <c r="AD11" i="1"/>
  <c r="Z11" i="1" s="1"/>
  <c r="F5" i="2" s="1"/>
  <c r="S11" i="1"/>
  <c r="G12" i="1"/>
  <c r="G6" i="2" s="1"/>
  <c r="X11" i="1"/>
  <c r="AC263" i="1"/>
  <c r="AA263" i="1"/>
  <c r="AA51" i="1"/>
  <c r="AC51" i="1"/>
  <c r="R172" i="1"/>
  <c r="AD159" i="1"/>
  <c r="Z159" i="1" s="1"/>
  <c r="F153" i="2" s="1"/>
  <c r="M159" i="1"/>
  <c r="W146" i="1"/>
  <c r="AD146" i="1"/>
  <c r="Z146" i="1" s="1"/>
  <c r="F140" i="2" s="1"/>
  <c r="AD59" i="1"/>
  <c r="Z59" i="1" s="1"/>
  <c r="F53" i="2" s="1"/>
  <c r="M59" i="1"/>
  <c r="M226" i="1"/>
  <c r="AC54" i="1"/>
  <c r="AA54" i="1"/>
  <c r="R50" i="1"/>
  <c r="K83" i="1"/>
  <c r="C77" i="2" s="1"/>
  <c r="U83" i="1"/>
  <c r="E77" i="2" s="1"/>
  <c r="R83" i="1"/>
  <c r="R46" i="1"/>
  <c r="R150" i="1"/>
  <c r="K87" i="1"/>
  <c r="C81" i="2" s="1"/>
  <c r="U87" i="1"/>
  <c r="E81" i="2" s="1"/>
  <c r="R87" i="1"/>
  <c r="AA204" i="1"/>
  <c r="AA230" i="1"/>
  <c r="AC230" i="1"/>
  <c r="N100" i="1"/>
  <c r="K100" i="1" s="1"/>
  <c r="C94" i="2" s="1"/>
  <c r="X100" i="1"/>
  <c r="G101" i="1"/>
  <c r="P100" i="1"/>
  <c r="D94" i="2" s="1"/>
  <c r="I100" i="1"/>
  <c r="U11" i="1"/>
  <c r="E5" i="2" s="1"/>
  <c r="W223" i="1"/>
  <c r="R179" i="1"/>
  <c r="I163" i="1"/>
  <c r="X163" i="1"/>
  <c r="U163" i="1" s="1"/>
  <c r="E156" i="2" s="1"/>
  <c r="W228" i="1"/>
  <c r="AD161" i="1"/>
  <c r="Z161" i="1" s="1"/>
  <c r="F154" i="2" s="1"/>
  <c r="M161" i="1"/>
  <c r="W225" i="1"/>
  <c r="R10" i="1"/>
  <c r="AA231" i="1"/>
  <c r="AC231" i="1"/>
  <c r="AD44" i="1"/>
  <c r="Z44" i="1" s="1"/>
  <c r="F38" i="2" s="1"/>
  <c r="M44" i="1"/>
  <c r="AD269" i="1"/>
  <c r="Z269" i="1" s="1"/>
  <c r="U269" i="1"/>
  <c r="W269" i="1" s="1"/>
  <c r="N147" i="1"/>
  <c r="K147" i="1" s="1"/>
  <c r="C141" i="2" s="1"/>
  <c r="I147" i="1"/>
  <c r="X147" i="1"/>
  <c r="U147" i="1" s="1"/>
  <c r="E141" i="2" s="1"/>
  <c r="G148" i="1"/>
  <c r="P147" i="1"/>
  <c r="D141" i="2" s="1"/>
  <c r="M89" i="1"/>
  <c r="AD89" i="1"/>
  <c r="Z89" i="1" s="1"/>
  <c r="F83" i="2" s="1"/>
  <c r="AA98" i="1"/>
  <c r="AC98" i="1"/>
  <c r="AA240" i="1"/>
  <c r="AC240" i="1"/>
  <c r="AD164" i="1"/>
  <c r="Z164" i="1" s="1"/>
  <c r="F157" i="2" s="1"/>
  <c r="M164" i="1"/>
  <c r="AD169" i="1"/>
  <c r="Z169" i="1" s="1"/>
  <c r="F162" i="2" s="1"/>
  <c r="M169" i="1"/>
  <c r="AD156" i="1"/>
  <c r="Z156" i="1" s="1"/>
  <c r="F150" i="2" s="1"/>
  <c r="M156" i="1"/>
  <c r="R40" i="1"/>
  <c r="AA157" i="1"/>
  <c r="AC157" i="1"/>
  <c r="X243" i="1"/>
  <c r="P243" i="1"/>
  <c r="D236" i="2" s="1"/>
  <c r="R173" i="1"/>
  <c r="R159" i="1"/>
  <c r="AA167" i="1"/>
  <c r="AC167" i="1"/>
  <c r="W89" i="1"/>
  <c r="R165" i="1"/>
  <c r="AA152" i="1"/>
  <c r="AC152" i="1"/>
  <c r="R169" i="1"/>
  <c r="AD50" i="1"/>
  <c r="Z50" i="1" s="1"/>
  <c r="F44" i="2" s="1"/>
  <c r="M50" i="1"/>
  <c r="U237" i="1"/>
  <c r="E230" i="2" s="1"/>
  <c r="W236" i="1"/>
  <c r="W179" i="1"/>
  <c r="N162" i="1"/>
  <c r="K162" i="1" s="1"/>
  <c r="C155" i="2" s="1"/>
  <c r="P162" i="1"/>
  <c r="D155" i="2" s="1"/>
  <c r="U242" i="1"/>
  <c r="E235" i="2" s="1"/>
  <c r="R242" i="1"/>
  <c r="K92" i="1"/>
  <c r="C86" i="2" s="1"/>
  <c r="U92" i="1"/>
  <c r="E86" i="2" s="1"/>
  <c r="R92" i="1"/>
  <c r="AA153" i="1"/>
  <c r="AC153" i="1"/>
  <c r="K91" i="1"/>
  <c r="C85" i="2" s="1"/>
  <c r="U91" i="1"/>
  <c r="E85" i="2" s="1"/>
  <c r="R91" i="1"/>
  <c r="R237" i="1"/>
  <c r="M86" i="1"/>
  <c r="AD86" i="1"/>
  <c r="Z86" i="1" s="1"/>
  <c r="F80" i="2" s="1"/>
  <c r="AD165" i="1"/>
  <c r="Z165" i="1" s="1"/>
  <c r="F158" i="2" s="1"/>
  <c r="M165" i="1"/>
  <c r="U226" i="1"/>
  <c r="E219" i="2" s="1"/>
  <c r="AA168" i="1"/>
  <c r="AC168" i="1"/>
  <c r="AA48" i="1"/>
  <c r="AC48" i="1"/>
  <c r="R164" i="1"/>
  <c r="M142" i="1"/>
  <c r="R55" i="1"/>
  <c r="R156" i="1"/>
  <c r="AD58" i="1"/>
  <c r="Z58" i="1" s="1"/>
  <c r="F52" i="2" s="1"/>
  <c r="M58" i="1"/>
  <c r="W241" i="1"/>
  <c r="AA173" i="1"/>
  <c r="AC173" i="1"/>
  <c r="AC225" i="1"/>
  <c r="AA225" i="1"/>
  <c r="AD150" i="1"/>
  <c r="Z150" i="1" s="1"/>
  <c r="F144" i="2" s="1"/>
  <c r="U264" i="1"/>
  <c r="E257" i="2" s="1"/>
  <c r="W263" i="1"/>
  <c r="AA136" i="1"/>
  <c r="AC136" i="1"/>
  <c r="U99" i="1"/>
  <c r="E93" i="2" s="1"/>
  <c r="I244" i="1"/>
  <c r="N244" i="1"/>
  <c r="K244" i="1" s="1"/>
  <c r="C237" i="2" s="1"/>
  <c r="AD179" i="1"/>
  <c r="Z179" i="1" s="1"/>
  <c r="F172" i="2" s="1"/>
  <c r="AC52" i="1"/>
  <c r="AA52" i="1"/>
  <c r="W162" i="1"/>
  <c r="AA42" i="1"/>
  <c r="AC42" i="1"/>
  <c r="AA38" i="1"/>
  <c r="AC38" i="1"/>
  <c r="AA145" i="1"/>
  <c r="AC145" i="1"/>
  <c r="AC10" i="1"/>
  <c r="M10" i="1"/>
  <c r="K84" i="1"/>
  <c r="C78" i="2" s="1"/>
  <c r="U84" i="1"/>
  <c r="E78" i="2" s="1"/>
  <c r="R84" i="1"/>
  <c r="U272" i="1"/>
  <c r="W272" i="1" s="1"/>
  <c r="W271" i="1"/>
  <c r="W136" i="1"/>
  <c r="R44" i="1"/>
  <c r="AD237" i="1"/>
  <c r="Z237" i="1" s="1"/>
  <c r="F230" i="2" s="1"/>
  <c r="W231" i="1"/>
  <c r="W86" i="1"/>
  <c r="M269" i="1"/>
  <c r="R96" i="1"/>
  <c r="K96" i="1"/>
  <c r="C90" i="2" s="1"/>
  <c r="U96" i="1"/>
  <c r="E90" i="2" s="1"/>
  <c r="N170" i="1" l="1"/>
  <c r="K170" i="1" s="1"/>
  <c r="P170" i="1"/>
  <c r="G142" i="2"/>
  <c r="S148" i="1"/>
  <c r="P148" i="1" s="1"/>
  <c r="D142" i="2" s="1"/>
  <c r="G138" i="2"/>
  <c r="S144" i="1"/>
  <c r="P144" i="1" s="1"/>
  <c r="D138" i="2" s="1"/>
  <c r="G247" i="2"/>
  <c r="S254" i="1"/>
  <c r="G95" i="2"/>
  <c r="S101" i="1"/>
  <c r="AC204" i="1"/>
  <c r="AD243" i="1"/>
  <c r="Z243" i="1" s="1"/>
  <c r="F236" i="2" s="1"/>
  <c r="M243" i="1"/>
  <c r="AC93" i="1"/>
  <c r="AA93" i="1"/>
  <c r="AC242" i="1"/>
  <c r="AA242" i="1"/>
  <c r="R11" i="1"/>
  <c r="AC268" i="1"/>
  <c r="AA268" i="1"/>
  <c r="AD85" i="1"/>
  <c r="Z85" i="1" s="1"/>
  <c r="F79" i="2" s="1"/>
  <c r="M85" i="1"/>
  <c r="M90" i="1"/>
  <c r="AD90" i="1"/>
  <c r="Z90" i="1" s="1"/>
  <c r="F84" i="2" s="1"/>
  <c r="M100" i="1"/>
  <c r="M143" i="1"/>
  <c r="M244" i="1"/>
  <c r="M147" i="1"/>
  <c r="AC11" i="1"/>
  <c r="W85" i="1"/>
  <c r="W90" i="1"/>
  <c r="AC206" i="1"/>
  <c r="AA206" i="1"/>
  <c r="M11" i="1"/>
  <c r="AC203" i="1"/>
  <c r="AA203" i="1"/>
  <c r="AC56" i="1"/>
  <c r="AA56" i="1"/>
  <c r="AD84" i="1"/>
  <c r="Z84" i="1" s="1"/>
  <c r="F78" i="2" s="1"/>
  <c r="M84" i="1"/>
  <c r="AD244" i="1"/>
  <c r="Z244" i="1" s="1"/>
  <c r="F237" i="2" s="1"/>
  <c r="N245" i="1"/>
  <c r="K245" i="1" s="1"/>
  <c r="C238" i="2" s="1"/>
  <c r="I245" i="1"/>
  <c r="W99" i="1"/>
  <c r="AA150" i="1"/>
  <c r="AC150" i="1"/>
  <c r="W91" i="1"/>
  <c r="AD92" i="1"/>
  <c r="Z92" i="1" s="1"/>
  <c r="F86" i="2" s="1"/>
  <c r="M92" i="1"/>
  <c r="AA50" i="1"/>
  <c r="AC50" i="1"/>
  <c r="AA164" i="1"/>
  <c r="AC164" i="1"/>
  <c r="AA89" i="1"/>
  <c r="AC89" i="1"/>
  <c r="W147" i="1"/>
  <c r="AA161" i="1"/>
  <c r="AC161" i="1"/>
  <c r="P163" i="1"/>
  <c r="D156" i="2" s="1"/>
  <c r="N163" i="1"/>
  <c r="K163" i="1" s="1"/>
  <c r="C156" i="2" s="1"/>
  <c r="U12" i="1"/>
  <c r="E6" i="2" s="1"/>
  <c r="U100" i="1"/>
  <c r="E94" i="2" s="1"/>
  <c r="AD87" i="1"/>
  <c r="Z87" i="1" s="1"/>
  <c r="F81" i="2" s="1"/>
  <c r="M87" i="1"/>
  <c r="AA146" i="1"/>
  <c r="AC146" i="1"/>
  <c r="AA159" i="1"/>
  <c r="AC159" i="1"/>
  <c r="I12" i="1"/>
  <c r="X12" i="1"/>
  <c r="AD12" i="1"/>
  <c r="Z12" i="1" s="1"/>
  <c r="F6" i="2" s="1"/>
  <c r="S12" i="1"/>
  <c r="G13" i="1"/>
  <c r="G7" i="2" s="1"/>
  <c r="N12" i="1"/>
  <c r="K12" i="1" s="1"/>
  <c r="C6" i="2" s="1"/>
  <c r="AA40" i="1"/>
  <c r="AC40" i="1"/>
  <c r="AD143" i="1"/>
  <c r="Z143" i="1" s="1"/>
  <c r="F137" i="2" s="1"/>
  <c r="AA95" i="1"/>
  <c r="AC95" i="1"/>
  <c r="W268" i="1"/>
  <c r="W96" i="1"/>
  <c r="AA179" i="1"/>
  <c r="AC179" i="1"/>
  <c r="X244" i="1"/>
  <c r="P244" i="1"/>
  <c r="D237" i="2" s="1"/>
  <c r="AA165" i="1"/>
  <c r="AC165" i="1"/>
  <c r="AD91" i="1"/>
  <c r="Z91" i="1" s="1"/>
  <c r="F85" i="2" s="1"/>
  <c r="M91" i="1"/>
  <c r="R162" i="1"/>
  <c r="W237" i="1"/>
  <c r="AA169" i="1"/>
  <c r="AC169" i="1"/>
  <c r="R147" i="1"/>
  <c r="AA269" i="1"/>
  <c r="AC269" i="1"/>
  <c r="W163" i="1"/>
  <c r="R100" i="1"/>
  <c r="W11" i="1"/>
  <c r="AD94" i="1"/>
  <c r="Z94" i="1" s="1"/>
  <c r="F88" i="2" s="1"/>
  <c r="M94" i="1"/>
  <c r="R143" i="1"/>
  <c r="AA226" i="1"/>
  <c r="AC226" i="1"/>
  <c r="AA99" i="1"/>
  <c r="AC99" i="1"/>
  <c r="AA142" i="1"/>
  <c r="AC142" i="1"/>
  <c r="AD96" i="1"/>
  <c r="Z96" i="1" s="1"/>
  <c r="F90" i="2" s="1"/>
  <c r="M96" i="1"/>
  <c r="AA237" i="1"/>
  <c r="AC237" i="1"/>
  <c r="W264" i="1"/>
  <c r="U265" i="1"/>
  <c r="E258" i="2" s="1"/>
  <c r="W226" i="1"/>
  <c r="AD162" i="1"/>
  <c r="Z162" i="1" s="1"/>
  <c r="F155" i="2" s="1"/>
  <c r="M162" i="1"/>
  <c r="U243" i="1"/>
  <c r="E236" i="2" s="1"/>
  <c r="R243" i="1"/>
  <c r="AA156" i="1"/>
  <c r="AC156" i="1"/>
  <c r="AD147" i="1"/>
  <c r="Z147" i="1" s="1"/>
  <c r="F141" i="2" s="1"/>
  <c r="I101" i="1"/>
  <c r="N101" i="1"/>
  <c r="K101" i="1" s="1"/>
  <c r="C95" i="2" s="1"/>
  <c r="X101" i="1"/>
  <c r="G102" i="1"/>
  <c r="P101" i="1"/>
  <c r="D95" i="2" s="1"/>
  <c r="AD100" i="1"/>
  <c r="Z100" i="1" s="1"/>
  <c r="F94" i="2" s="1"/>
  <c r="W83" i="1"/>
  <c r="AC59" i="1"/>
  <c r="AA59" i="1"/>
  <c r="AA11" i="1"/>
  <c r="W94" i="1"/>
  <c r="W143" i="1"/>
  <c r="W88" i="1"/>
  <c r="W84" i="1"/>
  <c r="AA58" i="1"/>
  <c r="AC58" i="1"/>
  <c r="AA86" i="1"/>
  <c r="AC86" i="1"/>
  <c r="W92" i="1"/>
  <c r="W242" i="1"/>
  <c r="I148" i="1"/>
  <c r="X148" i="1"/>
  <c r="U148" i="1" s="1"/>
  <c r="E142" i="2" s="1"/>
  <c r="N148" i="1"/>
  <c r="K148" i="1" s="1"/>
  <c r="C142" i="2" s="1"/>
  <c r="AA44" i="1"/>
  <c r="AC44" i="1"/>
  <c r="W87" i="1"/>
  <c r="AD83" i="1"/>
  <c r="Z83" i="1" s="1"/>
  <c r="F77" i="2" s="1"/>
  <c r="M83" i="1"/>
  <c r="AA47" i="1"/>
  <c r="AC47" i="1"/>
  <c r="AA46" i="1"/>
  <c r="AC46" i="1"/>
  <c r="I144" i="1"/>
  <c r="X144" i="1"/>
  <c r="U144" i="1" s="1"/>
  <c r="E138" i="2" s="1"/>
  <c r="N144" i="1"/>
  <c r="K144" i="1" s="1"/>
  <c r="C138" i="2" s="1"/>
  <c r="P12" i="1"/>
  <c r="D6" i="2" s="1"/>
  <c r="AD88" i="1"/>
  <c r="Z88" i="1" s="1"/>
  <c r="F82" i="2" s="1"/>
  <c r="M88" i="1"/>
  <c r="AA55" i="1"/>
  <c r="AC55" i="1"/>
  <c r="D163" i="2" l="1"/>
  <c r="R170" i="1"/>
  <c r="AC243" i="1"/>
  <c r="C163" i="2"/>
  <c r="M170" i="1"/>
  <c r="AD170" i="1"/>
  <c r="Z170" i="1" s="1"/>
  <c r="G96" i="2"/>
  <c r="S102" i="1"/>
  <c r="P102" i="1" s="1"/>
  <c r="D96" i="2" s="1"/>
  <c r="AA243" i="1"/>
  <c r="M12" i="1"/>
  <c r="M245" i="1"/>
  <c r="M144" i="1"/>
  <c r="R101" i="1"/>
  <c r="M101" i="1"/>
  <c r="R148" i="1"/>
  <c r="AC12" i="1"/>
  <c r="W148" i="1"/>
  <c r="W144" i="1"/>
  <c r="W12" i="1"/>
  <c r="AC90" i="1"/>
  <c r="AA90" i="1"/>
  <c r="AC85" i="1"/>
  <c r="AA85" i="1"/>
  <c r="AA88" i="1"/>
  <c r="AC88" i="1"/>
  <c r="AD148" i="1"/>
  <c r="Z148" i="1" s="1"/>
  <c r="F142" i="2" s="1"/>
  <c r="AA100" i="1"/>
  <c r="AC100" i="1"/>
  <c r="AA162" i="1"/>
  <c r="AC162" i="1"/>
  <c r="X102" i="1"/>
  <c r="U102" i="1" s="1"/>
  <c r="E96" i="2" s="1"/>
  <c r="I102" i="1"/>
  <c r="G103" i="1"/>
  <c r="N102" i="1"/>
  <c r="K102" i="1" s="1"/>
  <c r="C96" i="2" s="1"/>
  <c r="W243" i="1"/>
  <c r="U244" i="1"/>
  <c r="E237" i="2" s="1"/>
  <c r="R244" i="1"/>
  <c r="AA143" i="1"/>
  <c r="AC143" i="1"/>
  <c r="P13" i="1"/>
  <c r="D7" i="2" s="1"/>
  <c r="M148" i="1"/>
  <c r="U101" i="1"/>
  <c r="E95" i="2" s="1"/>
  <c r="AA12" i="1"/>
  <c r="W100" i="1"/>
  <c r="AD163" i="1"/>
  <c r="Z163" i="1" s="1"/>
  <c r="F156" i="2" s="1"/>
  <c r="M163" i="1"/>
  <c r="AA92" i="1"/>
  <c r="AC92" i="1"/>
  <c r="AD245" i="1"/>
  <c r="Z245" i="1" s="1"/>
  <c r="F238" i="2" s="1"/>
  <c r="AD144" i="1"/>
  <c r="Z144" i="1" s="1"/>
  <c r="F138" i="2" s="1"/>
  <c r="R144" i="1"/>
  <c r="AA83" i="1"/>
  <c r="AC83" i="1"/>
  <c r="AD101" i="1"/>
  <c r="Z101" i="1" s="1"/>
  <c r="F95" i="2" s="1"/>
  <c r="AA147" i="1"/>
  <c r="AC147" i="1"/>
  <c r="AA96" i="1"/>
  <c r="AC96" i="1"/>
  <c r="R163" i="1"/>
  <c r="I246" i="1"/>
  <c r="N246" i="1"/>
  <c r="K246" i="1" s="1"/>
  <c r="C239" i="2" s="1"/>
  <c r="AC84" i="1"/>
  <c r="AA84" i="1"/>
  <c r="W265" i="1"/>
  <c r="AA94" i="1"/>
  <c r="AC94" i="1"/>
  <c r="AA91" i="1"/>
  <c r="AC91" i="1"/>
  <c r="X13" i="1"/>
  <c r="AD13" i="1"/>
  <c r="Z13" i="1" s="1"/>
  <c r="F7" i="2" s="1"/>
  <c r="S13" i="1"/>
  <c r="G14" i="1"/>
  <c r="G8" i="2" s="1"/>
  <c r="I13" i="1"/>
  <c r="N13" i="1"/>
  <c r="K13" i="1" s="1"/>
  <c r="C7" i="2" s="1"/>
  <c r="R12" i="1"/>
  <c r="AA87" i="1"/>
  <c r="AC87" i="1"/>
  <c r="U13" i="1"/>
  <c r="E7" i="2" s="1"/>
  <c r="X245" i="1"/>
  <c r="P245" i="1"/>
  <c r="D238" i="2" s="1"/>
  <c r="AA244" i="1"/>
  <c r="AC244" i="1"/>
  <c r="F163" i="2" l="1"/>
  <c r="AA170" i="1"/>
  <c r="AC170" i="1"/>
  <c r="G97" i="2"/>
  <c r="S103" i="1"/>
  <c r="P103" i="1" s="1"/>
  <c r="D97" i="2" s="1"/>
  <c r="R102" i="1"/>
  <c r="M102" i="1"/>
  <c r="M13" i="1"/>
  <c r="M246" i="1"/>
  <c r="U14" i="1"/>
  <c r="E8" i="2" s="1"/>
  <c r="W13" i="1"/>
  <c r="N247" i="1"/>
  <c r="K247" i="1" s="1"/>
  <c r="C240" i="2" s="1"/>
  <c r="I247" i="1"/>
  <c r="P14" i="1"/>
  <c r="D8" i="2" s="1"/>
  <c r="G104" i="1"/>
  <c r="I103" i="1"/>
  <c r="N103" i="1"/>
  <c r="K103" i="1" s="1"/>
  <c r="C97" i="2" s="1"/>
  <c r="X103" i="1"/>
  <c r="U103" i="1" s="1"/>
  <c r="E97" i="2" s="1"/>
  <c r="AA13" i="1"/>
  <c r="P246" i="1"/>
  <c r="D239" i="2" s="1"/>
  <c r="X246" i="1"/>
  <c r="AA101" i="1"/>
  <c r="AC101" i="1"/>
  <c r="AA245" i="1"/>
  <c r="AC245" i="1"/>
  <c r="W101" i="1"/>
  <c r="U245" i="1"/>
  <c r="E238" i="2" s="1"/>
  <c r="R245" i="1"/>
  <c r="S14" i="1"/>
  <c r="G15" i="1"/>
  <c r="G9" i="2" s="1"/>
  <c r="N14" i="1"/>
  <c r="K14" i="1" s="1"/>
  <c r="C8" i="2" s="1"/>
  <c r="I14" i="1"/>
  <c r="X14" i="1"/>
  <c r="AD14" i="1"/>
  <c r="Z14" i="1" s="1"/>
  <c r="F8" i="2" s="1"/>
  <c r="W244" i="1"/>
  <c r="W102" i="1"/>
  <c r="AA148" i="1"/>
  <c r="AC148" i="1"/>
  <c r="AC13" i="1"/>
  <c r="R13" i="1"/>
  <c r="AD246" i="1"/>
  <c r="Z246" i="1" s="1"/>
  <c r="F239" i="2" s="1"/>
  <c r="AA144" i="1"/>
  <c r="AC144" i="1"/>
  <c r="AA163" i="1"/>
  <c r="AC163" i="1"/>
  <c r="AD102" i="1"/>
  <c r="Z102" i="1" s="1"/>
  <c r="F96" i="2" s="1"/>
  <c r="G98" i="2" l="1"/>
  <c r="S104" i="1"/>
  <c r="W14" i="1"/>
  <c r="M14" i="1"/>
  <c r="W103" i="1"/>
  <c r="AA14" i="1"/>
  <c r="W245" i="1"/>
  <c r="N248" i="1"/>
  <c r="K248" i="1" s="1"/>
  <c r="C241" i="2" s="1"/>
  <c r="I248" i="1"/>
  <c r="AC14" i="1"/>
  <c r="AD103" i="1"/>
  <c r="Z103" i="1" s="1"/>
  <c r="F97" i="2" s="1"/>
  <c r="N104" i="1"/>
  <c r="K104" i="1" s="1"/>
  <c r="C98" i="2" s="1"/>
  <c r="G105" i="1"/>
  <c r="P104" i="1"/>
  <c r="D98" i="2" s="1"/>
  <c r="X104" i="1"/>
  <c r="U104" i="1" s="1"/>
  <c r="E98" i="2" s="1"/>
  <c r="I104" i="1"/>
  <c r="P15" i="1"/>
  <c r="D9" i="2" s="1"/>
  <c r="X247" i="1"/>
  <c r="P247" i="1"/>
  <c r="D240" i="2" s="1"/>
  <c r="AD247" i="1"/>
  <c r="Z247" i="1" s="1"/>
  <c r="F240" i="2" s="1"/>
  <c r="U15" i="1"/>
  <c r="E9" i="2" s="1"/>
  <c r="AA102" i="1"/>
  <c r="AC102" i="1"/>
  <c r="AA246" i="1"/>
  <c r="AC246" i="1"/>
  <c r="R14" i="1"/>
  <c r="M247" i="1"/>
  <c r="N15" i="1"/>
  <c r="K15" i="1" s="1"/>
  <c r="C9" i="2" s="1"/>
  <c r="I15" i="1"/>
  <c r="W15" i="1"/>
  <c r="X15" i="1"/>
  <c r="S15" i="1"/>
  <c r="AD15" i="1"/>
  <c r="Z15" i="1" s="1"/>
  <c r="F9" i="2" s="1"/>
  <c r="G16" i="1"/>
  <c r="G10" i="2" s="1"/>
  <c r="U246" i="1"/>
  <c r="E239" i="2" s="1"/>
  <c r="R246" i="1"/>
  <c r="R103" i="1"/>
  <c r="M103" i="1"/>
  <c r="M15" i="1" l="1"/>
  <c r="G99" i="2"/>
  <c r="S105" i="1"/>
  <c r="P105" i="1" s="1"/>
  <c r="D99" i="2" s="1"/>
  <c r="R104" i="1"/>
  <c r="W104" i="1"/>
  <c r="M104" i="1"/>
  <c r="R15" i="1"/>
  <c r="W246" i="1"/>
  <c r="AA15" i="1"/>
  <c r="AC15" i="1"/>
  <c r="N105" i="1"/>
  <c r="K105" i="1" s="1"/>
  <c r="C99" i="2" s="1"/>
  <c r="G106" i="1"/>
  <c r="I105" i="1"/>
  <c r="X105" i="1"/>
  <c r="U105" i="1" s="1"/>
  <c r="E99" i="2" s="1"/>
  <c r="P248" i="1"/>
  <c r="D241" i="2" s="1"/>
  <c r="X248" i="1"/>
  <c r="U16" i="1"/>
  <c r="E10" i="2" s="1"/>
  <c r="U247" i="1"/>
  <c r="E240" i="2" s="1"/>
  <c r="R247" i="1"/>
  <c r="AD104" i="1"/>
  <c r="Z104" i="1" s="1"/>
  <c r="F98" i="2" s="1"/>
  <c r="AD248" i="1"/>
  <c r="Z248" i="1" s="1"/>
  <c r="F241" i="2" s="1"/>
  <c r="M248" i="1"/>
  <c r="I16" i="1"/>
  <c r="X16" i="1"/>
  <c r="AD16" i="1"/>
  <c r="Z16" i="1" s="1"/>
  <c r="F10" i="2" s="1"/>
  <c r="N16" i="1"/>
  <c r="K16" i="1" s="1"/>
  <c r="C10" i="2" s="1"/>
  <c r="G17" i="1"/>
  <c r="G11" i="2" s="1"/>
  <c r="S16" i="1"/>
  <c r="AA247" i="1"/>
  <c r="AC247" i="1"/>
  <c r="P16" i="1"/>
  <c r="D10" i="2" s="1"/>
  <c r="AA103" i="1"/>
  <c r="AC103" i="1"/>
  <c r="N249" i="1"/>
  <c r="K249" i="1" s="1"/>
  <c r="C242" i="2" s="1"/>
  <c r="I249" i="1"/>
  <c r="G100" i="2" l="1"/>
  <c r="S106" i="1"/>
  <c r="M249" i="1"/>
  <c r="R105" i="1"/>
  <c r="AC16" i="1"/>
  <c r="I250" i="1"/>
  <c r="N250" i="1"/>
  <c r="K250" i="1" s="1"/>
  <c r="C243" i="2" s="1"/>
  <c r="P17" i="1"/>
  <c r="D11" i="2" s="1"/>
  <c r="R16" i="1"/>
  <c r="U17" i="1"/>
  <c r="E11" i="2" s="1"/>
  <c r="W105" i="1"/>
  <c r="AD105" i="1"/>
  <c r="Z105" i="1" s="1"/>
  <c r="F99" i="2" s="1"/>
  <c r="P249" i="1"/>
  <c r="D242" i="2" s="1"/>
  <c r="X249" i="1"/>
  <c r="AA16" i="1"/>
  <c r="W16" i="1"/>
  <c r="AA248" i="1"/>
  <c r="AC248" i="1"/>
  <c r="M105" i="1"/>
  <c r="W247" i="1"/>
  <c r="AD249" i="1"/>
  <c r="Z249" i="1" s="1"/>
  <c r="F242" i="2" s="1"/>
  <c r="S17" i="1"/>
  <c r="G18" i="1"/>
  <c r="G12" i="2" s="1"/>
  <c r="N17" i="1"/>
  <c r="K17" i="1" s="1"/>
  <c r="C11" i="2" s="1"/>
  <c r="X17" i="1"/>
  <c r="W17" i="1"/>
  <c r="AD17" i="1"/>
  <c r="Z17" i="1" s="1"/>
  <c r="F11" i="2" s="1"/>
  <c r="I17" i="1"/>
  <c r="M16" i="1"/>
  <c r="AA104" i="1"/>
  <c r="AC104" i="1"/>
  <c r="U248" i="1"/>
  <c r="E241" i="2" s="1"/>
  <c r="R248" i="1"/>
  <c r="I106" i="1"/>
  <c r="N106" i="1"/>
  <c r="K106" i="1" s="1"/>
  <c r="C100" i="2" s="1"/>
  <c r="X106" i="1"/>
  <c r="U106" i="1" s="1"/>
  <c r="E100" i="2" s="1"/>
  <c r="G107" i="1"/>
  <c r="P106" i="1"/>
  <c r="D100" i="2" s="1"/>
  <c r="G101" i="2" l="1"/>
  <c r="S107" i="1"/>
  <c r="W106" i="1"/>
  <c r="W248" i="1"/>
  <c r="AA17" i="1"/>
  <c r="P18" i="1"/>
  <c r="D12" i="2" s="1"/>
  <c r="AD250" i="1"/>
  <c r="Z250" i="1" s="1"/>
  <c r="F243" i="2" s="1"/>
  <c r="AD106" i="1"/>
  <c r="Z106" i="1" s="1"/>
  <c r="F100" i="2" s="1"/>
  <c r="N18" i="1"/>
  <c r="K18" i="1" s="1"/>
  <c r="C12" i="2" s="1"/>
  <c r="I18" i="1"/>
  <c r="AD18" i="1"/>
  <c r="Z18" i="1" s="1"/>
  <c r="F12" i="2" s="1"/>
  <c r="X18" i="1"/>
  <c r="G19" i="1"/>
  <c r="G13" i="2" s="1"/>
  <c r="S18" i="1"/>
  <c r="AA249" i="1"/>
  <c r="AC249" i="1"/>
  <c r="U249" i="1"/>
  <c r="E242" i="2" s="1"/>
  <c r="R249" i="1"/>
  <c r="U18" i="1"/>
  <c r="E12" i="2" s="1"/>
  <c r="N251" i="1"/>
  <c r="K251" i="1" s="1"/>
  <c r="C244" i="2" s="1"/>
  <c r="I251" i="1"/>
  <c r="R106" i="1"/>
  <c r="M106" i="1"/>
  <c r="R17" i="1"/>
  <c r="AC17" i="1"/>
  <c r="AA105" i="1"/>
  <c r="AC105" i="1"/>
  <c r="M250" i="1"/>
  <c r="P250" i="1"/>
  <c r="D243" i="2" s="1"/>
  <c r="X250" i="1"/>
  <c r="X107" i="1"/>
  <c r="U107" i="1" s="1"/>
  <c r="E101" i="2" s="1"/>
  <c r="N107" i="1"/>
  <c r="K107" i="1" s="1"/>
  <c r="C101" i="2" s="1"/>
  <c r="G108" i="1"/>
  <c r="P107" i="1"/>
  <c r="D101" i="2" s="1"/>
  <c r="I107" i="1"/>
  <c r="M17" i="1"/>
  <c r="G102" i="2" l="1"/>
  <c r="S108" i="1"/>
  <c r="P108" i="1" s="1"/>
  <c r="M251" i="1"/>
  <c r="M18" i="1"/>
  <c r="R107" i="1"/>
  <c r="M107" i="1"/>
  <c r="W107" i="1"/>
  <c r="W18" i="1"/>
  <c r="G109" i="1"/>
  <c r="X108" i="1"/>
  <c r="U108" i="1" s="1"/>
  <c r="E102" i="2" s="1"/>
  <c r="I108" i="1"/>
  <c r="N108" i="1"/>
  <c r="K108" i="1" s="1"/>
  <c r="C102" i="2" s="1"/>
  <c r="X251" i="1"/>
  <c r="P251" i="1"/>
  <c r="D244" i="2" s="1"/>
  <c r="AA18" i="1"/>
  <c r="AA106" i="1"/>
  <c r="AC106" i="1"/>
  <c r="P19" i="1"/>
  <c r="D13" i="2" s="1"/>
  <c r="U19" i="1"/>
  <c r="E13" i="2" s="1"/>
  <c r="W249" i="1"/>
  <c r="R18" i="1"/>
  <c r="AD107" i="1"/>
  <c r="Z107" i="1" s="1"/>
  <c r="F101" i="2" s="1"/>
  <c r="AD251" i="1"/>
  <c r="Z251" i="1" s="1"/>
  <c r="F244" i="2" s="1"/>
  <c r="I19" i="1"/>
  <c r="X19" i="1"/>
  <c r="AD19" i="1"/>
  <c r="Z19" i="1" s="1"/>
  <c r="F13" i="2" s="1"/>
  <c r="N19" i="1"/>
  <c r="K19" i="1" s="1"/>
  <c r="C13" i="2" s="1"/>
  <c r="S19" i="1"/>
  <c r="G20" i="1"/>
  <c r="G14" i="2" s="1"/>
  <c r="AA250" i="1"/>
  <c r="AC250" i="1"/>
  <c r="U250" i="1"/>
  <c r="E243" i="2" s="1"/>
  <c r="R250" i="1"/>
  <c r="I252" i="1"/>
  <c r="N252" i="1"/>
  <c r="K252" i="1" s="1"/>
  <c r="C245" i="2" s="1"/>
  <c r="AC18" i="1"/>
  <c r="D102" i="2" l="1"/>
  <c r="R108" i="1"/>
  <c r="G103" i="2"/>
  <c r="S109" i="1"/>
  <c r="P109" i="1" s="1"/>
  <c r="D103" i="2" s="1"/>
  <c r="W108" i="1"/>
  <c r="M19" i="1"/>
  <c r="W19" i="1"/>
  <c r="M108" i="1"/>
  <c r="M252" i="1"/>
  <c r="AA19" i="1"/>
  <c r="X20" i="1"/>
  <c r="AD20" i="1"/>
  <c r="Z20" i="1" s="1"/>
  <c r="F14" i="2" s="1"/>
  <c r="S20" i="1"/>
  <c r="G21" i="1"/>
  <c r="G15" i="2" s="1"/>
  <c r="I20" i="1"/>
  <c r="N20" i="1"/>
  <c r="K20" i="1" s="1"/>
  <c r="C14" i="2" s="1"/>
  <c r="AA107" i="1"/>
  <c r="AC107" i="1"/>
  <c r="P20" i="1"/>
  <c r="D14" i="2" s="1"/>
  <c r="AD252" i="1"/>
  <c r="Z252" i="1" s="1"/>
  <c r="F245" i="2" s="1"/>
  <c r="N253" i="1"/>
  <c r="K253" i="1" s="1"/>
  <c r="C246" i="2" s="1"/>
  <c r="I253" i="1"/>
  <c r="R19" i="1"/>
  <c r="U20" i="1"/>
  <c r="E14" i="2" s="1"/>
  <c r="AD108" i="1"/>
  <c r="Z108" i="1" s="1"/>
  <c r="F102" i="2" s="1"/>
  <c r="P252" i="1"/>
  <c r="D245" i="2" s="1"/>
  <c r="X252" i="1"/>
  <c r="W250" i="1"/>
  <c r="AC19" i="1"/>
  <c r="AA251" i="1"/>
  <c r="AC251" i="1"/>
  <c r="U251" i="1"/>
  <c r="E244" i="2" s="1"/>
  <c r="R251" i="1"/>
  <c r="N109" i="1"/>
  <c r="K109" i="1" s="1"/>
  <c r="C103" i="2" s="1"/>
  <c r="G110" i="1"/>
  <c r="I109" i="1"/>
  <c r="X109" i="1"/>
  <c r="U109" i="1" s="1"/>
  <c r="E103" i="2" s="1"/>
  <c r="G104" i="2" l="1"/>
  <c r="S110" i="1"/>
  <c r="AC20" i="1"/>
  <c r="M109" i="1"/>
  <c r="M20" i="1"/>
  <c r="W20" i="1"/>
  <c r="AD109" i="1"/>
  <c r="Z109" i="1" s="1"/>
  <c r="F103" i="2" s="1"/>
  <c r="U252" i="1"/>
  <c r="E245" i="2" s="1"/>
  <c r="R252" i="1"/>
  <c r="X253" i="1"/>
  <c r="P253" i="1"/>
  <c r="D246" i="2" s="1"/>
  <c r="R109" i="1"/>
  <c r="AD253" i="1"/>
  <c r="Z253" i="1" s="1"/>
  <c r="F246" i="2" s="1"/>
  <c r="P21" i="1"/>
  <c r="D15" i="2" s="1"/>
  <c r="AA20" i="1"/>
  <c r="W109" i="1"/>
  <c r="AA108" i="1"/>
  <c r="AC108" i="1"/>
  <c r="M253" i="1"/>
  <c r="S21" i="1"/>
  <c r="G22" i="1"/>
  <c r="G16" i="2" s="1"/>
  <c r="N21" i="1"/>
  <c r="K21" i="1" s="1"/>
  <c r="C15" i="2" s="1"/>
  <c r="AD21" i="1"/>
  <c r="Z21" i="1" s="1"/>
  <c r="F15" i="2" s="1"/>
  <c r="I21" i="1"/>
  <c r="X21" i="1"/>
  <c r="N110" i="1"/>
  <c r="K110" i="1" s="1"/>
  <c r="C104" i="2" s="1"/>
  <c r="I110" i="1"/>
  <c r="P110" i="1"/>
  <c r="D104" i="2" s="1"/>
  <c r="G111" i="1"/>
  <c r="X110" i="1"/>
  <c r="U110" i="1" s="1"/>
  <c r="E104" i="2" s="1"/>
  <c r="W251" i="1"/>
  <c r="U21" i="1"/>
  <c r="E15" i="2" s="1"/>
  <c r="I254" i="1"/>
  <c r="N254" i="1"/>
  <c r="K254" i="1" s="1"/>
  <c r="C247" i="2" s="1"/>
  <c r="AA252" i="1"/>
  <c r="AC252" i="1"/>
  <c r="R20" i="1"/>
  <c r="G105" i="2" l="1"/>
  <c r="S111" i="1"/>
  <c r="AD254" i="1"/>
  <c r="Z254" i="1" s="1"/>
  <c r="F247" i="2" s="1"/>
  <c r="U22" i="1"/>
  <c r="E16" i="2" s="1"/>
  <c r="AD110" i="1"/>
  <c r="Z110" i="1" s="1"/>
  <c r="F104" i="2" s="1"/>
  <c r="W21" i="1"/>
  <c r="P22" i="1"/>
  <c r="D16" i="2" s="1"/>
  <c r="W252" i="1"/>
  <c r="P254" i="1"/>
  <c r="D247" i="2" s="1"/>
  <c r="X254" i="1"/>
  <c r="W110" i="1"/>
  <c r="N22" i="1"/>
  <c r="K22" i="1" s="1"/>
  <c r="C16" i="2" s="1"/>
  <c r="I22" i="1"/>
  <c r="S22" i="1"/>
  <c r="G23" i="1"/>
  <c r="G17" i="2" s="1"/>
  <c r="X22" i="1"/>
  <c r="AD22" i="1"/>
  <c r="Z22" i="1" s="1"/>
  <c r="F16" i="2" s="1"/>
  <c r="R22" i="1"/>
  <c r="U253" i="1"/>
  <c r="E246" i="2" s="1"/>
  <c r="R253" i="1"/>
  <c r="I111" i="1"/>
  <c r="P111" i="1"/>
  <c r="D105" i="2" s="1"/>
  <c r="X111" i="1"/>
  <c r="U111" i="1" s="1"/>
  <c r="E105" i="2" s="1"/>
  <c r="G112" i="1"/>
  <c r="N111" i="1"/>
  <c r="K111" i="1" s="1"/>
  <c r="C105" i="2" s="1"/>
  <c r="R110" i="1"/>
  <c r="AA21" i="1"/>
  <c r="AA253" i="1"/>
  <c r="AC253" i="1"/>
  <c r="AA109" i="1"/>
  <c r="AC109" i="1"/>
  <c r="M254" i="1"/>
  <c r="M110" i="1"/>
  <c r="AC21" i="1"/>
  <c r="R21" i="1"/>
  <c r="M21" i="1"/>
  <c r="W22" i="1" l="1"/>
  <c r="G106" i="2"/>
  <c r="S112" i="1"/>
  <c r="P112" i="1" s="1"/>
  <c r="D106" i="2" s="1"/>
  <c r="M22" i="1"/>
  <c r="R111" i="1"/>
  <c r="AA110" i="1"/>
  <c r="AC110" i="1"/>
  <c r="AA254" i="1"/>
  <c r="AC254" i="1"/>
  <c r="X112" i="1"/>
  <c r="U112" i="1" s="1"/>
  <c r="E106" i="2" s="1"/>
  <c r="N112" i="1"/>
  <c r="K112" i="1" s="1"/>
  <c r="C106" i="2" s="1"/>
  <c r="G113" i="1"/>
  <c r="I112" i="1"/>
  <c r="I23" i="1"/>
  <c r="X23" i="1"/>
  <c r="AD23" i="1"/>
  <c r="Z23" i="1" s="1"/>
  <c r="F17" i="2" s="1"/>
  <c r="G24" i="1"/>
  <c r="G18" i="2" s="1"/>
  <c r="N23" i="1"/>
  <c r="K23" i="1" s="1"/>
  <c r="C17" i="2" s="1"/>
  <c r="S23" i="1"/>
  <c r="P23" i="1"/>
  <c r="D17" i="2" s="1"/>
  <c r="W111" i="1"/>
  <c r="U254" i="1"/>
  <c r="E247" i="2" s="1"/>
  <c r="R254" i="1"/>
  <c r="U23" i="1"/>
  <c r="E17" i="2" s="1"/>
  <c r="AD111" i="1"/>
  <c r="Z111" i="1" s="1"/>
  <c r="F105" i="2" s="1"/>
  <c r="M111" i="1"/>
  <c r="W253" i="1"/>
  <c r="AA22" i="1"/>
  <c r="AC22" i="1"/>
  <c r="G107" i="2" l="1"/>
  <c r="S113" i="1"/>
  <c r="P113" i="1" s="1"/>
  <c r="D107" i="2" s="1"/>
  <c r="M112" i="1"/>
  <c r="AC23" i="1"/>
  <c r="W112" i="1"/>
  <c r="R112" i="1"/>
  <c r="G114" i="1"/>
  <c r="N113" i="1"/>
  <c r="K113" i="1" s="1"/>
  <c r="C107" i="2" s="1"/>
  <c r="X113" i="1"/>
  <c r="U113" i="1" s="1"/>
  <c r="E107" i="2" s="1"/>
  <c r="I113" i="1"/>
  <c r="AA111" i="1"/>
  <c r="AC111" i="1"/>
  <c r="P24" i="1"/>
  <c r="D18" i="2" s="1"/>
  <c r="X24" i="1"/>
  <c r="AD24" i="1"/>
  <c r="Z24" i="1" s="1"/>
  <c r="F18" i="2" s="1"/>
  <c r="S24" i="1"/>
  <c r="G25" i="1"/>
  <c r="G19" i="2" s="1"/>
  <c r="I24" i="1"/>
  <c r="N24" i="1"/>
  <c r="K24" i="1" s="1"/>
  <c r="C18" i="2" s="1"/>
  <c r="R23" i="1"/>
  <c r="W254" i="1"/>
  <c r="M23" i="1"/>
  <c r="AD112" i="1"/>
  <c r="Z112" i="1" s="1"/>
  <c r="F106" i="2" s="1"/>
  <c r="U24" i="1"/>
  <c r="E18" i="2" s="1"/>
  <c r="AA23" i="1"/>
  <c r="W23" i="1"/>
  <c r="G108" i="2" l="1"/>
  <c r="S114" i="1"/>
  <c r="P114" i="1" s="1"/>
  <c r="D108" i="2" s="1"/>
  <c r="R24" i="1"/>
  <c r="W24" i="1"/>
  <c r="AD113" i="1"/>
  <c r="Z113" i="1" s="1"/>
  <c r="F107" i="2" s="1"/>
  <c r="AA112" i="1"/>
  <c r="AC112" i="1"/>
  <c r="M24" i="1"/>
  <c r="N114" i="1"/>
  <c r="K114" i="1" s="1"/>
  <c r="C108" i="2" s="1"/>
  <c r="X114" i="1"/>
  <c r="U114" i="1" s="1"/>
  <c r="E108" i="2" s="1"/>
  <c r="G115" i="1"/>
  <c r="I114" i="1"/>
  <c r="W114" i="1"/>
  <c r="AA24" i="1"/>
  <c r="P25" i="1"/>
  <c r="D19" i="2" s="1"/>
  <c r="U25" i="1"/>
  <c r="E19" i="2" s="1"/>
  <c r="AC24" i="1"/>
  <c r="S25" i="1"/>
  <c r="G26" i="1"/>
  <c r="G20" i="2" s="1"/>
  <c r="N25" i="1"/>
  <c r="K25" i="1" s="1"/>
  <c r="C19" i="2" s="1"/>
  <c r="X25" i="1"/>
  <c r="I25" i="1"/>
  <c r="R25" i="1"/>
  <c r="AD25" i="1"/>
  <c r="Z25" i="1" s="1"/>
  <c r="F19" i="2" s="1"/>
  <c r="R113" i="1"/>
  <c r="W113" i="1"/>
  <c r="M113" i="1"/>
  <c r="G109" i="2" l="1"/>
  <c r="S115" i="1"/>
  <c r="P115" i="1" s="1"/>
  <c r="D109" i="2" s="1"/>
  <c r="M114" i="1"/>
  <c r="M25" i="1"/>
  <c r="AA25" i="1"/>
  <c r="AC25" i="1"/>
  <c r="U26" i="1"/>
  <c r="E20" i="2" s="1"/>
  <c r="I115" i="1"/>
  <c r="N115" i="1"/>
  <c r="K115" i="1" s="1"/>
  <c r="C109" i="2" s="1"/>
  <c r="G116" i="1"/>
  <c r="X115" i="1"/>
  <c r="U115" i="1" s="1"/>
  <c r="E109" i="2" s="1"/>
  <c r="AA113" i="1"/>
  <c r="AC113" i="1"/>
  <c r="W25" i="1"/>
  <c r="P26" i="1"/>
  <c r="D20" i="2" s="1"/>
  <c r="R114" i="1"/>
  <c r="AD114" i="1"/>
  <c r="Z114" i="1" s="1"/>
  <c r="F108" i="2" s="1"/>
  <c r="N26" i="1"/>
  <c r="K26" i="1" s="1"/>
  <c r="C20" i="2" s="1"/>
  <c r="I26" i="1"/>
  <c r="W26" i="1"/>
  <c r="AD26" i="1"/>
  <c r="Z26" i="1" s="1"/>
  <c r="F20" i="2" s="1"/>
  <c r="S26" i="1"/>
  <c r="X26" i="1"/>
  <c r="G27" i="1"/>
  <c r="G21" i="2" s="1"/>
  <c r="G110" i="2" l="1"/>
  <c r="S116" i="1"/>
  <c r="P116" i="1" s="1"/>
  <c r="D110" i="2" s="1"/>
  <c r="R115" i="1"/>
  <c r="W115" i="1"/>
  <c r="M26" i="1"/>
  <c r="AC26" i="1"/>
  <c r="X116" i="1"/>
  <c r="U116" i="1" s="1"/>
  <c r="E110" i="2" s="1"/>
  <c r="I116" i="1"/>
  <c r="N116" i="1"/>
  <c r="K116" i="1" s="1"/>
  <c r="C110" i="2" s="1"/>
  <c r="G117" i="1"/>
  <c r="AA26" i="1"/>
  <c r="P27" i="1"/>
  <c r="D21" i="2" s="1"/>
  <c r="AD115" i="1"/>
  <c r="Z115" i="1" s="1"/>
  <c r="F109" i="2" s="1"/>
  <c r="U27" i="1"/>
  <c r="E21" i="2" s="1"/>
  <c r="I27" i="1"/>
  <c r="X27" i="1"/>
  <c r="AD27" i="1"/>
  <c r="Z27" i="1" s="1"/>
  <c r="F21" i="2" s="1"/>
  <c r="N27" i="1"/>
  <c r="K27" i="1" s="1"/>
  <c r="C21" i="2" s="1"/>
  <c r="S27" i="1"/>
  <c r="G28" i="1"/>
  <c r="G22" i="2" s="1"/>
  <c r="R26" i="1"/>
  <c r="AA114" i="1"/>
  <c r="AC114" i="1"/>
  <c r="M115" i="1"/>
  <c r="G111" i="2" l="1"/>
  <c r="S117" i="1"/>
  <c r="P117" i="1" s="1"/>
  <c r="D111" i="2" s="1"/>
  <c r="W116" i="1"/>
  <c r="AC27" i="1"/>
  <c r="M116" i="1"/>
  <c r="R116" i="1"/>
  <c r="U28" i="1"/>
  <c r="E22" i="2" s="1"/>
  <c r="P28" i="1"/>
  <c r="D22" i="2" s="1"/>
  <c r="G118" i="1"/>
  <c r="N117" i="1"/>
  <c r="K117" i="1" s="1"/>
  <c r="C111" i="2" s="1"/>
  <c r="X117" i="1"/>
  <c r="U117" i="1" s="1"/>
  <c r="E111" i="2" s="1"/>
  <c r="I117" i="1"/>
  <c r="M27" i="1"/>
  <c r="AA27" i="1"/>
  <c r="W27" i="1"/>
  <c r="AD116" i="1"/>
  <c r="Z116" i="1" s="1"/>
  <c r="F110" i="2" s="1"/>
  <c r="R28" i="1"/>
  <c r="X28" i="1"/>
  <c r="AD28" i="1"/>
  <c r="Z28" i="1" s="1"/>
  <c r="F22" i="2" s="1"/>
  <c r="S28" i="1"/>
  <c r="N28" i="1"/>
  <c r="K28" i="1" s="1"/>
  <c r="C22" i="2" s="1"/>
  <c r="I28" i="1"/>
  <c r="AA115" i="1"/>
  <c r="AC115" i="1"/>
  <c r="R27" i="1"/>
  <c r="M28" i="1" l="1"/>
  <c r="G112" i="2"/>
  <c r="S118" i="1"/>
  <c r="R117" i="1"/>
  <c r="AD117" i="1"/>
  <c r="Z117" i="1" s="1"/>
  <c r="F111" i="2" s="1"/>
  <c r="M117" i="1"/>
  <c r="W28" i="1"/>
  <c r="AA28" i="1"/>
  <c r="AA116" i="1"/>
  <c r="AC116" i="1"/>
  <c r="N118" i="1"/>
  <c r="K118" i="1" s="1"/>
  <c r="C112" i="2" s="1"/>
  <c r="X118" i="1"/>
  <c r="U118" i="1" s="1"/>
  <c r="E112" i="2" s="1"/>
  <c r="G119" i="1"/>
  <c r="I118" i="1"/>
  <c r="P118" i="1"/>
  <c r="D112" i="2" s="1"/>
  <c r="AC28" i="1"/>
  <c r="W117" i="1"/>
  <c r="G113" i="2" l="1"/>
  <c r="S119" i="1"/>
  <c r="R118" i="1"/>
  <c r="M118" i="1"/>
  <c r="AA117" i="1"/>
  <c r="AC117" i="1"/>
  <c r="W118" i="1"/>
  <c r="I119" i="1"/>
  <c r="N119" i="1"/>
  <c r="K119" i="1" s="1"/>
  <c r="C113" i="2" s="1"/>
  <c r="X119" i="1"/>
  <c r="U119" i="1" s="1"/>
  <c r="E113" i="2" s="1"/>
  <c r="G120" i="1"/>
  <c r="P119" i="1"/>
  <c r="D113" i="2" s="1"/>
  <c r="AD118" i="1"/>
  <c r="Z118" i="1" s="1"/>
  <c r="F112" i="2" s="1"/>
  <c r="G114" i="2" l="1"/>
  <c r="S120" i="1"/>
  <c r="M119" i="1"/>
  <c r="AD119" i="1"/>
  <c r="Z119" i="1" s="1"/>
  <c r="F113" i="2" s="1"/>
  <c r="AA118" i="1"/>
  <c r="AC118" i="1"/>
  <c r="R119" i="1"/>
  <c r="X120" i="1"/>
  <c r="U120" i="1" s="1"/>
  <c r="E114" i="2" s="1"/>
  <c r="I120" i="1"/>
  <c r="P120" i="1"/>
  <c r="D114" i="2" s="1"/>
  <c r="N120" i="1"/>
  <c r="K120" i="1" s="1"/>
  <c r="C114" i="2" s="1"/>
  <c r="G121" i="1"/>
  <c r="W119" i="1"/>
  <c r="G115" i="2" l="1"/>
  <c r="S121" i="1"/>
  <c r="P121" i="1" s="1"/>
  <c r="D115" i="2" s="1"/>
  <c r="R120" i="1"/>
  <c r="AD120" i="1"/>
  <c r="Z120" i="1" s="1"/>
  <c r="F114" i="2" s="1"/>
  <c r="AA119" i="1"/>
  <c r="AC119" i="1"/>
  <c r="W120" i="1"/>
  <c r="M120" i="1"/>
  <c r="I121" i="1"/>
  <c r="X121" i="1"/>
  <c r="U121" i="1" s="1"/>
  <c r="E115" i="2" s="1"/>
  <c r="G122" i="1"/>
  <c r="N121" i="1"/>
  <c r="K121" i="1" s="1"/>
  <c r="C115" i="2" s="1"/>
  <c r="G116" i="2" l="1"/>
  <c r="S122" i="1"/>
  <c r="R121" i="1"/>
  <c r="AD121" i="1"/>
  <c r="Z121" i="1" s="1"/>
  <c r="F115" i="2" s="1"/>
  <c r="W121" i="1"/>
  <c r="P122" i="1"/>
  <c r="D116" i="2" s="1"/>
  <c r="G123" i="1"/>
  <c r="N122" i="1"/>
  <c r="K122" i="1" s="1"/>
  <c r="C116" i="2" s="1"/>
  <c r="I122" i="1"/>
  <c r="X122" i="1"/>
  <c r="U122" i="1" s="1"/>
  <c r="E116" i="2" s="1"/>
  <c r="AA120" i="1"/>
  <c r="AC120" i="1"/>
  <c r="M121" i="1"/>
  <c r="M122" i="1" l="1"/>
  <c r="G117" i="2"/>
  <c r="S123" i="1"/>
  <c r="N123" i="1"/>
  <c r="K123" i="1" s="1"/>
  <c r="C117" i="2" s="1"/>
  <c r="I123" i="1"/>
  <c r="X123" i="1"/>
  <c r="U123" i="1" s="1"/>
  <c r="E117" i="2" s="1"/>
  <c r="P123" i="1"/>
  <c r="D117" i="2" s="1"/>
  <c r="G124" i="1"/>
  <c r="W122" i="1"/>
  <c r="AA121" i="1"/>
  <c r="AC121" i="1"/>
  <c r="R122" i="1"/>
  <c r="AD122" i="1"/>
  <c r="Z122" i="1" s="1"/>
  <c r="F116" i="2" s="1"/>
  <c r="G118" i="2" l="1"/>
  <c r="S124" i="1"/>
  <c r="P124" i="1" s="1"/>
  <c r="D118" i="2" s="1"/>
  <c r="M123" i="1"/>
  <c r="I124" i="1"/>
  <c r="X124" i="1"/>
  <c r="U124" i="1" s="1"/>
  <c r="E118" i="2" s="1"/>
  <c r="M124" i="1"/>
  <c r="N124" i="1"/>
  <c r="K124" i="1" s="1"/>
  <c r="C118" i="2" s="1"/>
  <c r="G125" i="1"/>
  <c r="AD123" i="1"/>
  <c r="Z123" i="1" s="1"/>
  <c r="F117" i="2" s="1"/>
  <c r="AA122" i="1"/>
  <c r="AC122" i="1"/>
  <c r="R123" i="1"/>
  <c r="W123" i="1"/>
  <c r="G119" i="2" l="1"/>
  <c r="S125" i="1"/>
  <c r="P125" i="1" s="1"/>
  <c r="D119" i="2" s="1"/>
  <c r="W124" i="1"/>
  <c r="X125" i="1"/>
  <c r="U125" i="1" s="1"/>
  <c r="E119" i="2" s="1"/>
  <c r="N125" i="1"/>
  <c r="K125" i="1" s="1"/>
  <c r="C119" i="2" s="1"/>
  <c r="I125" i="1"/>
  <c r="I288" i="1" s="1"/>
  <c r="R124" i="1"/>
  <c r="AA123" i="1"/>
  <c r="AC123" i="1"/>
  <c r="AD124" i="1"/>
  <c r="Z124" i="1" s="1"/>
  <c r="F118" i="2" s="1"/>
  <c r="R125" i="1" l="1"/>
  <c r="AA124" i="1"/>
  <c r="AC124" i="1"/>
  <c r="AD125" i="1"/>
  <c r="Z125" i="1" s="1"/>
  <c r="F119" i="2" s="1"/>
  <c r="W125" i="1"/>
  <c r="I289" i="1"/>
  <c r="I290" i="1" s="1"/>
  <c r="M125" i="1"/>
  <c r="AA125" i="1" l="1"/>
  <c r="AC125" i="1"/>
  <c r="I225" i="3"/>
  <c r="I224" i="3"/>
  <c r="I226" i="3"/>
  <c r="I223" i="3"/>
  <c r="J225" i="3"/>
  <c r="G225" i="3"/>
  <c r="J226" i="3"/>
  <c r="G226" i="3"/>
  <c r="J224" i="3"/>
  <c r="G224" i="3"/>
  <c r="J223" i="3"/>
  <c r="G2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eotero</author>
    <author>PC001</author>
    <author>user</author>
  </authors>
  <commentList>
    <comment ref="D10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eotero:</t>
        </r>
        <r>
          <rPr>
            <sz val="8"/>
            <color indexed="81"/>
            <rFont val="Tahoma"/>
            <family val="2"/>
          </rPr>
          <t xml:space="preserve">
error codigo de barra. Real 7798099385124</t>
        </r>
      </text>
    </comment>
    <comment ref="G12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=262,4*0,95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=278,8*0,95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=291,1*0,95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9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<sst xmlns="http://schemas.openxmlformats.org/spreadsheetml/2006/main" count="476" uniqueCount="438">
  <si>
    <t>Producto</t>
  </si>
  <si>
    <t>Codigo</t>
  </si>
  <si>
    <t>Conservas Vegetales Clásicas</t>
  </si>
  <si>
    <t>Nuestras Especialidades</t>
  </si>
  <si>
    <t>Cant. x caja</t>
  </si>
  <si>
    <t>Infusiones Chamana (15 saq. x estuche)</t>
  </si>
  <si>
    <t>Mix de 8 variedades en cada estuche</t>
  </si>
  <si>
    <t>Miel y derivados</t>
  </si>
  <si>
    <t>Licores</t>
  </si>
  <si>
    <t>Tés Intizen (15 saq. x estuche)</t>
  </si>
  <si>
    <t>Dulce de Leche Frasco de 800 grs.</t>
  </si>
  <si>
    <t>Dulce de Leche Frasco de 450 grs.</t>
  </si>
  <si>
    <t>Miel en Frasco de vidrio Frasco de 1/2 Kg.</t>
  </si>
  <si>
    <t>Jalea Real de 10 gramos Pote de 100 grs.</t>
  </si>
  <si>
    <t>Jalea Real con polen Pote de 100 grs.</t>
  </si>
  <si>
    <t>Polen de Flores Pote de 125 grs.</t>
  </si>
  <si>
    <t>Licor Dulce Botella de 700 cc.</t>
  </si>
  <si>
    <t>Licor Seco Botella de 700 cc.</t>
  </si>
  <si>
    <t>Jugo de Tomate</t>
  </si>
  <si>
    <t>V8 x PET 1,36 lts</t>
  </si>
  <si>
    <t>Campbells lata x 340ml</t>
  </si>
  <si>
    <t>Campbells x PET 1,36 lts</t>
  </si>
  <si>
    <t>V8 lata x 354ml</t>
  </si>
  <si>
    <t>Sopas</t>
  </si>
  <si>
    <t>Sopa Condensada Tomate x 305g</t>
  </si>
  <si>
    <t>Brownies x 170g (6 meses)</t>
  </si>
  <si>
    <t>Cookies Chocolate Chip x 180g</t>
  </si>
  <si>
    <t>Cookies Passion for Chocolat x 180g</t>
  </si>
  <si>
    <t>Biscotti Almendras x 180g</t>
  </si>
  <si>
    <t>Adm. y Vtas: 4865-3250</t>
  </si>
  <si>
    <t>Rojo</t>
  </si>
  <si>
    <t>Subtotal</t>
  </si>
  <si>
    <t>Fecha</t>
  </si>
  <si>
    <t>Cant. (unid.)</t>
  </si>
  <si>
    <t>Descrpición</t>
  </si>
  <si>
    <t>Precio x unid. sin IVA</t>
  </si>
  <si>
    <t>DDL</t>
  </si>
  <si>
    <t>Bonduelle</t>
  </si>
  <si>
    <t>Sugar &amp; Spice</t>
  </si>
  <si>
    <t>Chamana</t>
  </si>
  <si>
    <t>Intizen</t>
  </si>
  <si>
    <t>Campbells</t>
  </si>
  <si>
    <t>Linea</t>
  </si>
  <si>
    <t>Cliente</t>
  </si>
  <si>
    <t>V8 lata x 163ml</t>
  </si>
  <si>
    <t>________________</t>
  </si>
  <si>
    <t>Línea a Granel</t>
  </si>
  <si>
    <t>Brownies Plancha (30cm x 30cm)</t>
  </si>
  <si>
    <t>Stollen x 250g</t>
  </si>
  <si>
    <t>Pan Dulce Inovlidable 700g con Estuche</t>
  </si>
  <si>
    <t>Pack Variedad Chamana</t>
  </si>
  <si>
    <t>Pack Variedad Intizen</t>
  </si>
  <si>
    <t>oliva</t>
  </si>
  <si>
    <t>Yancanello</t>
  </si>
  <si>
    <t>Mini Brownies (6 meses)</t>
  </si>
  <si>
    <t>Mini Passion x Chocolate x 50g</t>
  </si>
  <si>
    <t>Mini Biscotti Mandorle x 50g</t>
  </si>
  <si>
    <t>Mini</t>
  </si>
  <si>
    <t>Patagonia Bee</t>
  </si>
  <si>
    <t>Silencio Andino</t>
  </si>
  <si>
    <t>Chaman Chai</t>
  </si>
  <si>
    <t xml:space="preserve">Inca Rose </t>
  </si>
  <si>
    <t>Don Juan</t>
  </si>
  <si>
    <t>Gaturro Alcancía</t>
  </si>
  <si>
    <t>Aceite Yancanello 500 lata</t>
  </si>
  <si>
    <t>Aceite Yancanello lt lata</t>
  </si>
  <si>
    <t>Margen</t>
  </si>
  <si>
    <t>Entre 23% y 27%</t>
  </si>
  <si>
    <t>Rojo Negrita</t>
  </si>
  <si>
    <t>Menor que 23%</t>
  </si>
  <si>
    <t>paellero el ruedo</t>
  </si>
  <si>
    <t>Detox Chamana</t>
  </si>
  <si>
    <t>Relax Chamana</t>
  </si>
  <si>
    <t>Dulce de Leche Frasco de 250 grs.</t>
  </si>
  <si>
    <t>total</t>
  </si>
  <si>
    <t>margen
sugerido
con 35%</t>
  </si>
  <si>
    <t>Tomate seco en ac de oliva</t>
  </si>
  <si>
    <t>Konfitt Almendra</t>
  </si>
  <si>
    <t>Konfitt Avellana</t>
  </si>
  <si>
    <t>Konfitt Mix x 8 unidades</t>
  </si>
  <si>
    <t>Campbells lata x 163mld</t>
  </si>
  <si>
    <t>Pimiento morron 330</t>
  </si>
  <si>
    <t>Konfitt Dulce de Leche</t>
  </si>
  <si>
    <t>Cantuchini Almendra Koo !180 gr</t>
  </si>
  <si>
    <t>Cantuchini Chocolate Koo!180 gr</t>
  </si>
  <si>
    <t>Lemon &amp; Ginger Koo! 180 gr</t>
  </si>
  <si>
    <t>Coco &amp; Coco Koo! 180 gr</t>
  </si>
  <si>
    <t>Sweet &amp; Salty Koo! 180 gr</t>
  </si>
  <si>
    <t>Chai Cookie Koo! 180 gr</t>
  </si>
  <si>
    <t>Aceituna negra S/C meridiano 330</t>
  </si>
  <si>
    <t>Aceituna Griega meridiano 330</t>
  </si>
  <si>
    <t>Aceituna negra C/C meridiano 330</t>
  </si>
  <si>
    <t>Pan Dulce Inovlidable 700g con Bolsa</t>
  </si>
  <si>
    <t>Aceite Yancanello 500 vidrio</t>
  </si>
  <si>
    <t>Aceite Yancanello 500 lata Arbequina</t>
  </si>
  <si>
    <t>Aceite Yancanello 250 vidrio</t>
  </si>
  <si>
    <t>chocolatina leche</t>
  </si>
  <si>
    <t>chocolatina semiamargo</t>
  </si>
  <si>
    <t>chocolatina sin azucar agregada</t>
  </si>
  <si>
    <t>Esparrago Verdes Meridiano 800 gr</t>
  </si>
  <si>
    <t>Aceituna verde S/C meridiano 330</t>
  </si>
  <si>
    <t>Aceituna verde C/C meridiano 330</t>
  </si>
  <si>
    <t>Aceituna verde C/C meridiano 1000</t>
  </si>
  <si>
    <t>Aceituna negra C/C meridiano 1000</t>
  </si>
  <si>
    <t>Aceituna verde rodajas  meridiano 330</t>
  </si>
  <si>
    <t>Aceituna negras rodajas  meridiano 330</t>
  </si>
  <si>
    <t>Estuche chocolatina  x 40 leche</t>
  </si>
  <si>
    <t>accesorios</t>
  </si>
  <si>
    <t>taza + 14 saquitos surtidos</t>
  </si>
  <si>
    <t>caja calada 30 saquitos</t>
  </si>
  <si>
    <t>tetera + 2 cuencos</t>
  </si>
  <si>
    <t>caja paraiso natural 60 saquitos</t>
  </si>
  <si>
    <t>estuche transparente 30 saquietos</t>
  </si>
  <si>
    <t>Masseube</t>
  </si>
  <si>
    <t>Light 260g</t>
  </si>
  <si>
    <t>Arándano Light 260g</t>
  </si>
  <si>
    <t>Frutos del Bosque Light 260g</t>
  </si>
  <si>
    <t>Frambuesa Light 260g</t>
  </si>
  <si>
    <t>Frutilla Light 260g</t>
  </si>
  <si>
    <t>Mosqueta Light 260g</t>
  </si>
  <si>
    <t>Zarzamora Light 260g</t>
  </si>
  <si>
    <t>Cereza Negra 212g</t>
  </si>
  <si>
    <t>Frutos del Bosque 212g</t>
  </si>
  <si>
    <t>Frambuesa 212g</t>
  </si>
  <si>
    <t>Frutilla 212g</t>
  </si>
  <si>
    <t>Mosqueta 212g</t>
  </si>
  <si>
    <t>Sauco 212g</t>
  </si>
  <si>
    <t>Tradicional 450g</t>
  </si>
  <si>
    <t>Cereza Negra 450g</t>
  </si>
  <si>
    <t>Frutos del Bosque 450g</t>
  </si>
  <si>
    <t>Frambuesa 450g</t>
  </si>
  <si>
    <t>Frutilla 450g</t>
  </si>
  <si>
    <t>Mosqueta 450g</t>
  </si>
  <si>
    <t>Sauco 450g</t>
  </si>
  <si>
    <t>Zarzamora 450g</t>
  </si>
  <si>
    <t>Al Natural 700g</t>
  </si>
  <si>
    <t>Frambuesa en almíbar 700g</t>
  </si>
  <si>
    <t>Cereza Negra en almíbar 700g</t>
  </si>
  <si>
    <t>BEE PURE</t>
  </si>
  <si>
    <t>Miel &amp; Azúcar Mascabo</t>
  </si>
  <si>
    <t>Miel Bee Pure Cremosa 900g</t>
  </si>
  <si>
    <t>Miel Bee Pure Liquida 900g</t>
  </si>
  <si>
    <t>Miel Bee Pure Cremosa 500g</t>
  </si>
  <si>
    <t>Miel Bee Pure Liquida 500g</t>
  </si>
  <si>
    <t>Meloso 480g - Syrup a base de miel pura</t>
  </si>
  <si>
    <t>Meridiano</t>
  </si>
  <si>
    <t>Chocolatinas</t>
  </si>
  <si>
    <t>Konfitt Almendras x 8 unidades</t>
  </si>
  <si>
    <t>Konfitt Avellanas x 8 unidades</t>
  </si>
  <si>
    <t>Konfitt Cafe x 8 unidades</t>
  </si>
  <si>
    <t>Latas</t>
  </si>
  <si>
    <t>Coco &amp; Coco Koo! 210 gr</t>
  </si>
  <si>
    <t>Lemon &amp; Ginger Koo! 210 gr</t>
  </si>
  <si>
    <t>French Vainilla Koo! 210 gr</t>
  </si>
  <si>
    <t>estuche x 3 surtido</t>
  </si>
  <si>
    <t>Guinda 450g</t>
  </si>
  <si>
    <t>Frutos del Bosque en almìbar 700g</t>
  </si>
  <si>
    <t>Tradicional 212g</t>
  </si>
  <si>
    <t>Berengenas condimenntadas 330</t>
  </si>
  <si>
    <t>Pan Dulce mini 120 inolvidable</t>
  </si>
  <si>
    <t>Esparrago Verdes Meridiano 330 gr</t>
  </si>
  <si>
    <t>Piraña</t>
  </si>
  <si>
    <t>Mani Tostado - Thai Sweet Chilli (65g)</t>
  </si>
  <si>
    <t>Mani Tostado - Wasabi Salsa de Soja (65g)</t>
  </si>
  <si>
    <t>Mani Tostado - Texas Barbecue (65g)</t>
  </si>
  <si>
    <t>Mani Tostado - Sal Marina Ahumada (65g)</t>
  </si>
  <si>
    <t>Papas Fritas Kettle Sal Marina Ahumada (65g)</t>
  </si>
  <si>
    <t>Papas Fritas Kettle Wasabi Salsa de Soja (65g)</t>
  </si>
  <si>
    <t>Sopa Conds Mushroom (setas) x 305g</t>
  </si>
  <si>
    <t>Sopa Crema de Vegetales</t>
  </si>
  <si>
    <t>Sopa minestron</t>
  </si>
  <si>
    <t>indo</t>
  </si>
  <si>
    <t>Las Brisas</t>
  </si>
  <si>
    <t>Jugos</t>
  </si>
  <si>
    <t>Las Brisas Limonada c/Menta 250 cc</t>
  </si>
  <si>
    <t>Molinillo</t>
  </si>
  <si>
    <t>Snaks Piraña</t>
  </si>
  <si>
    <t>Molinillo Indo Ajillo 45 gr</t>
  </si>
  <si>
    <t>Molinillo Indo Asador 65 gr</t>
  </si>
  <si>
    <t>Molinillo Indo Caprese 55 gr</t>
  </si>
  <si>
    <t>Molinillo Indo Finas Hierbas 30 gr</t>
  </si>
  <si>
    <t>Molinillo Indo Mix Ptas 45 gr</t>
  </si>
  <si>
    <t>Molinillo Indo Ptas Negra 50 gr</t>
  </si>
  <si>
    <t>Molinillo Indo Pescado Sin Sal 30 gr</t>
  </si>
  <si>
    <t>Molinillo Indo  Pizza Party 50 gr</t>
  </si>
  <si>
    <t>Molinillo Indo Pollito  Sin Sal 30 gr</t>
  </si>
  <si>
    <t>Molinillo Indo  Al Romero 50 gr</t>
  </si>
  <si>
    <t>Molinillo Indo  Sal Marina 100 gr</t>
  </si>
  <si>
    <t>Molinillo Indo Salad Bar 45 gr</t>
  </si>
  <si>
    <t>Molinillo Indo Pta Vede 35 gr</t>
  </si>
  <si>
    <t>Molinillo Indo  Al Wok 50 gr</t>
  </si>
  <si>
    <t>Las Brisas  Pera Manzana 1000 cc</t>
  </si>
  <si>
    <t>Estuche chocolatina  x 40 Semi Amargo</t>
  </si>
  <si>
    <t>Las Brisas Manzana 250 cc</t>
  </si>
  <si>
    <t>Las Brisas Arandanos 250 cc</t>
  </si>
  <si>
    <t>pasta Mani</t>
  </si>
  <si>
    <t>Las Brisas Smoothie Arándano 250 cc</t>
  </si>
  <si>
    <t>Las Brisas Smoothie Multifruta  250 cc</t>
  </si>
  <si>
    <t>Las Brisas Smoothie Pera, Manzana 250 cc</t>
  </si>
  <si>
    <t>Mini Fugazza x 50g</t>
  </si>
  <si>
    <t>Narda Lepes 280g</t>
  </si>
  <si>
    <t>Durazno y Corinto</t>
  </si>
  <si>
    <t>Durazno y Naranja</t>
  </si>
  <si>
    <t>Frambuesa y Tomate</t>
  </si>
  <si>
    <t>Frutilla y Aceto</t>
  </si>
  <si>
    <t>Manzana y Canela</t>
  </si>
  <si>
    <t>Zafran</t>
  </si>
  <si>
    <t>Galletitas 100% Integrales</t>
  </si>
  <si>
    <t>Pampa Dulce</t>
  </si>
  <si>
    <t>Yogha</t>
  </si>
  <si>
    <r>
      <rPr>
        <b/>
        <sz val="11"/>
        <rFont val="Arial"/>
        <family val="2"/>
      </rPr>
      <t>Lista 1</t>
    </r>
    <r>
      <rPr>
        <sz val="11"/>
        <rFont val="Arial"/>
        <family val="2"/>
      </rPr>
      <t xml:space="preserve">
precio
de 
venta</t>
    </r>
  </si>
  <si>
    <t>Cookies Chocolate Chip Chicas x 2 Kg</t>
  </si>
  <si>
    <t>Cookies Passion for Chocolat Chic x 2 Kg</t>
  </si>
  <si>
    <t>Cookies Avena x 2 Kg</t>
  </si>
  <si>
    <t>encurtidos</t>
  </si>
  <si>
    <t>Fruta Seca</t>
  </si>
  <si>
    <r>
      <rPr>
        <b/>
        <sz val="11"/>
        <rFont val="Arial"/>
        <family val="2"/>
      </rPr>
      <t>Lista 2</t>
    </r>
    <r>
      <rPr>
        <sz val="11"/>
        <rFont val="Arial"/>
        <family val="2"/>
      </rPr>
      <t xml:space="preserve">
precio
de 
venta</t>
    </r>
  </si>
  <si>
    <r>
      <rPr>
        <b/>
        <sz val="11"/>
        <rFont val="Arial"/>
        <family val="2"/>
      </rPr>
      <t>Lista 3</t>
    </r>
    <r>
      <rPr>
        <sz val="11"/>
        <rFont val="Arial"/>
        <family val="2"/>
      </rPr>
      <t xml:space="preserve">
precio
de 
venta</t>
    </r>
  </si>
  <si>
    <r>
      <rPr>
        <b/>
        <sz val="11"/>
        <rFont val="Arial"/>
        <family val="2"/>
      </rPr>
      <t>Lista 4</t>
    </r>
    <r>
      <rPr>
        <sz val="11"/>
        <rFont val="Arial"/>
        <family val="2"/>
      </rPr>
      <t xml:space="preserve">
precio
de 
venta</t>
    </r>
  </si>
  <si>
    <t>Default</t>
  </si>
  <si>
    <t>volumen</t>
  </si>
  <si>
    <t>Restó</t>
  </si>
  <si>
    <t>boutique</t>
  </si>
  <si>
    <t>sin codigo</t>
  </si>
  <si>
    <t>Abrazo Chamana</t>
  </si>
  <si>
    <t>Herbal Box (chamana surtidos)</t>
  </si>
  <si>
    <t>7791017000314</t>
  </si>
  <si>
    <t>7792340073655</t>
  </si>
  <si>
    <t>7792340000323</t>
  </si>
  <si>
    <t>7792340000316</t>
  </si>
  <si>
    <t>7792340000262</t>
  </si>
  <si>
    <t>7792340000132</t>
  </si>
  <si>
    <t>7792340000286</t>
  </si>
  <si>
    <t>7792340073341</t>
  </si>
  <si>
    <t>Choclo en granos lata individual</t>
  </si>
  <si>
    <t>779809385407</t>
  </si>
  <si>
    <t>7798099385414</t>
  </si>
  <si>
    <t>7798099385469</t>
  </si>
  <si>
    <t>7798099385360</t>
  </si>
  <si>
    <t>7798099385452</t>
  </si>
  <si>
    <t>7798099385421</t>
  </si>
  <si>
    <t>7798099385179</t>
  </si>
  <si>
    <t>7798099320228</t>
  </si>
  <si>
    <t>051000153159</t>
  </si>
  <si>
    <t>051000020253</t>
  </si>
  <si>
    <t>051000012937</t>
  </si>
  <si>
    <t>7797897002929</t>
  </si>
  <si>
    <t>7797897002936</t>
  </si>
  <si>
    <t>7797897002943</t>
  </si>
  <si>
    <t>7797897000048</t>
  </si>
  <si>
    <t>7797897000031</t>
  </si>
  <si>
    <t>7797897000024</t>
  </si>
  <si>
    <t>7797897000055</t>
  </si>
  <si>
    <t>7798101343067</t>
  </si>
  <si>
    <t>7798101343081</t>
  </si>
  <si>
    <t>EAN</t>
  </si>
  <si>
    <t>Retail</t>
  </si>
  <si>
    <t>cantucci y manteca</t>
  </si>
  <si>
    <t>Chocolate Colonial</t>
  </si>
  <si>
    <t>caja exhibidora inti zen chamana</t>
  </si>
  <si>
    <t>Hojas de Parra 800</t>
  </si>
  <si>
    <t>Aceite Yancanello bidon 5LT</t>
  </si>
  <si>
    <t>Caramelo de Miel y Menta  750 grs.</t>
  </si>
  <si>
    <t>Caramelos de Miel  750 grs.</t>
  </si>
  <si>
    <t>Caramelos de Propóleo 750 grs.</t>
  </si>
  <si>
    <t>Choclo en granos (s/ adic azucar) 300 gr</t>
  </si>
  <si>
    <t xml:space="preserve">Molido: Blister Caja Cristal x 15 Caps. </t>
  </si>
  <si>
    <t>Chocolate para Submarino x 16 gr</t>
  </si>
  <si>
    <t xml:space="preserve">7793482000691  </t>
  </si>
  <si>
    <t xml:space="preserve">7793482000707  </t>
  </si>
  <si>
    <t xml:space="preserve">7793482000714  </t>
  </si>
  <si>
    <t xml:space="preserve">7793482000721  </t>
  </si>
  <si>
    <t xml:space="preserve">7793482000738  </t>
  </si>
  <si>
    <t xml:space="preserve">7793482000745  </t>
  </si>
  <si>
    <t>77944849</t>
  </si>
  <si>
    <t>77944856</t>
  </si>
  <si>
    <t>77944870</t>
  </si>
  <si>
    <t>77948373</t>
  </si>
  <si>
    <t> 7798187760147</t>
  </si>
  <si>
    <t> 7798187760154</t>
  </si>
  <si>
    <t> 7798187760161</t>
  </si>
  <si>
    <t> 7798187760130</t>
  </si>
  <si>
    <t>IdArticulo</t>
  </si>
  <si>
    <t>DescrArticulo</t>
  </si>
  <si>
    <t> Default </t>
  </si>
  <si>
    <t> Volumen </t>
  </si>
  <si>
    <t> Resto </t>
  </si>
  <si>
    <t> Boutique </t>
  </si>
  <si>
    <t>Compra</t>
  </si>
  <si>
    <t>estuche transparente 18 saquitos</t>
  </si>
  <si>
    <t>Amour Chamana</t>
  </si>
  <si>
    <t>Veganola x 240grs.</t>
  </si>
  <si>
    <t>Grantrudel x 240grs.</t>
  </si>
  <si>
    <t xml:space="preserve">Daforza x 240grs </t>
  </si>
  <si>
    <t>17798187760212</t>
  </si>
  <si>
    <t>17798187760229</t>
  </si>
  <si>
    <t>17798187760236</t>
  </si>
  <si>
    <t>17798187760182</t>
  </si>
  <si>
    <t>17798187760199</t>
  </si>
  <si>
    <t>Daforza x1kg</t>
  </si>
  <si>
    <t>Veganola x1kg</t>
  </si>
  <si>
    <t>Granola</t>
  </si>
  <si>
    <t>Koo!
Butter cookies</t>
  </si>
  <si>
    <t>Azucar int Mascabo Bolss eco 500 grs</t>
  </si>
  <si>
    <t>Ilumine</t>
  </si>
  <si>
    <t>Propoleo Bebible Frasco de 125 cc</t>
  </si>
  <si>
    <t>Licor Naranja Botella de 750 cc.</t>
  </si>
  <si>
    <t>Licor Lemonchello Botella de 750 cc.</t>
  </si>
  <si>
    <t>Licor de Arandano Botella de 750 cc.</t>
  </si>
  <si>
    <t>Copetin Rueditas al Pesto</t>
  </si>
  <si>
    <t>Copetin tomate y romero</t>
  </si>
  <si>
    <t>Budin Banana y Nuez x 250g</t>
  </si>
  <si>
    <t>Budin Superchocolate x 250g</t>
  </si>
  <si>
    <t>Budin Ingles x 250g</t>
  </si>
  <si>
    <t>Budn Limon con Amapolas x 250g</t>
  </si>
  <si>
    <t>Arandano 212g</t>
  </si>
  <si>
    <t>Arandano y Membrillo</t>
  </si>
  <si>
    <t>Arandano 450g</t>
  </si>
  <si>
    <t>Arandano en almíbar 700g</t>
  </si>
  <si>
    <t>KariCaju</t>
  </si>
  <si>
    <t xml:space="preserve">Tanlatam </t>
  </si>
  <si>
    <t>Chocolatina personalizada 5 gr</t>
  </si>
  <si>
    <t>Copetin Bastones de Fugazza x 160g</t>
  </si>
  <si>
    <t>7792340073389</t>
  </si>
  <si>
    <t>7792340004277</t>
  </si>
  <si>
    <t>7791017000062</t>
  </si>
  <si>
    <t>7791017000079</t>
  </si>
  <si>
    <t>7791017000451</t>
  </si>
  <si>
    <t>7791017000369</t>
  </si>
  <si>
    <t>7791017000666</t>
  </si>
  <si>
    <t>7791017000307</t>
  </si>
  <si>
    <t>3248046600007</t>
  </si>
  <si>
    <t>3248046900008</t>
  </si>
  <si>
    <t>7791017000338</t>
  </si>
  <si>
    <t>7791017000239</t>
  </si>
  <si>
    <t>7798138970076</t>
  </si>
  <si>
    <t>7798138970014</t>
  </si>
  <si>
    <t xml:space="preserve">Aminopiñada </t>
  </si>
  <si>
    <t xml:space="preserve">Dadou </t>
  </si>
  <si>
    <t xml:space="preserve">Wazan </t>
  </si>
  <si>
    <t xml:space="preserve">Chiapaz </t>
  </si>
  <si>
    <t xml:space="preserve">Linocco </t>
  </si>
  <si>
    <t>Takku -</t>
  </si>
  <si>
    <t>Pan Dulce  inolvidable 500g Bolsa</t>
  </si>
  <si>
    <t>Copetin Parmesano y Nuez x 160g</t>
  </si>
  <si>
    <t>Copetin pan pizza y Oregano y Queso</t>
  </si>
  <si>
    <t>Amazonia Mango</t>
  </si>
  <si>
    <t xml:space="preserve">Konfitt Cafe </t>
  </si>
  <si>
    <t>Ajies  DulcesMeridiano 330</t>
  </si>
  <si>
    <t>choclo grano BRASIL 225 gr 200 gr escurrido</t>
  </si>
  <si>
    <t>Arvejas Muy Finas  400 gr 280 gr escurridas</t>
  </si>
  <si>
    <t>Chauchas Muy Finas 400 gr 220 gr escurridas</t>
  </si>
  <si>
    <t>Espinacas en Hojas 380 gr 265 gr escurridas</t>
  </si>
  <si>
    <t>Macedonia 400 gr 265 escurridas</t>
  </si>
  <si>
    <t>Porotos Rojos 400 gr 250 gr escurridos</t>
  </si>
  <si>
    <t xml:space="preserve">Arvejas M.F. y Zanahorias 400 gr 265 gr </t>
  </si>
  <si>
    <t>Zanahorias Extra Finas 400 gr 265 gr</t>
  </si>
  <si>
    <t>Arveja Bonduelle Brasil 300 gr 200 gr escurridas</t>
  </si>
  <si>
    <t>Lentejas Cocinadas 400 gr 2265 gr escurridas</t>
  </si>
  <si>
    <t>Repollitos de Bruselas 400 gr 265 gr eescurridas</t>
  </si>
  <si>
    <t>Garbanzos 310 gr 265 escurridas</t>
  </si>
  <si>
    <t>Remolacha en dados 300 gr 265 gr escurridas</t>
  </si>
  <si>
    <t>bromer</t>
  </si>
  <si>
    <t>Chucrut Meridiano 330</t>
  </si>
  <si>
    <t>7792340000309</t>
  </si>
  <si>
    <t>Verde Chai</t>
  </si>
  <si>
    <t xml:space="preserve">Blanco Lychee </t>
  </si>
  <si>
    <t xml:space="preserve">Inti Grey Clasic  </t>
  </si>
  <si>
    <t>Energy Chamana</t>
  </si>
  <si>
    <t>Azafran molidoen blister x 2 capsulas</t>
  </si>
  <si>
    <t>Azafran en hebra Blister Caja Cristal</t>
  </si>
  <si>
    <t>Azafran en hebra Fco Gourmet 1g</t>
  </si>
  <si>
    <t xml:space="preserve">Paretto! </t>
  </si>
  <si>
    <t>ChocoSitck 30 gr</t>
  </si>
  <si>
    <t>Honorarios por Servicios</t>
  </si>
  <si>
    <t>Honorarios Profesionales</t>
  </si>
  <si>
    <t>Mango &amp; Maracuya Koo! 180 gr</t>
  </si>
  <si>
    <t>Cantucci Nochiola x 180g</t>
  </si>
  <si>
    <t>http://www.tegourmetonline.com.ar/</t>
  </si>
  <si>
    <t>bonificado 40% comeercios</t>
  </si>
  <si>
    <t>http://listado.mercadolibre.com.ar/delicatessen-vinos/inti-zen</t>
  </si>
  <si>
    <t>http://articulo.mercadolibre.com.ar/MLA-648737643-te-inti-zen-combo-4-cajas-de-15-saquitos-cada-una-_JM</t>
  </si>
  <si>
    <t>Cassis Masseube 450g</t>
  </si>
  <si>
    <t>Chai Lovers Cookies&amp;Tea</t>
  </si>
  <si>
    <t>Citric Lovers Cookies&amp;Tea</t>
  </si>
  <si>
    <t>Chocolate Lovers Cookies&amp;Tea</t>
  </si>
  <si>
    <t>Sin Stock</t>
  </si>
  <si>
    <t>Azucar Mascabo  Bee Gourmet 250 gr</t>
  </si>
  <si>
    <t>Barras</t>
  </si>
  <si>
    <t>Barras Zafran Maini cacao</t>
  </si>
  <si>
    <t>Barras Zafran Manzana Chia</t>
  </si>
  <si>
    <t>Barras Zafran Caju Semillas de Zapallo</t>
  </si>
  <si>
    <t>Chocolate 55% Cacao s/azcar agregada</t>
  </si>
  <si>
    <t>Alquileres</t>
  </si>
  <si>
    <t>Azucar Organica Bee Pure Frasco 330 gr</t>
  </si>
  <si>
    <t>Granola Bee Pure Frasco 330 gr</t>
  </si>
  <si>
    <t>Dulce de Leche sin azucar Bee Pure 450 gr</t>
  </si>
  <si>
    <t xml:space="preserve">Dulce de Leche clasico Bee Pure 450 gr </t>
  </si>
  <si>
    <r>
      <t>05100000007</t>
    </r>
    <r>
      <rPr>
        <b/>
        <sz val="10"/>
        <color indexed="10"/>
        <rFont val="Calibri"/>
        <family val="2"/>
      </rPr>
      <t>1</t>
    </r>
  </si>
  <si>
    <t xml:space="preserve">en rojo los productos que no trabajamos
</t>
  </si>
  <si>
    <t>Taza y
Coberturas</t>
  </si>
  <si>
    <t>Moldatte Semiamargo 1 Kg</t>
  </si>
  <si>
    <t>Moldatte  Blanco 1 Kg</t>
  </si>
  <si>
    <t>Moldatte Leche 1 Kg</t>
  </si>
  <si>
    <t xml:space="preserve">Corazon alcaucil 330 </t>
  </si>
  <si>
    <t>Barras Zafran Almendras y Coco</t>
  </si>
  <si>
    <t>z carga de factura sin detalle</t>
  </si>
  <si>
    <t>Chocolate para taza x 60 und</t>
  </si>
  <si>
    <t>CV</t>
  </si>
  <si>
    <t>Aceto PREMIUM Domenico Ranieri Botella 250 cc</t>
  </si>
  <si>
    <t xml:space="preserve">Aceto PREMIUM Domenico Ranieri Bidón 5 LT </t>
  </si>
  <si>
    <t>Honorarios por Comisiones</t>
  </si>
  <si>
    <t>chocolatina Blanca</t>
  </si>
  <si>
    <r>
      <rPr>
        <b/>
        <sz val="11"/>
        <rFont val="Arial"/>
        <family val="2"/>
      </rPr>
      <t>Lista 4</t>
    </r>
    <r>
      <rPr>
        <sz val="11"/>
        <rFont val="Arial"/>
        <family val="2"/>
      </rPr>
      <t xml:space="preserve">
FINALCon IVA</t>
    </r>
  </si>
  <si>
    <t>Azafrán
El Ruedo</t>
  </si>
  <si>
    <t>Domenico
Rainieri
Acetos</t>
  </si>
  <si>
    <t>contra
pedidos</t>
  </si>
  <si>
    <t>pepinillo pickel 330</t>
  </si>
  <si>
    <t>Choco Grater x 160 gr</t>
  </si>
  <si>
    <t>Cobertura Semi tabletas 10 kg</t>
  </si>
  <si>
    <t>Choco Grater x 160 gr Repuesto</t>
  </si>
  <si>
    <t>Konfitt Almendra 100 gr</t>
  </si>
  <si>
    <t>Konfitt Avellana 100 gr</t>
  </si>
  <si>
    <t>Konfitt Dulce de Leche 100 gr</t>
  </si>
  <si>
    <t>Konfitt mani choc semiamargo x 100 gr</t>
  </si>
  <si>
    <t>Konfitt pasas uva  choc leche 100 gr</t>
  </si>
  <si>
    <t>Konfitt Lenteja  100 gr</t>
  </si>
  <si>
    <t>Konfitt
30 gr</t>
  </si>
  <si>
    <t>Konfitt
100 gr</t>
  </si>
  <si>
    <t>7797897003131</t>
  </si>
  <si>
    <t>7797897003179</t>
  </si>
  <si>
    <t>Granola Bee Pure Eco 500 gr</t>
  </si>
  <si>
    <t>Granola chocolate Bee Pure Frasco 330 gr</t>
  </si>
  <si>
    <t>Baño semiamargo stick 10 kg</t>
  </si>
  <si>
    <t>Pasta aceituna verde 170 gr</t>
  </si>
  <si>
    <t>Pasta aceituna negra 170 gr</t>
  </si>
  <si>
    <t>pepino Meridiano 800</t>
  </si>
  <si>
    <t>Chocolate 55% Cacao STEVIA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</si>
</sst>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€_-;\-* #,##0.00\ _€_-;_-* &quot;-&quot;??\ _€_-;_-@_-"/>
    <numFmt numFmtId="164" formatCode="[$$-2C0A]\ #,##0.00"/>
    <numFmt numFmtId="165" formatCode="_-* #,##0.00\ [$€]_-;\-* #,##0.00\ [$€]_-;_-* &quot;-&quot;??\ [$€]_-;_-@_-"/>
    <numFmt numFmtId="166" formatCode="&quot;$&quot;\ #,##0.00"/>
    <numFmt numFmtId="167" formatCode="0_);\(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</numFmts>
  <fonts count="5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Tahoma"/>
      <family val="2"/>
    </font>
    <font>
      <b/>
      <sz val="10"/>
      <name val="Arial"/>
      <family val="2"/>
    </font>
    <font>
      <b/>
      <sz val="8"/>
      <name val="Arial"/>
      <family val="2"/>
    </font>
    <font>
      <sz val="16"/>
      <name val="Tahoma"/>
      <family val="2"/>
    </font>
    <font>
      <sz val="10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Courier New"/>
      <family val="3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Arial"/>
      <family val="2"/>
      <charset val="1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8"/>
      <color rgb="FF000000"/>
      <name val="Arial"/>
      <family val="2"/>
    </font>
    <font>
      <sz val="12"/>
      <color rgb="FF333333"/>
      <name val="Arial"/>
      <family val="2"/>
    </font>
    <font>
      <sz val="10"/>
      <name val="Arial"/>
    </font>
    <font>
      <sz val="8"/>
      <color indexed="8"/>
      <name val="Arial"/>
      <family val="2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60">
    <xf numFmtId="0" fontId="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20" borderId="16" applyNumberFormat="0" applyAlignment="0" applyProtection="0"/>
    <xf numFmtId="0" fontId="27" fillId="21" borderId="17" applyNumberFormat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30" fillId="28" borderId="16" applyNumberFormat="0" applyAlignment="0" applyProtection="0"/>
    <xf numFmtId="165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29" borderId="0" applyNumberFormat="0" applyBorder="0" applyAlignment="0" applyProtection="0"/>
    <xf numFmtId="43" fontId="1" fillId="0" borderId="0" applyFont="0" applyFill="0" applyBorder="0" applyAlignment="0" applyProtection="0"/>
    <xf numFmtId="0" fontId="33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24" fillId="31" borderId="19" applyNumberFormat="0" applyFont="0" applyAlignment="0" applyProtection="0"/>
    <xf numFmtId="9" fontId="1" fillId="0" borderId="0" applyFont="0" applyFill="0" applyBorder="0" applyAlignment="0" applyProtection="0"/>
    <xf numFmtId="0" fontId="34" fillId="20" borderId="20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1" applyNumberFormat="0" applyFill="0" applyAlignment="0" applyProtection="0"/>
    <xf numFmtId="0" fontId="29" fillId="0" borderId="22" applyNumberFormat="0" applyFill="0" applyAlignment="0" applyProtection="0"/>
    <xf numFmtId="0" fontId="39" fillId="0" borderId="23" applyNumberFormat="0" applyFill="0" applyAlignment="0" applyProtection="0"/>
    <xf numFmtId="0" fontId="55" fillId="0" borderId="0"/>
    <xf numFmtId="169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</cellStyleXfs>
  <cellXfs count="243">
    <xf numFmtId="0" fontId="0" fillId="0" borderId="0" xfId="0"/>
    <xf numFmtId="164" fontId="15" fillId="0" borderId="1" xfId="1" applyNumberFormat="1" applyFont="1" applyBorder="1" applyAlignment="1">
      <alignment horizontal="center"/>
    </xf>
    <xf numFmtId="0" fontId="15" fillId="0" borderId="1" xfId="1" applyFont="1" applyBorder="1" applyAlignment="1">
      <alignment vertical="top" wrapText="1"/>
    </xf>
    <xf numFmtId="166" fontId="15" fillId="0" borderId="1" xfId="1" applyNumberFormat="1" applyFont="1" applyBorder="1" applyAlignment="1">
      <alignment horizont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7" fillId="0" borderId="0" xfId="1" applyFont="1"/>
    <xf numFmtId="2" fontId="0" fillId="0" borderId="0" xfId="1" applyNumberFormat="1" applyFont="1"/>
    <xf numFmtId="0" fontId="13" fillId="0" borderId="0" xfId="1" applyFont="1"/>
    <xf numFmtId="0" fontId="12" fillId="0" borderId="0" xfId="1" applyFont="1"/>
    <xf numFmtId="0" fontId="15" fillId="0" borderId="0" xfId="1" applyFont="1"/>
    <xf numFmtId="10" fontId="15" fillId="0" borderId="1" xfId="43" applyNumberFormat="1" applyFont="1" applyBorder="1" applyAlignment="1">
      <alignment horizontal="center"/>
    </xf>
    <xf numFmtId="0" fontId="15" fillId="0" borderId="1" xfId="1" applyFont="1" applyBorder="1"/>
    <xf numFmtId="3" fontId="15" fillId="0" borderId="1" xfId="37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0" fontId="0" fillId="0" borderId="1" xfId="1" applyFont="1" applyBorder="1"/>
    <xf numFmtId="164" fontId="15" fillId="0" borderId="0" xfId="1" applyNumberFormat="1" applyFont="1"/>
    <xf numFmtId="0" fontId="15" fillId="0" borderId="1" xfId="41" applyFont="1" applyBorder="1" applyAlignment="1">
      <alignment vertical="center"/>
    </xf>
    <xf numFmtId="1" fontId="15" fillId="0" borderId="1" xfId="1" applyNumberFormat="1" applyFont="1" applyBorder="1" applyAlignment="1" applyProtection="1">
      <alignment horizontal="center"/>
      <protection locked="0"/>
    </xf>
    <xf numFmtId="0" fontId="15" fillId="0" borderId="1" xfId="1" applyFont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textRotation="90" wrapText="1"/>
    </xf>
    <xf numFmtId="0" fontId="15" fillId="0" borderId="0" xfId="3" applyFont="1" applyAlignment="1">
      <alignment vertical="top" wrapText="1"/>
    </xf>
    <xf numFmtId="3" fontId="15" fillId="0" borderId="0" xfId="37" applyNumberFormat="1" applyFont="1" applyAlignment="1">
      <alignment horizontal="center"/>
    </xf>
    <xf numFmtId="164" fontId="15" fillId="0" borderId="0" xfId="3" applyNumberFormat="1" applyFont="1" applyAlignment="1">
      <alignment horizontal="center"/>
    </xf>
    <xf numFmtId="1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 indent="3"/>
    </xf>
    <xf numFmtId="2" fontId="15" fillId="0" borderId="0" xfId="1" applyNumberFormat="1" applyFont="1"/>
    <xf numFmtId="0" fontId="15" fillId="0" borderId="1" xfId="1" applyFont="1" applyBorder="1" applyAlignment="1">
      <alignment horizontal="center"/>
    </xf>
    <xf numFmtId="0" fontId="8" fillId="0" borderId="0" xfId="1" applyFont="1"/>
    <xf numFmtId="0" fontId="1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166" fontId="15" fillId="0" borderId="0" xfId="1" applyNumberFormat="1" applyFont="1" applyAlignment="1">
      <alignment horizontal="center"/>
    </xf>
    <xf numFmtId="0" fontId="10" fillId="0" borderId="0" xfId="1" applyFont="1" applyAlignment="1">
      <alignment horizontal="left"/>
    </xf>
    <xf numFmtId="0" fontId="0" fillId="0" borderId="1" xfId="0" applyBorder="1"/>
    <xf numFmtId="0" fontId="0" fillId="0" borderId="1" xfId="1" applyFont="1" applyBorder="1" applyAlignment="1">
      <alignment horizontal="center"/>
    </xf>
    <xf numFmtId="0" fontId="15" fillId="0" borderId="2" xfId="1" applyFont="1" applyBorder="1"/>
    <xf numFmtId="0" fontId="0" fillId="0" borderId="2" xfId="1" applyFont="1" applyBorder="1"/>
    <xf numFmtId="0" fontId="40" fillId="0" borderId="0" xfId="1" applyFont="1" applyAlignment="1">
      <alignment horizontal="center" vertical="center" shrinkToFit="1"/>
    </xf>
    <xf numFmtId="1" fontId="40" fillId="0" borderId="1" xfId="2" applyNumberFormat="1" applyFont="1" applyBorder="1" applyAlignment="1">
      <alignment horizontal="center" vertical="center" shrinkToFit="1"/>
    </xf>
    <xf numFmtId="49" fontId="40" fillId="0" borderId="1" xfId="2" applyNumberFormat="1" applyFont="1" applyBorder="1" applyAlignment="1">
      <alignment horizontal="center" vertical="center" shrinkToFit="1"/>
    </xf>
    <xf numFmtId="49" fontId="40" fillId="0" borderId="1" xfId="39" applyNumberFormat="1" applyFont="1" applyBorder="1" applyAlignment="1">
      <alignment horizontal="center" vertical="center" shrinkToFit="1"/>
    </xf>
    <xf numFmtId="0" fontId="40" fillId="0" borderId="1" xfId="1" applyFont="1" applyBorder="1" applyAlignment="1">
      <alignment horizontal="center" vertical="center" shrinkToFit="1"/>
    </xf>
    <xf numFmtId="0" fontId="40" fillId="0" borderId="0" xfId="1" applyFont="1" applyAlignment="1">
      <alignment horizontal="center" shrinkToFit="1"/>
    </xf>
    <xf numFmtId="1" fontId="40" fillId="0" borderId="3" xfId="0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1" fontId="40" fillId="0" borderId="3" xfId="1" applyNumberFormat="1" applyFont="1" applyBorder="1" applyAlignment="1">
      <alignment horizontal="center" vertical="center" wrapText="1"/>
    </xf>
    <xf numFmtId="49" fontId="40" fillId="0" borderId="1" xfId="1" applyNumberFormat="1" applyFont="1" applyBorder="1" applyAlignment="1">
      <alignment horizontal="center" vertical="center" shrinkToFit="1"/>
    </xf>
    <xf numFmtId="1" fontId="40" fillId="0" borderId="1" xfId="0" applyNumberFormat="1" applyFont="1" applyBorder="1" applyAlignment="1">
      <alignment horizontal="center" shrinkToFit="1"/>
    </xf>
    <xf numFmtId="1" fontId="40" fillId="0" borderId="4" xfId="0" applyNumberFormat="1" applyFont="1" applyBorder="1" applyAlignment="1">
      <alignment horizontal="center"/>
    </xf>
    <xf numFmtId="1" fontId="40" fillId="0" borderId="1" xfId="1" applyNumberFormat="1" applyFont="1" applyBorder="1" applyAlignment="1">
      <alignment horizontal="center" vertical="center" shrinkToFit="1"/>
    </xf>
    <xf numFmtId="0" fontId="1" fillId="0" borderId="0" xfId="1" applyFont="1"/>
    <xf numFmtId="2" fontId="0" fillId="0" borderId="0" xfId="0" applyNumberFormat="1"/>
    <xf numFmtId="2" fontId="3" fillId="0" borderId="0" xfId="0" applyNumberFormat="1" applyFont="1"/>
    <xf numFmtId="2" fontId="0" fillId="0" borderId="1" xfId="0" applyNumberFormat="1" applyBorder="1"/>
    <xf numFmtId="0" fontId="9" fillId="32" borderId="24" xfId="0" applyFont="1" applyFill="1" applyBorder="1" applyAlignment="1">
      <alignment horizontal="left" vertical="center" wrapText="1"/>
    </xf>
    <xf numFmtId="0" fontId="9" fillId="32" borderId="24" xfId="0" applyFont="1" applyFill="1" applyBorder="1" applyAlignment="1">
      <alignment horizontal="left" vertical="center"/>
    </xf>
    <xf numFmtId="0" fontId="31" fillId="32" borderId="0" xfId="35" applyFill="1" applyAlignment="1">
      <alignment vertical="center" wrapText="1"/>
    </xf>
    <xf numFmtId="0" fontId="22" fillId="32" borderId="0" xfId="0" applyFont="1" applyFill="1" applyAlignment="1">
      <alignment horizontal="left" vertical="center"/>
    </xf>
    <xf numFmtId="0" fontId="22" fillId="32" borderId="0" xfId="0" applyFont="1" applyFill="1" applyAlignment="1">
      <alignment horizontal="center" vertical="center"/>
    </xf>
    <xf numFmtId="0" fontId="22" fillId="32" borderId="0" xfId="0" applyFont="1" applyFill="1" applyAlignment="1">
      <alignment horizontal="right" vertical="center"/>
    </xf>
    <xf numFmtId="0" fontId="41" fillId="32" borderId="0" xfId="0" applyFont="1" applyFill="1" applyAlignment="1">
      <alignment horizontal="left" vertical="center"/>
    </xf>
    <xf numFmtId="0" fontId="41" fillId="32" borderId="0" xfId="0" applyFont="1" applyFill="1" applyAlignment="1">
      <alignment horizontal="center" vertical="center"/>
    </xf>
    <xf numFmtId="0" fontId="41" fillId="32" borderId="0" xfId="0" applyFont="1" applyFill="1" applyAlignment="1">
      <alignment horizontal="right" vertical="center"/>
    </xf>
    <xf numFmtId="0" fontId="5" fillId="0" borderId="0" xfId="1" applyFont="1" applyAlignment="1">
      <alignment horizontal="center"/>
    </xf>
    <xf numFmtId="0" fontId="15" fillId="0" borderId="1" xfId="1" applyFont="1" applyBorder="1" applyAlignment="1">
      <alignment horizontal="left" vertical="center" shrinkToFit="1"/>
    </xf>
    <xf numFmtId="10" fontId="0" fillId="0" borderId="0" xfId="1" applyNumberFormat="1" applyFont="1"/>
    <xf numFmtId="10" fontId="15" fillId="0" borderId="0" xfId="1" applyNumberFormat="1" applyFont="1" applyAlignment="1">
      <alignment horizontal="center"/>
    </xf>
    <xf numFmtId="10" fontId="15" fillId="0" borderId="0" xfId="1" applyNumberFormat="1" applyFont="1"/>
    <xf numFmtId="9" fontId="0" fillId="0" borderId="0" xfId="1" applyNumberFormat="1" applyFont="1"/>
    <xf numFmtId="9" fontId="15" fillId="0" borderId="0" xfId="1" applyNumberFormat="1" applyFont="1"/>
    <xf numFmtId="0" fontId="42" fillId="0" borderId="1" xfId="1" applyFont="1" applyBorder="1" applyAlignment="1">
      <alignment horizontal="center" vertical="center"/>
    </xf>
    <xf numFmtId="49" fontId="43" fillId="0" borderId="1" xfId="39" applyNumberFormat="1" applyFont="1" applyBorder="1" applyAlignment="1">
      <alignment horizontal="center" vertical="center" shrinkToFit="1"/>
    </xf>
    <xf numFmtId="0" fontId="42" fillId="0" borderId="1" xfId="1" applyFont="1" applyBorder="1" applyAlignment="1">
      <alignment vertical="top" wrapText="1"/>
    </xf>
    <xf numFmtId="3" fontId="42" fillId="0" borderId="1" xfId="37" applyNumberFormat="1" applyFont="1" applyBorder="1" applyAlignment="1">
      <alignment horizontal="center"/>
    </xf>
    <xf numFmtId="164" fontId="42" fillId="0" borderId="1" xfId="1" applyNumberFormat="1" applyFont="1" applyBorder="1" applyAlignment="1">
      <alignment horizontal="center"/>
    </xf>
    <xf numFmtId="1" fontId="42" fillId="0" borderId="1" xfId="1" applyNumberFormat="1" applyFont="1" applyBorder="1" applyAlignment="1">
      <alignment horizontal="center"/>
    </xf>
    <xf numFmtId="0" fontId="42" fillId="0" borderId="2" xfId="1" applyFont="1" applyBorder="1"/>
    <xf numFmtId="166" fontId="42" fillId="0" borderId="1" xfId="1" applyNumberFormat="1" applyFont="1" applyBorder="1" applyAlignment="1">
      <alignment horizontal="center"/>
    </xf>
    <xf numFmtId="0" fontId="42" fillId="0" borderId="1" xfId="1" applyFont="1" applyBorder="1"/>
    <xf numFmtId="10" fontId="42" fillId="0" borderId="1" xfId="43" applyNumberFormat="1" applyFont="1" applyBorder="1" applyAlignment="1">
      <alignment horizontal="center"/>
    </xf>
    <xf numFmtId="0" fontId="44" fillId="0" borderId="0" xfId="1" applyFont="1"/>
    <xf numFmtId="10" fontId="42" fillId="0" borderId="0" xfId="1" applyNumberFormat="1" applyFont="1" applyAlignment="1">
      <alignment horizontal="center"/>
    </xf>
    <xf numFmtId="166" fontId="42" fillId="0" borderId="0" xfId="1" applyNumberFormat="1" applyFont="1" applyAlignment="1">
      <alignment horizontal="center"/>
    </xf>
    <xf numFmtId="0" fontId="43" fillId="0" borderId="1" xfId="1" applyFont="1" applyBorder="1" applyAlignment="1">
      <alignment horizontal="center" vertical="center" shrinkToFit="1"/>
    </xf>
    <xf numFmtId="0" fontId="42" fillId="0" borderId="0" xfId="1" applyFont="1"/>
    <xf numFmtId="2" fontId="42" fillId="0" borderId="1" xfId="1" applyNumberFormat="1" applyFont="1" applyBorder="1" applyAlignment="1">
      <alignment horizontal="center"/>
    </xf>
    <xf numFmtId="1" fontId="43" fillId="0" borderId="1" xfId="2" applyNumberFormat="1" applyFont="1" applyBorder="1" applyAlignment="1">
      <alignment horizontal="center" vertical="center" shrinkToFit="1"/>
    </xf>
    <xf numFmtId="1" fontId="42" fillId="0" borderId="1" xfId="1" applyNumberFormat="1" applyFont="1" applyBorder="1" applyAlignment="1" applyProtection="1">
      <alignment horizontal="center"/>
      <protection locked="0"/>
    </xf>
    <xf numFmtId="49" fontId="43" fillId="0" borderId="1" xfId="2" applyNumberFormat="1" applyFont="1" applyBorder="1" applyAlignment="1">
      <alignment horizontal="center" vertical="center" shrinkToFit="1"/>
    </xf>
    <xf numFmtId="49" fontId="43" fillId="0" borderId="1" xfId="2" applyNumberFormat="1" applyFont="1" applyBorder="1" applyAlignment="1">
      <alignment horizontal="center" vertical="center"/>
    </xf>
    <xf numFmtId="0" fontId="42" fillId="0" borderId="6" xfId="1" applyFont="1" applyBorder="1"/>
    <xf numFmtId="1" fontId="45" fillId="0" borderId="1" xfId="2" applyNumberFormat="1" applyFont="1" applyBorder="1" applyAlignment="1">
      <alignment horizontal="center" vertical="top" wrapText="1"/>
    </xf>
    <xf numFmtId="49" fontId="43" fillId="0" borderId="1" xfId="0" applyNumberFormat="1" applyFont="1" applyBorder="1" applyAlignment="1">
      <alignment horizontal="center"/>
    </xf>
    <xf numFmtId="1" fontId="35" fillId="0" borderId="0" xfId="2" applyNumberFormat="1" applyFont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 wrapText="1"/>
    </xf>
    <xf numFmtId="164" fontId="42" fillId="0" borderId="1" xfId="3" applyNumberFormat="1" applyFont="1" applyBorder="1" applyAlignment="1">
      <alignment horizontal="center"/>
    </xf>
    <xf numFmtId="0" fontId="42" fillId="0" borderId="1" xfId="3" applyFont="1" applyBorder="1" applyAlignment="1">
      <alignment vertical="top" wrapText="1"/>
    </xf>
    <xf numFmtId="164" fontId="42" fillId="0" borderId="0" xfId="1" applyNumberFormat="1" applyFont="1"/>
    <xf numFmtId="0" fontId="42" fillId="0" borderId="1" xfId="41" applyFont="1" applyBorder="1" applyAlignment="1">
      <alignment vertical="center"/>
    </xf>
    <xf numFmtId="164" fontId="42" fillId="33" borderId="1" xfId="1" applyNumberFormat="1" applyFont="1" applyFill="1" applyBorder="1" applyAlignment="1">
      <alignment horizontal="center"/>
    </xf>
    <xf numFmtId="0" fontId="46" fillId="0" borderId="1" xfId="1" applyFont="1" applyBorder="1" applyAlignment="1">
      <alignment horizontal="center" vertical="center" textRotation="90" wrapText="1"/>
    </xf>
    <xf numFmtId="0" fontId="47" fillId="0" borderId="1" xfId="1" applyFont="1" applyBorder="1" applyAlignment="1">
      <alignment horizontal="center" vertical="center" textRotation="90" wrapText="1"/>
    </xf>
    <xf numFmtId="0" fontId="44" fillId="0" borderId="1" xfId="1" applyFont="1" applyBorder="1" applyAlignment="1">
      <alignment horizontal="center"/>
    </xf>
    <xf numFmtId="49" fontId="43" fillId="0" borderId="1" xfId="1" applyNumberFormat="1" applyFont="1" applyBorder="1" applyAlignment="1">
      <alignment horizontal="center" vertical="center" shrinkToFit="1"/>
    </xf>
    <xf numFmtId="0" fontId="42" fillId="0" borderId="7" xfId="1" applyFont="1" applyBorder="1"/>
    <xf numFmtId="0" fontId="42" fillId="0" borderId="1" xfId="1" applyFont="1" applyBorder="1" applyAlignment="1">
      <alignment horizontal="left" vertical="center"/>
    </xf>
    <xf numFmtId="9" fontId="44" fillId="0" borderId="0" xfId="1" applyNumberFormat="1" applyFont="1"/>
    <xf numFmtId="0" fontId="43" fillId="0" borderId="1" xfId="0" quotePrefix="1" applyFont="1" applyBorder="1" applyAlignment="1" applyProtection="1">
      <alignment horizontal="center" shrinkToFit="1"/>
      <protection locked="0"/>
    </xf>
    <xf numFmtId="0" fontId="42" fillId="33" borderId="1" xfId="0" applyFont="1" applyFill="1" applyBorder="1" applyAlignment="1" applyProtection="1">
      <alignment vertical="center"/>
      <protection locked="0"/>
    </xf>
    <xf numFmtId="0" fontId="42" fillId="33" borderId="1" xfId="0" applyFont="1" applyFill="1" applyBorder="1" applyAlignment="1" applyProtection="1">
      <alignment horizontal="left" vertical="center"/>
      <protection locked="0"/>
    </xf>
    <xf numFmtId="1" fontId="42" fillId="0" borderId="8" xfId="1" applyNumberFormat="1" applyFont="1" applyBorder="1" applyAlignment="1" applyProtection="1">
      <alignment horizontal="center"/>
      <protection locked="0"/>
    </xf>
    <xf numFmtId="164" fontId="42" fillId="0" borderId="8" xfId="1" applyNumberFormat="1" applyFont="1" applyBorder="1" applyAlignment="1">
      <alignment horizontal="center"/>
    </xf>
    <xf numFmtId="166" fontId="42" fillId="0" borderId="8" xfId="1" applyNumberFormat="1" applyFont="1" applyBorder="1" applyAlignment="1">
      <alignment horizontal="center"/>
    </xf>
    <xf numFmtId="10" fontId="42" fillId="0" borderId="8" xfId="43" applyNumberFormat="1" applyFont="1" applyBorder="1" applyAlignment="1">
      <alignment horizontal="center"/>
    </xf>
    <xf numFmtId="0" fontId="46" fillId="0" borderId="1" xfId="3" applyFont="1" applyBorder="1" applyAlignment="1">
      <alignment vertical="center" textRotation="90" wrapText="1"/>
    </xf>
    <xf numFmtId="0" fontId="48" fillId="0" borderId="9" xfId="1" applyFont="1" applyBorder="1" applyAlignment="1">
      <alignment horizontal="center" vertical="center" wrapText="1" shrinkToFit="1"/>
    </xf>
    <xf numFmtId="0" fontId="6" fillId="0" borderId="9" xfId="1" applyFont="1" applyBorder="1" applyAlignment="1">
      <alignment horizontal="center" vertical="center" textRotation="90" wrapText="1" shrinkToFit="1"/>
    </xf>
    <xf numFmtId="0" fontId="6" fillId="0" borderId="9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 wrapText="1" shrinkToFit="1"/>
    </xf>
    <xf numFmtId="0" fontId="4" fillId="0" borderId="10" xfId="1" applyFont="1" applyBorder="1" applyAlignment="1">
      <alignment horizontal="center" vertical="center" wrapText="1" shrinkToFit="1"/>
    </xf>
    <xf numFmtId="0" fontId="3" fillId="0" borderId="0" xfId="1" applyFont="1" applyAlignment="1">
      <alignment wrapText="1" shrinkToFit="1"/>
    </xf>
    <xf numFmtId="166" fontId="5" fillId="34" borderId="1" xfId="1" applyNumberFormat="1" applyFont="1" applyFill="1" applyBorder="1" applyAlignment="1">
      <alignment horizontal="center" vertical="center" wrapText="1" shrinkToFit="1"/>
    </xf>
    <xf numFmtId="166" fontId="5" fillId="0" borderId="1" xfId="1" applyNumberFormat="1" applyFont="1" applyBorder="1" applyAlignment="1">
      <alignment horizontal="center" vertical="center" wrapText="1" shrinkToFit="1"/>
    </xf>
    <xf numFmtId="0" fontId="3" fillId="0" borderId="1" xfId="1" applyFont="1" applyBorder="1" applyAlignment="1">
      <alignment horizontal="center" wrapText="1" shrinkToFit="1"/>
    </xf>
    <xf numFmtId="166" fontId="5" fillId="35" borderId="1" xfId="1" applyNumberFormat="1" applyFont="1" applyFill="1" applyBorder="1" applyAlignment="1">
      <alignment horizontal="center" vertical="center" wrapText="1" shrinkToFit="1"/>
    </xf>
    <xf numFmtId="10" fontId="3" fillId="0" borderId="0" xfId="1" applyNumberFormat="1" applyFont="1" applyAlignment="1">
      <alignment horizontal="center" wrapText="1" shrinkToFit="1"/>
    </xf>
    <xf numFmtId="166" fontId="5" fillId="36" borderId="1" xfId="1" applyNumberFormat="1" applyFont="1" applyFill="1" applyBorder="1" applyAlignment="1">
      <alignment horizontal="center" vertical="center" wrapText="1" shrinkToFit="1"/>
    </xf>
    <xf numFmtId="166" fontId="5" fillId="37" borderId="1" xfId="1" applyNumberFormat="1" applyFont="1" applyFill="1" applyBorder="1" applyAlignment="1">
      <alignment horizontal="center" vertical="center" wrapText="1" shrinkToFit="1"/>
    </xf>
    <xf numFmtId="0" fontId="3" fillId="0" borderId="0" xfId="1" applyFont="1" applyAlignment="1">
      <alignment horizontal="center" wrapText="1" shrinkToFit="1"/>
    </xf>
    <xf numFmtId="0" fontId="1" fillId="0" borderId="0" xfId="1" applyFont="1" applyAlignment="1">
      <alignment wrapText="1" shrinkToFit="1"/>
    </xf>
    <xf numFmtId="167" fontId="43" fillId="0" borderId="1" xfId="37" applyNumberFormat="1" applyFont="1" applyBorder="1" applyAlignment="1">
      <alignment horizontal="center" vertical="center" shrinkToFit="1"/>
    </xf>
    <xf numFmtId="1" fontId="43" fillId="0" borderId="1" xfId="3" applyNumberFormat="1" applyFont="1" applyBorder="1" applyAlignment="1">
      <alignment horizontal="center" vertical="center" shrinkToFit="1"/>
    </xf>
    <xf numFmtId="0" fontId="46" fillId="0" borderId="8" xfId="3" applyFont="1" applyBorder="1" applyAlignment="1">
      <alignment horizontal="center" vertical="center" textRotation="90" wrapText="1"/>
    </xf>
    <xf numFmtId="0" fontId="46" fillId="0" borderId="8" xfId="1" applyFont="1" applyBorder="1" applyAlignment="1">
      <alignment horizontal="center" vertical="center" textRotation="90" wrapText="1"/>
    </xf>
    <xf numFmtId="0" fontId="1" fillId="0" borderId="1" xfId="1" applyFont="1" applyBorder="1"/>
    <xf numFmtId="1" fontId="44" fillId="0" borderId="1" xfId="0" applyNumberFormat="1" applyFont="1" applyBorder="1" applyAlignment="1">
      <alignment horizontal="center" vertical="center"/>
    </xf>
    <xf numFmtId="0" fontId="44" fillId="0" borderId="1" xfId="1" applyFont="1" applyBorder="1"/>
    <xf numFmtId="0" fontId="43" fillId="0" borderId="1" xfId="0" applyFont="1" applyBorder="1" applyAlignment="1">
      <alignment horizontal="center"/>
    </xf>
    <xf numFmtId="0" fontId="42" fillId="0" borderId="1" xfId="2" applyFont="1" applyBorder="1" applyAlignment="1">
      <alignment vertical="top" wrapText="1"/>
    </xf>
    <xf numFmtId="0" fontId="43" fillId="0" borderId="1" xfId="40" applyFont="1" applyBorder="1" applyAlignment="1">
      <alignment horizontal="center"/>
    </xf>
    <xf numFmtId="0" fontId="42" fillId="0" borderId="2" xfId="2" applyFont="1" applyBorder="1" applyAlignment="1">
      <alignment vertical="top" wrapText="1"/>
    </xf>
    <xf numFmtId="0" fontId="42" fillId="0" borderId="9" xfId="1" applyFont="1" applyBorder="1" applyAlignment="1">
      <alignment horizontal="center" vertical="center"/>
    </xf>
    <xf numFmtId="0" fontId="42" fillId="0" borderId="11" xfId="2" applyFont="1" applyBorder="1" applyAlignment="1">
      <alignment horizontal="left" vertical="top" wrapText="1"/>
    </xf>
    <xf numFmtId="3" fontId="42" fillId="0" borderId="9" xfId="37" applyNumberFormat="1" applyFont="1" applyBorder="1" applyAlignment="1">
      <alignment horizontal="center"/>
    </xf>
    <xf numFmtId="164" fontId="42" fillId="0" borderId="9" xfId="1" applyNumberFormat="1" applyFont="1" applyBorder="1" applyAlignment="1">
      <alignment horizontal="center"/>
    </xf>
    <xf numFmtId="1" fontId="42" fillId="0" borderId="9" xfId="1" applyNumberFormat="1" applyFont="1" applyBorder="1" applyAlignment="1" applyProtection="1">
      <alignment horizontal="center"/>
      <protection locked="0"/>
    </xf>
    <xf numFmtId="0" fontId="42" fillId="33" borderId="2" xfId="0" applyFont="1" applyFill="1" applyBorder="1" applyAlignment="1" applyProtection="1">
      <alignment vertical="center"/>
      <protection locked="0"/>
    </xf>
    <xf numFmtId="0" fontId="46" fillId="33" borderId="1" xfId="0" applyFont="1" applyFill="1" applyBorder="1" applyAlignment="1" applyProtection="1">
      <alignment horizontal="left" vertical="center"/>
      <protection locked="0"/>
    </xf>
    <xf numFmtId="0" fontId="42" fillId="0" borderId="1" xfId="1" applyFont="1" applyBorder="1" applyAlignment="1">
      <alignment horizontal="center"/>
    </xf>
    <xf numFmtId="10" fontId="42" fillId="0" borderId="1" xfId="1" applyNumberFormat="1" applyFont="1" applyBorder="1"/>
    <xf numFmtId="0" fontId="4" fillId="0" borderId="1" xfId="3" applyFont="1" applyBorder="1" applyAlignment="1">
      <alignment vertical="center" textRotation="90" wrapText="1"/>
    </xf>
    <xf numFmtId="0" fontId="1" fillId="0" borderId="2" xfId="1" applyFont="1" applyBorder="1"/>
    <xf numFmtId="0" fontId="44" fillId="0" borderId="2" xfId="1" applyFont="1" applyBorder="1"/>
    <xf numFmtId="2" fontId="44" fillId="0" borderId="0" xfId="1" applyNumberFormat="1" applyFont="1"/>
    <xf numFmtId="0" fontId="49" fillId="0" borderId="1" xfId="1" applyFont="1" applyBorder="1" applyAlignment="1">
      <alignment horizontal="center" vertical="center"/>
    </xf>
    <xf numFmtId="49" fontId="50" fillId="0" borderId="1" xfId="39" applyNumberFormat="1" applyFont="1" applyBorder="1" applyAlignment="1">
      <alignment horizontal="center" vertical="center" shrinkToFit="1"/>
    </xf>
    <xf numFmtId="0" fontId="49" fillId="0" borderId="1" xfId="1" applyFont="1" applyBorder="1" applyAlignment="1">
      <alignment vertical="top" wrapText="1"/>
    </xf>
    <xf numFmtId="3" fontId="49" fillId="0" borderId="1" xfId="37" applyNumberFormat="1" applyFont="1" applyBorder="1" applyAlignment="1">
      <alignment horizontal="center"/>
    </xf>
    <xf numFmtId="164" fontId="49" fillId="0" borderId="1" xfId="1" applyNumberFormat="1" applyFont="1" applyBorder="1" applyAlignment="1">
      <alignment horizontal="center"/>
    </xf>
    <xf numFmtId="1" fontId="49" fillId="0" borderId="1" xfId="1" applyNumberFormat="1" applyFont="1" applyBorder="1" applyAlignment="1">
      <alignment horizontal="center"/>
    </xf>
    <xf numFmtId="0" fontId="49" fillId="0" borderId="2" xfId="1" applyFont="1" applyBorder="1"/>
    <xf numFmtId="166" fontId="49" fillId="0" borderId="1" xfId="1" applyNumberFormat="1" applyFont="1" applyBorder="1" applyAlignment="1">
      <alignment horizontal="center"/>
    </xf>
    <xf numFmtId="0" fontId="49" fillId="0" borderId="1" xfId="1" applyFont="1" applyBorder="1"/>
    <xf numFmtId="10" fontId="49" fillId="0" borderId="1" xfId="43" applyNumberFormat="1" applyFont="1" applyBorder="1" applyAlignment="1">
      <alignment horizontal="center"/>
    </xf>
    <xf numFmtId="2" fontId="51" fillId="0" borderId="0" xfId="1" applyNumberFormat="1" applyFont="1"/>
    <xf numFmtId="10" fontId="49" fillId="0" borderId="0" xfId="1" applyNumberFormat="1" applyFont="1" applyAlignment="1">
      <alignment horizontal="center"/>
    </xf>
    <xf numFmtId="166" fontId="49" fillId="0" borderId="0" xfId="1" applyNumberFormat="1" applyFont="1" applyAlignment="1">
      <alignment horizontal="center"/>
    </xf>
    <xf numFmtId="0" fontId="51" fillId="0" borderId="0" xfId="1" applyFont="1"/>
    <xf numFmtId="10" fontId="15" fillId="38" borderId="0" xfId="1" applyNumberFormat="1" applyFont="1" applyFill="1" applyAlignment="1">
      <alignment horizontal="center"/>
    </xf>
    <xf numFmtId="2" fontId="55" fillId="0" borderId="0" xfId="1" applyNumberFormat="1" applyFont="1"/>
    <xf numFmtId="0" fontId="55" fillId="0" borderId="0" xfId="1" applyFont="1"/>
    <xf numFmtId="1" fontId="43" fillId="0" borderId="1" xfId="1" applyNumberFormat="1" applyFont="1" applyBorder="1" applyAlignment="1">
      <alignment horizontal="center" vertical="center" shrinkToFit="1"/>
    </xf>
    <xf numFmtId="0" fontId="42" fillId="0" borderId="1" xfId="1" applyFont="1" applyBorder="1" applyAlignment="1">
      <alignment horizontal="left" vertical="center" shrinkToFit="1"/>
    </xf>
    <xf numFmtId="10" fontId="42" fillId="38" borderId="0" xfId="1" applyNumberFormat="1" applyFont="1" applyFill="1" applyAlignment="1">
      <alignment horizontal="center"/>
    </xf>
    <xf numFmtId="1" fontId="57" fillId="0" borderId="26" xfId="51" applyNumberFormat="1" applyFont="1" applyBorder="1" applyAlignment="1">
      <alignment horizontal="center"/>
    </xf>
    <xf numFmtId="1" fontId="57" fillId="0" borderId="27" xfId="56" applyNumberFormat="1" applyFont="1" applyBorder="1" applyAlignment="1">
      <alignment horizontal="center"/>
    </xf>
    <xf numFmtId="1" fontId="57" fillId="0" borderId="26" xfId="57" applyNumberFormat="1" applyFont="1" applyBorder="1" applyAlignment="1">
      <alignment horizontal="center"/>
    </xf>
    <xf numFmtId="1" fontId="57" fillId="0" borderId="5" xfId="58" applyNumberFormat="1" applyFont="1" applyBorder="1" applyAlignment="1">
      <alignment horizontal="center"/>
    </xf>
    <xf numFmtId="1" fontId="57" fillId="0" borderId="28" xfId="59" applyNumberFormat="1" applyFont="1" applyBorder="1" applyAlignment="1">
      <alignment horizontal="center"/>
    </xf>
    <xf numFmtId="0" fontId="4" fillId="0" borderId="1" xfId="3" applyFont="1" applyBorder="1" applyAlignment="1">
      <alignment horizontal="center" vertical="center" textRotation="90" wrapText="1"/>
    </xf>
    <xf numFmtId="0" fontId="46" fillId="0" borderId="1" xfId="1" applyFont="1" applyBorder="1" applyAlignment="1">
      <alignment horizontal="center" vertical="center" textRotation="90" wrapText="1"/>
    </xf>
    <xf numFmtId="0" fontId="46" fillId="0" borderId="9" xfId="3" applyFont="1" applyBorder="1" applyAlignment="1">
      <alignment horizontal="center" vertical="center" textRotation="90" wrapText="1"/>
    </xf>
    <xf numFmtId="0" fontId="46" fillId="0" borderId="12" xfId="3" applyFont="1" applyBorder="1" applyAlignment="1">
      <alignment horizontal="center" vertical="center" textRotation="90" wrapText="1"/>
    </xf>
    <xf numFmtId="0" fontId="46" fillId="0" borderId="8" xfId="3" applyFont="1" applyBorder="1" applyAlignment="1">
      <alignment horizontal="center" vertical="center" textRotation="90" wrapText="1"/>
    </xf>
    <xf numFmtId="0" fontId="46" fillId="0" borderId="1" xfId="3" applyFont="1" applyBorder="1" applyAlignment="1">
      <alignment horizontal="center" vertical="center" textRotation="90" wrapText="1"/>
    </xf>
    <xf numFmtId="0" fontId="46" fillId="0" borderId="9" xfId="1" applyFont="1" applyBorder="1" applyAlignment="1">
      <alignment horizontal="center" vertical="center" textRotation="90" wrapText="1"/>
    </xf>
    <xf numFmtId="0" fontId="46" fillId="0" borderId="8" xfId="1" applyFont="1" applyBorder="1" applyAlignment="1">
      <alignment horizontal="center" vertical="center" textRotation="90" wrapText="1"/>
    </xf>
    <xf numFmtId="0" fontId="46" fillId="0" borderId="12" xfId="1" applyFont="1" applyBorder="1" applyAlignment="1">
      <alignment horizontal="center" vertical="center" textRotation="90" wrapText="1"/>
    </xf>
    <xf numFmtId="0" fontId="6" fillId="0" borderId="1" xfId="3" applyFont="1" applyBorder="1" applyAlignment="1">
      <alignment horizontal="center" vertical="center" textRotation="90" wrapText="1"/>
    </xf>
    <xf numFmtId="0" fontId="52" fillId="0" borderId="10" xfId="3" applyFont="1" applyBorder="1" applyAlignment="1">
      <alignment horizontal="center" vertical="center" wrapText="1"/>
    </xf>
    <xf numFmtId="0" fontId="52" fillId="0" borderId="11" xfId="3" applyFont="1" applyBorder="1" applyAlignment="1">
      <alignment horizontal="center" vertical="center" wrapText="1"/>
    </xf>
    <xf numFmtId="0" fontId="52" fillId="0" borderId="13" xfId="3" applyFont="1" applyBorder="1" applyAlignment="1">
      <alignment horizontal="center" vertical="center" wrapText="1"/>
    </xf>
    <xf numFmtId="0" fontId="52" fillId="0" borderId="14" xfId="3" applyFont="1" applyBorder="1" applyAlignment="1">
      <alignment horizontal="center" vertical="center" wrapText="1"/>
    </xf>
    <xf numFmtId="0" fontId="52" fillId="0" borderId="15" xfId="3" applyFont="1" applyBorder="1" applyAlignment="1">
      <alignment horizontal="center" vertical="center" wrapText="1"/>
    </xf>
    <xf numFmtId="0" fontId="52" fillId="0" borderId="7" xfId="3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textRotation="90"/>
    </xf>
    <xf numFmtId="0" fontId="8" fillId="0" borderId="1" xfId="1" applyFont="1" applyBorder="1" applyAlignment="1">
      <alignment horizontal="center" vertical="center" textRotation="90" wrapText="1"/>
    </xf>
    <xf numFmtId="0" fontId="6" fillId="0" borderId="1" xfId="3" applyFont="1" applyBorder="1" applyAlignment="1">
      <alignment horizontal="center" vertical="center" textRotation="90" wrapText="1" shrinkToFit="1"/>
    </xf>
    <xf numFmtId="0" fontId="6" fillId="0" borderId="1" xfId="3" applyFont="1" applyBorder="1" applyAlignment="1">
      <alignment horizontal="center" vertical="center" textRotation="90" shrinkToFit="1"/>
    </xf>
    <xf numFmtId="0" fontId="6" fillId="0" borderId="9" xfId="3" applyFont="1" applyBorder="1" applyAlignment="1">
      <alignment horizontal="center" vertical="center" textRotation="90" wrapText="1"/>
    </xf>
    <xf numFmtId="0" fontId="6" fillId="0" borderId="12" xfId="3" applyFont="1" applyBorder="1" applyAlignment="1">
      <alignment horizontal="center" vertical="center" textRotation="90" wrapText="1"/>
    </xf>
    <xf numFmtId="0" fontId="6" fillId="0" borderId="8" xfId="3" applyFont="1" applyBorder="1" applyAlignment="1">
      <alignment horizontal="center" vertical="center" textRotation="90" wrapText="1"/>
    </xf>
    <xf numFmtId="0" fontId="4" fillId="0" borderId="9" xfId="3" applyFont="1" applyBorder="1" applyAlignment="1">
      <alignment horizontal="center" vertical="center" textRotation="90" wrapText="1"/>
    </xf>
    <xf numFmtId="0" fontId="4" fillId="0" borderId="12" xfId="3" applyFont="1" applyBorder="1" applyAlignment="1">
      <alignment horizontal="center" vertical="center" textRotation="90" wrapText="1"/>
    </xf>
    <xf numFmtId="0" fontId="4" fillId="0" borderId="9" xfId="1" applyFont="1" applyBorder="1" applyAlignment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0" fontId="4" fillId="0" borderId="8" xfId="3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textRotation="90" wrapText="1"/>
    </xf>
    <xf numFmtId="0" fontId="6" fillId="0" borderId="1" xfId="1" applyFont="1" applyBorder="1" applyAlignment="1">
      <alignment horizontal="center" vertical="center" textRotation="90" wrapText="1"/>
    </xf>
    <xf numFmtId="0" fontId="52" fillId="0" borderId="1" xfId="1" applyFont="1" applyBorder="1" applyAlignment="1">
      <alignment horizontal="center" vertical="center" textRotation="90" wrapText="1"/>
    </xf>
    <xf numFmtId="0" fontId="47" fillId="0" borderId="1" xfId="1" applyFont="1" applyBorder="1" applyAlignment="1">
      <alignment horizontal="center" vertical="center" textRotation="90" wrapText="1"/>
    </xf>
    <xf numFmtId="0" fontId="6" fillId="0" borderId="11" xfId="1" applyFont="1" applyBorder="1" applyAlignment="1">
      <alignment horizontal="center" vertical="center" textRotation="90" wrapText="1"/>
    </xf>
    <xf numFmtId="0" fontId="6" fillId="0" borderId="14" xfId="1" applyFont="1" applyBorder="1" applyAlignment="1">
      <alignment horizontal="center" vertical="center" textRotation="90" wrapText="1"/>
    </xf>
    <xf numFmtId="0" fontId="6" fillId="0" borderId="7" xfId="1" applyFont="1" applyBorder="1" applyAlignment="1">
      <alignment horizontal="center" vertical="center" textRotation="90" wrapText="1"/>
    </xf>
    <xf numFmtId="0" fontId="8" fillId="0" borderId="9" xfId="1" applyFont="1" applyBorder="1" applyAlignment="1">
      <alignment horizontal="center" vertical="center" textRotation="90" wrapText="1"/>
    </xf>
    <xf numFmtId="0" fontId="8" fillId="0" borderId="12" xfId="1" applyFont="1" applyBorder="1" applyAlignment="1">
      <alignment horizontal="center" vertical="center" textRotation="90" wrapText="1"/>
    </xf>
    <xf numFmtId="0" fontId="8" fillId="0" borderId="8" xfId="1" applyFont="1" applyBorder="1" applyAlignment="1">
      <alignment horizontal="center" vertical="center" textRotation="90" wrapText="1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2" xfId="1" applyFont="1" applyBorder="1" applyAlignment="1">
      <alignment horizontal="center" vertical="center" textRotation="90" wrapText="1"/>
    </xf>
    <xf numFmtId="0" fontId="6" fillId="0" borderId="8" xfId="1" applyFont="1" applyBorder="1" applyAlignment="1">
      <alignment horizontal="center" vertical="center" textRotation="90" wrapText="1"/>
    </xf>
    <xf numFmtId="0" fontId="9" fillId="0" borderId="10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3" fillId="37" borderId="0" xfId="1" applyFont="1" applyFill="1" applyAlignment="1">
      <alignment horizontal="center"/>
    </xf>
    <xf numFmtId="0" fontId="17" fillId="37" borderId="0" xfId="1" applyFont="1" applyFill="1" applyAlignment="1">
      <alignment horizontal="center"/>
    </xf>
    <xf numFmtId="0" fontId="3" fillId="34" borderId="0" xfId="1" applyFont="1" applyFill="1" applyAlignment="1">
      <alignment horizontal="center"/>
    </xf>
    <xf numFmtId="0" fontId="17" fillId="34" borderId="0" xfId="1" applyFont="1" applyFill="1" applyAlignment="1">
      <alignment horizontal="center"/>
    </xf>
    <xf numFmtId="0" fontId="3" fillId="35" borderId="0" xfId="1" applyFont="1" applyFill="1" applyAlignment="1">
      <alignment horizontal="center"/>
    </xf>
    <xf numFmtId="0" fontId="17" fillId="35" borderId="0" xfId="1" applyFont="1" applyFill="1" applyAlignment="1">
      <alignment horizontal="center"/>
    </xf>
    <xf numFmtId="0" fontId="3" fillId="36" borderId="0" xfId="1" applyFont="1" applyFill="1" applyAlignment="1">
      <alignment horizontal="center"/>
    </xf>
    <xf numFmtId="0" fontId="17" fillId="36" borderId="0" xfId="1" applyFont="1" applyFill="1" applyAlignment="1">
      <alignment horizontal="center"/>
    </xf>
    <xf numFmtId="0" fontId="0" fillId="0" borderId="0" xfId="1" applyFont="1" applyAlignment="1">
      <alignment horizontal="center"/>
    </xf>
    <xf numFmtId="0" fontId="0" fillId="0" borderId="1" xfId="1" applyFont="1" applyBorder="1" applyAlignment="1">
      <alignment horizontal="center"/>
    </xf>
    <xf numFmtId="0" fontId="8" fillId="35" borderId="0" xfId="1" applyFont="1" applyFill="1" applyAlignment="1">
      <alignment horizontal="center" wrapText="1"/>
    </xf>
    <xf numFmtId="0" fontId="8" fillId="35" borderId="0" xfId="1" applyFont="1" applyFill="1" applyAlignment="1">
      <alignment horizontal="center"/>
    </xf>
    <xf numFmtId="14" fontId="0" fillId="0" borderId="1" xfId="1" applyNumberFormat="1" applyFont="1" applyBorder="1" applyAlignment="1">
      <alignment horizontal="center"/>
    </xf>
    <xf numFmtId="0" fontId="53" fillId="32" borderId="25" xfId="0" applyFont="1" applyFill="1" applyBorder="1" applyAlignment="1">
      <alignment horizontal="center" vertical="center" wrapText="1"/>
    </xf>
    <xf numFmtId="0" fontId="54" fillId="32" borderId="0" xfId="0" applyFont="1" applyFill="1" applyAlignment="1">
      <alignment horizontal="center" vertical="center" wrapText="1"/>
    </xf>
  </cellXfs>
  <cellStyles count="60">
    <cellStyle name="          _x000a__x000a_386grabber=VGA.3GR_x000a__x000a_" xfId="1" xr:uid="{00000000-0005-0000-0000-000000000000}"/>
    <cellStyle name="          _x000a__x000a_386grabber=VGA.3GR_x000a__x000a_ 2" xfId="2" xr:uid="{00000000-0005-0000-0000-000001000000}"/>
    <cellStyle name="          _x000a__x000a_386grabber=VGA.3GR_x000a__x000a__Facturaciòn QF" xfId="3" xr:uid="{00000000-0005-0000-0000-000002000000}"/>
    <cellStyle name="          _x000d__x000a_386grabber=VGA.3GR_x000d__x000a_" xfId="4" xr:uid="{00000000-0005-0000-0000-000003000000}"/>
    <cellStyle name="20% - Énfasis1" xfId="5" builtinId="30" customBuiltin="1"/>
    <cellStyle name="20% - Énfasis2" xfId="6" builtinId="34" customBuiltin="1"/>
    <cellStyle name="20% - Énfasis3" xfId="7" builtinId="38" customBuiltin="1"/>
    <cellStyle name="20% - Énfasis4" xfId="8" builtinId="42" customBuiltin="1"/>
    <cellStyle name="20% - Énfasis5" xfId="9" builtinId="46" customBuiltin="1"/>
    <cellStyle name="20% - Énfasis6" xfId="10" builtinId="50" customBuiltin="1"/>
    <cellStyle name="40% - Énfasis1" xfId="11" builtinId="31" customBuiltin="1"/>
    <cellStyle name="40% - Énfasis2" xfId="12" builtinId="35" customBuiltin="1"/>
    <cellStyle name="40% - Énfasis3" xfId="13" builtinId="39" customBuiltin="1"/>
    <cellStyle name="40% - Énfasis4" xfId="14" builtinId="43" customBuiltin="1"/>
    <cellStyle name="40% - Énfasis5" xfId="15" builtinId="47" customBuiltin="1"/>
    <cellStyle name="40% - Énfasis6" xfId="16" builtinId="51" customBuiltin="1"/>
    <cellStyle name="60% - Énfasis1" xfId="17" builtinId="32" customBuiltin="1"/>
    <cellStyle name="60% - Énfasis2" xfId="18" builtinId="36" customBuiltin="1"/>
    <cellStyle name="60% - Énfasis3" xfId="19" builtinId="40" customBuiltin="1"/>
    <cellStyle name="60% - Énfasis4" xfId="20" builtinId="44" customBuiltin="1"/>
    <cellStyle name="60% - Énfasis5" xfId="21" builtinId="48" customBuiltin="1"/>
    <cellStyle name="60% - Énfasis6" xfId="22" builtinId="52" customBuiltin="1"/>
    <cellStyle name="Cálculo" xfId="23" builtinId="22" customBuiltin="1"/>
    <cellStyle name="Celda de comprobación" xfId="24" builtinId="23" customBuiltin="1"/>
    <cellStyle name="Celda vinculada" xfId="25" builtinId="24" customBuiltin="1"/>
    <cellStyle name="Encabezado 4" xfId="26" builtinId="19" customBuiltin="1"/>
    <cellStyle name="Énfasis1" xfId="27" builtinId="29" customBuiltin="1"/>
    <cellStyle name="Énfasis2" xfId="28" builtinId="33" customBuiltin="1"/>
    <cellStyle name="Énfasis3" xfId="29" builtinId="37" customBuiltin="1"/>
    <cellStyle name="Énfasis4" xfId="30" builtinId="41" customBuiltin="1"/>
    <cellStyle name="Énfasis5" xfId="31" builtinId="45" customBuiltin="1"/>
    <cellStyle name="Énfasis6" xfId="32" builtinId="49" customBuiltin="1"/>
    <cellStyle name="Entrada" xfId="33" builtinId="20" customBuiltin="1"/>
    <cellStyle name="Euro" xfId="34" xr:uid="{00000000-0005-0000-0000-000021000000}"/>
    <cellStyle name="Hipervínculo" xfId="35" builtinId="8"/>
    <cellStyle name="Incorrecto" xfId="36" builtinId="27" customBuiltin="1"/>
    <cellStyle name="Millares" xfId="37" builtinId="3"/>
    <cellStyle name="Milliers [0]_Feuil2" xfId="52" xr:uid="{00000000-0005-0000-0000-000025000000}"/>
    <cellStyle name="Milliers_Feuil2" xfId="53" xr:uid="{00000000-0005-0000-0000-000026000000}"/>
    <cellStyle name="Monétaire [0]_Feuil2" xfId="54" xr:uid="{00000000-0005-0000-0000-000027000000}"/>
    <cellStyle name="Monétaire_Feuil2" xfId="55" xr:uid="{00000000-0005-0000-0000-000028000000}"/>
    <cellStyle name="Neutral" xfId="38" builtinId="28" customBuiltin="1"/>
    <cellStyle name="Normal" xfId="0" builtinId="0"/>
    <cellStyle name="Normal 2" xfId="39" xr:uid="{00000000-0005-0000-0000-00002B000000}"/>
    <cellStyle name="Normal 3" xfId="40" xr:uid="{00000000-0005-0000-0000-00002C000000}"/>
    <cellStyle name="Normal 4" xfId="51" xr:uid="{00000000-0005-0000-0000-00002D000000}"/>
    <cellStyle name="Normal 5" xfId="56" xr:uid="{00000000-0005-0000-0000-00002E000000}"/>
    <cellStyle name="Normal 6" xfId="57" xr:uid="{00000000-0005-0000-0000-00002F000000}"/>
    <cellStyle name="Normal 7" xfId="58" xr:uid="{00000000-0005-0000-0000-000030000000}"/>
    <cellStyle name="Normal 8" xfId="59" xr:uid="{00000000-0005-0000-0000-000031000000}"/>
    <cellStyle name="Normal_Ficha de altas" xfId="41" xr:uid="{00000000-0005-0000-0000-000032000000}"/>
    <cellStyle name="Notas 2" xfId="42" xr:uid="{00000000-0005-0000-0000-000033000000}"/>
    <cellStyle name="Porcentaje" xfId="43" builtinId="5"/>
    <cellStyle name="Salida" xfId="44" builtinId="21" customBuiltin="1"/>
    <cellStyle name="Texto de advertencia" xfId="45" builtinId="11" customBuiltin="1"/>
    <cellStyle name="Texto explicativo" xfId="46" builtinId="53" customBuiltin="1"/>
    <cellStyle name="Título" xfId="47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91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260</xdr:row>
      <xdr:rowOff>0</xdr:rowOff>
    </xdr:from>
    <xdr:to>
      <xdr:col>2</xdr:col>
      <xdr:colOff>466725</xdr:colOff>
      <xdr:row>261</xdr:row>
      <xdr:rowOff>133350</xdr:rowOff>
    </xdr:to>
    <xdr:pic>
      <xdr:nvPicPr>
        <xdr:cNvPr id="4132" name="Object 1">
          <a:extLst>
            <a:ext uri="{FF2B5EF4-FFF2-40B4-BE49-F238E27FC236}">
              <a16:creationId xmlns:a16="http://schemas.microsoft.com/office/drawing/2014/main" id="{4A7D0225-6995-465E-B341-587B71BADE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034200"/>
          <a:ext cx="4667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2"/>
  <sheetViews>
    <sheetView tabSelected="1" zoomScale="80" zoomScaleNormal="80" workbookViewId="0">
      <pane xSplit="10" ySplit="7" topLeftCell="K8" activePane="bottomRight" state="frozen"/>
      <selection activeCell="A2" sqref="A2:G260"/>
      <selection pane="topRight" activeCell="A2" sqref="A2:G260"/>
      <selection pane="bottomLeft" activeCell="A2" sqref="A2:G260"/>
      <selection pane="bottomRight" activeCell="E15" sqref="E15"/>
    </sheetView>
  </sheetViews>
  <sheetFormatPr baseColWidth="10" defaultRowHeight="14.25" x14ac:dyDescent="0.2"/>
  <cols>
    <col min="1" max="1" width="6.42578125" style="4" customWidth="1"/>
    <col min="2" max="2" width="7.5703125" style="34" customWidth="1"/>
    <col min="3" max="3" width="12" style="34" customWidth="1"/>
    <col min="4" max="4" width="22.140625" style="41" customWidth="1"/>
    <col min="5" max="5" width="45.42578125" style="4" customWidth="1"/>
    <col min="6" max="6" width="7.28515625" style="67" bestFit="1" customWidth="1"/>
    <col min="7" max="7" width="18" style="5" customWidth="1"/>
    <col min="8" max="8" width="7.7109375" style="5" customWidth="1"/>
    <col min="9" max="9" width="15.28515625" style="7" customWidth="1"/>
    <col min="10" max="10" width="2.5703125" style="4" customWidth="1"/>
    <col min="11" max="11" width="12.140625" style="4" customWidth="1"/>
    <col min="12" max="12" width="2" style="4" customWidth="1"/>
    <col min="13" max="13" width="18.42578125" style="4" customWidth="1"/>
    <col min="14" max="14" width="12.140625" style="4" customWidth="1"/>
    <col min="15" max="15" width="8.42578125" style="4" customWidth="1"/>
    <col min="16" max="16" width="12.140625" style="4" bestFit="1" customWidth="1"/>
    <col min="17" max="17" width="2" style="4" customWidth="1"/>
    <col min="18" max="18" width="18.42578125" style="4" bestFit="1" customWidth="1"/>
    <col min="19" max="19" width="15.28515625" style="4" bestFit="1" customWidth="1"/>
    <col min="20" max="20" width="12.140625" style="69" customWidth="1"/>
    <col min="21" max="21" width="12.140625" style="4" bestFit="1" customWidth="1"/>
    <col min="22" max="22" width="2" style="4" customWidth="1"/>
    <col min="23" max="23" width="18.42578125" style="4" bestFit="1" customWidth="1"/>
    <col min="24" max="24" width="12.140625" style="4" bestFit="1" customWidth="1"/>
    <col min="25" max="25" width="12.85546875" style="69" bestFit="1" customWidth="1"/>
    <col min="26" max="26" width="12.140625" style="4" bestFit="1" customWidth="1"/>
    <col min="27" max="27" width="12.140625" style="4" customWidth="1"/>
    <col min="28" max="28" width="2" style="4" customWidth="1"/>
    <col min="29" max="29" width="18.42578125" style="4" bestFit="1" customWidth="1"/>
    <col min="30" max="30" width="15.28515625" style="4" bestFit="1" customWidth="1"/>
    <col min="31" max="31" width="12.140625" style="4" customWidth="1"/>
    <col min="32" max="16384" width="11.42578125" style="4"/>
  </cols>
  <sheetData>
    <row r="1" spans="1:33" ht="14.25" customHeight="1" x14ac:dyDescent="0.2">
      <c r="E1" s="238" t="s">
        <v>399</v>
      </c>
      <c r="F1" s="239"/>
      <c r="G1" s="239"/>
      <c r="H1" s="239"/>
      <c r="I1" s="239"/>
      <c r="K1" s="230" t="s">
        <v>219</v>
      </c>
      <c r="L1" s="231"/>
      <c r="M1" s="231"/>
      <c r="N1" s="231"/>
      <c r="P1" s="232" t="s">
        <v>220</v>
      </c>
      <c r="Q1" s="233"/>
      <c r="R1" s="233"/>
      <c r="S1" s="233"/>
      <c r="U1" s="234" t="s">
        <v>221</v>
      </c>
      <c r="V1" s="235"/>
      <c r="W1" s="235"/>
      <c r="X1" s="235"/>
      <c r="Z1" s="228" t="s">
        <v>222</v>
      </c>
      <c r="AA1" s="228"/>
      <c r="AB1" s="229"/>
      <c r="AC1" s="229"/>
      <c r="AD1" s="229"/>
    </row>
    <row r="2" spans="1:33" ht="14.25" customHeight="1" x14ac:dyDescent="0.2">
      <c r="E2" s="239"/>
      <c r="F2" s="239"/>
      <c r="G2" s="239"/>
      <c r="H2" s="239"/>
      <c r="I2" s="239"/>
    </row>
    <row r="3" spans="1:33" ht="25.5" customHeight="1" x14ac:dyDescent="0.25">
      <c r="A3" s="36" t="s">
        <v>372</v>
      </c>
      <c r="B3" s="36"/>
      <c r="C3" s="36"/>
      <c r="D3" s="46"/>
      <c r="E3" s="36"/>
      <c r="F3" s="67" t="s">
        <v>43</v>
      </c>
      <c r="G3" s="236" t="s">
        <v>45</v>
      </c>
      <c r="H3" s="236"/>
      <c r="I3" s="236"/>
    </row>
    <row r="4" spans="1:33" ht="15" x14ac:dyDescent="0.2">
      <c r="A4" s="6" t="s">
        <v>29</v>
      </c>
      <c r="B4" s="33"/>
      <c r="K4" s="8" t="s">
        <v>30</v>
      </c>
      <c r="M4" s="8" t="s">
        <v>67</v>
      </c>
      <c r="P4" s="8" t="s">
        <v>30</v>
      </c>
      <c r="R4" s="8" t="s">
        <v>67</v>
      </c>
      <c r="U4" s="8" t="s">
        <v>30</v>
      </c>
      <c r="W4" s="8" t="s">
        <v>67</v>
      </c>
      <c r="Z4" s="8" t="s">
        <v>30</v>
      </c>
      <c r="AA4" s="8"/>
      <c r="AC4" s="8" t="s">
        <v>67</v>
      </c>
    </row>
    <row r="5" spans="1:33" ht="15" x14ac:dyDescent="0.2">
      <c r="A5" s="6"/>
      <c r="B5" s="33"/>
      <c r="E5" s="31"/>
      <c r="H5" s="237" t="s">
        <v>32</v>
      </c>
      <c r="I5" s="237"/>
      <c r="K5" s="9" t="s">
        <v>68</v>
      </c>
      <c r="M5" s="9" t="s">
        <v>69</v>
      </c>
      <c r="P5" s="9" t="s">
        <v>68</v>
      </c>
      <c r="R5" s="9" t="s">
        <v>69</v>
      </c>
      <c r="U5" s="9" t="s">
        <v>68</v>
      </c>
      <c r="W5" s="9" t="s">
        <v>69</v>
      </c>
      <c r="Z5" s="9" t="s">
        <v>68</v>
      </c>
      <c r="AA5" s="9"/>
      <c r="AC5" s="9" t="s">
        <v>69</v>
      </c>
    </row>
    <row r="6" spans="1:33" ht="13.7" customHeight="1" x14ac:dyDescent="0.2">
      <c r="H6" s="240">
        <f ca="1">TODAY()</f>
        <v>43556</v>
      </c>
      <c r="I6" s="237"/>
    </row>
    <row r="7" spans="1:33" s="124" customFormat="1" ht="57.75" x14ac:dyDescent="0.2">
      <c r="A7" s="120" t="s">
        <v>42</v>
      </c>
      <c r="B7" s="120" t="s">
        <v>34</v>
      </c>
      <c r="C7" s="121" t="s">
        <v>1</v>
      </c>
      <c r="D7" s="119" t="s">
        <v>255</v>
      </c>
      <c r="E7" s="122" t="s">
        <v>0</v>
      </c>
      <c r="F7" s="121" t="s">
        <v>4</v>
      </c>
      <c r="G7" s="123" t="s">
        <v>35</v>
      </c>
      <c r="H7" s="121" t="s">
        <v>33</v>
      </c>
      <c r="I7" s="121" t="s">
        <v>31</v>
      </c>
      <c r="K7" s="125" t="s">
        <v>210</v>
      </c>
      <c r="M7" s="126" t="s">
        <v>66</v>
      </c>
      <c r="N7" s="127" t="s">
        <v>75</v>
      </c>
      <c r="P7" s="128" t="s">
        <v>216</v>
      </c>
      <c r="R7" s="126" t="s">
        <v>66</v>
      </c>
      <c r="S7" s="127" t="s">
        <v>75</v>
      </c>
      <c r="T7" s="129"/>
      <c r="U7" s="130" t="s">
        <v>217</v>
      </c>
      <c r="W7" s="126" t="s">
        <v>66</v>
      </c>
      <c r="X7" s="127" t="s">
        <v>75</v>
      </c>
      <c r="Y7" s="129"/>
      <c r="Z7" s="131" t="s">
        <v>218</v>
      </c>
      <c r="AA7" s="131" t="s">
        <v>413</v>
      </c>
      <c r="AC7" s="126" t="s">
        <v>66</v>
      </c>
      <c r="AD7" s="127" t="s">
        <v>75</v>
      </c>
      <c r="AE7" s="132"/>
      <c r="AF7" s="133"/>
      <c r="AG7" s="133"/>
    </row>
    <row r="8" spans="1:33" ht="16.5" customHeight="1" x14ac:dyDescent="0.2">
      <c r="A8" s="212" t="s">
        <v>40</v>
      </c>
      <c r="B8" s="200" t="s">
        <v>9</v>
      </c>
      <c r="C8" s="20">
        <v>100001</v>
      </c>
      <c r="D8" s="42">
        <v>7798104307103</v>
      </c>
      <c r="E8" s="12" t="s">
        <v>304</v>
      </c>
      <c r="F8" s="13">
        <v>10</v>
      </c>
      <c r="G8" s="1">
        <v>50.62</v>
      </c>
      <c r="H8" s="14"/>
      <c r="I8" s="1">
        <f>G8*H8</f>
        <v>0</v>
      </c>
      <c r="J8" s="10"/>
      <c r="K8" s="3">
        <f>N8</f>
        <v>77.876923076923077</v>
      </c>
      <c r="L8" s="10"/>
      <c r="M8" s="11">
        <f>1-(G8/K8)</f>
        <v>0.35000000000000009</v>
      </c>
      <c r="N8" s="3">
        <f>G8/0.65</f>
        <v>77.876923076923077</v>
      </c>
      <c r="P8" s="3">
        <f>S8</f>
        <v>70.305555555555557</v>
      </c>
      <c r="Q8" s="10"/>
      <c r="R8" s="11">
        <f>1-(G8/P8)</f>
        <v>0.28000000000000003</v>
      </c>
      <c r="S8" s="3">
        <f>G8/0.72</f>
        <v>70.305555555555557</v>
      </c>
      <c r="T8" s="70">
        <v>0.28000000000000003</v>
      </c>
      <c r="U8" s="3">
        <f>(P8*1.04)+6.25</f>
        <v>79.367777777777775</v>
      </c>
      <c r="V8" s="10"/>
      <c r="W8" s="11">
        <f>1-(G8/U8)</f>
        <v>0.36220968487071437</v>
      </c>
      <c r="X8" s="3">
        <f>G8/0.6</f>
        <v>84.36666666666666</v>
      </c>
      <c r="Y8" s="70"/>
      <c r="Z8" s="3">
        <f>AD8</f>
        <v>81.770769230769233</v>
      </c>
      <c r="AA8" s="3">
        <f>Z8*1.21</f>
        <v>98.942630769230774</v>
      </c>
      <c r="AB8" s="10"/>
      <c r="AC8" s="11">
        <f>1-(G8/Z8)</f>
        <v>0.38095238095238104</v>
      </c>
      <c r="AD8" s="3">
        <f>($G8/0.65)*1.05</f>
        <v>81.770769230769233</v>
      </c>
      <c r="AE8" s="35"/>
      <c r="AG8" s="4" t="s">
        <v>378</v>
      </c>
    </row>
    <row r="9" spans="1:33" ht="16.5" customHeight="1" x14ac:dyDescent="0.2">
      <c r="A9" s="212"/>
      <c r="B9" s="200"/>
      <c r="C9" s="20">
        <v>100002</v>
      </c>
      <c r="D9" s="42">
        <v>7798104307301</v>
      </c>
      <c r="E9" s="12" t="s">
        <v>58</v>
      </c>
      <c r="F9" s="13">
        <v>10</v>
      </c>
      <c r="G9" s="1">
        <f>G8</f>
        <v>50.62</v>
      </c>
      <c r="H9" s="14"/>
      <c r="I9" s="1">
        <f t="shared" ref="I9:I72" si="0">G9*H9</f>
        <v>0</v>
      </c>
      <c r="J9" s="10"/>
      <c r="K9" s="3">
        <f t="shared" ref="K9:K72" si="1">N9</f>
        <v>77.876923076923077</v>
      </c>
      <c r="L9" s="10"/>
      <c r="M9" s="11">
        <f t="shared" ref="M9:M72" si="2">1-(G9/K9)</f>
        <v>0.35000000000000009</v>
      </c>
      <c r="N9" s="3">
        <f t="shared" ref="N9:N72" si="3">G9/0.65</f>
        <v>77.876923076923077</v>
      </c>
      <c r="P9" s="3">
        <f>P8</f>
        <v>70.305555555555557</v>
      </c>
      <c r="Q9" s="10"/>
      <c r="R9" s="11">
        <f t="shared" ref="R9:R72" si="4">1-(G9/P9)</f>
        <v>0.28000000000000003</v>
      </c>
      <c r="S9" s="3">
        <f t="shared" ref="S9:S28" si="5">G9/0.746</f>
        <v>67.855227882037525</v>
      </c>
      <c r="T9" s="70"/>
      <c r="U9" s="3">
        <f>U8</f>
        <v>79.367777777777775</v>
      </c>
      <c r="V9" s="10"/>
      <c r="W9" s="11">
        <f t="shared" ref="W9:W72" si="6">1-(G9/U9)</f>
        <v>0.36220968487071437</v>
      </c>
      <c r="X9" s="3">
        <f t="shared" ref="X9:X28" si="7">G9/0.6211</f>
        <v>81.50056351634197</v>
      </c>
      <c r="Y9" s="70"/>
      <c r="Z9" s="3">
        <f t="shared" ref="Z9:Z72" si="8">AD9</f>
        <v>81.770769230769233</v>
      </c>
      <c r="AA9" s="3">
        <f t="shared" ref="AA9:AA72" si="9">Z9*1.21</f>
        <v>98.942630769230774</v>
      </c>
      <c r="AB9" s="10"/>
      <c r="AC9" s="11">
        <f t="shared" ref="AC9:AC72" si="10">1-(G9/Z9)</f>
        <v>0.38095238095238104</v>
      </c>
      <c r="AD9" s="3">
        <f t="shared" ref="AD9:AD35" si="11">($G9/0.65)*1.05</f>
        <v>81.770769230769233</v>
      </c>
      <c r="AE9" s="35"/>
      <c r="AG9" s="54" t="s">
        <v>379</v>
      </c>
    </row>
    <row r="10" spans="1:33" ht="16.5" customHeight="1" x14ac:dyDescent="0.2">
      <c r="A10" s="212"/>
      <c r="B10" s="200"/>
      <c r="C10" s="20">
        <v>100003</v>
      </c>
      <c r="D10" s="42">
        <v>7798104307509</v>
      </c>
      <c r="E10" s="12" t="s">
        <v>59</v>
      </c>
      <c r="F10" s="13">
        <v>10</v>
      </c>
      <c r="G10" s="1">
        <f>G9</f>
        <v>50.62</v>
      </c>
      <c r="H10" s="14"/>
      <c r="I10" s="1">
        <f t="shared" si="0"/>
        <v>0</v>
      </c>
      <c r="J10" s="10"/>
      <c r="K10" s="3">
        <f t="shared" si="1"/>
        <v>77.876923076923077</v>
      </c>
      <c r="L10" s="10"/>
      <c r="M10" s="11">
        <f t="shared" si="2"/>
        <v>0.35000000000000009</v>
      </c>
      <c r="N10" s="3">
        <f t="shared" si="3"/>
        <v>77.876923076923077</v>
      </c>
      <c r="P10" s="3">
        <f t="shared" ref="P10:P28" si="12">P9</f>
        <v>70.305555555555557</v>
      </c>
      <c r="Q10" s="10"/>
      <c r="R10" s="11">
        <f t="shared" si="4"/>
        <v>0.28000000000000003</v>
      </c>
      <c r="S10" s="3">
        <f t="shared" si="5"/>
        <v>67.855227882037525</v>
      </c>
      <c r="T10" s="70"/>
      <c r="U10" s="3">
        <f t="shared" ref="U10:U28" si="13">U9</f>
        <v>79.367777777777775</v>
      </c>
      <c r="V10" s="10"/>
      <c r="W10" s="11">
        <f t="shared" si="6"/>
        <v>0.36220968487071437</v>
      </c>
      <c r="X10" s="3">
        <f t="shared" si="7"/>
        <v>81.50056351634197</v>
      </c>
      <c r="Y10" s="70"/>
      <c r="Z10" s="3">
        <f t="shared" si="8"/>
        <v>81.770769230769233</v>
      </c>
      <c r="AA10" s="3">
        <f t="shared" si="9"/>
        <v>98.942630769230774</v>
      </c>
      <c r="AB10" s="10"/>
      <c r="AC10" s="11">
        <f t="shared" si="10"/>
        <v>0.38095238095238104</v>
      </c>
      <c r="AD10" s="3">
        <f t="shared" si="11"/>
        <v>81.770769230769233</v>
      </c>
      <c r="AE10" s="35"/>
      <c r="AG10" s="4" t="s">
        <v>380</v>
      </c>
    </row>
    <row r="11" spans="1:33" ht="16.5" customHeight="1" x14ac:dyDescent="0.2">
      <c r="A11" s="212"/>
      <c r="B11" s="200"/>
      <c r="C11" s="20">
        <v>100004</v>
      </c>
      <c r="D11" s="42">
        <v>7798104307707</v>
      </c>
      <c r="E11" s="12" t="s">
        <v>60</v>
      </c>
      <c r="F11" s="13">
        <v>10</v>
      </c>
      <c r="G11" s="1">
        <f t="shared" ref="G11:G28" si="14">G10</f>
        <v>50.62</v>
      </c>
      <c r="H11" s="14"/>
      <c r="I11" s="1">
        <f t="shared" si="0"/>
        <v>0</v>
      </c>
      <c r="J11" s="10"/>
      <c r="K11" s="3">
        <f t="shared" si="1"/>
        <v>77.876923076923077</v>
      </c>
      <c r="L11" s="10"/>
      <c r="M11" s="11">
        <f t="shared" si="2"/>
        <v>0.35000000000000009</v>
      </c>
      <c r="N11" s="3">
        <f t="shared" si="3"/>
        <v>77.876923076923077</v>
      </c>
      <c r="P11" s="3">
        <f t="shared" si="12"/>
        <v>70.305555555555557</v>
      </c>
      <c r="Q11" s="10"/>
      <c r="R11" s="11">
        <f t="shared" si="4"/>
        <v>0.28000000000000003</v>
      </c>
      <c r="S11" s="3">
        <f t="shared" si="5"/>
        <v>67.855227882037525</v>
      </c>
      <c r="T11" s="70"/>
      <c r="U11" s="3">
        <f t="shared" si="13"/>
        <v>79.367777777777775</v>
      </c>
      <c r="V11" s="10"/>
      <c r="W11" s="11">
        <f t="shared" si="6"/>
        <v>0.36220968487071437</v>
      </c>
      <c r="X11" s="3">
        <f t="shared" si="7"/>
        <v>81.50056351634197</v>
      </c>
      <c r="Y11" s="70"/>
      <c r="Z11" s="3">
        <f t="shared" si="8"/>
        <v>81.770769230769233</v>
      </c>
      <c r="AA11" s="3">
        <f t="shared" si="9"/>
        <v>98.942630769230774</v>
      </c>
      <c r="AB11" s="10"/>
      <c r="AC11" s="11">
        <f t="shared" si="10"/>
        <v>0.38095238095238104</v>
      </c>
      <c r="AD11" s="3">
        <f t="shared" si="11"/>
        <v>81.770769230769233</v>
      </c>
      <c r="AE11" s="35"/>
      <c r="AG11" s="4" t="s">
        <v>381</v>
      </c>
    </row>
    <row r="12" spans="1:33" ht="16.5" customHeight="1" x14ac:dyDescent="0.2">
      <c r="A12" s="212"/>
      <c r="B12" s="200"/>
      <c r="C12" s="20">
        <v>100005</v>
      </c>
      <c r="D12" s="42">
        <v>7798104307905</v>
      </c>
      <c r="E12" s="12" t="s">
        <v>61</v>
      </c>
      <c r="F12" s="13">
        <v>10</v>
      </c>
      <c r="G12" s="1">
        <f t="shared" si="14"/>
        <v>50.62</v>
      </c>
      <c r="H12" s="14"/>
      <c r="I12" s="1">
        <f t="shared" si="0"/>
        <v>0</v>
      </c>
      <c r="J12" s="10"/>
      <c r="K12" s="3">
        <f t="shared" si="1"/>
        <v>77.876923076923077</v>
      </c>
      <c r="L12" s="10"/>
      <c r="M12" s="11">
        <f t="shared" si="2"/>
        <v>0.35000000000000009</v>
      </c>
      <c r="N12" s="3">
        <f t="shared" si="3"/>
        <v>77.876923076923077</v>
      </c>
      <c r="P12" s="3">
        <f t="shared" si="12"/>
        <v>70.305555555555557</v>
      </c>
      <c r="Q12" s="10"/>
      <c r="R12" s="11">
        <f t="shared" si="4"/>
        <v>0.28000000000000003</v>
      </c>
      <c r="S12" s="3">
        <f t="shared" si="5"/>
        <v>67.855227882037525</v>
      </c>
      <c r="T12" s="70"/>
      <c r="U12" s="3">
        <f t="shared" si="13"/>
        <v>79.367777777777775</v>
      </c>
      <c r="V12" s="10"/>
      <c r="W12" s="11">
        <f t="shared" si="6"/>
        <v>0.36220968487071437</v>
      </c>
      <c r="X12" s="3">
        <f t="shared" si="7"/>
        <v>81.50056351634197</v>
      </c>
      <c r="Y12" s="70"/>
      <c r="Z12" s="3">
        <f t="shared" si="8"/>
        <v>81.770769230769233</v>
      </c>
      <c r="AA12" s="3">
        <f t="shared" si="9"/>
        <v>98.942630769230774</v>
      </c>
      <c r="AB12" s="10"/>
      <c r="AC12" s="11">
        <f t="shared" si="10"/>
        <v>0.38095238095238104</v>
      </c>
      <c r="AD12" s="3">
        <f t="shared" si="11"/>
        <v>81.770769230769233</v>
      </c>
      <c r="AE12" s="35"/>
    </row>
    <row r="13" spans="1:33" ht="16.5" customHeight="1" x14ac:dyDescent="0.2">
      <c r="A13" s="212"/>
      <c r="B13" s="200"/>
      <c r="C13" s="20">
        <v>100006</v>
      </c>
      <c r="D13" s="42">
        <v>7798104300012</v>
      </c>
      <c r="E13" s="12" t="s">
        <v>365</v>
      </c>
      <c r="F13" s="13">
        <v>10</v>
      </c>
      <c r="G13" s="1">
        <f t="shared" si="14"/>
        <v>50.62</v>
      </c>
      <c r="H13" s="14"/>
      <c r="I13" s="1">
        <f t="shared" si="0"/>
        <v>0</v>
      </c>
      <c r="J13" s="10"/>
      <c r="K13" s="3">
        <f t="shared" si="1"/>
        <v>77.876923076923077</v>
      </c>
      <c r="L13" s="10"/>
      <c r="M13" s="11">
        <f t="shared" si="2"/>
        <v>0.35000000000000009</v>
      </c>
      <c r="N13" s="3">
        <f t="shared" si="3"/>
        <v>77.876923076923077</v>
      </c>
      <c r="P13" s="3">
        <f t="shared" si="12"/>
        <v>70.305555555555557</v>
      </c>
      <c r="Q13" s="10"/>
      <c r="R13" s="11">
        <f t="shared" si="4"/>
        <v>0.28000000000000003</v>
      </c>
      <c r="S13" s="3">
        <f t="shared" si="5"/>
        <v>67.855227882037525</v>
      </c>
      <c r="T13" s="70"/>
      <c r="U13" s="3">
        <f t="shared" si="13"/>
        <v>79.367777777777775</v>
      </c>
      <c r="V13" s="10"/>
      <c r="W13" s="11">
        <f t="shared" si="6"/>
        <v>0.36220968487071437</v>
      </c>
      <c r="X13" s="3">
        <f t="shared" si="7"/>
        <v>81.50056351634197</v>
      </c>
      <c r="Y13" s="70"/>
      <c r="Z13" s="3">
        <f t="shared" si="8"/>
        <v>81.770769230769233</v>
      </c>
      <c r="AA13" s="3">
        <f t="shared" si="9"/>
        <v>98.942630769230774</v>
      </c>
      <c r="AB13" s="10"/>
      <c r="AC13" s="11">
        <f t="shared" si="10"/>
        <v>0.38095238095238104</v>
      </c>
      <c r="AD13" s="3">
        <f t="shared" si="11"/>
        <v>81.770769230769233</v>
      </c>
      <c r="AE13" s="35"/>
    </row>
    <row r="14" spans="1:33" ht="16.5" customHeight="1" x14ac:dyDescent="0.2">
      <c r="A14" s="212"/>
      <c r="B14" s="200"/>
      <c r="C14" s="20">
        <v>100007</v>
      </c>
      <c r="D14" s="42">
        <v>7798104300029</v>
      </c>
      <c r="E14" s="12" t="s">
        <v>366</v>
      </c>
      <c r="F14" s="13">
        <v>10</v>
      </c>
      <c r="G14" s="1">
        <f t="shared" si="14"/>
        <v>50.62</v>
      </c>
      <c r="H14" s="14"/>
      <c r="I14" s="1">
        <f t="shared" si="0"/>
        <v>0</v>
      </c>
      <c r="J14" s="10"/>
      <c r="K14" s="3">
        <f t="shared" si="1"/>
        <v>77.876923076923077</v>
      </c>
      <c r="L14" s="10"/>
      <c r="M14" s="11">
        <f t="shared" si="2"/>
        <v>0.35000000000000009</v>
      </c>
      <c r="N14" s="3">
        <f t="shared" si="3"/>
        <v>77.876923076923077</v>
      </c>
      <c r="P14" s="3">
        <f t="shared" si="12"/>
        <v>70.305555555555557</v>
      </c>
      <c r="Q14" s="10"/>
      <c r="R14" s="11">
        <f t="shared" si="4"/>
        <v>0.28000000000000003</v>
      </c>
      <c r="S14" s="3">
        <f t="shared" si="5"/>
        <v>67.855227882037525</v>
      </c>
      <c r="T14" s="70"/>
      <c r="U14" s="3">
        <f t="shared" si="13"/>
        <v>79.367777777777775</v>
      </c>
      <c r="V14" s="10"/>
      <c r="W14" s="11">
        <f t="shared" si="6"/>
        <v>0.36220968487071437</v>
      </c>
      <c r="X14" s="3">
        <f t="shared" si="7"/>
        <v>81.50056351634197</v>
      </c>
      <c r="Y14" s="70"/>
      <c r="Z14" s="3">
        <f t="shared" si="8"/>
        <v>81.770769230769233</v>
      </c>
      <c r="AA14" s="3">
        <f t="shared" si="9"/>
        <v>98.942630769230774</v>
      </c>
      <c r="AB14" s="10"/>
      <c r="AC14" s="11">
        <f t="shared" si="10"/>
        <v>0.38095238095238104</v>
      </c>
      <c r="AD14" s="3">
        <f t="shared" si="11"/>
        <v>81.770769230769233</v>
      </c>
      <c r="AE14" s="35"/>
    </row>
    <row r="15" spans="1:33" ht="16.5" customHeight="1" x14ac:dyDescent="0.2">
      <c r="A15" s="212"/>
      <c r="B15" s="200"/>
      <c r="C15" s="20">
        <v>100008</v>
      </c>
      <c r="D15" s="42">
        <v>7798104300036</v>
      </c>
      <c r="E15" s="12" t="s">
        <v>367</v>
      </c>
      <c r="F15" s="13">
        <v>10</v>
      </c>
      <c r="G15" s="1">
        <f t="shared" si="14"/>
        <v>50.62</v>
      </c>
      <c r="H15" s="14"/>
      <c r="I15" s="1">
        <f t="shared" si="0"/>
        <v>0</v>
      </c>
      <c r="J15" s="10"/>
      <c r="K15" s="3">
        <f t="shared" si="1"/>
        <v>77.876923076923077</v>
      </c>
      <c r="L15" s="10"/>
      <c r="M15" s="11">
        <f t="shared" si="2"/>
        <v>0.35000000000000009</v>
      </c>
      <c r="N15" s="3">
        <f t="shared" si="3"/>
        <v>77.876923076923077</v>
      </c>
      <c r="P15" s="3">
        <f t="shared" si="12"/>
        <v>70.305555555555557</v>
      </c>
      <c r="Q15" s="10"/>
      <c r="R15" s="11">
        <f t="shared" si="4"/>
        <v>0.28000000000000003</v>
      </c>
      <c r="S15" s="3">
        <f t="shared" si="5"/>
        <v>67.855227882037525</v>
      </c>
      <c r="T15" s="70"/>
      <c r="U15" s="3">
        <f t="shared" si="13"/>
        <v>79.367777777777775</v>
      </c>
      <c r="V15" s="10"/>
      <c r="W15" s="11">
        <f t="shared" si="6"/>
        <v>0.36220968487071437</v>
      </c>
      <c r="X15" s="3">
        <f t="shared" si="7"/>
        <v>81.50056351634197</v>
      </c>
      <c r="Y15" s="70"/>
      <c r="Z15" s="3">
        <f t="shared" si="8"/>
        <v>81.770769230769233</v>
      </c>
      <c r="AA15" s="3">
        <f t="shared" si="9"/>
        <v>98.942630769230774</v>
      </c>
      <c r="AB15" s="10"/>
      <c r="AC15" s="11">
        <f t="shared" si="10"/>
        <v>0.38095238095238104</v>
      </c>
      <c r="AD15" s="3">
        <f t="shared" si="11"/>
        <v>81.770769230769233</v>
      </c>
      <c r="AE15" s="35"/>
    </row>
    <row r="16" spans="1:33" ht="16.5" customHeight="1" x14ac:dyDescent="0.2">
      <c r="A16" s="212"/>
      <c r="B16" s="200"/>
      <c r="C16" s="20">
        <v>100009</v>
      </c>
      <c r="D16" s="42">
        <v>7798104307943</v>
      </c>
      <c r="E16" s="12" t="s">
        <v>346</v>
      </c>
      <c r="F16" s="13">
        <v>10</v>
      </c>
      <c r="G16" s="1">
        <f t="shared" si="14"/>
        <v>50.62</v>
      </c>
      <c r="H16" s="14"/>
      <c r="I16" s="1">
        <f t="shared" si="0"/>
        <v>0</v>
      </c>
      <c r="J16" s="10"/>
      <c r="K16" s="3">
        <f t="shared" si="1"/>
        <v>77.876923076923077</v>
      </c>
      <c r="L16" s="10"/>
      <c r="M16" s="11">
        <f t="shared" si="2"/>
        <v>0.35000000000000009</v>
      </c>
      <c r="N16" s="3">
        <f t="shared" si="3"/>
        <v>77.876923076923077</v>
      </c>
      <c r="P16" s="3">
        <f t="shared" si="12"/>
        <v>70.305555555555557</v>
      </c>
      <c r="Q16" s="10"/>
      <c r="R16" s="11">
        <f t="shared" si="4"/>
        <v>0.28000000000000003</v>
      </c>
      <c r="S16" s="3">
        <f t="shared" si="5"/>
        <v>67.855227882037525</v>
      </c>
      <c r="T16" s="70"/>
      <c r="U16" s="3">
        <f t="shared" si="13"/>
        <v>79.367777777777775</v>
      </c>
      <c r="V16" s="10"/>
      <c r="W16" s="11">
        <f t="shared" si="6"/>
        <v>0.36220968487071437</v>
      </c>
      <c r="X16" s="3">
        <f t="shared" si="7"/>
        <v>81.50056351634197</v>
      </c>
      <c r="Y16" s="70"/>
      <c r="Z16" s="3">
        <f t="shared" si="8"/>
        <v>81.770769230769233</v>
      </c>
      <c r="AA16" s="3">
        <f t="shared" si="9"/>
        <v>98.942630769230774</v>
      </c>
      <c r="AB16" s="10"/>
      <c r="AC16" s="11">
        <f t="shared" si="10"/>
        <v>0.38095238095238104</v>
      </c>
      <c r="AD16" s="3">
        <f t="shared" si="11"/>
        <v>81.770769230769233</v>
      </c>
      <c r="AE16" s="35"/>
    </row>
    <row r="17" spans="1:33" ht="16.5" customHeight="1" x14ac:dyDescent="0.2">
      <c r="A17" s="212"/>
      <c r="B17" s="200"/>
      <c r="C17" s="20">
        <v>100010</v>
      </c>
      <c r="D17" s="42">
        <v>7798104307950</v>
      </c>
      <c r="E17" s="12" t="s">
        <v>62</v>
      </c>
      <c r="F17" s="13">
        <v>10</v>
      </c>
      <c r="G17" s="1">
        <f t="shared" si="14"/>
        <v>50.62</v>
      </c>
      <c r="H17" s="14"/>
      <c r="I17" s="1">
        <f t="shared" si="0"/>
        <v>0</v>
      </c>
      <c r="J17" s="10"/>
      <c r="K17" s="3">
        <f t="shared" si="1"/>
        <v>77.876923076923077</v>
      </c>
      <c r="L17" s="10"/>
      <c r="M17" s="11">
        <f t="shared" si="2"/>
        <v>0.35000000000000009</v>
      </c>
      <c r="N17" s="3">
        <f t="shared" si="3"/>
        <v>77.876923076923077</v>
      </c>
      <c r="P17" s="3">
        <f t="shared" si="12"/>
        <v>70.305555555555557</v>
      </c>
      <c r="Q17" s="10"/>
      <c r="R17" s="11">
        <f t="shared" si="4"/>
        <v>0.28000000000000003</v>
      </c>
      <c r="S17" s="3">
        <f t="shared" si="5"/>
        <v>67.855227882037525</v>
      </c>
      <c r="T17" s="70"/>
      <c r="U17" s="3">
        <f t="shared" si="13"/>
        <v>79.367777777777775</v>
      </c>
      <c r="V17" s="10"/>
      <c r="W17" s="11">
        <f t="shared" si="6"/>
        <v>0.36220968487071437</v>
      </c>
      <c r="X17" s="3">
        <f t="shared" si="7"/>
        <v>81.50056351634197</v>
      </c>
      <c r="Y17" s="70"/>
      <c r="Z17" s="3">
        <f t="shared" si="8"/>
        <v>81.770769230769233</v>
      </c>
      <c r="AA17" s="3">
        <f t="shared" si="9"/>
        <v>98.942630769230774</v>
      </c>
      <c r="AB17" s="10"/>
      <c r="AC17" s="11">
        <f t="shared" si="10"/>
        <v>0.38095238095238104</v>
      </c>
      <c r="AD17" s="3">
        <f t="shared" si="11"/>
        <v>81.770769230769233</v>
      </c>
      <c r="AE17" s="35"/>
    </row>
    <row r="18" spans="1:33" ht="16.5" customHeight="1" x14ac:dyDescent="0.2">
      <c r="A18" s="212"/>
      <c r="B18" s="200"/>
      <c r="C18" s="20">
        <v>100011</v>
      </c>
      <c r="D18" s="47">
        <v>7798104300166</v>
      </c>
      <c r="E18" s="12" t="s">
        <v>208</v>
      </c>
      <c r="F18" s="13">
        <v>10</v>
      </c>
      <c r="G18" s="1">
        <f t="shared" si="14"/>
        <v>50.62</v>
      </c>
      <c r="H18" s="14"/>
      <c r="I18" s="1">
        <f t="shared" si="0"/>
        <v>0</v>
      </c>
      <c r="J18" s="10"/>
      <c r="K18" s="3">
        <f t="shared" si="1"/>
        <v>77.876923076923077</v>
      </c>
      <c r="L18" s="10"/>
      <c r="M18" s="11">
        <f t="shared" si="2"/>
        <v>0.35000000000000009</v>
      </c>
      <c r="N18" s="3">
        <f t="shared" si="3"/>
        <v>77.876923076923077</v>
      </c>
      <c r="P18" s="3">
        <f t="shared" si="12"/>
        <v>70.305555555555557</v>
      </c>
      <c r="Q18" s="10"/>
      <c r="R18" s="11">
        <f t="shared" si="4"/>
        <v>0.28000000000000003</v>
      </c>
      <c r="S18" s="3">
        <f t="shared" si="5"/>
        <v>67.855227882037525</v>
      </c>
      <c r="T18" s="70"/>
      <c r="U18" s="3">
        <f t="shared" si="13"/>
        <v>79.367777777777775</v>
      </c>
      <c r="V18" s="10"/>
      <c r="W18" s="11">
        <f t="shared" si="6"/>
        <v>0.36220968487071437</v>
      </c>
      <c r="X18" s="3">
        <f t="shared" si="7"/>
        <v>81.50056351634197</v>
      </c>
      <c r="Y18" s="70"/>
      <c r="Z18" s="3">
        <f t="shared" si="8"/>
        <v>81.770769230769233</v>
      </c>
      <c r="AA18" s="3">
        <f t="shared" si="9"/>
        <v>98.942630769230774</v>
      </c>
      <c r="AB18" s="10"/>
      <c r="AC18" s="11">
        <f t="shared" si="10"/>
        <v>0.38095238095238104</v>
      </c>
      <c r="AD18" s="3">
        <f t="shared" si="11"/>
        <v>81.770769230769233</v>
      </c>
      <c r="AE18" s="35"/>
    </row>
    <row r="19" spans="1:33" ht="16.5" customHeight="1" x14ac:dyDescent="0.2">
      <c r="A19" s="212"/>
      <c r="B19" s="200"/>
      <c r="C19" s="20">
        <v>100012</v>
      </c>
      <c r="D19" s="42">
        <v>7798104307967</v>
      </c>
      <c r="E19" s="12" t="s">
        <v>6</v>
      </c>
      <c r="F19" s="13">
        <v>10</v>
      </c>
      <c r="G19" s="1">
        <f t="shared" si="14"/>
        <v>50.62</v>
      </c>
      <c r="H19" s="14"/>
      <c r="I19" s="1">
        <f t="shared" si="0"/>
        <v>0</v>
      </c>
      <c r="J19" s="10"/>
      <c r="K19" s="3">
        <f t="shared" si="1"/>
        <v>77.876923076923077</v>
      </c>
      <c r="L19" s="10"/>
      <c r="M19" s="11">
        <f t="shared" si="2"/>
        <v>0.35000000000000009</v>
      </c>
      <c r="N19" s="3">
        <f t="shared" si="3"/>
        <v>77.876923076923077</v>
      </c>
      <c r="P19" s="3">
        <f t="shared" si="12"/>
        <v>70.305555555555557</v>
      </c>
      <c r="Q19" s="10"/>
      <c r="R19" s="11">
        <f t="shared" si="4"/>
        <v>0.28000000000000003</v>
      </c>
      <c r="S19" s="3">
        <f t="shared" si="5"/>
        <v>67.855227882037525</v>
      </c>
      <c r="T19" s="70"/>
      <c r="U19" s="3">
        <f t="shared" si="13"/>
        <v>79.367777777777775</v>
      </c>
      <c r="V19" s="10"/>
      <c r="W19" s="11">
        <f t="shared" si="6"/>
        <v>0.36220968487071437</v>
      </c>
      <c r="X19" s="3">
        <f t="shared" si="7"/>
        <v>81.50056351634197</v>
      </c>
      <c r="Y19" s="70"/>
      <c r="Z19" s="3">
        <f t="shared" si="8"/>
        <v>81.770769230769233</v>
      </c>
      <c r="AA19" s="3">
        <f t="shared" si="9"/>
        <v>98.942630769230774</v>
      </c>
      <c r="AB19" s="10"/>
      <c r="AC19" s="11">
        <f t="shared" si="10"/>
        <v>0.38095238095238104</v>
      </c>
      <c r="AD19" s="3">
        <f t="shared" si="11"/>
        <v>81.770769230769233</v>
      </c>
      <c r="AE19" s="35"/>
    </row>
    <row r="20" spans="1:33" ht="16.5" customHeight="1" x14ac:dyDescent="0.2">
      <c r="A20" s="212"/>
      <c r="B20" s="200"/>
      <c r="C20" s="20">
        <v>100013</v>
      </c>
      <c r="D20" s="45" t="s">
        <v>223</v>
      </c>
      <c r="E20" s="12" t="s">
        <v>51</v>
      </c>
      <c r="F20" s="13">
        <v>10</v>
      </c>
      <c r="G20" s="1">
        <f t="shared" si="14"/>
        <v>50.62</v>
      </c>
      <c r="H20" s="14"/>
      <c r="I20" s="1">
        <f t="shared" si="0"/>
        <v>0</v>
      </c>
      <c r="J20" s="10"/>
      <c r="K20" s="3">
        <f t="shared" si="1"/>
        <v>77.876923076923077</v>
      </c>
      <c r="L20" s="10"/>
      <c r="M20" s="11">
        <f t="shared" si="2"/>
        <v>0.35000000000000009</v>
      </c>
      <c r="N20" s="3">
        <f t="shared" si="3"/>
        <v>77.876923076923077</v>
      </c>
      <c r="P20" s="3">
        <f t="shared" si="12"/>
        <v>70.305555555555557</v>
      </c>
      <c r="Q20" s="10"/>
      <c r="R20" s="11">
        <f t="shared" si="4"/>
        <v>0.28000000000000003</v>
      </c>
      <c r="S20" s="3">
        <f t="shared" si="5"/>
        <v>67.855227882037525</v>
      </c>
      <c r="T20" s="70"/>
      <c r="U20" s="3">
        <f t="shared" si="13"/>
        <v>79.367777777777775</v>
      </c>
      <c r="V20" s="10"/>
      <c r="W20" s="11">
        <f t="shared" si="6"/>
        <v>0.36220968487071437</v>
      </c>
      <c r="X20" s="3">
        <f t="shared" si="7"/>
        <v>81.50056351634197</v>
      </c>
      <c r="Y20" s="70"/>
      <c r="Z20" s="3">
        <f t="shared" si="8"/>
        <v>81.770769230769233</v>
      </c>
      <c r="AA20" s="3">
        <f t="shared" si="9"/>
        <v>98.942630769230774</v>
      </c>
      <c r="AB20" s="10"/>
      <c r="AC20" s="11">
        <f t="shared" si="10"/>
        <v>0.38095238095238104</v>
      </c>
      <c r="AD20" s="3">
        <f t="shared" si="11"/>
        <v>81.770769230769233</v>
      </c>
      <c r="AE20" s="35"/>
    </row>
    <row r="21" spans="1:33" ht="16.5" customHeight="1" x14ac:dyDescent="0.2">
      <c r="A21" s="212" t="s">
        <v>39</v>
      </c>
      <c r="B21" s="200" t="s">
        <v>5</v>
      </c>
      <c r="C21" s="20">
        <v>101001</v>
      </c>
      <c r="D21" s="42">
        <v>7798138970021</v>
      </c>
      <c r="E21" s="2" t="s">
        <v>368</v>
      </c>
      <c r="F21" s="13">
        <v>10</v>
      </c>
      <c r="G21" s="1">
        <f t="shared" si="14"/>
        <v>50.62</v>
      </c>
      <c r="H21" s="14"/>
      <c r="I21" s="1">
        <f t="shared" si="0"/>
        <v>0</v>
      </c>
      <c r="J21" s="10"/>
      <c r="K21" s="3">
        <f t="shared" si="1"/>
        <v>77.876923076923077</v>
      </c>
      <c r="L21" s="10"/>
      <c r="M21" s="11">
        <f t="shared" si="2"/>
        <v>0.35000000000000009</v>
      </c>
      <c r="N21" s="3">
        <f t="shared" si="3"/>
        <v>77.876923076923077</v>
      </c>
      <c r="P21" s="3">
        <f t="shared" si="12"/>
        <v>70.305555555555557</v>
      </c>
      <c r="Q21" s="10"/>
      <c r="R21" s="11">
        <f t="shared" si="4"/>
        <v>0.28000000000000003</v>
      </c>
      <c r="S21" s="3">
        <f t="shared" si="5"/>
        <v>67.855227882037525</v>
      </c>
      <c r="T21" s="70"/>
      <c r="U21" s="3">
        <f t="shared" si="13"/>
        <v>79.367777777777775</v>
      </c>
      <c r="V21" s="10"/>
      <c r="W21" s="11">
        <f t="shared" si="6"/>
        <v>0.36220968487071437</v>
      </c>
      <c r="X21" s="3">
        <f t="shared" si="7"/>
        <v>81.50056351634197</v>
      </c>
      <c r="Y21" s="70"/>
      <c r="Z21" s="3">
        <f t="shared" si="8"/>
        <v>81.770769230769233</v>
      </c>
      <c r="AA21" s="3">
        <f t="shared" si="9"/>
        <v>98.942630769230774</v>
      </c>
      <c r="AB21" s="10"/>
      <c r="AC21" s="11">
        <f t="shared" si="10"/>
        <v>0.38095238095238104</v>
      </c>
      <c r="AD21" s="3">
        <f t="shared" si="11"/>
        <v>81.770769230769233</v>
      </c>
      <c r="AE21" s="35"/>
    </row>
    <row r="22" spans="1:33" ht="16.5" customHeight="1" x14ac:dyDescent="0.2">
      <c r="A22" s="212"/>
      <c r="B22" s="200"/>
      <c r="C22" s="20">
        <v>101002</v>
      </c>
      <c r="D22" s="42">
        <v>7798138970052</v>
      </c>
      <c r="E22" s="2" t="s">
        <v>71</v>
      </c>
      <c r="F22" s="13">
        <v>10</v>
      </c>
      <c r="G22" s="1">
        <f t="shared" si="14"/>
        <v>50.62</v>
      </c>
      <c r="H22" s="14"/>
      <c r="I22" s="1">
        <f t="shared" si="0"/>
        <v>0</v>
      </c>
      <c r="J22" s="10"/>
      <c r="K22" s="3">
        <f t="shared" si="1"/>
        <v>77.876923076923077</v>
      </c>
      <c r="L22" s="10"/>
      <c r="M22" s="11">
        <f t="shared" si="2"/>
        <v>0.35000000000000009</v>
      </c>
      <c r="N22" s="3">
        <f t="shared" si="3"/>
        <v>77.876923076923077</v>
      </c>
      <c r="P22" s="3">
        <f t="shared" si="12"/>
        <v>70.305555555555557</v>
      </c>
      <c r="Q22" s="10"/>
      <c r="R22" s="11">
        <f t="shared" si="4"/>
        <v>0.28000000000000003</v>
      </c>
      <c r="S22" s="3">
        <f t="shared" si="5"/>
        <v>67.855227882037525</v>
      </c>
      <c r="T22" s="70"/>
      <c r="U22" s="3">
        <f t="shared" si="13"/>
        <v>79.367777777777775</v>
      </c>
      <c r="V22" s="10"/>
      <c r="W22" s="11">
        <f t="shared" si="6"/>
        <v>0.36220968487071437</v>
      </c>
      <c r="X22" s="3">
        <f t="shared" si="7"/>
        <v>81.50056351634197</v>
      </c>
      <c r="Y22" s="70"/>
      <c r="Z22" s="3">
        <f t="shared" si="8"/>
        <v>81.770769230769233</v>
      </c>
      <c r="AA22" s="3">
        <f t="shared" si="9"/>
        <v>98.942630769230774</v>
      </c>
      <c r="AB22" s="10"/>
      <c r="AC22" s="11">
        <f t="shared" si="10"/>
        <v>0.38095238095238104</v>
      </c>
      <c r="AD22" s="3">
        <f t="shared" si="11"/>
        <v>81.770769230769233</v>
      </c>
      <c r="AE22" s="35"/>
      <c r="AG22" s="4" t="s">
        <v>378</v>
      </c>
    </row>
    <row r="23" spans="1:33" ht="16.5" customHeight="1" x14ac:dyDescent="0.2">
      <c r="A23" s="212"/>
      <c r="B23" s="200"/>
      <c r="C23" s="20">
        <v>101003</v>
      </c>
      <c r="D23" s="43" t="s">
        <v>336</v>
      </c>
      <c r="E23" s="2" t="s">
        <v>224</v>
      </c>
      <c r="F23" s="13">
        <v>10</v>
      </c>
      <c r="G23" s="1">
        <f t="shared" si="14"/>
        <v>50.62</v>
      </c>
      <c r="H23" s="14"/>
      <c r="I23" s="1">
        <f t="shared" si="0"/>
        <v>0</v>
      </c>
      <c r="J23" s="10"/>
      <c r="K23" s="3">
        <f t="shared" si="1"/>
        <v>77.876923076923077</v>
      </c>
      <c r="L23" s="10"/>
      <c r="M23" s="11">
        <f t="shared" si="2"/>
        <v>0.35000000000000009</v>
      </c>
      <c r="N23" s="3">
        <f t="shared" si="3"/>
        <v>77.876923076923077</v>
      </c>
      <c r="P23" s="3">
        <f t="shared" si="12"/>
        <v>70.305555555555557</v>
      </c>
      <c r="Q23" s="10"/>
      <c r="R23" s="11">
        <f t="shared" si="4"/>
        <v>0.28000000000000003</v>
      </c>
      <c r="S23" s="3">
        <f t="shared" si="5"/>
        <v>67.855227882037525</v>
      </c>
      <c r="T23" s="70"/>
      <c r="U23" s="3">
        <f t="shared" si="13"/>
        <v>79.367777777777775</v>
      </c>
      <c r="V23" s="10"/>
      <c r="W23" s="11">
        <f t="shared" si="6"/>
        <v>0.36220968487071437</v>
      </c>
      <c r="X23" s="3">
        <f t="shared" si="7"/>
        <v>81.50056351634197</v>
      </c>
      <c r="Y23" s="70"/>
      <c r="Z23" s="3">
        <f t="shared" si="8"/>
        <v>81.770769230769233</v>
      </c>
      <c r="AA23" s="3">
        <f t="shared" si="9"/>
        <v>98.942630769230774</v>
      </c>
      <c r="AB23" s="10"/>
      <c r="AC23" s="11">
        <f t="shared" si="10"/>
        <v>0.38095238095238104</v>
      </c>
      <c r="AD23" s="3">
        <f t="shared" si="11"/>
        <v>81.770769230769233</v>
      </c>
      <c r="AE23" s="35"/>
      <c r="AG23" s="54" t="s">
        <v>379</v>
      </c>
    </row>
    <row r="24" spans="1:33" ht="16.5" customHeight="1" x14ac:dyDescent="0.2">
      <c r="A24" s="212"/>
      <c r="B24" s="200"/>
      <c r="C24" s="20">
        <v>101004</v>
      </c>
      <c r="D24" s="48" t="s">
        <v>335</v>
      </c>
      <c r="E24" s="2" t="s">
        <v>290</v>
      </c>
      <c r="F24" s="13">
        <v>10</v>
      </c>
      <c r="G24" s="1">
        <f t="shared" si="14"/>
        <v>50.62</v>
      </c>
      <c r="H24" s="14"/>
      <c r="I24" s="1">
        <f t="shared" si="0"/>
        <v>0</v>
      </c>
      <c r="J24" s="10"/>
      <c r="K24" s="3">
        <f t="shared" si="1"/>
        <v>77.876923076923077</v>
      </c>
      <c r="L24" s="10"/>
      <c r="M24" s="11">
        <f t="shared" si="2"/>
        <v>0.35000000000000009</v>
      </c>
      <c r="N24" s="3">
        <f t="shared" si="3"/>
        <v>77.876923076923077</v>
      </c>
      <c r="P24" s="3">
        <f t="shared" si="12"/>
        <v>70.305555555555557</v>
      </c>
      <c r="Q24" s="10"/>
      <c r="R24" s="11">
        <f t="shared" si="4"/>
        <v>0.28000000000000003</v>
      </c>
      <c r="S24" s="3">
        <f t="shared" si="5"/>
        <v>67.855227882037525</v>
      </c>
      <c r="T24" s="70"/>
      <c r="U24" s="3">
        <f t="shared" si="13"/>
        <v>79.367777777777775</v>
      </c>
      <c r="V24" s="10"/>
      <c r="W24" s="11">
        <f t="shared" si="6"/>
        <v>0.36220968487071437</v>
      </c>
      <c r="X24" s="3">
        <f t="shared" si="7"/>
        <v>81.50056351634197</v>
      </c>
      <c r="Y24" s="70"/>
      <c r="Z24" s="3">
        <f t="shared" si="8"/>
        <v>81.770769230769233</v>
      </c>
      <c r="AA24" s="3">
        <f t="shared" si="9"/>
        <v>98.942630769230774</v>
      </c>
      <c r="AB24" s="10"/>
      <c r="AC24" s="11">
        <f t="shared" si="10"/>
        <v>0.38095238095238104</v>
      </c>
      <c r="AD24" s="3">
        <f t="shared" si="11"/>
        <v>81.770769230769233</v>
      </c>
      <c r="AE24" s="35"/>
      <c r="AG24" s="4" t="s">
        <v>380</v>
      </c>
    </row>
    <row r="25" spans="1:33" ht="16.5" customHeight="1" x14ac:dyDescent="0.2">
      <c r="A25" s="212"/>
      <c r="B25" s="200"/>
      <c r="C25" s="20">
        <v>101005</v>
      </c>
      <c r="D25" s="42">
        <v>7798138970069</v>
      </c>
      <c r="E25" s="2" t="s">
        <v>72</v>
      </c>
      <c r="F25" s="13">
        <v>10</v>
      </c>
      <c r="G25" s="1">
        <f t="shared" si="14"/>
        <v>50.62</v>
      </c>
      <c r="H25" s="14"/>
      <c r="I25" s="1">
        <f t="shared" si="0"/>
        <v>0</v>
      </c>
      <c r="J25" s="10"/>
      <c r="K25" s="3">
        <f t="shared" si="1"/>
        <v>77.876923076923077</v>
      </c>
      <c r="L25" s="10"/>
      <c r="M25" s="11">
        <f t="shared" si="2"/>
        <v>0.35000000000000009</v>
      </c>
      <c r="N25" s="3">
        <f t="shared" si="3"/>
        <v>77.876923076923077</v>
      </c>
      <c r="P25" s="3">
        <f t="shared" si="12"/>
        <v>70.305555555555557</v>
      </c>
      <c r="Q25" s="10"/>
      <c r="R25" s="11">
        <f t="shared" si="4"/>
        <v>0.28000000000000003</v>
      </c>
      <c r="S25" s="3">
        <f t="shared" si="5"/>
        <v>67.855227882037525</v>
      </c>
      <c r="T25" s="70"/>
      <c r="U25" s="3">
        <f t="shared" si="13"/>
        <v>79.367777777777775</v>
      </c>
      <c r="V25" s="10"/>
      <c r="W25" s="11">
        <f t="shared" si="6"/>
        <v>0.36220968487071437</v>
      </c>
      <c r="X25" s="3">
        <f t="shared" si="7"/>
        <v>81.50056351634197</v>
      </c>
      <c r="Y25" s="70"/>
      <c r="Z25" s="3">
        <f t="shared" si="8"/>
        <v>81.770769230769233</v>
      </c>
      <c r="AA25" s="3">
        <f t="shared" si="9"/>
        <v>98.942630769230774</v>
      </c>
      <c r="AB25" s="10"/>
      <c r="AC25" s="11">
        <f t="shared" si="10"/>
        <v>0.38095238095238104</v>
      </c>
      <c r="AD25" s="3">
        <f t="shared" si="11"/>
        <v>81.770769230769233</v>
      </c>
      <c r="AE25" s="35"/>
      <c r="AG25" s="4" t="s">
        <v>381</v>
      </c>
    </row>
    <row r="26" spans="1:33" ht="16.5" customHeight="1" x14ac:dyDescent="0.2">
      <c r="A26" s="212"/>
      <c r="B26" s="200"/>
      <c r="C26" s="20">
        <v>101006</v>
      </c>
      <c r="D26" s="49">
        <v>7798138970090</v>
      </c>
      <c r="E26" s="2" t="s">
        <v>209</v>
      </c>
      <c r="F26" s="13">
        <v>10</v>
      </c>
      <c r="G26" s="1">
        <f t="shared" si="14"/>
        <v>50.62</v>
      </c>
      <c r="H26" s="14"/>
      <c r="I26" s="1">
        <f t="shared" si="0"/>
        <v>0</v>
      </c>
      <c r="J26" s="10"/>
      <c r="K26" s="3">
        <f t="shared" si="1"/>
        <v>77.876923076923077</v>
      </c>
      <c r="L26" s="10"/>
      <c r="M26" s="11">
        <f t="shared" si="2"/>
        <v>0.35000000000000009</v>
      </c>
      <c r="N26" s="3">
        <f t="shared" si="3"/>
        <v>77.876923076923077</v>
      </c>
      <c r="P26" s="3">
        <f t="shared" si="12"/>
        <v>70.305555555555557</v>
      </c>
      <c r="Q26" s="10"/>
      <c r="R26" s="11">
        <f t="shared" si="4"/>
        <v>0.28000000000000003</v>
      </c>
      <c r="S26" s="3">
        <f t="shared" si="5"/>
        <v>67.855227882037525</v>
      </c>
      <c r="T26" s="70"/>
      <c r="U26" s="3">
        <f t="shared" si="13"/>
        <v>79.367777777777775</v>
      </c>
      <c r="V26" s="10"/>
      <c r="W26" s="11">
        <f t="shared" si="6"/>
        <v>0.36220968487071437</v>
      </c>
      <c r="X26" s="3">
        <f t="shared" si="7"/>
        <v>81.50056351634197</v>
      </c>
      <c r="Y26" s="70"/>
      <c r="Z26" s="3">
        <f t="shared" si="8"/>
        <v>81.770769230769233</v>
      </c>
      <c r="AA26" s="3">
        <f t="shared" si="9"/>
        <v>98.942630769230774</v>
      </c>
      <c r="AB26" s="10"/>
      <c r="AC26" s="11">
        <f t="shared" si="10"/>
        <v>0.38095238095238104</v>
      </c>
      <c r="AD26" s="3">
        <f t="shared" si="11"/>
        <v>81.770769230769233</v>
      </c>
      <c r="AE26" s="35"/>
    </row>
    <row r="27" spans="1:33" ht="16.5" customHeight="1" x14ac:dyDescent="0.2">
      <c r="A27" s="212"/>
      <c r="B27" s="200"/>
      <c r="C27" s="20">
        <v>101007</v>
      </c>
      <c r="D27" s="42">
        <v>7798138970038</v>
      </c>
      <c r="E27" s="2" t="s">
        <v>225</v>
      </c>
      <c r="F27" s="13">
        <v>10</v>
      </c>
      <c r="G27" s="1">
        <f t="shared" si="14"/>
        <v>50.62</v>
      </c>
      <c r="H27" s="14"/>
      <c r="I27" s="1">
        <f t="shared" si="0"/>
        <v>0</v>
      </c>
      <c r="J27" s="10"/>
      <c r="K27" s="3">
        <f t="shared" si="1"/>
        <v>77.876923076923077</v>
      </c>
      <c r="L27" s="10"/>
      <c r="M27" s="11">
        <f t="shared" si="2"/>
        <v>0.35000000000000009</v>
      </c>
      <c r="N27" s="3">
        <f t="shared" si="3"/>
        <v>77.876923076923077</v>
      </c>
      <c r="P27" s="3">
        <f t="shared" si="12"/>
        <v>70.305555555555557</v>
      </c>
      <c r="Q27" s="10"/>
      <c r="R27" s="11">
        <f t="shared" si="4"/>
        <v>0.28000000000000003</v>
      </c>
      <c r="S27" s="3">
        <f t="shared" si="5"/>
        <v>67.855227882037525</v>
      </c>
      <c r="T27" s="70"/>
      <c r="U27" s="3">
        <f t="shared" si="13"/>
        <v>79.367777777777775</v>
      </c>
      <c r="V27" s="10"/>
      <c r="W27" s="11">
        <f t="shared" si="6"/>
        <v>0.36220968487071437</v>
      </c>
      <c r="X27" s="3">
        <f t="shared" si="7"/>
        <v>81.50056351634197</v>
      </c>
      <c r="Y27" s="70"/>
      <c r="Z27" s="3">
        <f t="shared" si="8"/>
        <v>81.770769230769233</v>
      </c>
      <c r="AA27" s="3">
        <f t="shared" si="9"/>
        <v>98.942630769230774</v>
      </c>
      <c r="AB27" s="10"/>
      <c r="AC27" s="11">
        <f t="shared" si="10"/>
        <v>0.38095238095238104</v>
      </c>
      <c r="AD27" s="3">
        <f t="shared" si="11"/>
        <v>81.770769230769233</v>
      </c>
      <c r="AE27" s="35"/>
    </row>
    <row r="28" spans="1:33" ht="16.5" customHeight="1" x14ac:dyDescent="0.2">
      <c r="A28" s="212"/>
      <c r="B28" s="200"/>
      <c r="C28" s="20">
        <v>101008</v>
      </c>
      <c r="D28" s="45" t="s">
        <v>223</v>
      </c>
      <c r="E28" s="2" t="s">
        <v>50</v>
      </c>
      <c r="F28" s="13">
        <v>10</v>
      </c>
      <c r="G28" s="1">
        <f t="shared" si="14"/>
        <v>50.62</v>
      </c>
      <c r="H28" s="14"/>
      <c r="I28" s="1">
        <f t="shared" si="0"/>
        <v>0</v>
      </c>
      <c r="J28" s="10"/>
      <c r="K28" s="3">
        <f t="shared" si="1"/>
        <v>77.876923076923077</v>
      </c>
      <c r="L28" s="10"/>
      <c r="M28" s="11">
        <f t="shared" si="2"/>
        <v>0.35000000000000009</v>
      </c>
      <c r="N28" s="3">
        <f t="shared" si="3"/>
        <v>77.876923076923077</v>
      </c>
      <c r="P28" s="3">
        <f t="shared" si="12"/>
        <v>70.305555555555557</v>
      </c>
      <c r="Q28" s="10"/>
      <c r="R28" s="11">
        <f t="shared" si="4"/>
        <v>0.28000000000000003</v>
      </c>
      <c r="S28" s="3">
        <f t="shared" si="5"/>
        <v>67.855227882037525</v>
      </c>
      <c r="T28" s="70"/>
      <c r="U28" s="3">
        <f t="shared" si="13"/>
        <v>79.367777777777775</v>
      </c>
      <c r="V28" s="10"/>
      <c r="W28" s="11">
        <f t="shared" si="6"/>
        <v>0.36220968487071437</v>
      </c>
      <c r="X28" s="3">
        <f t="shared" si="7"/>
        <v>81.50056351634197</v>
      </c>
      <c r="Y28" s="70"/>
      <c r="Z28" s="3">
        <f t="shared" si="8"/>
        <v>81.770769230769233</v>
      </c>
      <c r="AA28" s="3">
        <f t="shared" si="9"/>
        <v>98.942630769230774</v>
      </c>
      <c r="AB28" s="10"/>
      <c r="AC28" s="11">
        <f t="shared" si="10"/>
        <v>0.38095238095238104</v>
      </c>
      <c r="AD28" s="3">
        <f t="shared" si="11"/>
        <v>81.770769230769233</v>
      </c>
      <c r="AE28" s="35"/>
    </row>
    <row r="29" spans="1:33" ht="16.5" customHeight="1" x14ac:dyDescent="0.2">
      <c r="A29" s="221" t="s">
        <v>107</v>
      </c>
      <c r="B29" s="218" t="s">
        <v>416</v>
      </c>
      <c r="C29" s="20">
        <v>102001</v>
      </c>
      <c r="D29" s="45" t="s">
        <v>223</v>
      </c>
      <c r="E29" s="2" t="s">
        <v>108</v>
      </c>
      <c r="F29" s="13">
        <v>1</v>
      </c>
      <c r="G29" s="1">
        <v>150</v>
      </c>
      <c r="H29" s="14"/>
      <c r="I29" s="1">
        <f t="shared" si="0"/>
        <v>0</v>
      </c>
      <c r="J29" s="10"/>
      <c r="K29" s="3">
        <f t="shared" si="1"/>
        <v>230.76923076923077</v>
      </c>
      <c r="L29" s="10"/>
      <c r="M29" s="11">
        <f t="shared" si="2"/>
        <v>0.35</v>
      </c>
      <c r="N29" s="3">
        <f t="shared" si="3"/>
        <v>230.76923076923077</v>
      </c>
      <c r="P29" s="3">
        <f t="shared" ref="P29:P72" si="15">S29</f>
        <v>200</v>
      </c>
      <c r="Q29" s="10"/>
      <c r="R29" s="11">
        <f t="shared" si="4"/>
        <v>0.25</v>
      </c>
      <c r="S29" s="3">
        <f>G29/0.75</f>
        <v>200</v>
      </c>
      <c r="T29" s="70">
        <v>0.25</v>
      </c>
      <c r="U29" s="3">
        <f t="shared" ref="U29:U34" si="16">X29</f>
        <v>200</v>
      </c>
      <c r="V29" s="10"/>
      <c r="W29" s="11">
        <f t="shared" si="6"/>
        <v>0.25</v>
      </c>
      <c r="X29" s="3">
        <f t="shared" ref="X29:X34" si="17">S29</f>
        <v>200</v>
      </c>
      <c r="Y29" s="70"/>
      <c r="Z29" s="3">
        <f t="shared" si="8"/>
        <v>242.30769230769232</v>
      </c>
      <c r="AA29" s="3">
        <f t="shared" si="9"/>
        <v>293.19230769230768</v>
      </c>
      <c r="AB29" s="10"/>
      <c r="AC29" s="11">
        <f t="shared" si="10"/>
        <v>0.38095238095238093</v>
      </c>
      <c r="AD29" s="3">
        <f t="shared" si="11"/>
        <v>242.30769230769232</v>
      </c>
      <c r="AE29" s="35"/>
    </row>
    <row r="30" spans="1:33" ht="16.5" customHeight="1" x14ac:dyDescent="0.2">
      <c r="A30" s="222"/>
      <c r="B30" s="219"/>
      <c r="C30" s="20">
        <v>102002</v>
      </c>
      <c r="D30" s="45" t="s">
        <v>223</v>
      </c>
      <c r="E30" s="2" t="s">
        <v>112</v>
      </c>
      <c r="F30" s="13">
        <v>1</v>
      </c>
      <c r="G30" s="1">
        <v>170</v>
      </c>
      <c r="H30" s="14"/>
      <c r="I30" s="1">
        <f t="shared" si="0"/>
        <v>0</v>
      </c>
      <c r="J30" s="10"/>
      <c r="K30" s="3">
        <f t="shared" si="1"/>
        <v>261.53846153846155</v>
      </c>
      <c r="L30" s="10"/>
      <c r="M30" s="11">
        <f t="shared" si="2"/>
        <v>0.35</v>
      </c>
      <c r="N30" s="3">
        <f t="shared" si="3"/>
        <v>261.53846153846155</v>
      </c>
      <c r="P30" s="3">
        <f t="shared" si="15"/>
        <v>226.66666666666666</v>
      </c>
      <c r="Q30" s="10"/>
      <c r="R30" s="11">
        <f t="shared" si="4"/>
        <v>0.25</v>
      </c>
      <c r="S30" s="3">
        <f t="shared" ref="S30:S35" si="18">G30/0.75</f>
        <v>226.66666666666666</v>
      </c>
      <c r="T30" s="70"/>
      <c r="U30" s="3">
        <f t="shared" si="16"/>
        <v>226.66666666666666</v>
      </c>
      <c r="V30" s="10"/>
      <c r="W30" s="11">
        <f t="shared" si="6"/>
        <v>0.25</v>
      </c>
      <c r="X30" s="3">
        <f t="shared" si="17"/>
        <v>226.66666666666666</v>
      </c>
      <c r="Y30" s="70"/>
      <c r="Z30" s="3">
        <f t="shared" si="8"/>
        <v>274.61538461538464</v>
      </c>
      <c r="AA30" s="3">
        <f t="shared" si="9"/>
        <v>332.28461538461539</v>
      </c>
      <c r="AB30" s="10"/>
      <c r="AC30" s="11">
        <f t="shared" si="10"/>
        <v>0.38095238095238104</v>
      </c>
      <c r="AD30" s="3">
        <f t="shared" si="11"/>
        <v>274.61538461538464</v>
      </c>
      <c r="AE30" s="35"/>
    </row>
    <row r="31" spans="1:33" ht="16.5" customHeight="1" x14ac:dyDescent="0.2">
      <c r="A31" s="222"/>
      <c r="B31" s="219"/>
      <c r="C31" s="20">
        <v>102003</v>
      </c>
      <c r="D31" s="45" t="s">
        <v>223</v>
      </c>
      <c r="E31" s="2" t="s">
        <v>109</v>
      </c>
      <c r="F31" s="13">
        <v>1</v>
      </c>
      <c r="G31" s="1">
        <v>370</v>
      </c>
      <c r="H31" s="14"/>
      <c r="I31" s="1">
        <f t="shared" si="0"/>
        <v>0</v>
      </c>
      <c r="J31" s="10"/>
      <c r="K31" s="3">
        <f t="shared" si="1"/>
        <v>569.23076923076917</v>
      </c>
      <c r="L31" s="10"/>
      <c r="M31" s="11">
        <f t="shared" si="2"/>
        <v>0.35</v>
      </c>
      <c r="N31" s="3">
        <f t="shared" si="3"/>
        <v>569.23076923076917</v>
      </c>
      <c r="P31" s="3">
        <f t="shared" si="15"/>
        <v>493.33333333333331</v>
      </c>
      <c r="Q31" s="10"/>
      <c r="R31" s="11">
        <f t="shared" si="4"/>
        <v>0.25</v>
      </c>
      <c r="S31" s="3">
        <f t="shared" si="18"/>
        <v>493.33333333333331</v>
      </c>
      <c r="T31" s="70"/>
      <c r="U31" s="3">
        <f t="shared" si="16"/>
        <v>493.33333333333331</v>
      </c>
      <c r="V31" s="10"/>
      <c r="W31" s="11">
        <f t="shared" si="6"/>
        <v>0.25</v>
      </c>
      <c r="X31" s="3">
        <f t="shared" si="17"/>
        <v>493.33333333333331</v>
      </c>
      <c r="Y31" s="70"/>
      <c r="Z31" s="3">
        <f t="shared" si="8"/>
        <v>597.69230769230762</v>
      </c>
      <c r="AA31" s="3">
        <f t="shared" si="9"/>
        <v>723.20769230769224</v>
      </c>
      <c r="AB31" s="10"/>
      <c r="AC31" s="11">
        <f t="shared" si="10"/>
        <v>0.38095238095238093</v>
      </c>
      <c r="AD31" s="3">
        <f t="shared" si="11"/>
        <v>597.69230769230762</v>
      </c>
      <c r="AE31" s="35"/>
    </row>
    <row r="32" spans="1:33" ht="16.5" customHeight="1" x14ac:dyDescent="0.2">
      <c r="A32" s="222"/>
      <c r="B32" s="219"/>
      <c r="C32" s="20">
        <v>102004</v>
      </c>
      <c r="D32" s="45" t="s">
        <v>223</v>
      </c>
      <c r="E32" s="2" t="s">
        <v>111</v>
      </c>
      <c r="F32" s="13">
        <v>1</v>
      </c>
      <c r="G32" s="1">
        <v>550</v>
      </c>
      <c r="H32" s="14"/>
      <c r="I32" s="1">
        <f t="shared" si="0"/>
        <v>0</v>
      </c>
      <c r="J32" s="10"/>
      <c r="K32" s="3">
        <f t="shared" si="1"/>
        <v>846.15384615384608</v>
      </c>
      <c r="L32" s="10"/>
      <c r="M32" s="11">
        <f t="shared" si="2"/>
        <v>0.35</v>
      </c>
      <c r="N32" s="3">
        <f t="shared" si="3"/>
        <v>846.15384615384608</v>
      </c>
      <c r="P32" s="3">
        <f t="shared" si="15"/>
        <v>733.33333333333337</v>
      </c>
      <c r="Q32" s="10"/>
      <c r="R32" s="11">
        <f t="shared" si="4"/>
        <v>0.25</v>
      </c>
      <c r="S32" s="3">
        <f t="shared" si="18"/>
        <v>733.33333333333337</v>
      </c>
      <c r="T32" s="70"/>
      <c r="U32" s="3">
        <f t="shared" si="16"/>
        <v>733.33333333333337</v>
      </c>
      <c r="V32" s="10"/>
      <c r="W32" s="11">
        <f t="shared" si="6"/>
        <v>0.25</v>
      </c>
      <c r="X32" s="3">
        <f t="shared" si="17"/>
        <v>733.33333333333337</v>
      </c>
      <c r="Y32" s="70"/>
      <c r="Z32" s="3">
        <f t="shared" si="8"/>
        <v>888.46153846153845</v>
      </c>
      <c r="AA32" s="3">
        <f t="shared" si="9"/>
        <v>1075.0384615384614</v>
      </c>
      <c r="AB32" s="10"/>
      <c r="AC32" s="11">
        <f t="shared" si="10"/>
        <v>0.38095238095238093</v>
      </c>
      <c r="AD32" s="3">
        <f t="shared" si="11"/>
        <v>888.46153846153845</v>
      </c>
      <c r="AE32" s="35"/>
    </row>
    <row r="33" spans="1:31" ht="16.5" customHeight="1" x14ac:dyDescent="0.2">
      <c r="A33" s="222"/>
      <c r="B33" s="219"/>
      <c r="C33" s="20">
        <v>102005</v>
      </c>
      <c r="D33" s="45" t="s">
        <v>223</v>
      </c>
      <c r="E33" s="2" t="s">
        <v>110</v>
      </c>
      <c r="F33" s="13">
        <v>1</v>
      </c>
      <c r="G33" s="1">
        <v>870</v>
      </c>
      <c r="H33" s="14"/>
      <c r="I33" s="1">
        <f t="shared" si="0"/>
        <v>0</v>
      </c>
      <c r="J33" s="10"/>
      <c r="K33" s="3">
        <f t="shared" si="1"/>
        <v>1338.4615384615383</v>
      </c>
      <c r="L33" s="10"/>
      <c r="M33" s="11">
        <f t="shared" si="2"/>
        <v>0.35</v>
      </c>
      <c r="N33" s="3">
        <f t="shared" si="3"/>
        <v>1338.4615384615383</v>
      </c>
      <c r="P33" s="3">
        <f t="shared" si="15"/>
        <v>1160</v>
      </c>
      <c r="Q33" s="10"/>
      <c r="R33" s="11">
        <f t="shared" si="4"/>
        <v>0.25</v>
      </c>
      <c r="S33" s="3">
        <f t="shared" si="18"/>
        <v>1160</v>
      </c>
      <c r="T33" s="70"/>
      <c r="U33" s="3">
        <f t="shared" si="16"/>
        <v>1160</v>
      </c>
      <c r="V33" s="10"/>
      <c r="W33" s="11">
        <f t="shared" si="6"/>
        <v>0.25</v>
      </c>
      <c r="X33" s="3">
        <f t="shared" si="17"/>
        <v>1160</v>
      </c>
      <c r="Y33" s="70"/>
      <c r="Z33" s="3">
        <f t="shared" si="8"/>
        <v>1405.3846153846152</v>
      </c>
      <c r="AA33" s="3">
        <f t="shared" si="9"/>
        <v>1700.5153846153844</v>
      </c>
      <c r="AB33" s="10"/>
      <c r="AC33" s="11">
        <f t="shared" si="10"/>
        <v>0.38095238095238093</v>
      </c>
      <c r="AD33" s="3">
        <f t="shared" si="11"/>
        <v>1405.3846153846152</v>
      </c>
      <c r="AE33" s="35"/>
    </row>
    <row r="34" spans="1:31" ht="16.5" customHeight="1" x14ac:dyDescent="0.2">
      <c r="A34" s="222"/>
      <c r="B34" s="219"/>
      <c r="C34" s="20">
        <v>102007</v>
      </c>
      <c r="D34" s="45" t="s">
        <v>223</v>
      </c>
      <c r="E34" s="2" t="s">
        <v>289</v>
      </c>
      <c r="F34" s="13">
        <v>1</v>
      </c>
      <c r="G34" s="1">
        <v>100</v>
      </c>
      <c r="H34" s="14"/>
      <c r="I34" s="1">
        <f t="shared" si="0"/>
        <v>0</v>
      </c>
      <c r="J34" s="10"/>
      <c r="K34" s="3">
        <f t="shared" si="1"/>
        <v>153.84615384615384</v>
      </c>
      <c r="L34" s="10"/>
      <c r="M34" s="11">
        <f t="shared" si="2"/>
        <v>0.35</v>
      </c>
      <c r="N34" s="3">
        <f t="shared" si="3"/>
        <v>153.84615384615384</v>
      </c>
      <c r="P34" s="3">
        <f t="shared" si="15"/>
        <v>133.33333333333334</v>
      </c>
      <c r="Q34" s="10"/>
      <c r="R34" s="11">
        <f t="shared" si="4"/>
        <v>0.25</v>
      </c>
      <c r="S34" s="3">
        <f t="shared" si="18"/>
        <v>133.33333333333334</v>
      </c>
      <c r="T34" s="70"/>
      <c r="U34" s="3">
        <f t="shared" si="16"/>
        <v>133.33333333333334</v>
      </c>
      <c r="V34" s="10"/>
      <c r="W34" s="11">
        <f t="shared" si="6"/>
        <v>0.25</v>
      </c>
      <c r="X34" s="3">
        <f t="shared" si="17"/>
        <v>133.33333333333334</v>
      </c>
      <c r="Y34" s="70"/>
      <c r="Z34" s="3">
        <f t="shared" si="8"/>
        <v>161.53846153846155</v>
      </c>
      <c r="AA34" s="3">
        <f t="shared" si="9"/>
        <v>195.46153846153845</v>
      </c>
      <c r="AB34" s="10"/>
      <c r="AC34" s="11">
        <f t="shared" si="10"/>
        <v>0.38095238095238093</v>
      </c>
      <c r="AD34" s="3">
        <f t="shared" si="11"/>
        <v>161.53846153846155</v>
      </c>
      <c r="AE34" s="35"/>
    </row>
    <row r="35" spans="1:31" ht="16.5" customHeight="1" x14ac:dyDescent="0.2">
      <c r="A35" s="223"/>
      <c r="B35" s="220"/>
      <c r="C35" s="20">
        <v>102006</v>
      </c>
      <c r="D35" s="45" t="s">
        <v>223</v>
      </c>
      <c r="E35" s="2" t="s">
        <v>259</v>
      </c>
      <c r="F35" s="13">
        <v>1</v>
      </c>
      <c r="G35" s="1">
        <v>0.01</v>
      </c>
      <c r="H35" s="14"/>
      <c r="I35" s="1">
        <f t="shared" si="0"/>
        <v>0</v>
      </c>
      <c r="J35" s="10"/>
      <c r="K35" s="3">
        <f t="shared" si="1"/>
        <v>1.5384615384615384E-2</v>
      </c>
      <c r="L35" s="10"/>
      <c r="M35" s="11">
        <f t="shared" si="2"/>
        <v>0.35</v>
      </c>
      <c r="N35" s="3">
        <f t="shared" si="3"/>
        <v>1.5384615384615384E-2</v>
      </c>
      <c r="P35" s="3">
        <f t="shared" si="15"/>
        <v>1.3333333333333334E-2</v>
      </c>
      <c r="Q35" s="10"/>
      <c r="R35" s="11">
        <f t="shared" si="4"/>
        <v>0.25</v>
      </c>
      <c r="S35" s="3">
        <f t="shared" si="18"/>
        <v>1.3333333333333334E-2</v>
      </c>
      <c r="T35" s="70"/>
      <c r="U35" s="3">
        <v>0.01</v>
      </c>
      <c r="V35" s="10"/>
      <c r="W35" s="11">
        <f t="shared" si="6"/>
        <v>0</v>
      </c>
      <c r="X35" s="3">
        <f>$G35/0.99</f>
        <v>1.0101010101010102E-2</v>
      </c>
      <c r="Y35" s="70"/>
      <c r="Z35" s="3">
        <f t="shared" si="8"/>
        <v>1.6153846153846154E-2</v>
      </c>
      <c r="AA35" s="3">
        <f t="shared" si="9"/>
        <v>1.9546153846153845E-2</v>
      </c>
      <c r="AB35" s="10"/>
      <c r="AC35" s="11">
        <f t="shared" si="10"/>
        <v>0.38095238095238093</v>
      </c>
      <c r="AD35" s="3">
        <f t="shared" si="11"/>
        <v>1.6153846153846154E-2</v>
      </c>
      <c r="AE35" s="35"/>
    </row>
    <row r="36" spans="1:31" ht="16.5" customHeight="1" x14ac:dyDescent="0.2">
      <c r="A36" s="224" t="s">
        <v>415</v>
      </c>
      <c r="B36" s="225"/>
      <c r="C36" s="20">
        <v>103001</v>
      </c>
      <c r="D36" s="44" t="s">
        <v>226</v>
      </c>
      <c r="E36" s="12" t="s">
        <v>409</v>
      </c>
      <c r="F36" s="13">
        <v>12</v>
      </c>
      <c r="G36" s="1">
        <f>1054/12*0.92*0.95</f>
        <v>76.766333333333336</v>
      </c>
      <c r="H36" s="14"/>
      <c r="I36" s="1">
        <f t="shared" si="0"/>
        <v>0</v>
      </c>
      <c r="J36" s="10"/>
      <c r="K36" s="3">
        <f t="shared" si="1"/>
        <v>118.10205128205128</v>
      </c>
      <c r="L36" s="10"/>
      <c r="M36" s="11">
        <f t="shared" si="2"/>
        <v>0.35</v>
      </c>
      <c r="N36" s="3">
        <f t="shared" si="3"/>
        <v>118.10205128205128</v>
      </c>
      <c r="P36" s="3">
        <f t="shared" si="15"/>
        <v>127.94388888888889</v>
      </c>
      <c r="Q36" s="10"/>
      <c r="R36" s="11">
        <f t="shared" si="4"/>
        <v>0.4</v>
      </c>
      <c r="S36" s="3">
        <f>$G36/0.6</f>
        <v>127.94388888888889</v>
      </c>
      <c r="T36" s="70">
        <v>0.35</v>
      </c>
      <c r="U36" s="3">
        <f>X36</f>
        <v>112.89166666666667</v>
      </c>
      <c r="V36" s="10"/>
      <c r="W36" s="11">
        <f t="shared" si="6"/>
        <v>0.31999999999999995</v>
      </c>
      <c r="X36" s="3">
        <f>$G36/0.68</f>
        <v>112.89166666666667</v>
      </c>
      <c r="Y36" s="70">
        <v>0.32</v>
      </c>
      <c r="Z36" s="3">
        <f t="shared" si="8"/>
        <v>129.91225641025642</v>
      </c>
      <c r="AA36" s="3">
        <f t="shared" si="9"/>
        <v>157.19383025641025</v>
      </c>
      <c r="AB36" s="10"/>
      <c r="AC36" s="11">
        <f t="shared" si="10"/>
        <v>0.40909090909090906</v>
      </c>
      <c r="AD36" s="3">
        <f>K36*1.1</f>
        <v>129.91225641025642</v>
      </c>
      <c r="AE36" s="35"/>
    </row>
    <row r="37" spans="1:31" ht="16.5" customHeight="1" x14ac:dyDescent="0.2">
      <c r="A37" s="226"/>
      <c r="B37" s="227"/>
      <c r="C37" s="20">
        <v>103002</v>
      </c>
      <c r="D37" s="50" t="s">
        <v>333</v>
      </c>
      <c r="E37" s="12" t="s">
        <v>410</v>
      </c>
      <c r="F37" s="13">
        <v>2</v>
      </c>
      <c r="G37" s="1">
        <f>1738*0.92*0.95/2</f>
        <v>759.50599999999997</v>
      </c>
      <c r="H37" s="14"/>
      <c r="I37" s="1">
        <f t="shared" si="0"/>
        <v>0</v>
      </c>
      <c r="J37" s="10"/>
      <c r="K37" s="3">
        <f t="shared" si="1"/>
        <v>1168.4707692307691</v>
      </c>
      <c r="L37" s="10"/>
      <c r="M37" s="11">
        <f t="shared" si="2"/>
        <v>0.35</v>
      </c>
      <c r="N37" s="3">
        <f t="shared" si="3"/>
        <v>1168.4707692307691</v>
      </c>
      <c r="P37" s="3">
        <f t="shared" si="15"/>
        <v>1265.8433333333332</v>
      </c>
      <c r="Q37" s="10"/>
      <c r="R37" s="11">
        <f t="shared" si="4"/>
        <v>0.4</v>
      </c>
      <c r="S37" s="3">
        <f>$G37/0.6</f>
        <v>1265.8433333333332</v>
      </c>
      <c r="T37" s="70"/>
      <c r="U37" s="3">
        <f t="shared" ref="U37:U65" si="19">X37</f>
        <v>1116.920588235294</v>
      </c>
      <c r="V37" s="10"/>
      <c r="W37" s="11">
        <f t="shared" si="6"/>
        <v>0.31999999999999995</v>
      </c>
      <c r="X37" s="3">
        <f t="shared" ref="X37:X59" si="20">$G37/0.68</f>
        <v>1116.920588235294</v>
      </c>
      <c r="Y37" s="70"/>
      <c r="Z37" s="3">
        <f t="shared" si="8"/>
        <v>1285.3178461538462</v>
      </c>
      <c r="AA37" s="3">
        <f t="shared" si="9"/>
        <v>1555.2345938461538</v>
      </c>
      <c r="AB37" s="10"/>
      <c r="AC37" s="11">
        <f t="shared" si="10"/>
        <v>0.40909090909090917</v>
      </c>
      <c r="AD37" s="3">
        <f t="shared" ref="AD37:AD100" si="21">K37*1.1</f>
        <v>1285.3178461538462</v>
      </c>
      <c r="AE37" s="35"/>
    </row>
    <row r="38" spans="1:31" ht="16.5" customHeight="1" x14ac:dyDescent="0.2">
      <c r="A38" s="212" t="s">
        <v>145</v>
      </c>
      <c r="B38" s="200" t="s">
        <v>214</v>
      </c>
      <c r="C38" s="20">
        <v>104001</v>
      </c>
      <c r="D38" s="42">
        <v>7792340000798</v>
      </c>
      <c r="E38" s="2" t="s">
        <v>160</v>
      </c>
      <c r="F38" s="13">
        <v>12</v>
      </c>
      <c r="G38" s="1">
        <f>1248/12*0.92*0.95</f>
        <v>90.896000000000001</v>
      </c>
      <c r="H38" s="14"/>
      <c r="I38" s="1">
        <f t="shared" si="0"/>
        <v>0</v>
      </c>
      <c r="J38" s="10"/>
      <c r="K38" s="3">
        <f t="shared" si="1"/>
        <v>165.26545454545453</v>
      </c>
      <c r="L38" s="10"/>
      <c r="M38" s="11">
        <f t="shared" si="2"/>
        <v>0.44999999999999996</v>
      </c>
      <c r="N38" s="3">
        <f>S38</f>
        <v>165.26545454545453</v>
      </c>
      <c r="O38" s="7"/>
      <c r="P38" s="3">
        <f>S38</f>
        <v>165.26545454545453</v>
      </c>
      <c r="Q38" s="10"/>
      <c r="R38" s="11">
        <f t="shared" si="4"/>
        <v>0.44999999999999996</v>
      </c>
      <c r="S38" s="3">
        <f>$G38/0.55</f>
        <v>165.26545454545453</v>
      </c>
      <c r="T38" s="70">
        <v>0.36</v>
      </c>
      <c r="U38" s="3">
        <f t="shared" si="19"/>
        <v>133.6705882352941</v>
      </c>
      <c r="V38" s="10"/>
      <c r="W38" s="11">
        <f t="shared" si="6"/>
        <v>0.31999999999999995</v>
      </c>
      <c r="X38" s="3">
        <f t="shared" si="20"/>
        <v>133.6705882352941</v>
      </c>
      <c r="Y38" s="70"/>
      <c r="Z38" s="3">
        <f t="shared" si="8"/>
        <v>181.792</v>
      </c>
      <c r="AA38" s="3">
        <f t="shared" si="9"/>
        <v>219.96832000000001</v>
      </c>
      <c r="AB38" s="10"/>
      <c r="AC38" s="11">
        <f t="shared" si="10"/>
        <v>0.5</v>
      </c>
      <c r="AD38" s="3">
        <f t="shared" si="21"/>
        <v>181.792</v>
      </c>
      <c r="AE38" s="35"/>
    </row>
    <row r="39" spans="1:31" ht="16.5" customHeight="1" x14ac:dyDescent="0.2">
      <c r="A39" s="212"/>
      <c r="B39" s="200"/>
      <c r="C39" s="20">
        <v>104002</v>
      </c>
      <c r="D39" s="44" t="s">
        <v>227</v>
      </c>
      <c r="E39" s="2" t="s">
        <v>99</v>
      </c>
      <c r="F39" s="13">
        <v>12</v>
      </c>
      <c r="G39" s="1">
        <f>1943/12*0.92*0.95</f>
        <v>141.51516666666666</v>
      </c>
      <c r="H39" s="14"/>
      <c r="I39" s="1">
        <f t="shared" si="0"/>
        <v>0</v>
      </c>
      <c r="J39" s="10"/>
      <c r="K39" s="3">
        <f t="shared" si="1"/>
        <v>314.47814814814814</v>
      </c>
      <c r="L39" s="10"/>
      <c r="M39" s="11">
        <f t="shared" si="2"/>
        <v>0.55000000000000004</v>
      </c>
      <c r="N39" s="3">
        <f t="shared" ref="N39:N59" si="22">S39</f>
        <v>314.47814814814814</v>
      </c>
      <c r="O39" s="7"/>
      <c r="P39" s="3">
        <f t="shared" ref="P39:P59" si="23">S39</f>
        <v>314.47814814814814</v>
      </c>
      <c r="Q39" s="10"/>
      <c r="R39" s="11">
        <f t="shared" si="4"/>
        <v>0.55000000000000004</v>
      </c>
      <c r="S39" s="3">
        <f t="shared" ref="S39:S54" si="24">$G39/0.45</f>
        <v>314.47814814814814</v>
      </c>
      <c r="T39" s="70"/>
      <c r="U39" s="3">
        <f t="shared" si="19"/>
        <v>208.11053921568626</v>
      </c>
      <c r="V39" s="10"/>
      <c r="W39" s="11">
        <f t="shared" si="6"/>
        <v>0.31999999999999995</v>
      </c>
      <c r="X39" s="3">
        <f t="shared" si="20"/>
        <v>208.11053921568626</v>
      </c>
      <c r="Y39" s="70"/>
      <c r="Z39" s="3">
        <f t="shared" si="8"/>
        <v>345.92596296296296</v>
      </c>
      <c r="AA39" s="3">
        <f t="shared" si="9"/>
        <v>418.57041518518514</v>
      </c>
      <c r="AB39" s="10"/>
      <c r="AC39" s="11">
        <f t="shared" si="10"/>
        <v>0.59090909090909094</v>
      </c>
      <c r="AD39" s="3">
        <f t="shared" si="21"/>
        <v>345.92596296296296</v>
      </c>
      <c r="AE39" s="35"/>
    </row>
    <row r="40" spans="1:31" ht="16.5" customHeight="1" x14ac:dyDescent="0.2">
      <c r="A40" s="212"/>
      <c r="B40" s="200"/>
      <c r="C40" s="20">
        <v>104003</v>
      </c>
      <c r="D40" s="42">
        <v>7792340000828</v>
      </c>
      <c r="E40" s="2" t="s">
        <v>260</v>
      </c>
      <c r="F40" s="13">
        <v>12</v>
      </c>
      <c r="G40" s="1">
        <f>1183.6/12*0.92*0.95</f>
        <v>86.205533333333321</v>
      </c>
      <c r="H40" s="14"/>
      <c r="I40" s="1">
        <f t="shared" si="0"/>
        <v>0</v>
      </c>
      <c r="J40" s="10"/>
      <c r="K40" s="3">
        <f t="shared" si="1"/>
        <v>172.41106666666664</v>
      </c>
      <c r="L40" s="10"/>
      <c r="M40" s="11">
        <f t="shared" si="2"/>
        <v>0.5</v>
      </c>
      <c r="N40" s="3">
        <f t="shared" si="22"/>
        <v>172.41106666666664</v>
      </c>
      <c r="O40" s="7"/>
      <c r="P40" s="3">
        <f t="shared" si="23"/>
        <v>172.41106666666664</v>
      </c>
      <c r="Q40" s="10"/>
      <c r="R40" s="11">
        <f t="shared" si="4"/>
        <v>0.5</v>
      </c>
      <c r="S40" s="3">
        <f>$G40/0.5</f>
        <v>172.41106666666664</v>
      </c>
      <c r="T40" s="70"/>
      <c r="U40" s="3">
        <f t="shared" si="19"/>
        <v>126.77284313725488</v>
      </c>
      <c r="V40" s="10"/>
      <c r="W40" s="11">
        <f t="shared" si="6"/>
        <v>0.31999999999999995</v>
      </c>
      <c r="X40" s="3">
        <f t="shared" si="20"/>
        <v>126.77284313725488</v>
      </c>
      <c r="Y40" s="70"/>
      <c r="Z40" s="3">
        <f t="shared" si="8"/>
        <v>189.65217333333331</v>
      </c>
      <c r="AA40" s="3">
        <f t="shared" si="9"/>
        <v>229.47912973333331</v>
      </c>
      <c r="AB40" s="10"/>
      <c r="AC40" s="11">
        <f t="shared" si="10"/>
        <v>0.54545454545454541</v>
      </c>
      <c r="AD40" s="3">
        <f t="shared" si="21"/>
        <v>189.65217333333331</v>
      </c>
      <c r="AE40" s="35"/>
    </row>
    <row r="41" spans="1:31" ht="16.5" customHeight="1" x14ac:dyDescent="0.2">
      <c r="A41" s="212"/>
      <c r="B41" s="200"/>
      <c r="C41" s="20">
        <v>104004</v>
      </c>
      <c r="D41" s="42">
        <v>7792340000156</v>
      </c>
      <c r="E41" s="2" t="s">
        <v>76</v>
      </c>
      <c r="F41" s="13">
        <v>12</v>
      </c>
      <c r="G41" s="1">
        <f>1544.88*0.92*0.95/12</f>
        <v>112.51876</v>
      </c>
      <c r="H41" s="14"/>
      <c r="I41" s="1">
        <f t="shared" si="0"/>
        <v>0</v>
      </c>
      <c r="J41" s="10"/>
      <c r="K41" s="3">
        <f t="shared" si="1"/>
        <v>204.57956363636362</v>
      </c>
      <c r="L41" s="10"/>
      <c r="M41" s="11">
        <f t="shared" si="2"/>
        <v>0.44999999999999996</v>
      </c>
      <c r="N41" s="3">
        <f t="shared" si="22"/>
        <v>204.57956363636362</v>
      </c>
      <c r="O41" s="7"/>
      <c r="P41" s="3">
        <f t="shared" si="23"/>
        <v>204.57956363636362</v>
      </c>
      <c r="Q41" s="10"/>
      <c r="R41" s="11">
        <f t="shared" si="4"/>
        <v>0.44999999999999996</v>
      </c>
      <c r="S41" s="3">
        <f>$G41/0.55</f>
        <v>204.57956363636362</v>
      </c>
      <c r="T41" s="70"/>
      <c r="U41" s="3">
        <f t="shared" si="19"/>
        <v>165.46876470588234</v>
      </c>
      <c r="V41" s="10"/>
      <c r="W41" s="11">
        <f t="shared" si="6"/>
        <v>0.31999999999999995</v>
      </c>
      <c r="X41" s="3">
        <f t="shared" si="20"/>
        <v>165.46876470588234</v>
      </c>
      <c r="Y41" s="70"/>
      <c r="Z41" s="3">
        <f t="shared" si="8"/>
        <v>225.03752</v>
      </c>
      <c r="AA41" s="3">
        <f t="shared" si="9"/>
        <v>272.29539920000002</v>
      </c>
      <c r="AB41" s="10"/>
      <c r="AC41" s="11">
        <f t="shared" si="10"/>
        <v>0.5</v>
      </c>
      <c r="AD41" s="3">
        <f t="shared" si="21"/>
        <v>225.03752</v>
      </c>
      <c r="AE41" s="35"/>
    </row>
    <row r="42" spans="1:31" ht="16.5" customHeight="1" x14ac:dyDescent="0.2">
      <c r="A42" s="212"/>
      <c r="B42" s="200"/>
      <c r="C42" s="20">
        <v>104005</v>
      </c>
      <c r="D42" s="42">
        <v>7792340000088</v>
      </c>
      <c r="E42" s="2" t="s">
        <v>434</v>
      </c>
      <c r="F42" s="13">
        <v>12</v>
      </c>
      <c r="G42" s="1">
        <f>637/12*0.92*0.95</f>
        <v>46.394833333333338</v>
      </c>
      <c r="H42" s="14"/>
      <c r="I42" s="1">
        <f t="shared" si="0"/>
        <v>0</v>
      </c>
      <c r="J42" s="10"/>
      <c r="K42" s="3">
        <f t="shared" si="1"/>
        <v>92.789666666666676</v>
      </c>
      <c r="L42" s="10"/>
      <c r="M42" s="11">
        <f t="shared" si="2"/>
        <v>0.5</v>
      </c>
      <c r="N42" s="3">
        <f t="shared" si="22"/>
        <v>92.789666666666676</v>
      </c>
      <c r="O42" s="7"/>
      <c r="P42" s="3">
        <f t="shared" si="23"/>
        <v>92.789666666666676</v>
      </c>
      <c r="Q42" s="10"/>
      <c r="R42" s="11">
        <f t="shared" si="4"/>
        <v>0.5</v>
      </c>
      <c r="S42" s="3">
        <f>$G42/0.5</f>
        <v>92.789666666666676</v>
      </c>
      <c r="T42" s="70"/>
      <c r="U42" s="3">
        <f t="shared" si="19"/>
        <v>68.227696078431379</v>
      </c>
      <c r="V42" s="10"/>
      <c r="W42" s="11">
        <f t="shared" si="6"/>
        <v>0.31999999999999995</v>
      </c>
      <c r="X42" s="3">
        <f t="shared" si="20"/>
        <v>68.227696078431379</v>
      </c>
      <c r="Y42" s="70"/>
      <c r="Z42" s="3">
        <f t="shared" si="8"/>
        <v>102.06863333333335</v>
      </c>
      <c r="AA42" s="3">
        <f t="shared" si="9"/>
        <v>123.50304633333336</v>
      </c>
      <c r="AB42" s="10"/>
      <c r="AC42" s="11">
        <f t="shared" si="10"/>
        <v>0.54545454545454541</v>
      </c>
      <c r="AD42" s="3">
        <f t="shared" si="21"/>
        <v>102.06863333333335</v>
      </c>
      <c r="AE42" s="35"/>
    </row>
    <row r="43" spans="1:31" ht="16.5" customHeight="1" x14ac:dyDescent="0.2">
      <c r="A43" s="212"/>
      <c r="B43" s="200"/>
      <c r="C43" s="20">
        <v>104006</v>
      </c>
      <c r="D43" s="42">
        <v>7792340009005</v>
      </c>
      <c r="E43" s="2" t="s">
        <v>435</v>
      </c>
      <c r="F43" s="13">
        <v>12</v>
      </c>
      <c r="G43" s="1">
        <f>G42</f>
        <v>46.394833333333338</v>
      </c>
      <c r="H43" s="14"/>
      <c r="I43" s="1">
        <f t="shared" si="0"/>
        <v>0</v>
      </c>
      <c r="J43" s="10"/>
      <c r="K43" s="3">
        <f t="shared" si="1"/>
        <v>92.789666666666676</v>
      </c>
      <c r="L43" s="10"/>
      <c r="M43" s="11">
        <f t="shared" si="2"/>
        <v>0.5</v>
      </c>
      <c r="N43" s="3">
        <f t="shared" si="22"/>
        <v>92.789666666666676</v>
      </c>
      <c r="O43" s="7"/>
      <c r="P43" s="3">
        <f t="shared" si="23"/>
        <v>92.789666666666676</v>
      </c>
      <c r="Q43" s="10"/>
      <c r="R43" s="11">
        <f t="shared" si="4"/>
        <v>0.5</v>
      </c>
      <c r="S43" s="3">
        <f>$G43/0.5</f>
        <v>92.789666666666676</v>
      </c>
      <c r="T43" s="70"/>
      <c r="U43" s="3">
        <f t="shared" si="19"/>
        <v>68.227696078431379</v>
      </c>
      <c r="V43" s="10"/>
      <c r="W43" s="11">
        <f t="shared" si="6"/>
        <v>0.31999999999999995</v>
      </c>
      <c r="X43" s="3">
        <f t="shared" si="20"/>
        <v>68.227696078431379</v>
      </c>
      <c r="Y43" s="70"/>
      <c r="Z43" s="3">
        <f t="shared" si="8"/>
        <v>102.06863333333335</v>
      </c>
      <c r="AA43" s="3">
        <f t="shared" si="9"/>
        <v>123.50304633333336</v>
      </c>
      <c r="AB43" s="10"/>
      <c r="AC43" s="11">
        <f t="shared" si="10"/>
        <v>0.54545454545454541</v>
      </c>
      <c r="AD43" s="3">
        <f t="shared" si="21"/>
        <v>102.06863333333335</v>
      </c>
      <c r="AE43" s="35"/>
    </row>
    <row r="44" spans="1:31" ht="15.75" customHeight="1" x14ac:dyDescent="0.2">
      <c r="A44" s="212"/>
      <c r="B44" s="200"/>
      <c r="C44" s="20">
        <v>104007</v>
      </c>
      <c r="D44" s="42">
        <v>7792340000897</v>
      </c>
      <c r="E44" s="2" t="s">
        <v>417</v>
      </c>
      <c r="F44" s="13">
        <v>12</v>
      </c>
      <c r="G44" s="1">
        <f>730/12*0.95*0.92</f>
        <v>53.168333333333337</v>
      </c>
      <c r="H44" s="14"/>
      <c r="I44" s="1">
        <f t="shared" si="0"/>
        <v>0</v>
      </c>
      <c r="J44" s="10"/>
      <c r="K44" s="3">
        <f t="shared" si="1"/>
        <v>106.33666666666667</v>
      </c>
      <c r="L44" s="10"/>
      <c r="M44" s="11">
        <f t="shared" si="2"/>
        <v>0.5</v>
      </c>
      <c r="N44" s="3">
        <f t="shared" si="22"/>
        <v>106.33666666666667</v>
      </c>
      <c r="O44" s="7"/>
      <c r="P44" s="3">
        <f t="shared" si="23"/>
        <v>106.33666666666667</v>
      </c>
      <c r="Q44" s="10"/>
      <c r="R44" s="11">
        <f t="shared" si="4"/>
        <v>0.5</v>
      </c>
      <c r="S44" s="3">
        <f>$G44/0.5</f>
        <v>106.33666666666667</v>
      </c>
      <c r="T44" s="70"/>
      <c r="U44" s="3">
        <f t="shared" si="19"/>
        <v>78.188725490196077</v>
      </c>
      <c r="V44" s="10"/>
      <c r="W44" s="11">
        <f t="shared" si="6"/>
        <v>0.31999999999999995</v>
      </c>
      <c r="X44" s="3">
        <f t="shared" si="20"/>
        <v>78.188725490196077</v>
      </c>
      <c r="Y44" s="70"/>
      <c r="Z44" s="3">
        <f t="shared" si="8"/>
        <v>116.97033333333334</v>
      </c>
      <c r="AA44" s="3">
        <f t="shared" si="9"/>
        <v>141.53410333333335</v>
      </c>
      <c r="AB44" s="10"/>
      <c r="AC44" s="11">
        <f t="shared" si="10"/>
        <v>0.54545454545454541</v>
      </c>
      <c r="AD44" s="3">
        <f t="shared" si="21"/>
        <v>116.97033333333334</v>
      </c>
      <c r="AE44" s="35"/>
    </row>
    <row r="45" spans="1:31" s="174" customFormat="1" ht="15.75" customHeight="1" x14ac:dyDescent="0.2">
      <c r="A45" s="212"/>
      <c r="B45" s="200"/>
      <c r="C45" s="20">
        <v>104008</v>
      </c>
      <c r="D45" s="42">
        <v>7792340073655</v>
      </c>
      <c r="E45" s="2" t="s">
        <v>436</v>
      </c>
      <c r="F45" s="13">
        <v>12</v>
      </c>
      <c r="G45" s="1">
        <f>907*0.92*0.95/12</f>
        <v>66.05983333333333</v>
      </c>
      <c r="H45" s="14"/>
      <c r="I45" s="1">
        <f t="shared" si="0"/>
        <v>0</v>
      </c>
      <c r="J45" s="10"/>
      <c r="K45" s="3">
        <v>73.857552083333331</v>
      </c>
      <c r="L45" s="10"/>
      <c r="M45" s="11">
        <v>0.36</v>
      </c>
      <c r="N45" s="3">
        <v>73.857552083333331</v>
      </c>
      <c r="O45" s="173"/>
      <c r="P45" s="3">
        <v>73.857552083333331</v>
      </c>
      <c r="Q45" s="10"/>
      <c r="R45" s="11">
        <v>0.36</v>
      </c>
      <c r="S45" s="3">
        <f t="shared" si="24"/>
        <v>146.79962962962961</v>
      </c>
      <c r="T45" s="70"/>
      <c r="U45" s="3">
        <v>69.51299019607842</v>
      </c>
      <c r="V45" s="10"/>
      <c r="W45" s="11">
        <v>0.31999999999999984</v>
      </c>
      <c r="X45" s="3">
        <v>69.51299019607842</v>
      </c>
      <c r="Y45" s="70"/>
      <c r="Z45" s="3">
        <v>81.243307291666667</v>
      </c>
      <c r="AA45" s="3">
        <v>98.30440182291666</v>
      </c>
      <c r="AB45" s="10"/>
      <c r="AC45" s="11">
        <v>0.41818181818181821</v>
      </c>
      <c r="AD45" s="3">
        <v>81.243307291666667</v>
      </c>
      <c r="AE45" s="35"/>
    </row>
    <row r="46" spans="1:31" s="84" customFormat="1" ht="16.5" customHeight="1" x14ac:dyDescent="0.2">
      <c r="A46" s="212"/>
      <c r="B46" s="200"/>
      <c r="C46" s="74">
        <v>104009</v>
      </c>
      <c r="D46" s="75" t="s">
        <v>364</v>
      </c>
      <c r="E46" s="76" t="s">
        <v>100</v>
      </c>
      <c r="F46" s="77">
        <v>12</v>
      </c>
      <c r="G46" s="78">
        <f>386/12*0.92*0.95</f>
        <v>28.113666666666667</v>
      </c>
      <c r="H46" s="79"/>
      <c r="I46" s="78">
        <f t="shared" si="0"/>
        <v>0</v>
      </c>
      <c r="J46" s="80"/>
      <c r="K46" s="81">
        <f t="shared" si="1"/>
        <v>62.474814814814813</v>
      </c>
      <c r="L46" s="82"/>
      <c r="M46" s="83">
        <f t="shared" si="2"/>
        <v>0.55000000000000004</v>
      </c>
      <c r="N46" s="81">
        <f t="shared" si="22"/>
        <v>62.474814814814813</v>
      </c>
      <c r="O46" s="157"/>
      <c r="P46" s="81">
        <f t="shared" si="23"/>
        <v>62.474814814814813</v>
      </c>
      <c r="Q46" s="82"/>
      <c r="R46" s="83">
        <f t="shared" si="4"/>
        <v>0.55000000000000004</v>
      </c>
      <c r="S46" s="3">
        <f t="shared" si="24"/>
        <v>62.474814814814813</v>
      </c>
      <c r="T46" s="85"/>
      <c r="U46" s="81">
        <f t="shared" si="19"/>
        <v>41.343627450980392</v>
      </c>
      <c r="V46" s="82"/>
      <c r="W46" s="83">
        <f t="shared" si="6"/>
        <v>0.31999999999999995</v>
      </c>
      <c r="X46" s="81">
        <f t="shared" si="20"/>
        <v>41.343627450980392</v>
      </c>
      <c r="Y46" s="85"/>
      <c r="Z46" s="81">
        <f t="shared" si="8"/>
        <v>68.722296296296307</v>
      </c>
      <c r="AA46" s="81">
        <f t="shared" si="9"/>
        <v>83.153978518518528</v>
      </c>
      <c r="AB46" s="80"/>
      <c r="AC46" s="83">
        <f t="shared" si="10"/>
        <v>0.59090909090909094</v>
      </c>
      <c r="AD46" s="81">
        <f t="shared" si="21"/>
        <v>68.722296296296307</v>
      </c>
      <c r="AE46" s="86"/>
    </row>
    <row r="47" spans="1:31" ht="16.5" customHeight="1" x14ac:dyDescent="0.2">
      <c r="A47" s="212"/>
      <c r="B47" s="200"/>
      <c r="C47" s="20">
        <v>104010</v>
      </c>
      <c r="D47" s="44" t="s">
        <v>228</v>
      </c>
      <c r="E47" s="2" t="s">
        <v>101</v>
      </c>
      <c r="F47" s="13">
        <v>12</v>
      </c>
      <c r="G47" s="1">
        <f>656*0.92*0.95/12</f>
        <v>47.778666666666659</v>
      </c>
      <c r="H47" s="14"/>
      <c r="I47" s="1">
        <f t="shared" si="0"/>
        <v>0</v>
      </c>
      <c r="J47" s="39"/>
      <c r="K47" s="3">
        <f t="shared" si="1"/>
        <v>95.557333333333318</v>
      </c>
      <c r="L47" s="12"/>
      <c r="M47" s="11">
        <f t="shared" si="2"/>
        <v>0.5</v>
      </c>
      <c r="N47" s="3">
        <f t="shared" si="22"/>
        <v>95.557333333333318</v>
      </c>
      <c r="O47" s="7"/>
      <c r="P47" s="3">
        <f t="shared" si="23"/>
        <v>95.557333333333318</v>
      </c>
      <c r="Q47" s="12"/>
      <c r="R47" s="11">
        <f t="shared" si="4"/>
        <v>0.5</v>
      </c>
      <c r="S47" s="3">
        <f>$G47/0.5</f>
        <v>95.557333333333318</v>
      </c>
      <c r="T47" s="70"/>
      <c r="U47" s="3">
        <f t="shared" si="19"/>
        <v>70.262745098039204</v>
      </c>
      <c r="V47" s="12"/>
      <c r="W47" s="11">
        <f t="shared" si="6"/>
        <v>0.31999999999999995</v>
      </c>
      <c r="X47" s="3">
        <f t="shared" si="20"/>
        <v>70.262745098039204</v>
      </c>
      <c r="Y47" s="70"/>
      <c r="Z47" s="3">
        <f t="shared" si="8"/>
        <v>105.11306666666665</v>
      </c>
      <c r="AA47" s="3">
        <f t="shared" si="9"/>
        <v>127.18681066666664</v>
      </c>
      <c r="AB47" s="39"/>
      <c r="AC47" s="11">
        <f t="shared" si="10"/>
        <v>0.54545454545454541</v>
      </c>
      <c r="AD47" s="3">
        <f t="shared" si="21"/>
        <v>105.11306666666665</v>
      </c>
      <c r="AE47" s="35"/>
    </row>
    <row r="48" spans="1:31" s="84" customFormat="1" ht="16.5" customHeight="1" x14ac:dyDescent="0.2">
      <c r="A48" s="212"/>
      <c r="B48" s="200"/>
      <c r="C48" s="74">
        <v>104011</v>
      </c>
      <c r="D48" s="75" t="s">
        <v>229</v>
      </c>
      <c r="E48" s="76" t="s">
        <v>104</v>
      </c>
      <c r="F48" s="77">
        <v>12</v>
      </c>
      <c r="G48" s="78">
        <v>0</v>
      </c>
      <c r="H48" s="79"/>
      <c r="I48" s="1">
        <f t="shared" si="0"/>
        <v>0</v>
      </c>
      <c r="J48" s="80"/>
      <c r="K48" s="81">
        <f t="shared" si="1"/>
        <v>0</v>
      </c>
      <c r="L48" s="82"/>
      <c r="M48" s="83" t="e">
        <f t="shared" si="2"/>
        <v>#DIV/0!</v>
      </c>
      <c r="N48" s="3">
        <f t="shared" si="22"/>
        <v>0</v>
      </c>
      <c r="O48" s="157"/>
      <c r="P48" s="3">
        <f t="shared" si="23"/>
        <v>0</v>
      </c>
      <c r="Q48" s="82"/>
      <c r="R48" s="83" t="e">
        <f t="shared" si="4"/>
        <v>#DIV/0!</v>
      </c>
      <c r="S48" s="3">
        <f t="shared" si="24"/>
        <v>0</v>
      </c>
      <c r="T48" s="85"/>
      <c r="U48" s="81">
        <f t="shared" si="19"/>
        <v>0</v>
      </c>
      <c r="V48" s="82"/>
      <c r="W48" s="11" t="e">
        <f t="shared" si="6"/>
        <v>#DIV/0!</v>
      </c>
      <c r="X48" s="3">
        <f t="shared" si="20"/>
        <v>0</v>
      </c>
      <c r="Y48" s="85"/>
      <c r="Z48" s="81">
        <f t="shared" si="8"/>
        <v>0</v>
      </c>
      <c r="AA48" s="3">
        <f t="shared" si="9"/>
        <v>0</v>
      </c>
      <c r="AB48" s="80"/>
      <c r="AC48" s="11" t="e">
        <f t="shared" si="10"/>
        <v>#DIV/0!</v>
      </c>
      <c r="AD48" s="81">
        <f t="shared" si="21"/>
        <v>0</v>
      </c>
      <c r="AE48" s="86"/>
    </row>
    <row r="49" spans="1:31" s="171" customFormat="1" ht="16.5" customHeight="1" x14ac:dyDescent="0.2">
      <c r="A49" s="212"/>
      <c r="B49" s="200"/>
      <c r="C49" s="158">
        <v>104012</v>
      </c>
      <c r="D49" s="159" t="s">
        <v>232</v>
      </c>
      <c r="E49" s="160" t="s">
        <v>91</v>
      </c>
      <c r="F49" s="161">
        <v>12</v>
      </c>
      <c r="G49" s="162">
        <f>679/12*0.92*0.95</f>
        <v>49.453833333333336</v>
      </c>
      <c r="H49" s="163"/>
      <c r="I49" s="162">
        <f t="shared" si="0"/>
        <v>0</v>
      </c>
      <c r="J49" s="164"/>
      <c r="K49" s="165">
        <f t="shared" si="1"/>
        <v>98.907666666666671</v>
      </c>
      <c r="L49" s="166"/>
      <c r="M49" s="167">
        <f t="shared" si="2"/>
        <v>0.5</v>
      </c>
      <c r="N49" s="165">
        <f t="shared" si="22"/>
        <v>98.907666666666671</v>
      </c>
      <c r="O49" s="168"/>
      <c r="P49" s="165">
        <f t="shared" si="23"/>
        <v>98.907666666666671</v>
      </c>
      <c r="Q49" s="166"/>
      <c r="R49" s="167">
        <f t="shared" si="4"/>
        <v>0.5</v>
      </c>
      <c r="S49" s="3">
        <f>$G49/0.5</f>
        <v>98.907666666666671</v>
      </c>
      <c r="T49" s="169"/>
      <c r="U49" s="165">
        <f t="shared" si="19"/>
        <v>72.726225490196072</v>
      </c>
      <c r="V49" s="166"/>
      <c r="W49" s="167">
        <f t="shared" si="6"/>
        <v>0.31999999999999995</v>
      </c>
      <c r="X49" s="165">
        <f t="shared" si="20"/>
        <v>72.726225490196072</v>
      </c>
      <c r="Y49" s="169"/>
      <c r="Z49" s="165">
        <f t="shared" si="8"/>
        <v>108.79843333333335</v>
      </c>
      <c r="AA49" s="165">
        <f t="shared" si="9"/>
        <v>131.64610433333334</v>
      </c>
      <c r="AB49" s="164"/>
      <c r="AC49" s="167">
        <f t="shared" si="10"/>
        <v>0.54545454545454553</v>
      </c>
      <c r="AD49" s="165">
        <f t="shared" si="21"/>
        <v>108.79843333333335</v>
      </c>
      <c r="AE49" s="170"/>
    </row>
    <row r="50" spans="1:31" s="84" customFormat="1" ht="16.5" customHeight="1" x14ac:dyDescent="0.2">
      <c r="A50" s="212"/>
      <c r="B50" s="200"/>
      <c r="C50" s="74">
        <v>104013</v>
      </c>
      <c r="D50" s="75" t="s">
        <v>231</v>
      </c>
      <c r="E50" s="76" t="s">
        <v>89</v>
      </c>
      <c r="F50" s="77">
        <v>12</v>
      </c>
      <c r="G50" s="78">
        <f>G49</f>
        <v>49.453833333333336</v>
      </c>
      <c r="H50" s="79"/>
      <c r="I50" s="78">
        <f t="shared" si="0"/>
        <v>0</v>
      </c>
      <c r="J50" s="80"/>
      <c r="K50" s="81">
        <f t="shared" si="1"/>
        <v>109.89740740740741</v>
      </c>
      <c r="L50" s="82"/>
      <c r="M50" s="83">
        <f t="shared" si="2"/>
        <v>0.55000000000000004</v>
      </c>
      <c r="N50" s="81">
        <f t="shared" si="22"/>
        <v>109.89740740740741</v>
      </c>
      <c r="O50" s="157"/>
      <c r="P50" s="81">
        <f t="shared" si="23"/>
        <v>109.89740740740741</v>
      </c>
      <c r="Q50" s="82"/>
      <c r="R50" s="83">
        <f t="shared" si="4"/>
        <v>0.55000000000000004</v>
      </c>
      <c r="S50" s="3">
        <f t="shared" si="24"/>
        <v>109.89740740740741</v>
      </c>
      <c r="T50" s="85"/>
      <c r="U50" s="81">
        <f t="shared" si="19"/>
        <v>72.726225490196072</v>
      </c>
      <c r="V50" s="82"/>
      <c r="W50" s="83">
        <f t="shared" si="6"/>
        <v>0.31999999999999995</v>
      </c>
      <c r="X50" s="81">
        <f t="shared" si="20"/>
        <v>72.726225490196072</v>
      </c>
      <c r="Y50" s="85"/>
      <c r="Z50" s="81">
        <f t="shared" si="8"/>
        <v>120.88714814814817</v>
      </c>
      <c r="AA50" s="81">
        <f t="shared" si="9"/>
        <v>146.27344925925928</v>
      </c>
      <c r="AB50" s="80"/>
      <c r="AC50" s="83">
        <f t="shared" si="10"/>
        <v>0.59090909090909105</v>
      </c>
      <c r="AD50" s="81">
        <f t="shared" si="21"/>
        <v>120.88714814814817</v>
      </c>
      <c r="AE50" s="86"/>
    </row>
    <row r="51" spans="1:31" s="84" customFormat="1" ht="16.5" customHeight="1" x14ac:dyDescent="0.2">
      <c r="A51" s="212"/>
      <c r="B51" s="200"/>
      <c r="C51" s="74">
        <v>104014</v>
      </c>
      <c r="D51" s="75" t="s">
        <v>230</v>
      </c>
      <c r="E51" s="76" t="s">
        <v>105</v>
      </c>
      <c r="F51" s="77">
        <v>12</v>
      </c>
      <c r="G51" s="78">
        <v>0</v>
      </c>
      <c r="H51" s="79"/>
      <c r="I51" s="1">
        <f t="shared" si="0"/>
        <v>0</v>
      </c>
      <c r="J51" s="80"/>
      <c r="K51" s="81">
        <f t="shared" si="1"/>
        <v>0</v>
      </c>
      <c r="L51" s="82"/>
      <c r="M51" s="83" t="e">
        <f t="shared" si="2"/>
        <v>#DIV/0!</v>
      </c>
      <c r="N51" s="3">
        <f t="shared" si="22"/>
        <v>0</v>
      </c>
      <c r="O51" s="157"/>
      <c r="P51" s="3">
        <f t="shared" si="23"/>
        <v>0</v>
      </c>
      <c r="Q51" s="82"/>
      <c r="R51" s="83" t="e">
        <f t="shared" si="4"/>
        <v>#DIV/0!</v>
      </c>
      <c r="S51" s="3">
        <f t="shared" si="24"/>
        <v>0</v>
      </c>
      <c r="T51" s="85"/>
      <c r="U51" s="81">
        <f t="shared" si="19"/>
        <v>0</v>
      </c>
      <c r="V51" s="82"/>
      <c r="W51" s="11" t="e">
        <f t="shared" si="6"/>
        <v>#DIV/0!</v>
      </c>
      <c r="X51" s="3">
        <f t="shared" si="20"/>
        <v>0</v>
      </c>
      <c r="Y51" s="85"/>
      <c r="Z51" s="81">
        <f t="shared" si="8"/>
        <v>0</v>
      </c>
      <c r="AA51" s="3">
        <f t="shared" si="9"/>
        <v>0</v>
      </c>
      <c r="AB51" s="80"/>
      <c r="AC51" s="11" t="e">
        <f t="shared" si="10"/>
        <v>#DIV/0!</v>
      </c>
      <c r="AD51" s="81">
        <f t="shared" si="21"/>
        <v>0</v>
      </c>
      <c r="AE51" s="86"/>
    </row>
    <row r="52" spans="1:31" ht="16.5" customHeight="1" x14ac:dyDescent="0.2">
      <c r="A52" s="212"/>
      <c r="B52" s="200"/>
      <c r="C52" s="20">
        <v>104015</v>
      </c>
      <c r="D52" s="50" t="s">
        <v>323</v>
      </c>
      <c r="E52" s="2" t="s">
        <v>90</v>
      </c>
      <c r="F52" s="13">
        <v>12</v>
      </c>
      <c r="G52" s="1">
        <f>1057/12*0.92*0.95</f>
        <v>76.984833333333327</v>
      </c>
      <c r="H52" s="38"/>
      <c r="I52" s="1">
        <f t="shared" si="0"/>
        <v>0</v>
      </c>
      <c r="J52" s="40"/>
      <c r="K52" s="3">
        <f t="shared" si="1"/>
        <v>153.96966666666665</v>
      </c>
      <c r="L52" s="15"/>
      <c r="M52" s="11">
        <f t="shared" si="2"/>
        <v>0.5</v>
      </c>
      <c r="N52" s="3">
        <f t="shared" si="22"/>
        <v>153.96966666666665</v>
      </c>
      <c r="O52" s="7"/>
      <c r="P52" s="3">
        <f t="shared" si="23"/>
        <v>153.96966666666665</v>
      </c>
      <c r="Q52" s="15"/>
      <c r="R52" s="11">
        <f t="shared" si="4"/>
        <v>0.5</v>
      </c>
      <c r="S52" s="3">
        <f>$G52/0.5</f>
        <v>153.96966666666665</v>
      </c>
      <c r="T52" s="70"/>
      <c r="U52" s="3">
        <f t="shared" si="19"/>
        <v>113.21299019607841</v>
      </c>
      <c r="V52" s="15"/>
      <c r="W52" s="11">
        <f t="shared" si="6"/>
        <v>0.31999999999999995</v>
      </c>
      <c r="X52" s="3">
        <f t="shared" si="20"/>
        <v>113.21299019607841</v>
      </c>
      <c r="Y52" s="70"/>
      <c r="Z52" s="3">
        <f t="shared" si="8"/>
        <v>169.36663333333334</v>
      </c>
      <c r="AA52" s="3">
        <f t="shared" si="9"/>
        <v>204.93362633333334</v>
      </c>
      <c r="AB52" s="40"/>
      <c r="AC52" s="11">
        <f t="shared" si="10"/>
        <v>0.54545454545454553</v>
      </c>
      <c r="AD52" s="3">
        <f t="shared" si="21"/>
        <v>169.36663333333334</v>
      </c>
      <c r="AE52" s="35"/>
    </row>
    <row r="53" spans="1:31" s="84" customFormat="1" ht="16.5" customHeight="1" x14ac:dyDescent="0.2">
      <c r="A53" s="212"/>
      <c r="B53" s="200"/>
      <c r="C53" s="74">
        <v>104016</v>
      </c>
      <c r="D53" s="87"/>
      <c r="E53" s="76" t="s">
        <v>102</v>
      </c>
      <c r="F53" s="77">
        <v>12</v>
      </c>
      <c r="G53" s="78">
        <v>0</v>
      </c>
      <c r="H53" s="106"/>
      <c r="I53" s="78">
        <f t="shared" si="0"/>
        <v>0</v>
      </c>
      <c r="J53" s="80"/>
      <c r="K53" s="81">
        <f t="shared" si="1"/>
        <v>0</v>
      </c>
      <c r="L53" s="82"/>
      <c r="M53" s="83" t="e">
        <f t="shared" si="2"/>
        <v>#DIV/0!</v>
      </c>
      <c r="N53" s="3">
        <f t="shared" si="22"/>
        <v>0</v>
      </c>
      <c r="O53" s="157"/>
      <c r="P53" s="3">
        <f t="shared" si="23"/>
        <v>0</v>
      </c>
      <c r="Q53" s="82"/>
      <c r="R53" s="83" t="e">
        <f t="shared" si="4"/>
        <v>#DIV/0!</v>
      </c>
      <c r="S53" s="3">
        <f t="shared" si="24"/>
        <v>0</v>
      </c>
      <c r="T53" s="85"/>
      <c r="U53" s="81">
        <f t="shared" si="19"/>
        <v>0</v>
      </c>
      <c r="V53" s="82"/>
      <c r="W53" s="11" t="e">
        <f t="shared" si="6"/>
        <v>#DIV/0!</v>
      </c>
      <c r="X53" s="3">
        <f t="shared" si="20"/>
        <v>0</v>
      </c>
      <c r="Y53" s="85"/>
      <c r="Z53" s="81">
        <f t="shared" si="8"/>
        <v>0</v>
      </c>
      <c r="AA53" s="3">
        <f t="shared" si="9"/>
        <v>0</v>
      </c>
      <c r="AB53" s="80"/>
      <c r="AC53" s="11" t="e">
        <f t="shared" si="10"/>
        <v>#DIV/0!</v>
      </c>
      <c r="AD53" s="81">
        <f t="shared" si="21"/>
        <v>0</v>
      </c>
      <c r="AE53" s="86"/>
    </row>
    <row r="54" spans="1:31" s="84" customFormat="1" ht="16.5" customHeight="1" x14ac:dyDescent="0.2">
      <c r="A54" s="212"/>
      <c r="B54" s="200"/>
      <c r="C54" s="74">
        <v>104017</v>
      </c>
      <c r="D54" s="107" t="s">
        <v>334</v>
      </c>
      <c r="E54" s="76" t="s">
        <v>103</v>
      </c>
      <c r="F54" s="77">
        <v>12</v>
      </c>
      <c r="G54" s="78">
        <v>0</v>
      </c>
      <c r="H54" s="106"/>
      <c r="I54" s="78">
        <f t="shared" si="0"/>
        <v>0</v>
      </c>
      <c r="J54" s="80"/>
      <c r="K54" s="81">
        <f t="shared" si="1"/>
        <v>0</v>
      </c>
      <c r="L54" s="82"/>
      <c r="M54" s="83" t="e">
        <f t="shared" si="2"/>
        <v>#DIV/0!</v>
      </c>
      <c r="N54" s="3">
        <f t="shared" si="22"/>
        <v>0</v>
      </c>
      <c r="O54" s="157"/>
      <c r="P54" s="3">
        <f t="shared" si="23"/>
        <v>0</v>
      </c>
      <c r="Q54" s="82"/>
      <c r="R54" s="83" t="e">
        <f t="shared" si="4"/>
        <v>#DIV/0!</v>
      </c>
      <c r="S54" s="3">
        <f t="shared" si="24"/>
        <v>0</v>
      </c>
      <c r="T54" s="85"/>
      <c r="U54" s="81">
        <f t="shared" si="19"/>
        <v>0</v>
      </c>
      <c r="V54" s="82"/>
      <c r="W54" s="11" t="e">
        <f t="shared" si="6"/>
        <v>#DIV/0!</v>
      </c>
      <c r="X54" s="3">
        <f t="shared" si="20"/>
        <v>0</v>
      </c>
      <c r="Y54" s="85"/>
      <c r="Z54" s="81">
        <f t="shared" si="8"/>
        <v>0</v>
      </c>
      <c r="AA54" s="3">
        <f t="shared" si="9"/>
        <v>0</v>
      </c>
      <c r="AB54" s="80"/>
      <c r="AC54" s="11" t="e">
        <f t="shared" si="10"/>
        <v>#DIV/0!</v>
      </c>
      <c r="AD54" s="81">
        <f t="shared" si="21"/>
        <v>0</v>
      </c>
      <c r="AE54" s="86"/>
    </row>
    <row r="55" spans="1:31" ht="16.5" customHeight="1" x14ac:dyDescent="0.2">
      <c r="A55" s="212"/>
      <c r="B55" s="200"/>
      <c r="C55" s="20">
        <v>104018</v>
      </c>
      <c r="D55" s="50" t="s">
        <v>324</v>
      </c>
      <c r="E55" s="2" t="s">
        <v>348</v>
      </c>
      <c r="F55" s="13">
        <v>12</v>
      </c>
      <c r="G55" s="1">
        <f>802*0.92*0.95/12</f>
        <v>58.412333333333329</v>
      </c>
      <c r="H55" s="38"/>
      <c r="I55" s="1">
        <f t="shared" si="0"/>
        <v>0</v>
      </c>
      <c r="J55" s="39"/>
      <c r="K55" s="3">
        <f t="shared" si="1"/>
        <v>116.82466666666666</v>
      </c>
      <c r="L55" s="12"/>
      <c r="M55" s="11">
        <f t="shared" si="2"/>
        <v>0.5</v>
      </c>
      <c r="N55" s="3">
        <f t="shared" si="22"/>
        <v>116.82466666666666</v>
      </c>
      <c r="O55" s="7"/>
      <c r="P55" s="3">
        <f t="shared" si="23"/>
        <v>116.82466666666666</v>
      </c>
      <c r="Q55" s="12"/>
      <c r="R55" s="11">
        <f t="shared" si="4"/>
        <v>0.5</v>
      </c>
      <c r="S55" s="3">
        <f>$G55/0.5</f>
        <v>116.82466666666666</v>
      </c>
      <c r="T55" s="70"/>
      <c r="U55" s="3">
        <f t="shared" si="19"/>
        <v>85.900490196078422</v>
      </c>
      <c r="V55" s="12"/>
      <c r="W55" s="11">
        <f t="shared" si="6"/>
        <v>0.31999999999999995</v>
      </c>
      <c r="X55" s="3">
        <f t="shared" si="20"/>
        <v>85.900490196078422</v>
      </c>
      <c r="Y55" s="70"/>
      <c r="Z55" s="3">
        <f t="shared" si="8"/>
        <v>128.50713333333334</v>
      </c>
      <c r="AA55" s="3">
        <f t="shared" si="9"/>
        <v>155.49363133333333</v>
      </c>
      <c r="AB55" s="39"/>
      <c r="AC55" s="11">
        <f t="shared" si="10"/>
        <v>0.54545454545454553</v>
      </c>
      <c r="AD55" s="3">
        <f t="shared" si="21"/>
        <v>128.50713333333334</v>
      </c>
      <c r="AE55" s="35"/>
    </row>
    <row r="56" spans="1:31" ht="16.5" customHeight="1" x14ac:dyDescent="0.2">
      <c r="A56" s="212"/>
      <c r="B56" s="200"/>
      <c r="C56" s="20">
        <v>104019</v>
      </c>
      <c r="D56" s="44" t="s">
        <v>233</v>
      </c>
      <c r="E56" s="2" t="s">
        <v>158</v>
      </c>
      <c r="F56" s="13">
        <v>12</v>
      </c>
      <c r="G56" s="1">
        <f>950/12*0.92*0.95</f>
        <v>69.191666666666677</v>
      </c>
      <c r="H56" s="14"/>
      <c r="I56" s="1">
        <f t="shared" si="0"/>
        <v>0</v>
      </c>
      <c r="J56" s="39"/>
      <c r="K56" s="3">
        <f t="shared" si="1"/>
        <v>125.80303030303031</v>
      </c>
      <c r="L56" s="12"/>
      <c r="M56" s="11">
        <f t="shared" si="2"/>
        <v>0.44999999999999996</v>
      </c>
      <c r="N56" s="3">
        <f t="shared" si="22"/>
        <v>125.80303030303031</v>
      </c>
      <c r="O56" s="7"/>
      <c r="P56" s="3">
        <f t="shared" si="23"/>
        <v>125.80303030303031</v>
      </c>
      <c r="Q56" s="12"/>
      <c r="R56" s="11">
        <f t="shared" si="4"/>
        <v>0.44999999999999996</v>
      </c>
      <c r="S56" s="3">
        <f>$G56/0.55</f>
        <v>125.80303030303031</v>
      </c>
      <c r="T56" s="70"/>
      <c r="U56" s="3">
        <f t="shared" si="19"/>
        <v>101.75245098039217</v>
      </c>
      <c r="V56" s="12"/>
      <c r="W56" s="11">
        <f t="shared" si="6"/>
        <v>0.31999999999999995</v>
      </c>
      <c r="X56" s="3">
        <f t="shared" si="20"/>
        <v>101.75245098039217</v>
      </c>
      <c r="Y56" s="70"/>
      <c r="Z56" s="3">
        <f t="shared" si="8"/>
        <v>138.38333333333335</v>
      </c>
      <c r="AA56" s="3">
        <f t="shared" si="9"/>
        <v>167.44383333333334</v>
      </c>
      <c r="AB56" s="39"/>
      <c r="AC56" s="11">
        <f t="shared" si="10"/>
        <v>0.5</v>
      </c>
      <c r="AD56" s="3">
        <f t="shared" si="21"/>
        <v>138.38333333333335</v>
      </c>
      <c r="AE56" s="35"/>
    </row>
    <row r="57" spans="1:31" ht="16.5" customHeight="1" x14ac:dyDescent="0.2">
      <c r="A57" s="212"/>
      <c r="B57" s="200"/>
      <c r="C57" s="20">
        <v>104020</v>
      </c>
      <c r="D57" s="42">
        <v>7792340001214</v>
      </c>
      <c r="E57" s="2" t="s">
        <v>81</v>
      </c>
      <c r="F57" s="13">
        <v>12</v>
      </c>
      <c r="G57" s="1">
        <f>962/12/0.92*0.95</f>
        <v>82.780797101449281</v>
      </c>
      <c r="H57" s="14"/>
      <c r="I57" s="1">
        <f t="shared" si="0"/>
        <v>0</v>
      </c>
      <c r="J57" s="39"/>
      <c r="K57" s="3">
        <f t="shared" si="1"/>
        <v>165.56159420289856</v>
      </c>
      <c r="L57" s="12"/>
      <c r="M57" s="11">
        <f t="shared" si="2"/>
        <v>0.5</v>
      </c>
      <c r="N57" s="3">
        <f t="shared" si="22"/>
        <v>165.56159420289856</v>
      </c>
      <c r="O57" s="7"/>
      <c r="P57" s="3">
        <f t="shared" si="23"/>
        <v>165.56159420289856</v>
      </c>
      <c r="Q57" s="12"/>
      <c r="R57" s="11">
        <f t="shared" si="4"/>
        <v>0.5</v>
      </c>
      <c r="S57" s="3">
        <f t="shared" ref="S57:S59" si="25">$G57/0.5</f>
        <v>165.56159420289856</v>
      </c>
      <c r="T57" s="70"/>
      <c r="U57" s="3">
        <f t="shared" si="19"/>
        <v>121.7364663256607</v>
      </c>
      <c r="V57" s="12"/>
      <c r="W57" s="11">
        <f t="shared" si="6"/>
        <v>0.31999999999999995</v>
      </c>
      <c r="X57" s="3">
        <f t="shared" si="20"/>
        <v>121.7364663256607</v>
      </c>
      <c r="Y57" s="70"/>
      <c r="Z57" s="3">
        <f t="shared" si="8"/>
        <v>182.11775362318843</v>
      </c>
      <c r="AA57" s="3">
        <f t="shared" si="9"/>
        <v>220.36248188405801</v>
      </c>
      <c r="AB57" s="39"/>
      <c r="AC57" s="11">
        <f t="shared" si="10"/>
        <v>0.54545454545454541</v>
      </c>
      <c r="AD57" s="3">
        <f t="shared" si="21"/>
        <v>182.11775362318843</v>
      </c>
      <c r="AE57" s="35"/>
    </row>
    <row r="58" spans="1:31" ht="15.75" customHeight="1" x14ac:dyDescent="0.2">
      <c r="A58" s="212"/>
      <c r="B58" s="200"/>
      <c r="C58" s="20">
        <v>104021</v>
      </c>
      <c r="D58" s="42">
        <v>7792340001238</v>
      </c>
      <c r="E58" s="2" t="s">
        <v>404</v>
      </c>
      <c r="F58" s="13">
        <v>12</v>
      </c>
      <c r="G58" s="1">
        <f>1150/12*0.92*0.95</f>
        <v>83.75833333333334</v>
      </c>
      <c r="H58" s="14"/>
      <c r="I58" s="1">
        <f t="shared" si="0"/>
        <v>0</v>
      </c>
      <c r="J58" s="10"/>
      <c r="K58" s="3">
        <f t="shared" si="1"/>
        <v>186.12962962962965</v>
      </c>
      <c r="L58" s="10"/>
      <c r="M58" s="11">
        <f t="shared" si="2"/>
        <v>0.55000000000000004</v>
      </c>
      <c r="N58" s="3">
        <f t="shared" si="22"/>
        <v>186.12962962962965</v>
      </c>
      <c r="O58" s="7"/>
      <c r="P58" s="3">
        <f t="shared" si="23"/>
        <v>186.12962962962965</v>
      </c>
      <c r="Q58" s="10"/>
      <c r="R58" s="11">
        <f t="shared" si="4"/>
        <v>0.55000000000000004</v>
      </c>
      <c r="S58" s="3">
        <f>$G58/0.45</f>
        <v>186.12962962962965</v>
      </c>
      <c r="T58" s="70"/>
      <c r="U58" s="3">
        <f t="shared" si="19"/>
        <v>123.17401960784314</v>
      </c>
      <c r="V58" s="10"/>
      <c r="W58" s="11">
        <f t="shared" si="6"/>
        <v>0.31999999999999995</v>
      </c>
      <c r="X58" s="3">
        <f t="shared" si="20"/>
        <v>123.17401960784314</v>
      </c>
      <c r="Y58" s="70"/>
      <c r="Z58" s="3">
        <f t="shared" si="8"/>
        <v>204.74259259259262</v>
      </c>
      <c r="AA58" s="3">
        <f t="shared" si="9"/>
        <v>247.73853703703705</v>
      </c>
      <c r="AB58" s="10"/>
      <c r="AC58" s="11">
        <f t="shared" si="10"/>
        <v>0.59090909090909094</v>
      </c>
      <c r="AD58" s="3">
        <f t="shared" si="21"/>
        <v>204.74259259259262</v>
      </c>
      <c r="AE58" s="35"/>
    </row>
    <row r="59" spans="1:31" ht="15.75" customHeight="1" x14ac:dyDescent="0.2">
      <c r="A59" s="212"/>
      <c r="B59" s="200"/>
      <c r="C59" s="20">
        <v>104023</v>
      </c>
      <c r="D59" s="42"/>
      <c r="E59" s="2" t="s">
        <v>363</v>
      </c>
      <c r="F59" s="13">
        <v>12</v>
      </c>
      <c r="G59" s="1">
        <f>674/12*0.92*0.95*1.15</f>
        <v>56.453116666666659</v>
      </c>
      <c r="H59" s="14"/>
      <c r="I59" s="1">
        <f t="shared" si="0"/>
        <v>0</v>
      </c>
      <c r="J59" s="10"/>
      <c r="K59" s="3">
        <f t="shared" si="1"/>
        <v>112.90623333333332</v>
      </c>
      <c r="L59" s="10"/>
      <c r="M59" s="11">
        <f t="shared" si="2"/>
        <v>0.5</v>
      </c>
      <c r="N59" s="3">
        <f t="shared" si="22"/>
        <v>112.90623333333332</v>
      </c>
      <c r="O59" s="7"/>
      <c r="P59" s="3">
        <f t="shared" si="23"/>
        <v>112.90623333333332</v>
      </c>
      <c r="Q59" s="10"/>
      <c r="R59" s="11">
        <f t="shared" si="4"/>
        <v>0.5</v>
      </c>
      <c r="S59" s="3">
        <f t="shared" si="25"/>
        <v>112.90623333333332</v>
      </c>
      <c r="T59" s="70"/>
      <c r="U59" s="3">
        <f t="shared" si="19"/>
        <v>83.019289215686257</v>
      </c>
      <c r="V59" s="10"/>
      <c r="W59" s="11">
        <f t="shared" si="6"/>
        <v>0.31999999999999995</v>
      </c>
      <c r="X59" s="3">
        <f t="shared" si="20"/>
        <v>83.019289215686257</v>
      </c>
      <c r="Y59" s="70"/>
      <c r="Z59" s="3">
        <f t="shared" si="8"/>
        <v>124.19685666666666</v>
      </c>
      <c r="AA59" s="3">
        <f t="shared" si="9"/>
        <v>150.27819656666665</v>
      </c>
      <c r="AB59" s="10"/>
      <c r="AC59" s="11">
        <f t="shared" si="10"/>
        <v>0.54545454545454541</v>
      </c>
      <c r="AD59" s="3">
        <f t="shared" si="21"/>
        <v>124.19685666666666</v>
      </c>
      <c r="AE59" s="35"/>
    </row>
    <row r="60" spans="1:31" ht="16.5" customHeight="1" x14ac:dyDescent="0.2">
      <c r="A60" s="212" t="s">
        <v>53</v>
      </c>
      <c r="B60" s="200" t="s">
        <v>52</v>
      </c>
      <c r="C60" s="20">
        <v>104022</v>
      </c>
      <c r="D60" s="50" t="s">
        <v>327</v>
      </c>
      <c r="E60" s="2" t="s">
        <v>95</v>
      </c>
      <c r="F60" s="13">
        <v>12</v>
      </c>
      <c r="G60" s="1">
        <f>1229*0.92*0.95/12</f>
        <v>89.512166666666658</v>
      </c>
      <c r="H60" s="38"/>
      <c r="I60" s="1">
        <f t="shared" si="0"/>
        <v>0</v>
      </c>
      <c r="J60" s="40"/>
      <c r="K60" s="3">
        <f t="shared" si="1"/>
        <v>137.71102564102563</v>
      </c>
      <c r="L60" s="12"/>
      <c r="M60" s="11">
        <f t="shared" si="2"/>
        <v>0.35</v>
      </c>
      <c r="N60" s="3">
        <f t="shared" si="3"/>
        <v>137.71102564102563</v>
      </c>
      <c r="O60" s="7"/>
      <c r="P60" s="3">
        <f t="shared" si="15"/>
        <v>137.71102564102563</v>
      </c>
      <c r="Q60" s="12"/>
      <c r="R60" s="11">
        <f t="shared" si="4"/>
        <v>0.35</v>
      </c>
      <c r="S60" s="3">
        <f t="shared" ref="S60:S65" si="26">$G60/0.65</f>
        <v>137.71102564102563</v>
      </c>
      <c r="T60" s="70">
        <v>0.32</v>
      </c>
      <c r="U60" s="3">
        <f t="shared" si="19"/>
        <v>124.3224537037037</v>
      </c>
      <c r="V60" s="12"/>
      <c r="W60" s="11">
        <f t="shared" si="6"/>
        <v>0.28000000000000003</v>
      </c>
      <c r="X60" s="3">
        <f t="shared" ref="X60:X65" si="27">$G60/0.72</f>
        <v>124.3224537037037</v>
      </c>
      <c r="Y60" s="70">
        <v>0.28000000000000003</v>
      </c>
      <c r="Z60" s="3">
        <f t="shared" si="8"/>
        <v>151.48212820512819</v>
      </c>
      <c r="AA60" s="3">
        <f t="shared" si="9"/>
        <v>183.2933751282051</v>
      </c>
      <c r="AB60" s="39"/>
      <c r="AC60" s="11">
        <f t="shared" si="10"/>
        <v>0.40909090909090906</v>
      </c>
      <c r="AD60" s="3">
        <f t="shared" si="21"/>
        <v>151.48212820512819</v>
      </c>
      <c r="AE60" s="35"/>
    </row>
    <row r="61" spans="1:31" ht="16.5" customHeight="1" x14ac:dyDescent="0.2">
      <c r="A61" s="212"/>
      <c r="B61" s="200"/>
      <c r="C61" s="20">
        <v>105001</v>
      </c>
      <c r="D61" s="50" t="s">
        <v>328</v>
      </c>
      <c r="E61" s="2" t="s">
        <v>93</v>
      </c>
      <c r="F61" s="13">
        <v>12</v>
      </c>
      <c r="G61" s="1">
        <f>1965.85*0.92*0.95/12</f>
        <v>143.17940833333333</v>
      </c>
      <c r="H61" s="38"/>
      <c r="I61" s="1">
        <f t="shared" si="0"/>
        <v>0</v>
      </c>
      <c r="J61" s="40"/>
      <c r="K61" s="3">
        <f t="shared" si="1"/>
        <v>220.27601282051282</v>
      </c>
      <c r="L61" s="12"/>
      <c r="M61" s="11">
        <f t="shared" si="2"/>
        <v>0.35</v>
      </c>
      <c r="N61" s="3">
        <f t="shared" si="3"/>
        <v>220.27601282051282</v>
      </c>
      <c r="O61" s="7"/>
      <c r="P61" s="3">
        <f t="shared" si="15"/>
        <v>220.27601282051282</v>
      </c>
      <c r="Q61" s="12"/>
      <c r="R61" s="11">
        <f t="shared" si="4"/>
        <v>0.35</v>
      </c>
      <c r="S61" s="3">
        <f t="shared" si="26"/>
        <v>220.27601282051282</v>
      </c>
      <c r="T61" s="70"/>
      <c r="U61" s="3">
        <f t="shared" si="19"/>
        <v>198.86028935185186</v>
      </c>
      <c r="V61" s="12"/>
      <c r="W61" s="11">
        <f t="shared" si="6"/>
        <v>0.28000000000000003</v>
      </c>
      <c r="X61" s="3">
        <f t="shared" si="27"/>
        <v>198.86028935185186</v>
      </c>
      <c r="Y61" s="70"/>
      <c r="Z61" s="3">
        <f t="shared" si="8"/>
        <v>242.30361410256413</v>
      </c>
      <c r="AA61" s="3">
        <f t="shared" si="9"/>
        <v>293.18737306410259</v>
      </c>
      <c r="AB61" s="39"/>
      <c r="AC61" s="11">
        <f t="shared" si="10"/>
        <v>0.40909090909090917</v>
      </c>
      <c r="AD61" s="3">
        <f t="shared" si="21"/>
        <v>242.30361410256413</v>
      </c>
      <c r="AE61" s="35"/>
    </row>
    <row r="62" spans="1:31" s="84" customFormat="1" ht="16.5" customHeight="1" x14ac:dyDescent="0.2">
      <c r="A62" s="212"/>
      <c r="B62" s="200"/>
      <c r="C62" s="74">
        <v>105002</v>
      </c>
      <c r="D62" s="107" t="s">
        <v>329</v>
      </c>
      <c r="E62" s="76" t="s">
        <v>94</v>
      </c>
      <c r="F62" s="77">
        <v>12</v>
      </c>
      <c r="G62" s="78">
        <v>0</v>
      </c>
      <c r="H62" s="79"/>
      <c r="I62" s="78">
        <f t="shared" si="0"/>
        <v>0</v>
      </c>
      <c r="J62" s="108"/>
      <c r="K62" s="81">
        <f t="shared" si="1"/>
        <v>0</v>
      </c>
      <c r="L62" s="88"/>
      <c r="M62" s="83" t="e">
        <f t="shared" si="2"/>
        <v>#DIV/0!</v>
      </c>
      <c r="N62" s="81">
        <f t="shared" si="3"/>
        <v>0</v>
      </c>
      <c r="O62" s="157"/>
      <c r="P62" s="81">
        <f t="shared" si="15"/>
        <v>0</v>
      </c>
      <c r="Q62" s="88"/>
      <c r="R62" s="83" t="e">
        <f t="shared" si="4"/>
        <v>#DIV/0!</v>
      </c>
      <c r="S62" s="3">
        <f t="shared" si="26"/>
        <v>0</v>
      </c>
      <c r="T62" s="85"/>
      <c r="U62" s="81">
        <f t="shared" si="19"/>
        <v>0</v>
      </c>
      <c r="V62" s="88"/>
      <c r="W62" s="11" t="e">
        <f t="shared" si="6"/>
        <v>#DIV/0!</v>
      </c>
      <c r="X62" s="81">
        <f t="shared" si="27"/>
        <v>0</v>
      </c>
      <c r="Y62" s="85"/>
      <c r="Z62" s="81">
        <f t="shared" si="8"/>
        <v>0</v>
      </c>
      <c r="AA62" s="3">
        <f t="shared" si="9"/>
        <v>0</v>
      </c>
      <c r="AB62" s="88"/>
      <c r="AC62" s="11" t="e">
        <f t="shared" si="10"/>
        <v>#DIV/0!</v>
      </c>
      <c r="AD62" s="81">
        <f t="shared" si="21"/>
        <v>0</v>
      </c>
      <c r="AE62" s="86"/>
    </row>
    <row r="63" spans="1:31" ht="16.5" customHeight="1" x14ac:dyDescent="0.2">
      <c r="A63" s="212"/>
      <c r="B63" s="200"/>
      <c r="C63" s="20">
        <v>105003</v>
      </c>
      <c r="D63" s="50" t="s">
        <v>326</v>
      </c>
      <c r="E63" s="2" t="s">
        <v>64</v>
      </c>
      <c r="F63" s="13">
        <v>12</v>
      </c>
      <c r="G63" s="1">
        <f>1739*0.92*0.95/12</f>
        <v>126.65716666666667</v>
      </c>
      <c r="H63" s="14"/>
      <c r="I63" s="1">
        <f t="shared" si="0"/>
        <v>0</v>
      </c>
      <c r="J63" s="10"/>
      <c r="K63" s="3">
        <f t="shared" si="1"/>
        <v>194.85717948717948</v>
      </c>
      <c r="L63" s="10"/>
      <c r="M63" s="11">
        <f t="shared" si="2"/>
        <v>0.35</v>
      </c>
      <c r="N63" s="3">
        <f t="shared" si="3"/>
        <v>194.85717948717948</v>
      </c>
      <c r="O63" s="7"/>
      <c r="P63" s="3">
        <f t="shared" si="15"/>
        <v>194.85717948717948</v>
      </c>
      <c r="Q63" s="10"/>
      <c r="R63" s="11">
        <f t="shared" si="4"/>
        <v>0.35</v>
      </c>
      <c r="S63" s="3">
        <f t="shared" si="26"/>
        <v>194.85717948717948</v>
      </c>
      <c r="T63" s="70"/>
      <c r="U63" s="3">
        <f t="shared" si="19"/>
        <v>175.9127314814815</v>
      </c>
      <c r="V63" s="10"/>
      <c r="W63" s="11">
        <f t="shared" si="6"/>
        <v>0.28000000000000003</v>
      </c>
      <c r="X63" s="3">
        <f t="shared" si="27"/>
        <v>175.9127314814815</v>
      </c>
      <c r="Y63" s="70"/>
      <c r="Z63" s="3">
        <f t="shared" si="8"/>
        <v>214.34289743589744</v>
      </c>
      <c r="AA63" s="3">
        <f t="shared" si="9"/>
        <v>259.35490589743591</v>
      </c>
      <c r="AB63" s="10"/>
      <c r="AC63" s="11">
        <f t="shared" si="10"/>
        <v>0.40909090909090906</v>
      </c>
      <c r="AD63" s="3">
        <f t="shared" si="21"/>
        <v>214.34289743589744</v>
      </c>
      <c r="AE63" s="35">
        <f>Z63*1.21</f>
        <v>259.35490589743591</v>
      </c>
    </row>
    <row r="64" spans="1:31" ht="16.5" customHeight="1" x14ac:dyDescent="0.2">
      <c r="A64" s="212"/>
      <c r="B64" s="200"/>
      <c r="C64" s="20">
        <v>105004</v>
      </c>
      <c r="D64" s="50" t="s">
        <v>325</v>
      </c>
      <c r="E64" s="2" t="s">
        <v>65</v>
      </c>
      <c r="F64" s="13">
        <v>12</v>
      </c>
      <c r="G64" s="1">
        <f>2950*0.92*0.95/12</f>
        <v>214.85833333333332</v>
      </c>
      <c r="H64" s="14"/>
      <c r="I64" s="1">
        <f t="shared" si="0"/>
        <v>0</v>
      </c>
      <c r="J64" s="10"/>
      <c r="K64" s="3">
        <f t="shared" si="1"/>
        <v>330.55128205128204</v>
      </c>
      <c r="L64" s="10"/>
      <c r="M64" s="11">
        <f t="shared" si="2"/>
        <v>0.35</v>
      </c>
      <c r="N64" s="3">
        <f t="shared" si="3"/>
        <v>330.55128205128204</v>
      </c>
      <c r="O64" s="7"/>
      <c r="P64" s="3">
        <f t="shared" si="15"/>
        <v>330.55128205128204</v>
      </c>
      <c r="Q64" s="10"/>
      <c r="R64" s="11">
        <f t="shared" si="4"/>
        <v>0.35</v>
      </c>
      <c r="S64" s="3">
        <f t="shared" si="26"/>
        <v>330.55128205128204</v>
      </c>
      <c r="T64" s="70"/>
      <c r="U64" s="3">
        <f t="shared" si="19"/>
        <v>298.41435185185185</v>
      </c>
      <c r="V64" s="10"/>
      <c r="W64" s="11">
        <f t="shared" si="6"/>
        <v>0.28000000000000003</v>
      </c>
      <c r="X64" s="3">
        <f t="shared" si="27"/>
        <v>298.41435185185185</v>
      </c>
      <c r="Y64" s="70"/>
      <c r="Z64" s="3">
        <f t="shared" si="8"/>
        <v>363.6064102564103</v>
      </c>
      <c r="AA64" s="3">
        <f t="shared" si="9"/>
        <v>439.96375641025645</v>
      </c>
      <c r="AB64" s="10"/>
      <c r="AC64" s="11">
        <f t="shared" si="10"/>
        <v>0.40909090909090917</v>
      </c>
      <c r="AD64" s="3">
        <f t="shared" si="21"/>
        <v>363.6064102564103</v>
      </c>
      <c r="AE64" s="35">
        <f>Z64*1.21</f>
        <v>439.96375641025645</v>
      </c>
    </row>
    <row r="65" spans="1:31" ht="16.5" customHeight="1" x14ac:dyDescent="0.2">
      <c r="A65" s="212"/>
      <c r="B65" s="200"/>
      <c r="C65" s="20">
        <v>105005</v>
      </c>
      <c r="D65" s="50" t="s">
        <v>330</v>
      </c>
      <c r="E65" s="2" t="s">
        <v>261</v>
      </c>
      <c r="F65" s="13">
        <v>2</v>
      </c>
      <c r="G65" s="1">
        <f>2204*0.92*0.95/2</f>
        <v>963.14800000000002</v>
      </c>
      <c r="H65" s="14"/>
      <c r="I65" s="1">
        <f t="shared" si="0"/>
        <v>0</v>
      </c>
      <c r="J65" s="10"/>
      <c r="K65" s="3">
        <f t="shared" si="1"/>
        <v>1481.7661538461539</v>
      </c>
      <c r="L65" s="10"/>
      <c r="M65" s="11">
        <f t="shared" si="2"/>
        <v>0.35</v>
      </c>
      <c r="N65" s="3">
        <f t="shared" si="3"/>
        <v>1481.7661538461539</v>
      </c>
      <c r="O65" s="7"/>
      <c r="P65" s="3">
        <f t="shared" si="15"/>
        <v>1481.7661538461539</v>
      </c>
      <c r="Q65" s="10"/>
      <c r="R65" s="11">
        <f t="shared" si="4"/>
        <v>0.35</v>
      </c>
      <c r="S65" s="3">
        <f t="shared" si="26"/>
        <v>1481.7661538461539</v>
      </c>
      <c r="T65" s="70"/>
      <c r="U65" s="3">
        <f t="shared" si="19"/>
        <v>1337.7055555555557</v>
      </c>
      <c r="V65" s="10"/>
      <c r="W65" s="11">
        <f t="shared" si="6"/>
        <v>0.28000000000000014</v>
      </c>
      <c r="X65" s="3">
        <f t="shared" si="27"/>
        <v>1337.7055555555557</v>
      </c>
      <c r="Y65" s="70"/>
      <c r="Z65" s="3">
        <f t="shared" si="8"/>
        <v>1629.9427692307695</v>
      </c>
      <c r="AA65" s="3">
        <f t="shared" si="9"/>
        <v>1972.230750769231</v>
      </c>
      <c r="AB65" s="10"/>
      <c r="AC65" s="11">
        <f t="shared" si="10"/>
        <v>0.40909090909090917</v>
      </c>
      <c r="AD65" s="3">
        <f t="shared" si="21"/>
        <v>1629.9427692307695</v>
      </c>
      <c r="AE65" s="35"/>
    </row>
    <row r="66" spans="1:31" s="84" customFormat="1" ht="15" hidden="1" customHeight="1" x14ac:dyDescent="0.2">
      <c r="A66" s="213"/>
      <c r="B66" s="214"/>
      <c r="C66" s="74">
        <v>106002</v>
      </c>
      <c r="D66" s="87"/>
      <c r="E66" s="82" t="s">
        <v>262</v>
      </c>
      <c r="F66" s="77"/>
      <c r="G66" s="78">
        <v>0</v>
      </c>
      <c r="H66" s="79"/>
      <c r="I66" s="1">
        <f t="shared" si="0"/>
        <v>0</v>
      </c>
      <c r="J66" s="88"/>
      <c r="K66" s="81">
        <f t="shared" si="1"/>
        <v>0</v>
      </c>
      <c r="L66" s="88"/>
      <c r="M66" s="83" t="e">
        <f t="shared" si="2"/>
        <v>#DIV/0!</v>
      </c>
      <c r="N66" s="81">
        <f t="shared" si="3"/>
        <v>0</v>
      </c>
      <c r="P66" s="81">
        <f t="shared" si="15"/>
        <v>0</v>
      </c>
      <c r="Q66" s="88"/>
      <c r="R66" s="83" t="e">
        <f t="shared" si="4"/>
        <v>#DIV/0!</v>
      </c>
      <c r="S66" s="81">
        <f t="shared" ref="S66:S81" si="28">$G66/0.72</f>
        <v>0</v>
      </c>
      <c r="T66" s="85"/>
      <c r="U66" s="81"/>
      <c r="V66" s="88"/>
      <c r="W66" s="11" t="e">
        <f t="shared" si="6"/>
        <v>#DIV/0!</v>
      </c>
      <c r="X66" s="81" t="e">
        <f>#N/A</f>
        <v>#N/A</v>
      </c>
      <c r="Y66" s="85"/>
      <c r="Z66" s="81">
        <f t="shared" si="8"/>
        <v>0</v>
      </c>
      <c r="AA66" s="3">
        <f t="shared" si="9"/>
        <v>0</v>
      </c>
      <c r="AB66" s="88"/>
      <c r="AC66" s="11" t="e">
        <f t="shared" si="10"/>
        <v>#DIV/0!</v>
      </c>
      <c r="AD66" s="81">
        <f t="shared" si="21"/>
        <v>0</v>
      </c>
      <c r="AE66" s="86"/>
    </row>
    <row r="67" spans="1:31" s="84" customFormat="1" ht="15" hidden="1" customHeight="1" x14ac:dyDescent="0.2">
      <c r="A67" s="213"/>
      <c r="B67" s="214"/>
      <c r="C67" s="74">
        <v>106003</v>
      </c>
      <c r="D67" s="87"/>
      <c r="E67" s="82" t="s">
        <v>263</v>
      </c>
      <c r="F67" s="77"/>
      <c r="G67" s="78">
        <v>0</v>
      </c>
      <c r="H67" s="79"/>
      <c r="I67" s="1">
        <f t="shared" si="0"/>
        <v>0</v>
      </c>
      <c r="J67" s="88"/>
      <c r="K67" s="81">
        <f t="shared" si="1"/>
        <v>0</v>
      </c>
      <c r="L67" s="88"/>
      <c r="M67" s="83" t="e">
        <f t="shared" si="2"/>
        <v>#DIV/0!</v>
      </c>
      <c r="N67" s="81">
        <f t="shared" si="3"/>
        <v>0</v>
      </c>
      <c r="P67" s="81">
        <f t="shared" si="15"/>
        <v>0</v>
      </c>
      <c r="Q67" s="88"/>
      <c r="R67" s="83" t="e">
        <f t="shared" si="4"/>
        <v>#DIV/0!</v>
      </c>
      <c r="S67" s="81">
        <f t="shared" si="28"/>
        <v>0</v>
      </c>
      <c r="T67" s="85"/>
      <c r="U67" s="81"/>
      <c r="V67" s="88"/>
      <c r="W67" s="11" t="e">
        <f t="shared" si="6"/>
        <v>#DIV/0!</v>
      </c>
      <c r="X67" s="81" t="e">
        <f>#N/A</f>
        <v>#N/A</v>
      </c>
      <c r="Y67" s="85"/>
      <c r="Z67" s="81">
        <f t="shared" si="8"/>
        <v>0</v>
      </c>
      <c r="AA67" s="3">
        <f t="shared" si="9"/>
        <v>0</v>
      </c>
      <c r="AB67" s="88"/>
      <c r="AC67" s="11" t="e">
        <f t="shared" si="10"/>
        <v>#DIV/0!</v>
      </c>
      <c r="AD67" s="81">
        <f t="shared" si="21"/>
        <v>0</v>
      </c>
      <c r="AE67" s="86"/>
    </row>
    <row r="68" spans="1:31" s="84" customFormat="1" ht="15" hidden="1" customHeight="1" x14ac:dyDescent="0.2">
      <c r="A68" s="213"/>
      <c r="B68" s="214"/>
      <c r="C68" s="74">
        <v>106004</v>
      </c>
      <c r="D68" s="87"/>
      <c r="E68" s="82" t="s">
        <v>264</v>
      </c>
      <c r="F68" s="77"/>
      <c r="G68" s="78">
        <v>0</v>
      </c>
      <c r="H68" s="89"/>
      <c r="I68" s="1">
        <f t="shared" si="0"/>
        <v>0</v>
      </c>
      <c r="J68" s="88"/>
      <c r="K68" s="81">
        <f t="shared" si="1"/>
        <v>0</v>
      </c>
      <c r="L68" s="88"/>
      <c r="M68" s="83" t="e">
        <f t="shared" si="2"/>
        <v>#DIV/0!</v>
      </c>
      <c r="N68" s="81">
        <f t="shared" si="3"/>
        <v>0</v>
      </c>
      <c r="P68" s="81">
        <f t="shared" si="15"/>
        <v>0</v>
      </c>
      <c r="Q68" s="88"/>
      <c r="R68" s="83" t="e">
        <f t="shared" si="4"/>
        <v>#DIV/0!</v>
      </c>
      <c r="S68" s="81">
        <f t="shared" si="28"/>
        <v>0</v>
      </c>
      <c r="T68" s="85"/>
      <c r="U68" s="81">
        <v>116</v>
      </c>
      <c r="V68" s="88"/>
      <c r="W68" s="11">
        <f t="shared" si="6"/>
        <v>1</v>
      </c>
      <c r="X68" s="81" t="e">
        <f>#N/A</f>
        <v>#N/A</v>
      </c>
      <c r="Y68" s="85"/>
      <c r="Z68" s="81">
        <f t="shared" si="8"/>
        <v>0</v>
      </c>
      <c r="AA68" s="3">
        <f t="shared" si="9"/>
        <v>0</v>
      </c>
      <c r="AB68" s="88"/>
      <c r="AC68" s="11" t="e">
        <f t="shared" si="10"/>
        <v>#DIV/0!</v>
      </c>
      <c r="AD68" s="81">
        <f t="shared" si="21"/>
        <v>0</v>
      </c>
      <c r="AE68" s="86"/>
    </row>
    <row r="69" spans="1:31" s="84" customFormat="1" ht="15" hidden="1" customHeight="1" x14ac:dyDescent="0.2">
      <c r="A69" s="213"/>
      <c r="B69" s="214" t="s">
        <v>36</v>
      </c>
      <c r="C69" s="74">
        <v>107001</v>
      </c>
      <c r="D69" s="87"/>
      <c r="E69" s="82" t="s">
        <v>10</v>
      </c>
      <c r="F69" s="77"/>
      <c r="G69" s="78">
        <v>0</v>
      </c>
      <c r="H69" s="89"/>
      <c r="I69" s="1">
        <f t="shared" si="0"/>
        <v>0</v>
      </c>
      <c r="J69" s="88"/>
      <c r="K69" s="81">
        <f t="shared" si="1"/>
        <v>0</v>
      </c>
      <c r="L69" s="88"/>
      <c r="M69" s="83" t="e">
        <f t="shared" si="2"/>
        <v>#DIV/0!</v>
      </c>
      <c r="N69" s="81">
        <f t="shared" si="3"/>
        <v>0</v>
      </c>
      <c r="P69" s="81">
        <f t="shared" si="15"/>
        <v>0</v>
      </c>
      <c r="Q69" s="88"/>
      <c r="R69" s="83" t="e">
        <f t="shared" si="4"/>
        <v>#DIV/0!</v>
      </c>
      <c r="S69" s="81">
        <f t="shared" si="28"/>
        <v>0</v>
      </c>
      <c r="T69" s="85"/>
      <c r="U69" s="81"/>
      <c r="V69" s="88"/>
      <c r="W69" s="11" t="e">
        <f t="shared" si="6"/>
        <v>#DIV/0!</v>
      </c>
      <c r="X69" s="81" t="e">
        <f>#N/A</f>
        <v>#N/A</v>
      </c>
      <c r="Y69" s="85"/>
      <c r="Z69" s="81">
        <f t="shared" si="8"/>
        <v>0</v>
      </c>
      <c r="AA69" s="3">
        <f t="shared" si="9"/>
        <v>0</v>
      </c>
      <c r="AB69" s="88"/>
      <c r="AC69" s="11" t="e">
        <f t="shared" si="10"/>
        <v>#DIV/0!</v>
      </c>
      <c r="AD69" s="81">
        <f t="shared" si="21"/>
        <v>0</v>
      </c>
      <c r="AE69" s="86"/>
    </row>
    <row r="70" spans="1:31" s="84" customFormat="1" ht="15" hidden="1" customHeight="1" x14ac:dyDescent="0.2">
      <c r="A70" s="213"/>
      <c r="B70" s="214"/>
      <c r="C70" s="74">
        <v>107002</v>
      </c>
      <c r="D70" s="87"/>
      <c r="E70" s="82" t="s">
        <v>11</v>
      </c>
      <c r="F70" s="77"/>
      <c r="G70" s="78">
        <v>0</v>
      </c>
      <c r="H70" s="89"/>
      <c r="I70" s="1">
        <f t="shared" si="0"/>
        <v>0</v>
      </c>
      <c r="J70" s="88"/>
      <c r="K70" s="81">
        <f t="shared" si="1"/>
        <v>0</v>
      </c>
      <c r="L70" s="88"/>
      <c r="M70" s="83" t="e">
        <f t="shared" si="2"/>
        <v>#DIV/0!</v>
      </c>
      <c r="N70" s="81">
        <f t="shared" si="3"/>
        <v>0</v>
      </c>
      <c r="P70" s="81">
        <f t="shared" si="15"/>
        <v>0</v>
      </c>
      <c r="Q70" s="88"/>
      <c r="R70" s="83" t="e">
        <f t="shared" si="4"/>
        <v>#DIV/0!</v>
      </c>
      <c r="S70" s="81">
        <f t="shared" si="28"/>
        <v>0</v>
      </c>
      <c r="T70" s="85"/>
      <c r="U70" s="81">
        <v>44</v>
      </c>
      <c r="V70" s="88"/>
      <c r="W70" s="11">
        <f t="shared" si="6"/>
        <v>1</v>
      </c>
      <c r="X70" s="81" t="e">
        <f>#N/A</f>
        <v>#N/A</v>
      </c>
      <c r="Y70" s="85"/>
      <c r="Z70" s="81">
        <f t="shared" si="8"/>
        <v>0</v>
      </c>
      <c r="AA70" s="3">
        <f t="shared" si="9"/>
        <v>0</v>
      </c>
      <c r="AB70" s="88"/>
      <c r="AC70" s="11" t="e">
        <f t="shared" si="10"/>
        <v>#DIV/0!</v>
      </c>
      <c r="AD70" s="81">
        <f t="shared" si="21"/>
        <v>0</v>
      </c>
      <c r="AE70" s="86"/>
    </row>
    <row r="71" spans="1:31" s="84" customFormat="1" ht="15" hidden="1" customHeight="1" x14ac:dyDescent="0.2">
      <c r="A71" s="213"/>
      <c r="B71" s="214"/>
      <c r="C71" s="74">
        <v>107003</v>
      </c>
      <c r="D71" s="87"/>
      <c r="E71" s="82" t="s">
        <v>73</v>
      </c>
      <c r="F71" s="77"/>
      <c r="G71" s="78">
        <v>0</v>
      </c>
      <c r="H71" s="89"/>
      <c r="I71" s="1">
        <f t="shared" si="0"/>
        <v>0</v>
      </c>
      <c r="J71" s="88"/>
      <c r="K71" s="81">
        <f t="shared" si="1"/>
        <v>0</v>
      </c>
      <c r="L71" s="88"/>
      <c r="M71" s="83" t="e">
        <f t="shared" si="2"/>
        <v>#DIV/0!</v>
      </c>
      <c r="N71" s="81">
        <f t="shared" si="3"/>
        <v>0</v>
      </c>
      <c r="P71" s="81">
        <f t="shared" si="15"/>
        <v>0</v>
      </c>
      <c r="Q71" s="88"/>
      <c r="R71" s="83" t="e">
        <f t="shared" si="4"/>
        <v>#DIV/0!</v>
      </c>
      <c r="S71" s="81">
        <f t="shared" si="28"/>
        <v>0</v>
      </c>
      <c r="T71" s="85"/>
      <c r="U71" s="81"/>
      <c r="V71" s="88"/>
      <c r="W71" s="11" t="e">
        <f t="shared" si="6"/>
        <v>#DIV/0!</v>
      </c>
      <c r="X71" s="81" t="e">
        <f>#N/A</f>
        <v>#N/A</v>
      </c>
      <c r="Y71" s="85"/>
      <c r="Z71" s="81">
        <f t="shared" si="8"/>
        <v>0</v>
      </c>
      <c r="AA71" s="3">
        <f t="shared" si="9"/>
        <v>0</v>
      </c>
      <c r="AB71" s="88"/>
      <c r="AC71" s="11" t="e">
        <f t="shared" si="10"/>
        <v>#DIV/0!</v>
      </c>
      <c r="AD71" s="81">
        <f t="shared" si="21"/>
        <v>0</v>
      </c>
      <c r="AE71" s="86"/>
    </row>
    <row r="72" spans="1:31" s="84" customFormat="1" ht="15" hidden="1" customHeight="1" x14ac:dyDescent="0.2">
      <c r="A72" s="213"/>
      <c r="B72" s="214" t="s">
        <v>7</v>
      </c>
      <c r="C72" s="74">
        <v>108001</v>
      </c>
      <c r="D72" s="87"/>
      <c r="E72" s="82" t="s">
        <v>12</v>
      </c>
      <c r="F72" s="77"/>
      <c r="G72" s="78">
        <v>0</v>
      </c>
      <c r="H72" s="89"/>
      <c r="I72" s="1">
        <f t="shared" si="0"/>
        <v>0</v>
      </c>
      <c r="J72" s="88"/>
      <c r="K72" s="81">
        <f t="shared" si="1"/>
        <v>0</v>
      </c>
      <c r="L72" s="88"/>
      <c r="M72" s="83" t="e">
        <f t="shared" si="2"/>
        <v>#DIV/0!</v>
      </c>
      <c r="N72" s="81">
        <f t="shared" si="3"/>
        <v>0</v>
      </c>
      <c r="P72" s="81">
        <f t="shared" si="15"/>
        <v>0</v>
      </c>
      <c r="Q72" s="88"/>
      <c r="R72" s="83" t="e">
        <f t="shared" si="4"/>
        <v>#DIV/0!</v>
      </c>
      <c r="S72" s="81">
        <f t="shared" si="28"/>
        <v>0</v>
      </c>
      <c r="T72" s="85"/>
      <c r="U72" s="81">
        <v>58</v>
      </c>
      <c r="V72" s="88"/>
      <c r="W72" s="11">
        <f t="shared" si="6"/>
        <v>1</v>
      </c>
      <c r="X72" s="81" t="e">
        <f>#N/A</f>
        <v>#N/A</v>
      </c>
      <c r="Y72" s="85"/>
      <c r="Z72" s="81">
        <f t="shared" si="8"/>
        <v>0</v>
      </c>
      <c r="AA72" s="3">
        <f t="shared" si="9"/>
        <v>0</v>
      </c>
      <c r="AB72" s="88"/>
      <c r="AC72" s="11" t="e">
        <f t="shared" si="10"/>
        <v>#DIV/0!</v>
      </c>
      <c r="AD72" s="81">
        <f t="shared" si="21"/>
        <v>0</v>
      </c>
      <c r="AE72" s="86"/>
    </row>
    <row r="73" spans="1:31" s="84" customFormat="1" ht="15" hidden="1" customHeight="1" x14ac:dyDescent="0.2">
      <c r="A73" s="213"/>
      <c r="B73" s="214"/>
      <c r="C73" s="74">
        <v>108002</v>
      </c>
      <c r="D73" s="87"/>
      <c r="E73" s="82" t="s">
        <v>13</v>
      </c>
      <c r="F73" s="77"/>
      <c r="G73" s="78">
        <v>0</v>
      </c>
      <c r="H73" s="89"/>
      <c r="I73" s="1">
        <f t="shared" ref="I73:I136" si="29">G73*H73</f>
        <v>0</v>
      </c>
      <c r="J73" s="88"/>
      <c r="K73" s="81">
        <f t="shared" ref="K73:K138" si="30">N73</f>
        <v>0</v>
      </c>
      <c r="L73" s="88"/>
      <c r="M73" s="83" t="e">
        <f t="shared" ref="M73:M136" si="31">1-(G73/K73)</f>
        <v>#DIV/0!</v>
      </c>
      <c r="N73" s="81">
        <f t="shared" ref="N73:N81" si="32">G73/0.65</f>
        <v>0</v>
      </c>
      <c r="P73" s="81">
        <f t="shared" ref="P73:P138" si="33">S73</f>
        <v>0</v>
      </c>
      <c r="Q73" s="88"/>
      <c r="R73" s="83" t="e">
        <f t="shared" ref="R73:R136" si="34">1-(G73/P73)</f>
        <v>#DIV/0!</v>
      </c>
      <c r="S73" s="81">
        <f t="shared" si="28"/>
        <v>0</v>
      </c>
      <c r="T73" s="85"/>
      <c r="U73" s="81"/>
      <c r="V73" s="88"/>
      <c r="W73" s="11" t="e">
        <f t="shared" ref="W73:W136" si="35">1-(G73/U73)</f>
        <v>#DIV/0!</v>
      </c>
      <c r="X73" s="81" t="e">
        <f>#N/A</f>
        <v>#N/A</v>
      </c>
      <c r="Y73" s="85"/>
      <c r="Z73" s="81">
        <f t="shared" ref="Z73:Z136" si="36">AD73</f>
        <v>0</v>
      </c>
      <c r="AA73" s="3">
        <f t="shared" ref="AA73:AA136" si="37">Z73*1.21</f>
        <v>0</v>
      </c>
      <c r="AB73" s="88"/>
      <c r="AC73" s="11" t="e">
        <f t="shared" ref="AC73:AC136" si="38">1-(G73/Z73)</f>
        <v>#DIV/0!</v>
      </c>
      <c r="AD73" s="81">
        <f t="shared" si="21"/>
        <v>0</v>
      </c>
      <c r="AE73" s="86"/>
    </row>
    <row r="74" spans="1:31" s="84" customFormat="1" ht="15" hidden="1" customHeight="1" x14ac:dyDescent="0.2">
      <c r="A74" s="213"/>
      <c r="B74" s="214"/>
      <c r="C74" s="74">
        <v>108003</v>
      </c>
      <c r="D74" s="87"/>
      <c r="E74" s="82" t="s">
        <v>14</v>
      </c>
      <c r="F74" s="77"/>
      <c r="G74" s="78">
        <v>0</v>
      </c>
      <c r="H74" s="89"/>
      <c r="I74" s="1">
        <f t="shared" si="29"/>
        <v>0</v>
      </c>
      <c r="J74" s="88"/>
      <c r="K74" s="81">
        <f t="shared" si="30"/>
        <v>0</v>
      </c>
      <c r="L74" s="88"/>
      <c r="M74" s="83" t="e">
        <f t="shared" si="31"/>
        <v>#DIV/0!</v>
      </c>
      <c r="N74" s="81">
        <f t="shared" si="32"/>
        <v>0</v>
      </c>
      <c r="P74" s="81">
        <f t="shared" si="33"/>
        <v>0</v>
      </c>
      <c r="Q74" s="88"/>
      <c r="R74" s="83" t="e">
        <f t="shared" si="34"/>
        <v>#DIV/0!</v>
      </c>
      <c r="S74" s="81">
        <f t="shared" si="28"/>
        <v>0</v>
      </c>
      <c r="T74" s="85"/>
      <c r="U74" s="81"/>
      <c r="V74" s="88"/>
      <c r="W74" s="11" t="e">
        <f t="shared" si="35"/>
        <v>#DIV/0!</v>
      </c>
      <c r="X74" s="81" t="e">
        <f>#N/A</f>
        <v>#N/A</v>
      </c>
      <c r="Y74" s="85"/>
      <c r="Z74" s="81">
        <f t="shared" si="36"/>
        <v>0</v>
      </c>
      <c r="AA74" s="3">
        <f t="shared" si="37"/>
        <v>0</v>
      </c>
      <c r="AB74" s="88"/>
      <c r="AC74" s="11" t="e">
        <f t="shared" si="38"/>
        <v>#DIV/0!</v>
      </c>
      <c r="AD74" s="81">
        <f t="shared" si="21"/>
        <v>0</v>
      </c>
      <c r="AE74" s="86"/>
    </row>
    <row r="75" spans="1:31" s="84" customFormat="1" ht="15" hidden="1" customHeight="1" x14ac:dyDescent="0.2">
      <c r="A75" s="213"/>
      <c r="B75" s="214"/>
      <c r="C75" s="74">
        <v>108004</v>
      </c>
      <c r="D75" s="87"/>
      <c r="E75" s="82" t="s">
        <v>15</v>
      </c>
      <c r="F75" s="77"/>
      <c r="G75" s="78">
        <v>0</v>
      </c>
      <c r="H75" s="89"/>
      <c r="I75" s="1">
        <f t="shared" si="29"/>
        <v>0</v>
      </c>
      <c r="J75" s="88"/>
      <c r="K75" s="81">
        <f t="shared" si="30"/>
        <v>0</v>
      </c>
      <c r="L75" s="88"/>
      <c r="M75" s="83" t="e">
        <f t="shared" si="31"/>
        <v>#DIV/0!</v>
      </c>
      <c r="N75" s="81">
        <f t="shared" si="32"/>
        <v>0</v>
      </c>
      <c r="P75" s="81">
        <f t="shared" si="33"/>
        <v>0</v>
      </c>
      <c r="Q75" s="88"/>
      <c r="R75" s="83" t="e">
        <f t="shared" si="34"/>
        <v>#DIV/0!</v>
      </c>
      <c r="S75" s="81">
        <f t="shared" si="28"/>
        <v>0</v>
      </c>
      <c r="T75" s="85"/>
      <c r="U75" s="81"/>
      <c r="V75" s="88"/>
      <c r="W75" s="11" t="e">
        <f t="shared" si="35"/>
        <v>#DIV/0!</v>
      </c>
      <c r="X75" s="81" t="e">
        <f>#N/A</f>
        <v>#N/A</v>
      </c>
      <c r="Y75" s="85"/>
      <c r="Z75" s="81">
        <f t="shared" si="36"/>
        <v>0</v>
      </c>
      <c r="AA75" s="3">
        <f t="shared" si="37"/>
        <v>0</v>
      </c>
      <c r="AB75" s="88"/>
      <c r="AC75" s="11" t="e">
        <f t="shared" si="38"/>
        <v>#DIV/0!</v>
      </c>
      <c r="AD75" s="81">
        <f t="shared" si="21"/>
        <v>0</v>
      </c>
      <c r="AE75" s="86"/>
    </row>
    <row r="76" spans="1:31" s="84" customFormat="1" ht="15" hidden="1" customHeight="1" x14ac:dyDescent="0.2">
      <c r="A76" s="213"/>
      <c r="B76" s="214"/>
      <c r="C76" s="74">
        <v>108005</v>
      </c>
      <c r="D76" s="87"/>
      <c r="E76" s="82" t="s">
        <v>305</v>
      </c>
      <c r="F76" s="77"/>
      <c r="G76" s="78">
        <v>0</v>
      </c>
      <c r="H76" s="89"/>
      <c r="I76" s="1">
        <f t="shared" si="29"/>
        <v>0</v>
      </c>
      <c r="J76" s="88"/>
      <c r="K76" s="81">
        <f t="shared" si="30"/>
        <v>0</v>
      </c>
      <c r="L76" s="88"/>
      <c r="M76" s="83" t="e">
        <f t="shared" si="31"/>
        <v>#DIV/0!</v>
      </c>
      <c r="N76" s="81">
        <f t="shared" si="32"/>
        <v>0</v>
      </c>
      <c r="P76" s="81">
        <f t="shared" si="33"/>
        <v>0</v>
      </c>
      <c r="Q76" s="88"/>
      <c r="R76" s="83" t="e">
        <f t="shared" si="34"/>
        <v>#DIV/0!</v>
      </c>
      <c r="S76" s="81">
        <f t="shared" si="28"/>
        <v>0</v>
      </c>
      <c r="T76" s="85"/>
      <c r="U76" s="81"/>
      <c r="V76" s="88"/>
      <c r="W76" s="11" t="e">
        <f t="shared" si="35"/>
        <v>#DIV/0!</v>
      </c>
      <c r="X76" s="81" t="e">
        <f>#N/A</f>
        <v>#N/A</v>
      </c>
      <c r="Y76" s="85"/>
      <c r="Z76" s="81">
        <f t="shared" si="36"/>
        <v>0</v>
      </c>
      <c r="AA76" s="3">
        <f t="shared" si="37"/>
        <v>0</v>
      </c>
      <c r="AB76" s="88"/>
      <c r="AC76" s="11" t="e">
        <f t="shared" si="38"/>
        <v>#DIV/0!</v>
      </c>
      <c r="AD76" s="81">
        <f t="shared" si="21"/>
        <v>0</v>
      </c>
      <c r="AE76" s="86"/>
    </row>
    <row r="77" spans="1:31" s="84" customFormat="1" ht="15" hidden="1" customHeight="1" x14ac:dyDescent="0.2">
      <c r="A77" s="213"/>
      <c r="B77" s="214" t="s">
        <v>8</v>
      </c>
      <c r="C77" s="74">
        <v>109001</v>
      </c>
      <c r="D77" s="87"/>
      <c r="E77" s="82" t="s">
        <v>16</v>
      </c>
      <c r="F77" s="77"/>
      <c r="G77" s="78">
        <v>0</v>
      </c>
      <c r="H77" s="89"/>
      <c r="I77" s="1">
        <f t="shared" si="29"/>
        <v>0</v>
      </c>
      <c r="J77" s="88"/>
      <c r="K77" s="81">
        <f t="shared" si="30"/>
        <v>0</v>
      </c>
      <c r="L77" s="88"/>
      <c r="M77" s="83" t="e">
        <f t="shared" si="31"/>
        <v>#DIV/0!</v>
      </c>
      <c r="N77" s="81">
        <f t="shared" si="32"/>
        <v>0</v>
      </c>
      <c r="P77" s="81">
        <f t="shared" si="33"/>
        <v>0</v>
      </c>
      <c r="Q77" s="88"/>
      <c r="R77" s="83" t="e">
        <f t="shared" si="34"/>
        <v>#DIV/0!</v>
      </c>
      <c r="S77" s="81">
        <f t="shared" si="28"/>
        <v>0</v>
      </c>
      <c r="T77" s="85"/>
      <c r="U77" s="81">
        <v>158</v>
      </c>
      <c r="V77" s="88"/>
      <c r="W77" s="11">
        <f t="shared" si="35"/>
        <v>1</v>
      </c>
      <c r="X77" s="81" t="e">
        <f>#N/A</f>
        <v>#N/A</v>
      </c>
      <c r="Y77" s="85"/>
      <c r="Z77" s="81">
        <f t="shared" si="36"/>
        <v>0</v>
      </c>
      <c r="AA77" s="3">
        <f t="shared" si="37"/>
        <v>0</v>
      </c>
      <c r="AB77" s="88"/>
      <c r="AC77" s="11" t="e">
        <f t="shared" si="38"/>
        <v>#DIV/0!</v>
      </c>
      <c r="AD77" s="81">
        <f t="shared" si="21"/>
        <v>0</v>
      </c>
      <c r="AE77" s="86"/>
    </row>
    <row r="78" spans="1:31" s="84" customFormat="1" ht="15" hidden="1" customHeight="1" x14ac:dyDescent="0.2">
      <c r="A78" s="213"/>
      <c r="B78" s="214"/>
      <c r="C78" s="74">
        <v>109002</v>
      </c>
      <c r="D78" s="87"/>
      <c r="E78" s="82" t="s">
        <v>17</v>
      </c>
      <c r="F78" s="77"/>
      <c r="G78" s="78">
        <v>0</v>
      </c>
      <c r="H78" s="89"/>
      <c r="I78" s="1">
        <f t="shared" si="29"/>
        <v>0</v>
      </c>
      <c r="J78" s="88"/>
      <c r="K78" s="81">
        <f t="shared" si="30"/>
        <v>0</v>
      </c>
      <c r="L78" s="88"/>
      <c r="M78" s="83" t="e">
        <f t="shared" si="31"/>
        <v>#DIV/0!</v>
      </c>
      <c r="N78" s="81">
        <f t="shared" si="32"/>
        <v>0</v>
      </c>
      <c r="P78" s="81">
        <f t="shared" si="33"/>
        <v>0</v>
      </c>
      <c r="Q78" s="88"/>
      <c r="R78" s="83" t="e">
        <f t="shared" si="34"/>
        <v>#DIV/0!</v>
      </c>
      <c r="S78" s="81">
        <f t="shared" si="28"/>
        <v>0</v>
      </c>
      <c r="T78" s="85"/>
      <c r="U78" s="81">
        <f>U77</f>
        <v>158</v>
      </c>
      <c r="V78" s="88"/>
      <c r="W78" s="11">
        <f t="shared" si="35"/>
        <v>1</v>
      </c>
      <c r="X78" s="81" t="e">
        <f>#N/A</f>
        <v>#N/A</v>
      </c>
      <c r="Y78" s="85"/>
      <c r="Z78" s="81">
        <f t="shared" si="36"/>
        <v>0</v>
      </c>
      <c r="AA78" s="3">
        <f t="shared" si="37"/>
        <v>0</v>
      </c>
      <c r="AB78" s="88"/>
      <c r="AC78" s="11" t="e">
        <f t="shared" si="38"/>
        <v>#DIV/0!</v>
      </c>
      <c r="AD78" s="81">
        <f t="shared" si="21"/>
        <v>0</v>
      </c>
      <c r="AE78" s="86"/>
    </row>
    <row r="79" spans="1:31" s="84" customFormat="1" ht="15" hidden="1" customHeight="1" x14ac:dyDescent="0.2">
      <c r="A79" s="213"/>
      <c r="B79" s="214"/>
      <c r="C79" s="74">
        <v>109003</v>
      </c>
      <c r="D79" s="87"/>
      <c r="E79" s="82" t="s">
        <v>306</v>
      </c>
      <c r="F79" s="77"/>
      <c r="G79" s="78">
        <v>0</v>
      </c>
      <c r="H79" s="89"/>
      <c r="I79" s="1">
        <f t="shared" si="29"/>
        <v>0</v>
      </c>
      <c r="J79" s="88"/>
      <c r="K79" s="81">
        <f t="shared" si="30"/>
        <v>0</v>
      </c>
      <c r="L79" s="88"/>
      <c r="M79" s="83" t="e">
        <f t="shared" si="31"/>
        <v>#DIV/0!</v>
      </c>
      <c r="N79" s="81">
        <f t="shared" si="32"/>
        <v>0</v>
      </c>
      <c r="P79" s="81">
        <f t="shared" si="33"/>
        <v>0</v>
      </c>
      <c r="Q79" s="88"/>
      <c r="R79" s="83" t="e">
        <f t="shared" si="34"/>
        <v>#DIV/0!</v>
      </c>
      <c r="S79" s="81">
        <f t="shared" si="28"/>
        <v>0</v>
      </c>
      <c r="T79" s="85"/>
      <c r="U79" s="81">
        <v>117</v>
      </c>
      <c r="V79" s="88"/>
      <c r="W79" s="11">
        <f t="shared" si="35"/>
        <v>1</v>
      </c>
      <c r="X79" s="81">
        <f>$G79/0.73</f>
        <v>0</v>
      </c>
      <c r="Y79" s="85"/>
      <c r="Z79" s="81">
        <f t="shared" si="36"/>
        <v>0</v>
      </c>
      <c r="AA79" s="3">
        <f t="shared" si="37"/>
        <v>0</v>
      </c>
      <c r="AB79" s="88"/>
      <c r="AC79" s="11" t="e">
        <f t="shared" si="38"/>
        <v>#DIV/0!</v>
      </c>
      <c r="AD79" s="81">
        <f t="shared" si="21"/>
        <v>0</v>
      </c>
      <c r="AE79" s="86"/>
    </row>
    <row r="80" spans="1:31" s="84" customFormat="1" ht="15" hidden="1" customHeight="1" x14ac:dyDescent="0.2">
      <c r="A80" s="213"/>
      <c r="B80" s="214"/>
      <c r="C80" s="74">
        <v>109004</v>
      </c>
      <c r="D80" s="87"/>
      <c r="E80" s="82" t="s">
        <v>307</v>
      </c>
      <c r="F80" s="77"/>
      <c r="G80" s="78">
        <v>0</v>
      </c>
      <c r="H80" s="89"/>
      <c r="I80" s="1">
        <f t="shared" si="29"/>
        <v>0</v>
      </c>
      <c r="J80" s="88"/>
      <c r="K80" s="81">
        <f t="shared" si="30"/>
        <v>0</v>
      </c>
      <c r="L80" s="88"/>
      <c r="M80" s="83" t="e">
        <f t="shared" si="31"/>
        <v>#DIV/0!</v>
      </c>
      <c r="N80" s="81">
        <f t="shared" si="32"/>
        <v>0</v>
      </c>
      <c r="P80" s="81">
        <f t="shared" si="33"/>
        <v>0</v>
      </c>
      <c r="Q80" s="88"/>
      <c r="R80" s="83" t="e">
        <f t="shared" si="34"/>
        <v>#DIV/0!</v>
      </c>
      <c r="S80" s="81">
        <f t="shared" si="28"/>
        <v>0</v>
      </c>
      <c r="T80" s="85"/>
      <c r="U80" s="81">
        <v>133</v>
      </c>
      <c r="V80" s="88"/>
      <c r="W80" s="11">
        <f t="shared" si="35"/>
        <v>1</v>
      </c>
      <c r="X80" s="81">
        <f>$G80/0.73</f>
        <v>0</v>
      </c>
      <c r="Y80" s="85"/>
      <c r="Z80" s="81">
        <f t="shared" si="36"/>
        <v>0</v>
      </c>
      <c r="AA80" s="3">
        <f t="shared" si="37"/>
        <v>0</v>
      </c>
      <c r="AB80" s="88"/>
      <c r="AC80" s="11" t="e">
        <f t="shared" si="38"/>
        <v>#DIV/0!</v>
      </c>
      <c r="AD80" s="81">
        <f t="shared" si="21"/>
        <v>0</v>
      </c>
      <c r="AE80" s="86"/>
    </row>
    <row r="81" spans="1:31" s="84" customFormat="1" ht="15" hidden="1" customHeight="1" x14ac:dyDescent="0.2">
      <c r="A81" s="213"/>
      <c r="B81" s="214"/>
      <c r="C81" s="74">
        <v>109005</v>
      </c>
      <c r="D81" s="87"/>
      <c r="E81" s="82" t="s">
        <v>308</v>
      </c>
      <c r="F81" s="77"/>
      <c r="G81" s="78">
        <v>0</v>
      </c>
      <c r="H81" s="89"/>
      <c r="I81" s="1">
        <f t="shared" si="29"/>
        <v>0</v>
      </c>
      <c r="J81" s="88"/>
      <c r="K81" s="81">
        <f t="shared" si="30"/>
        <v>0</v>
      </c>
      <c r="L81" s="88"/>
      <c r="M81" s="83" t="e">
        <f t="shared" si="31"/>
        <v>#DIV/0!</v>
      </c>
      <c r="N81" s="81">
        <f t="shared" si="32"/>
        <v>0</v>
      </c>
      <c r="P81" s="81">
        <f t="shared" si="33"/>
        <v>0</v>
      </c>
      <c r="Q81" s="88"/>
      <c r="R81" s="83" t="e">
        <f t="shared" si="34"/>
        <v>#DIV/0!</v>
      </c>
      <c r="S81" s="81">
        <f t="shared" si="28"/>
        <v>0</v>
      </c>
      <c r="T81" s="85"/>
      <c r="U81" s="81">
        <v>203</v>
      </c>
      <c r="V81" s="88"/>
      <c r="W81" s="11">
        <f t="shared" si="35"/>
        <v>1</v>
      </c>
      <c r="X81" s="81">
        <f>$G81/0.73</f>
        <v>0</v>
      </c>
      <c r="Y81" s="85"/>
      <c r="Z81" s="81">
        <f t="shared" si="36"/>
        <v>0</v>
      </c>
      <c r="AA81" s="3">
        <f t="shared" si="37"/>
        <v>0</v>
      </c>
      <c r="AB81" s="88"/>
      <c r="AC81" s="11" t="e">
        <f t="shared" si="38"/>
        <v>#DIV/0!</v>
      </c>
      <c r="AD81" s="81">
        <f t="shared" si="21"/>
        <v>0</v>
      </c>
      <c r="AE81" s="86"/>
    </row>
    <row r="82" spans="1:31" s="84" customFormat="1" ht="16.5" hidden="1" customHeight="1" x14ac:dyDescent="0.2">
      <c r="C82" s="74">
        <v>110001</v>
      </c>
      <c r="D82" s="87"/>
      <c r="E82" s="76" t="s">
        <v>234</v>
      </c>
      <c r="F82" s="77">
        <v>12</v>
      </c>
      <c r="G82" s="78">
        <v>0</v>
      </c>
      <c r="H82" s="79"/>
      <c r="I82" s="78">
        <f t="shared" si="29"/>
        <v>0</v>
      </c>
      <c r="J82" s="88"/>
      <c r="K82" s="81">
        <f t="shared" si="30"/>
        <v>0</v>
      </c>
      <c r="L82" s="88"/>
      <c r="M82" s="83" t="e">
        <f t="shared" si="31"/>
        <v>#DIV/0!</v>
      </c>
      <c r="N82" s="81">
        <f>$G82/0.65</f>
        <v>0</v>
      </c>
      <c r="P82" s="81">
        <f t="shared" si="33"/>
        <v>0</v>
      </c>
      <c r="Q82" s="88"/>
      <c r="R82" s="83" t="e">
        <f t="shared" si="34"/>
        <v>#DIV/0!</v>
      </c>
      <c r="S82" s="81">
        <f>$G82/0.65</f>
        <v>0</v>
      </c>
      <c r="T82" s="85"/>
      <c r="U82" s="81">
        <f>P82</f>
        <v>0</v>
      </c>
      <c r="V82" s="88"/>
      <c r="W82" s="11" t="e">
        <f t="shared" si="35"/>
        <v>#DIV/0!</v>
      </c>
      <c r="X82" s="81">
        <f>$G82/0.65</f>
        <v>0</v>
      </c>
      <c r="Y82" s="85"/>
      <c r="Z82" s="81">
        <f t="shared" si="36"/>
        <v>0</v>
      </c>
      <c r="AA82" s="3">
        <f t="shared" si="37"/>
        <v>0</v>
      </c>
      <c r="AB82" s="88"/>
      <c r="AC82" s="11" t="e">
        <f t="shared" si="38"/>
        <v>#DIV/0!</v>
      </c>
      <c r="AD82" s="81">
        <f t="shared" si="21"/>
        <v>0</v>
      </c>
      <c r="AE82" s="86"/>
    </row>
    <row r="83" spans="1:31" ht="16.5" customHeight="1" x14ac:dyDescent="0.2">
      <c r="A83" s="215" t="s">
        <v>37</v>
      </c>
      <c r="B83" s="218" t="s">
        <v>2</v>
      </c>
      <c r="C83" s="20">
        <v>110002</v>
      </c>
      <c r="D83" s="51">
        <v>3083680041713</v>
      </c>
      <c r="E83" s="2" t="s">
        <v>265</v>
      </c>
      <c r="F83" s="13">
        <v>12</v>
      </c>
      <c r="G83" s="1">
        <f>59.4*0.76</f>
        <v>45.143999999999998</v>
      </c>
      <c r="H83" s="14"/>
      <c r="I83" s="1">
        <f t="shared" si="29"/>
        <v>0</v>
      </c>
      <c r="J83" s="10"/>
      <c r="K83" s="3">
        <f>P83</f>
        <v>75.239999999999995</v>
      </c>
      <c r="L83" s="10"/>
      <c r="M83" s="11">
        <f t="shared" si="31"/>
        <v>0.4</v>
      </c>
      <c r="N83" s="3">
        <f>S83</f>
        <v>75.239999999999995</v>
      </c>
      <c r="O83" s="4" t="s">
        <v>408</v>
      </c>
      <c r="P83" s="3">
        <f t="shared" si="33"/>
        <v>75.239999999999995</v>
      </c>
      <c r="Q83" s="10"/>
      <c r="R83" s="11">
        <f t="shared" si="34"/>
        <v>0.4</v>
      </c>
      <c r="S83" s="3">
        <f>$G83/0.6</f>
        <v>75.239999999999995</v>
      </c>
      <c r="T83" s="70">
        <v>0.35</v>
      </c>
      <c r="U83" s="3">
        <f>P83</f>
        <v>75.239999999999995</v>
      </c>
      <c r="V83" s="10"/>
      <c r="W83" s="11">
        <f t="shared" si="35"/>
        <v>0.4</v>
      </c>
      <c r="X83" s="3">
        <f>$G83/0.65</f>
        <v>69.452307692307684</v>
      </c>
      <c r="Y83" s="70" t="s">
        <v>408</v>
      </c>
      <c r="Z83" s="3">
        <f t="shared" si="36"/>
        <v>82.763999999999996</v>
      </c>
      <c r="AA83" s="3">
        <f t="shared" si="37"/>
        <v>100.14443999999999</v>
      </c>
      <c r="AB83" s="10"/>
      <c r="AC83" s="11">
        <f t="shared" si="38"/>
        <v>0.45454545454545459</v>
      </c>
      <c r="AD83" s="3">
        <f t="shared" si="21"/>
        <v>82.763999999999996</v>
      </c>
      <c r="AE83" s="35"/>
    </row>
    <row r="84" spans="1:31" ht="16.5" customHeight="1" x14ac:dyDescent="0.2">
      <c r="A84" s="216"/>
      <c r="B84" s="219"/>
      <c r="C84" s="20">
        <v>110003</v>
      </c>
      <c r="D84" s="52">
        <v>3083681003420</v>
      </c>
      <c r="E84" s="2" t="s">
        <v>349</v>
      </c>
      <c r="F84" s="13">
        <v>24</v>
      </c>
      <c r="G84" s="1">
        <f>23.9*0.76</f>
        <v>18.163999999999998</v>
      </c>
      <c r="H84" s="14"/>
      <c r="I84" s="1">
        <f t="shared" si="29"/>
        <v>0</v>
      </c>
      <c r="J84" s="10"/>
      <c r="K84" s="3">
        <f t="shared" ref="K84:K96" si="39">P84</f>
        <v>30.27333333333333</v>
      </c>
      <c r="L84" s="10"/>
      <c r="M84" s="11">
        <f t="shared" si="31"/>
        <v>0.4</v>
      </c>
      <c r="N84" s="3">
        <f>S84</f>
        <v>30.27333333333333</v>
      </c>
      <c r="P84" s="3">
        <f t="shared" si="33"/>
        <v>30.27333333333333</v>
      </c>
      <c r="Q84" s="10"/>
      <c r="R84" s="11">
        <f t="shared" si="34"/>
        <v>0.4</v>
      </c>
      <c r="S84" s="3">
        <f t="shared" ref="S84:S96" si="40">$G84/0.6</f>
        <v>30.27333333333333</v>
      </c>
      <c r="T84" s="70"/>
      <c r="U84" s="3">
        <f t="shared" ref="U84:U96" si="41">P84</f>
        <v>30.27333333333333</v>
      </c>
      <c r="V84" s="10"/>
      <c r="W84" s="11">
        <f t="shared" si="35"/>
        <v>0.4</v>
      </c>
      <c r="X84" s="3">
        <f t="shared" ref="X84:X96" si="42">$G84/0.65</f>
        <v>27.944615384615382</v>
      </c>
      <c r="Y84" s="70"/>
      <c r="Z84" s="3">
        <f t="shared" si="36"/>
        <v>33.300666666666665</v>
      </c>
      <c r="AA84" s="3">
        <f t="shared" si="37"/>
        <v>40.293806666666661</v>
      </c>
      <c r="AB84" s="10"/>
      <c r="AC84" s="11">
        <f t="shared" si="38"/>
        <v>0.45454545454545459</v>
      </c>
      <c r="AD84" s="3">
        <f t="shared" si="21"/>
        <v>33.300666666666665</v>
      </c>
      <c r="AE84" s="35"/>
    </row>
    <row r="85" spans="1:31" ht="16.5" customHeight="1" x14ac:dyDescent="0.2">
      <c r="A85" s="216"/>
      <c r="B85" s="219"/>
      <c r="C85" s="20">
        <v>110004</v>
      </c>
      <c r="D85" s="179">
        <v>3083680004657</v>
      </c>
      <c r="E85" s="2" t="s">
        <v>350</v>
      </c>
      <c r="F85" s="13">
        <v>12</v>
      </c>
      <c r="G85" s="1">
        <f>56.8*0.76</f>
        <v>43.167999999999999</v>
      </c>
      <c r="H85" s="14"/>
      <c r="I85" s="1">
        <f t="shared" si="29"/>
        <v>0</v>
      </c>
      <c r="J85" s="10"/>
      <c r="K85" s="3">
        <f t="shared" si="39"/>
        <v>71.946666666666673</v>
      </c>
      <c r="L85" s="10"/>
      <c r="M85" s="11">
        <f t="shared" si="31"/>
        <v>0.4</v>
      </c>
      <c r="N85" s="3">
        <f t="shared" ref="N85:N96" si="43">S85</f>
        <v>71.946666666666673</v>
      </c>
      <c r="P85" s="3">
        <f t="shared" si="33"/>
        <v>71.946666666666673</v>
      </c>
      <c r="Q85" s="10"/>
      <c r="R85" s="11">
        <f t="shared" si="34"/>
        <v>0.4</v>
      </c>
      <c r="S85" s="3">
        <f t="shared" si="40"/>
        <v>71.946666666666673</v>
      </c>
      <c r="T85" s="70"/>
      <c r="U85" s="3">
        <f t="shared" si="41"/>
        <v>71.946666666666673</v>
      </c>
      <c r="V85" s="10"/>
      <c r="W85" s="11">
        <f t="shared" si="35"/>
        <v>0.4</v>
      </c>
      <c r="X85" s="3">
        <f t="shared" si="42"/>
        <v>66.412307692307692</v>
      </c>
      <c r="Y85" s="70"/>
      <c r="Z85" s="3">
        <f t="shared" si="36"/>
        <v>79.14133333333335</v>
      </c>
      <c r="AA85" s="3">
        <f t="shared" si="37"/>
        <v>95.761013333333352</v>
      </c>
      <c r="AB85" s="10"/>
      <c r="AC85" s="11">
        <f t="shared" si="38"/>
        <v>0.4545454545454547</v>
      </c>
      <c r="AD85" s="3">
        <f t="shared" si="21"/>
        <v>79.14133333333335</v>
      </c>
      <c r="AE85" s="35"/>
    </row>
    <row r="86" spans="1:31" ht="16.5" customHeight="1" x14ac:dyDescent="0.2">
      <c r="A86" s="216"/>
      <c r="B86" s="219"/>
      <c r="C86" s="20">
        <v>110005</v>
      </c>
      <c r="D86" s="51">
        <v>3083680002561</v>
      </c>
      <c r="E86" s="2" t="s">
        <v>351</v>
      </c>
      <c r="F86" s="13">
        <v>12</v>
      </c>
      <c r="G86" s="1">
        <f>60.4*0.76</f>
        <v>45.903999999999996</v>
      </c>
      <c r="H86" s="14"/>
      <c r="I86" s="1">
        <f t="shared" si="29"/>
        <v>0</v>
      </c>
      <c r="J86" s="10"/>
      <c r="K86" s="3">
        <f t="shared" si="39"/>
        <v>76.506666666666661</v>
      </c>
      <c r="L86" s="10"/>
      <c r="M86" s="11">
        <f t="shared" si="31"/>
        <v>0.4</v>
      </c>
      <c r="N86" s="3">
        <f t="shared" si="43"/>
        <v>76.506666666666661</v>
      </c>
      <c r="P86" s="3">
        <f t="shared" si="33"/>
        <v>76.506666666666661</v>
      </c>
      <c r="Q86" s="10"/>
      <c r="R86" s="11">
        <f t="shared" si="34"/>
        <v>0.4</v>
      </c>
      <c r="S86" s="3">
        <f t="shared" si="40"/>
        <v>76.506666666666661</v>
      </c>
      <c r="T86" s="70"/>
      <c r="U86" s="3">
        <f t="shared" si="41"/>
        <v>76.506666666666661</v>
      </c>
      <c r="V86" s="10"/>
      <c r="W86" s="11">
        <f t="shared" si="35"/>
        <v>0.4</v>
      </c>
      <c r="X86" s="3">
        <f t="shared" si="42"/>
        <v>70.621538461538449</v>
      </c>
      <c r="Y86" s="70"/>
      <c r="Z86" s="3">
        <f t="shared" si="36"/>
        <v>84.157333333333327</v>
      </c>
      <c r="AA86" s="3">
        <f t="shared" si="37"/>
        <v>101.83037333333333</v>
      </c>
      <c r="AB86" s="10"/>
      <c r="AC86" s="11">
        <f t="shared" si="38"/>
        <v>0.45454545454545459</v>
      </c>
      <c r="AD86" s="3">
        <f t="shared" si="21"/>
        <v>84.157333333333327</v>
      </c>
      <c r="AE86" s="35"/>
    </row>
    <row r="87" spans="1:31" ht="16.5" customHeight="1" x14ac:dyDescent="0.2">
      <c r="A87" s="216"/>
      <c r="B87" s="219"/>
      <c r="C87" s="20">
        <v>110006</v>
      </c>
      <c r="D87" s="51">
        <v>3083680001151</v>
      </c>
      <c r="E87" s="2" t="s">
        <v>352</v>
      </c>
      <c r="F87" s="13">
        <v>12</v>
      </c>
      <c r="G87" s="1">
        <f>63.8*0.76</f>
        <v>48.488</v>
      </c>
      <c r="H87" s="14"/>
      <c r="I87" s="1">
        <f t="shared" si="29"/>
        <v>0</v>
      </c>
      <c r="J87" s="10"/>
      <c r="K87" s="3">
        <f t="shared" si="39"/>
        <v>80.813333333333333</v>
      </c>
      <c r="L87" s="10"/>
      <c r="M87" s="11">
        <f t="shared" si="31"/>
        <v>0.4</v>
      </c>
      <c r="N87" s="3">
        <f t="shared" si="43"/>
        <v>80.813333333333333</v>
      </c>
      <c r="P87" s="3">
        <f t="shared" si="33"/>
        <v>80.813333333333333</v>
      </c>
      <c r="Q87" s="10"/>
      <c r="R87" s="11">
        <f t="shared" si="34"/>
        <v>0.4</v>
      </c>
      <c r="S87" s="3">
        <f t="shared" si="40"/>
        <v>80.813333333333333</v>
      </c>
      <c r="T87" s="70"/>
      <c r="U87" s="3">
        <f t="shared" si="41"/>
        <v>80.813333333333333</v>
      </c>
      <c r="V87" s="10"/>
      <c r="W87" s="11">
        <f t="shared" si="35"/>
        <v>0.4</v>
      </c>
      <c r="X87" s="3">
        <f t="shared" si="42"/>
        <v>74.596923076923076</v>
      </c>
      <c r="Y87" s="70"/>
      <c r="Z87" s="3">
        <f t="shared" si="36"/>
        <v>88.89466666666668</v>
      </c>
      <c r="AA87" s="3">
        <f t="shared" si="37"/>
        <v>107.56254666666668</v>
      </c>
      <c r="AB87" s="10"/>
      <c r="AC87" s="11">
        <f t="shared" si="38"/>
        <v>0.45454545454545459</v>
      </c>
      <c r="AD87" s="3">
        <f t="shared" si="21"/>
        <v>88.89466666666668</v>
      </c>
      <c r="AE87" s="35"/>
    </row>
    <row r="88" spans="1:31" ht="16.5" customHeight="1" x14ac:dyDescent="0.2">
      <c r="A88" s="216"/>
      <c r="B88" s="219"/>
      <c r="C88" s="20">
        <v>110007</v>
      </c>
      <c r="D88" s="51">
        <v>3083680002929</v>
      </c>
      <c r="E88" s="2" t="s">
        <v>353</v>
      </c>
      <c r="F88" s="13">
        <v>12</v>
      </c>
      <c r="G88" s="1">
        <f>60.2*0.76</f>
        <v>45.752000000000002</v>
      </c>
      <c r="H88" s="14"/>
      <c r="I88" s="1">
        <f t="shared" si="29"/>
        <v>0</v>
      </c>
      <c r="J88" s="10"/>
      <c r="K88" s="3">
        <f t="shared" si="39"/>
        <v>76.253333333333345</v>
      </c>
      <c r="L88" s="10"/>
      <c r="M88" s="11">
        <f t="shared" si="31"/>
        <v>0.4</v>
      </c>
      <c r="N88" s="3">
        <f t="shared" si="43"/>
        <v>76.253333333333345</v>
      </c>
      <c r="P88" s="3">
        <f t="shared" si="33"/>
        <v>76.253333333333345</v>
      </c>
      <c r="Q88" s="10"/>
      <c r="R88" s="11">
        <f t="shared" si="34"/>
        <v>0.4</v>
      </c>
      <c r="S88" s="3">
        <f t="shared" si="40"/>
        <v>76.253333333333345</v>
      </c>
      <c r="T88" s="70"/>
      <c r="U88" s="3">
        <f t="shared" si="41"/>
        <v>76.253333333333345</v>
      </c>
      <c r="V88" s="10"/>
      <c r="W88" s="11">
        <f t="shared" si="35"/>
        <v>0.4</v>
      </c>
      <c r="X88" s="3">
        <f t="shared" si="42"/>
        <v>70.387692307692305</v>
      </c>
      <c r="Y88" s="70"/>
      <c r="Z88" s="3">
        <f t="shared" si="36"/>
        <v>83.878666666666689</v>
      </c>
      <c r="AA88" s="3">
        <f t="shared" si="37"/>
        <v>101.49318666666669</v>
      </c>
      <c r="AB88" s="10"/>
      <c r="AC88" s="11">
        <f t="shared" si="38"/>
        <v>0.4545454545454547</v>
      </c>
      <c r="AD88" s="3">
        <f t="shared" si="21"/>
        <v>83.878666666666689</v>
      </c>
      <c r="AE88" s="35"/>
    </row>
    <row r="89" spans="1:31" ht="16.5" customHeight="1" x14ac:dyDescent="0.2">
      <c r="A89" s="216"/>
      <c r="B89" s="220"/>
      <c r="C89" s="20">
        <v>110008</v>
      </c>
      <c r="D89" s="51">
        <v>3083680043144</v>
      </c>
      <c r="E89" s="2" t="s">
        <v>354</v>
      </c>
      <c r="F89" s="13">
        <v>12</v>
      </c>
      <c r="G89" s="1">
        <f>78.1*0.76</f>
        <v>59.355999999999995</v>
      </c>
      <c r="H89" s="14"/>
      <c r="I89" s="1">
        <f t="shared" si="29"/>
        <v>0</v>
      </c>
      <c r="J89" s="10"/>
      <c r="K89" s="3">
        <f t="shared" si="39"/>
        <v>98.926666666666662</v>
      </c>
      <c r="L89" s="10"/>
      <c r="M89" s="11">
        <f t="shared" si="31"/>
        <v>0.4</v>
      </c>
      <c r="N89" s="3">
        <f t="shared" si="43"/>
        <v>98.926666666666662</v>
      </c>
      <c r="P89" s="3">
        <f t="shared" si="33"/>
        <v>98.926666666666662</v>
      </c>
      <c r="Q89" s="10"/>
      <c r="R89" s="11">
        <f t="shared" si="34"/>
        <v>0.4</v>
      </c>
      <c r="S89" s="3">
        <f t="shared" si="40"/>
        <v>98.926666666666662</v>
      </c>
      <c r="T89" s="70"/>
      <c r="U89" s="3">
        <f t="shared" si="41"/>
        <v>98.926666666666662</v>
      </c>
      <c r="V89" s="10"/>
      <c r="W89" s="11">
        <f t="shared" si="35"/>
        <v>0.4</v>
      </c>
      <c r="X89" s="3">
        <f t="shared" si="42"/>
        <v>91.316923076923061</v>
      </c>
      <c r="Y89" s="70"/>
      <c r="Z89" s="3">
        <f t="shared" si="36"/>
        <v>108.81933333333333</v>
      </c>
      <c r="AA89" s="3">
        <f t="shared" si="37"/>
        <v>131.67139333333333</v>
      </c>
      <c r="AB89" s="10"/>
      <c r="AC89" s="11">
        <f t="shared" si="38"/>
        <v>0.45454545454545459</v>
      </c>
      <c r="AD89" s="3">
        <f t="shared" si="21"/>
        <v>108.81933333333333</v>
      </c>
      <c r="AE89" s="35"/>
    </row>
    <row r="90" spans="1:31" ht="16.5" customHeight="1" x14ac:dyDescent="0.2">
      <c r="A90" s="216"/>
      <c r="B90" s="200" t="s">
        <v>3</v>
      </c>
      <c r="C90" s="20">
        <v>110009</v>
      </c>
      <c r="D90" s="178">
        <v>3083680003841</v>
      </c>
      <c r="E90" s="2" t="s">
        <v>355</v>
      </c>
      <c r="F90" s="13">
        <v>12</v>
      </c>
      <c r="G90" s="1">
        <f>59.95*0.76</f>
        <v>45.562000000000005</v>
      </c>
      <c r="H90" s="14"/>
      <c r="I90" s="1">
        <f t="shared" si="29"/>
        <v>0</v>
      </c>
      <c r="J90" s="10"/>
      <c r="K90" s="3">
        <f t="shared" si="39"/>
        <v>75.936666666666682</v>
      </c>
      <c r="L90" s="10"/>
      <c r="M90" s="11">
        <f t="shared" si="31"/>
        <v>0.4</v>
      </c>
      <c r="N90" s="3">
        <f t="shared" si="43"/>
        <v>75.936666666666682</v>
      </c>
      <c r="P90" s="3">
        <f t="shared" si="33"/>
        <v>75.936666666666682</v>
      </c>
      <c r="Q90" s="10"/>
      <c r="R90" s="11">
        <f t="shared" si="34"/>
        <v>0.4</v>
      </c>
      <c r="S90" s="3">
        <f t="shared" si="40"/>
        <v>75.936666666666682</v>
      </c>
      <c r="T90" s="70"/>
      <c r="U90" s="3">
        <f t="shared" si="41"/>
        <v>75.936666666666682</v>
      </c>
      <c r="V90" s="10"/>
      <c r="W90" s="11">
        <f t="shared" si="35"/>
        <v>0.4</v>
      </c>
      <c r="X90" s="3">
        <f t="shared" si="42"/>
        <v>70.095384615384617</v>
      </c>
      <c r="Y90" s="70"/>
      <c r="Z90" s="3">
        <f t="shared" si="36"/>
        <v>83.53033333333336</v>
      </c>
      <c r="AA90" s="3">
        <f t="shared" si="37"/>
        <v>101.07170333333336</v>
      </c>
      <c r="AB90" s="10"/>
      <c r="AC90" s="11">
        <f t="shared" si="38"/>
        <v>0.4545454545454547</v>
      </c>
      <c r="AD90" s="3">
        <f t="shared" si="21"/>
        <v>83.53033333333336</v>
      </c>
      <c r="AE90" s="35"/>
    </row>
    <row r="91" spans="1:31" ht="16.5" customHeight="1" x14ac:dyDescent="0.2">
      <c r="A91" s="216"/>
      <c r="B91" s="200"/>
      <c r="C91" s="20">
        <v>110010</v>
      </c>
      <c r="D91" s="51">
        <v>3083680026154</v>
      </c>
      <c r="E91" s="2" t="s">
        <v>356</v>
      </c>
      <c r="F91" s="13">
        <v>12</v>
      </c>
      <c r="G91" s="1">
        <f>63.6*0.76</f>
        <v>48.335999999999999</v>
      </c>
      <c r="H91" s="14"/>
      <c r="I91" s="1">
        <f t="shared" si="29"/>
        <v>0</v>
      </c>
      <c r="J91" s="10"/>
      <c r="K91" s="3">
        <f t="shared" si="39"/>
        <v>80.56</v>
      </c>
      <c r="L91" s="10"/>
      <c r="M91" s="11">
        <f t="shared" si="31"/>
        <v>0.4</v>
      </c>
      <c r="N91" s="3">
        <f t="shared" si="43"/>
        <v>80.56</v>
      </c>
      <c r="P91" s="3">
        <f t="shared" si="33"/>
        <v>80.56</v>
      </c>
      <c r="Q91" s="10"/>
      <c r="R91" s="11">
        <f t="shared" si="34"/>
        <v>0.4</v>
      </c>
      <c r="S91" s="3">
        <f t="shared" si="40"/>
        <v>80.56</v>
      </c>
      <c r="T91" s="70"/>
      <c r="U91" s="3">
        <f t="shared" si="41"/>
        <v>80.56</v>
      </c>
      <c r="V91" s="10"/>
      <c r="W91" s="11">
        <f t="shared" si="35"/>
        <v>0.4</v>
      </c>
      <c r="X91" s="3">
        <f t="shared" si="42"/>
        <v>74.363076923076918</v>
      </c>
      <c r="Y91" s="70"/>
      <c r="Z91" s="3">
        <f t="shared" si="36"/>
        <v>88.616000000000014</v>
      </c>
      <c r="AA91" s="3">
        <f t="shared" si="37"/>
        <v>107.22536000000001</v>
      </c>
      <c r="AB91" s="10"/>
      <c r="AC91" s="11">
        <f t="shared" si="38"/>
        <v>0.4545454545454547</v>
      </c>
      <c r="AD91" s="3">
        <f t="shared" si="21"/>
        <v>88.616000000000014</v>
      </c>
      <c r="AE91" s="35"/>
    </row>
    <row r="92" spans="1:31" ht="16.5" customHeight="1" x14ac:dyDescent="0.2">
      <c r="A92" s="216"/>
      <c r="B92" s="200"/>
      <c r="C92" s="20">
        <v>110011</v>
      </c>
      <c r="D92" s="180">
        <v>3083681017656</v>
      </c>
      <c r="E92" s="2" t="s">
        <v>361</v>
      </c>
      <c r="F92" s="13">
        <v>12</v>
      </c>
      <c r="G92" s="1">
        <f>63*0.76</f>
        <v>47.88</v>
      </c>
      <c r="H92" s="14"/>
      <c r="I92" s="1">
        <f t="shared" si="29"/>
        <v>0</v>
      </c>
      <c r="J92" s="10"/>
      <c r="K92" s="3">
        <f t="shared" si="39"/>
        <v>79.800000000000011</v>
      </c>
      <c r="L92" s="10"/>
      <c r="M92" s="11">
        <f t="shared" si="31"/>
        <v>0.4</v>
      </c>
      <c r="N92" s="3">
        <f t="shared" si="43"/>
        <v>79.800000000000011</v>
      </c>
      <c r="P92" s="3">
        <f t="shared" si="33"/>
        <v>79.800000000000011</v>
      </c>
      <c r="Q92" s="10"/>
      <c r="R92" s="11">
        <f t="shared" si="34"/>
        <v>0.4</v>
      </c>
      <c r="S92" s="3">
        <f t="shared" si="40"/>
        <v>79.800000000000011</v>
      </c>
      <c r="T92" s="70"/>
      <c r="U92" s="3">
        <f t="shared" si="41"/>
        <v>79.800000000000011</v>
      </c>
      <c r="V92" s="10"/>
      <c r="W92" s="11">
        <f t="shared" si="35"/>
        <v>0.4</v>
      </c>
      <c r="X92" s="3">
        <f t="shared" si="42"/>
        <v>73.66153846153847</v>
      </c>
      <c r="Y92" s="70"/>
      <c r="Z92" s="3">
        <f t="shared" si="36"/>
        <v>87.780000000000015</v>
      </c>
      <c r="AA92" s="3">
        <f t="shared" si="37"/>
        <v>106.21380000000002</v>
      </c>
      <c r="AB92" s="10"/>
      <c r="AC92" s="11">
        <f t="shared" si="38"/>
        <v>0.45454545454545459</v>
      </c>
      <c r="AD92" s="3">
        <f t="shared" si="21"/>
        <v>87.780000000000015</v>
      </c>
      <c r="AE92" s="35"/>
    </row>
    <row r="93" spans="1:31" ht="16.5" customHeight="1" x14ac:dyDescent="0.2">
      <c r="A93" s="216"/>
      <c r="B93" s="200"/>
      <c r="C93" s="20">
        <v>110012</v>
      </c>
      <c r="D93" s="181">
        <v>3083681003437</v>
      </c>
      <c r="E93" s="2" t="s">
        <v>357</v>
      </c>
      <c r="F93" s="13">
        <v>24</v>
      </c>
      <c r="G93" s="1">
        <f>22.45*0.76</f>
        <v>17.062000000000001</v>
      </c>
      <c r="H93" s="14"/>
      <c r="I93" s="1">
        <f t="shared" si="29"/>
        <v>0</v>
      </c>
      <c r="J93" s="10"/>
      <c r="K93" s="3">
        <f t="shared" si="39"/>
        <v>28.436666666666671</v>
      </c>
      <c r="L93" s="10"/>
      <c r="M93" s="11">
        <f t="shared" si="31"/>
        <v>0.4</v>
      </c>
      <c r="N93" s="3">
        <f t="shared" si="43"/>
        <v>28.436666666666671</v>
      </c>
      <c r="P93" s="3">
        <f t="shared" si="33"/>
        <v>28.436666666666671</v>
      </c>
      <c r="Q93" s="10"/>
      <c r="R93" s="11">
        <f t="shared" si="34"/>
        <v>0.4</v>
      </c>
      <c r="S93" s="3">
        <f t="shared" si="40"/>
        <v>28.436666666666671</v>
      </c>
      <c r="T93" s="70"/>
      <c r="U93" s="3">
        <f t="shared" si="41"/>
        <v>28.436666666666671</v>
      </c>
      <c r="V93" s="10"/>
      <c r="W93" s="11">
        <f t="shared" si="35"/>
        <v>0.4</v>
      </c>
      <c r="X93" s="3">
        <f t="shared" si="42"/>
        <v>26.24923076923077</v>
      </c>
      <c r="Y93" s="70"/>
      <c r="Z93" s="3">
        <f t="shared" si="36"/>
        <v>31.280333333333342</v>
      </c>
      <c r="AA93" s="3">
        <f t="shared" si="37"/>
        <v>37.849203333333342</v>
      </c>
      <c r="AB93" s="10"/>
      <c r="AC93" s="11">
        <f t="shared" si="38"/>
        <v>0.4545454545454547</v>
      </c>
      <c r="AD93" s="3">
        <f t="shared" si="21"/>
        <v>31.280333333333342</v>
      </c>
      <c r="AE93" s="35"/>
    </row>
    <row r="94" spans="1:31" ht="16.5" customHeight="1" x14ac:dyDescent="0.2">
      <c r="A94" s="216"/>
      <c r="B94" s="200"/>
      <c r="C94" s="20">
        <v>110013</v>
      </c>
      <c r="D94" s="51">
        <v>3083680002752</v>
      </c>
      <c r="E94" s="2" t="s">
        <v>358</v>
      </c>
      <c r="F94" s="13">
        <v>12</v>
      </c>
      <c r="G94" s="1">
        <f>70.15*0.76</f>
        <v>53.314000000000007</v>
      </c>
      <c r="H94" s="14"/>
      <c r="I94" s="1">
        <f t="shared" si="29"/>
        <v>0</v>
      </c>
      <c r="J94" s="10"/>
      <c r="K94" s="3">
        <f t="shared" si="39"/>
        <v>88.856666666666683</v>
      </c>
      <c r="L94" s="10"/>
      <c r="M94" s="11">
        <f t="shared" si="31"/>
        <v>0.4</v>
      </c>
      <c r="N94" s="3">
        <f t="shared" si="43"/>
        <v>88.856666666666683</v>
      </c>
      <c r="P94" s="3">
        <f t="shared" si="33"/>
        <v>88.856666666666683</v>
      </c>
      <c r="Q94" s="10"/>
      <c r="R94" s="11">
        <f t="shared" si="34"/>
        <v>0.4</v>
      </c>
      <c r="S94" s="3">
        <f t="shared" si="40"/>
        <v>88.856666666666683</v>
      </c>
      <c r="T94" s="70"/>
      <c r="U94" s="3">
        <f t="shared" si="41"/>
        <v>88.856666666666683</v>
      </c>
      <c r="V94" s="10"/>
      <c r="W94" s="11">
        <f t="shared" si="35"/>
        <v>0.4</v>
      </c>
      <c r="X94" s="3">
        <f t="shared" si="42"/>
        <v>82.021538461538469</v>
      </c>
      <c r="Y94" s="70"/>
      <c r="Z94" s="3">
        <f t="shared" si="36"/>
        <v>97.742333333333363</v>
      </c>
      <c r="AA94" s="3">
        <f t="shared" si="37"/>
        <v>118.26822333333337</v>
      </c>
      <c r="AB94" s="10"/>
      <c r="AC94" s="11">
        <f t="shared" si="38"/>
        <v>0.45454545454545459</v>
      </c>
      <c r="AD94" s="3">
        <f t="shared" si="21"/>
        <v>97.742333333333363</v>
      </c>
      <c r="AE94" s="35"/>
    </row>
    <row r="95" spans="1:31" ht="16.5" customHeight="1" x14ac:dyDescent="0.2">
      <c r="A95" s="216"/>
      <c r="B95" s="200"/>
      <c r="C95" s="20">
        <v>110014</v>
      </c>
      <c r="D95" s="51">
        <v>3083680000673</v>
      </c>
      <c r="E95" s="2" t="s">
        <v>359</v>
      </c>
      <c r="F95" s="13">
        <v>12</v>
      </c>
      <c r="G95" s="1">
        <f>59.7*0.76</f>
        <v>45.372</v>
      </c>
      <c r="H95" s="14"/>
      <c r="I95" s="1">
        <f t="shared" si="29"/>
        <v>0</v>
      </c>
      <c r="J95" s="10"/>
      <c r="K95" s="3">
        <f t="shared" si="39"/>
        <v>75.62</v>
      </c>
      <c r="L95" s="10"/>
      <c r="M95" s="11">
        <f t="shared" si="31"/>
        <v>0.4</v>
      </c>
      <c r="N95" s="3">
        <f t="shared" si="43"/>
        <v>75.62</v>
      </c>
      <c r="P95" s="3">
        <f t="shared" si="33"/>
        <v>75.62</v>
      </c>
      <c r="Q95" s="10"/>
      <c r="R95" s="11">
        <f t="shared" si="34"/>
        <v>0.4</v>
      </c>
      <c r="S95" s="3">
        <f t="shared" si="40"/>
        <v>75.62</v>
      </c>
      <c r="T95" s="70"/>
      <c r="U95" s="3">
        <f t="shared" si="41"/>
        <v>75.62</v>
      </c>
      <c r="V95" s="10"/>
      <c r="W95" s="11">
        <f t="shared" si="35"/>
        <v>0.4</v>
      </c>
      <c r="X95" s="3">
        <f t="shared" si="42"/>
        <v>69.803076923076915</v>
      </c>
      <c r="Y95" s="70"/>
      <c r="Z95" s="3">
        <f t="shared" si="36"/>
        <v>83.182000000000016</v>
      </c>
      <c r="AA95" s="3">
        <f t="shared" si="37"/>
        <v>100.65022000000002</v>
      </c>
      <c r="AB95" s="10"/>
      <c r="AC95" s="11">
        <f t="shared" si="38"/>
        <v>0.4545454545454547</v>
      </c>
      <c r="AD95" s="3">
        <f t="shared" si="21"/>
        <v>83.182000000000016</v>
      </c>
      <c r="AE95" s="35"/>
    </row>
    <row r="96" spans="1:31" ht="16.5" customHeight="1" x14ac:dyDescent="0.2">
      <c r="A96" s="217"/>
      <c r="B96" s="200"/>
      <c r="C96" s="20">
        <v>110015</v>
      </c>
      <c r="D96" s="182">
        <v>3083680994026</v>
      </c>
      <c r="E96" s="2" t="s">
        <v>360</v>
      </c>
      <c r="F96" s="13">
        <v>12</v>
      </c>
      <c r="G96" s="1">
        <f>64.95*0.76</f>
        <v>49.362000000000002</v>
      </c>
      <c r="H96" s="14"/>
      <c r="I96" s="1">
        <f t="shared" si="29"/>
        <v>0</v>
      </c>
      <c r="J96" s="10"/>
      <c r="K96" s="3">
        <f t="shared" si="39"/>
        <v>82.27000000000001</v>
      </c>
      <c r="L96" s="10"/>
      <c r="M96" s="11">
        <f t="shared" si="31"/>
        <v>0.4</v>
      </c>
      <c r="N96" s="3">
        <f t="shared" si="43"/>
        <v>82.27000000000001</v>
      </c>
      <c r="P96" s="3">
        <f t="shared" si="33"/>
        <v>82.27000000000001</v>
      </c>
      <c r="Q96" s="10"/>
      <c r="R96" s="11">
        <f t="shared" si="34"/>
        <v>0.4</v>
      </c>
      <c r="S96" s="3">
        <f t="shared" si="40"/>
        <v>82.27000000000001</v>
      </c>
      <c r="T96" s="70"/>
      <c r="U96" s="3">
        <f t="shared" si="41"/>
        <v>82.27000000000001</v>
      </c>
      <c r="V96" s="10"/>
      <c r="W96" s="11">
        <f t="shared" si="35"/>
        <v>0.4</v>
      </c>
      <c r="X96" s="3">
        <f t="shared" si="42"/>
        <v>75.941538461538457</v>
      </c>
      <c r="Y96" s="70"/>
      <c r="Z96" s="3">
        <f t="shared" si="36"/>
        <v>90.497000000000014</v>
      </c>
      <c r="AA96" s="3">
        <f t="shared" si="37"/>
        <v>109.50137000000001</v>
      </c>
      <c r="AB96" s="10"/>
      <c r="AC96" s="11">
        <f t="shared" si="38"/>
        <v>0.45454545454545459</v>
      </c>
      <c r="AD96" s="3">
        <f t="shared" si="21"/>
        <v>90.497000000000014</v>
      </c>
      <c r="AE96" s="35"/>
    </row>
    <row r="97" spans="1:31" s="84" customFormat="1" ht="16.5" hidden="1" customHeight="1" thickTop="1" x14ac:dyDescent="0.2">
      <c r="A97" s="213" t="s">
        <v>38</v>
      </c>
      <c r="B97" s="214" t="s">
        <v>256</v>
      </c>
      <c r="C97" s="74">
        <v>111001</v>
      </c>
      <c r="D97" s="90" t="s">
        <v>235</v>
      </c>
      <c r="E97" s="76" t="s">
        <v>25</v>
      </c>
      <c r="F97" s="77">
        <v>12</v>
      </c>
      <c r="G97" s="78">
        <v>0</v>
      </c>
      <c r="H97" s="79"/>
      <c r="I97" s="1">
        <f t="shared" si="29"/>
        <v>0</v>
      </c>
      <c r="J97" s="88"/>
      <c r="K97" s="81">
        <f t="shared" si="30"/>
        <v>0</v>
      </c>
      <c r="L97" s="94"/>
      <c r="M97" s="83" t="e">
        <f t="shared" si="31"/>
        <v>#DIV/0!</v>
      </c>
      <c r="N97" s="81">
        <f>$G97/0.7</f>
        <v>0</v>
      </c>
      <c r="P97" s="81">
        <f t="shared" si="33"/>
        <v>0</v>
      </c>
      <c r="Q97" s="94"/>
      <c r="R97" s="83" t="e">
        <f t="shared" si="34"/>
        <v>#DIV/0!</v>
      </c>
      <c r="S97" s="81">
        <f t="shared" ref="S97:S135" si="44">$G97/0.65</f>
        <v>0</v>
      </c>
      <c r="T97" s="85"/>
      <c r="U97" s="81">
        <f>P97</f>
        <v>0</v>
      </c>
      <c r="V97" s="94"/>
      <c r="W97" s="11" t="e">
        <f t="shared" si="35"/>
        <v>#DIV/0!</v>
      </c>
      <c r="X97" s="81">
        <f>$G97/0.73</f>
        <v>0</v>
      </c>
      <c r="Y97" s="85"/>
      <c r="Z97" s="81">
        <f t="shared" si="36"/>
        <v>0</v>
      </c>
      <c r="AA97" s="3">
        <f t="shared" si="37"/>
        <v>0</v>
      </c>
      <c r="AB97" s="94"/>
      <c r="AC97" s="11" t="e">
        <f t="shared" si="38"/>
        <v>#DIV/0!</v>
      </c>
      <c r="AD97" s="81">
        <f t="shared" si="21"/>
        <v>0</v>
      </c>
      <c r="AE97" s="86"/>
    </row>
    <row r="98" spans="1:31" s="84" customFormat="1" ht="16.5" hidden="1" customHeight="1" x14ac:dyDescent="0.2">
      <c r="A98" s="213"/>
      <c r="B98" s="214"/>
      <c r="C98" s="74">
        <v>111002</v>
      </c>
      <c r="D98" s="90" t="s">
        <v>236</v>
      </c>
      <c r="E98" s="76" t="s">
        <v>26</v>
      </c>
      <c r="F98" s="77">
        <v>12</v>
      </c>
      <c r="G98" s="78">
        <f>G97</f>
        <v>0</v>
      </c>
      <c r="H98" s="79"/>
      <c r="I98" s="1">
        <f t="shared" si="29"/>
        <v>0</v>
      </c>
      <c r="J98" s="88"/>
      <c r="K98" s="81">
        <f t="shared" si="30"/>
        <v>0</v>
      </c>
      <c r="L98" s="88"/>
      <c r="M98" s="83" t="e">
        <f t="shared" si="31"/>
        <v>#DIV/0!</v>
      </c>
      <c r="N98" s="81">
        <f t="shared" ref="N98:N135" si="45">$G98/0.7</f>
        <v>0</v>
      </c>
      <c r="P98" s="81">
        <f t="shared" si="33"/>
        <v>0</v>
      </c>
      <c r="Q98" s="88"/>
      <c r="R98" s="83" t="e">
        <f t="shared" si="34"/>
        <v>#DIV/0!</v>
      </c>
      <c r="S98" s="81">
        <f t="shared" si="44"/>
        <v>0</v>
      </c>
      <c r="T98" s="85"/>
      <c r="U98" s="81">
        <f>U97</f>
        <v>0</v>
      </c>
      <c r="V98" s="88"/>
      <c r="W98" s="11" t="e">
        <f t="shared" si="35"/>
        <v>#DIV/0!</v>
      </c>
      <c r="X98" s="81">
        <f t="shared" ref="X98:X135" si="46">$G98/0.73</f>
        <v>0</v>
      </c>
      <c r="Y98" s="85"/>
      <c r="Z98" s="81">
        <f t="shared" si="36"/>
        <v>0</v>
      </c>
      <c r="AA98" s="3">
        <f t="shared" si="37"/>
        <v>0</v>
      </c>
      <c r="AB98" s="88"/>
      <c r="AC98" s="11" t="e">
        <f t="shared" si="38"/>
        <v>#DIV/0!</v>
      </c>
      <c r="AD98" s="81">
        <f t="shared" si="21"/>
        <v>0</v>
      </c>
      <c r="AE98" s="86"/>
    </row>
    <row r="99" spans="1:31" s="84" customFormat="1" ht="16.5" hidden="1" customHeight="1" x14ac:dyDescent="0.2">
      <c r="A99" s="213"/>
      <c r="B99" s="214"/>
      <c r="C99" s="74">
        <v>111003</v>
      </c>
      <c r="D99" s="90" t="s">
        <v>237</v>
      </c>
      <c r="E99" s="76" t="s">
        <v>27</v>
      </c>
      <c r="F99" s="77">
        <v>12</v>
      </c>
      <c r="G99" s="78">
        <f t="shared" ref="G99:G125" si="47">G98</f>
        <v>0</v>
      </c>
      <c r="H99" s="79"/>
      <c r="I99" s="1">
        <f t="shared" si="29"/>
        <v>0</v>
      </c>
      <c r="J99" s="88"/>
      <c r="K99" s="81">
        <f t="shared" si="30"/>
        <v>0</v>
      </c>
      <c r="L99" s="88"/>
      <c r="M99" s="83" t="e">
        <f t="shared" si="31"/>
        <v>#DIV/0!</v>
      </c>
      <c r="N99" s="81">
        <f t="shared" si="45"/>
        <v>0</v>
      </c>
      <c r="P99" s="81">
        <f t="shared" si="33"/>
        <v>0</v>
      </c>
      <c r="Q99" s="88"/>
      <c r="R99" s="83" t="e">
        <f t="shared" si="34"/>
        <v>#DIV/0!</v>
      </c>
      <c r="S99" s="81">
        <f t="shared" si="44"/>
        <v>0</v>
      </c>
      <c r="T99" s="85"/>
      <c r="U99" s="81">
        <f>P99</f>
        <v>0</v>
      </c>
      <c r="V99" s="88"/>
      <c r="W99" s="11" t="e">
        <f t="shared" si="35"/>
        <v>#DIV/0!</v>
      </c>
      <c r="X99" s="81">
        <f t="shared" si="46"/>
        <v>0</v>
      </c>
      <c r="Y99" s="85"/>
      <c r="Z99" s="81">
        <f t="shared" si="36"/>
        <v>0</v>
      </c>
      <c r="AA99" s="3">
        <f t="shared" si="37"/>
        <v>0</v>
      </c>
      <c r="AB99" s="88"/>
      <c r="AC99" s="11" t="e">
        <f t="shared" si="38"/>
        <v>#DIV/0!</v>
      </c>
      <c r="AD99" s="81">
        <f t="shared" si="21"/>
        <v>0</v>
      </c>
      <c r="AE99" s="86"/>
    </row>
    <row r="100" spans="1:31" s="84" customFormat="1" ht="16.5" hidden="1" customHeight="1" x14ac:dyDescent="0.2">
      <c r="A100" s="213"/>
      <c r="B100" s="214"/>
      <c r="C100" s="74">
        <v>111004</v>
      </c>
      <c r="D100" s="90" t="s">
        <v>238</v>
      </c>
      <c r="E100" s="76" t="s">
        <v>28</v>
      </c>
      <c r="F100" s="77">
        <v>12</v>
      </c>
      <c r="G100" s="78">
        <f t="shared" si="47"/>
        <v>0</v>
      </c>
      <c r="H100" s="79"/>
      <c r="I100" s="1">
        <f t="shared" si="29"/>
        <v>0</v>
      </c>
      <c r="J100" s="88"/>
      <c r="K100" s="81">
        <f t="shared" si="30"/>
        <v>0</v>
      </c>
      <c r="L100" s="88"/>
      <c r="M100" s="83" t="e">
        <f t="shared" si="31"/>
        <v>#DIV/0!</v>
      </c>
      <c r="N100" s="81">
        <f t="shared" si="45"/>
        <v>0</v>
      </c>
      <c r="P100" s="81">
        <f t="shared" si="33"/>
        <v>0</v>
      </c>
      <c r="Q100" s="88"/>
      <c r="R100" s="83" t="e">
        <f t="shared" si="34"/>
        <v>#DIV/0!</v>
      </c>
      <c r="S100" s="81">
        <f t="shared" si="44"/>
        <v>0</v>
      </c>
      <c r="T100" s="85"/>
      <c r="U100" s="81">
        <f>P100</f>
        <v>0</v>
      </c>
      <c r="V100" s="88"/>
      <c r="W100" s="11" t="e">
        <f t="shared" si="35"/>
        <v>#DIV/0!</v>
      </c>
      <c r="X100" s="81">
        <f t="shared" si="46"/>
        <v>0</v>
      </c>
      <c r="Y100" s="85"/>
      <c r="Z100" s="81">
        <f t="shared" si="36"/>
        <v>0</v>
      </c>
      <c r="AA100" s="3">
        <f t="shared" si="37"/>
        <v>0</v>
      </c>
      <c r="AB100" s="88"/>
      <c r="AC100" s="11" t="e">
        <f t="shared" si="38"/>
        <v>#DIV/0!</v>
      </c>
      <c r="AD100" s="81">
        <f t="shared" si="21"/>
        <v>0</v>
      </c>
      <c r="AE100" s="86"/>
    </row>
    <row r="101" spans="1:31" s="84" customFormat="1" ht="16.5" hidden="1" customHeight="1" x14ac:dyDescent="0.2">
      <c r="A101" s="213"/>
      <c r="B101" s="214"/>
      <c r="C101" s="74">
        <v>111024</v>
      </c>
      <c r="D101" s="95">
        <v>7798099385384</v>
      </c>
      <c r="E101" s="76" t="s">
        <v>377</v>
      </c>
      <c r="F101" s="77">
        <v>12</v>
      </c>
      <c r="G101" s="78">
        <f t="shared" si="47"/>
        <v>0</v>
      </c>
      <c r="H101" s="79"/>
      <c r="I101" s="1">
        <f t="shared" si="29"/>
        <v>0</v>
      </c>
      <c r="J101" s="88"/>
      <c r="K101" s="81">
        <f t="shared" si="30"/>
        <v>0</v>
      </c>
      <c r="L101" s="88"/>
      <c r="M101" s="83" t="e">
        <f t="shared" si="31"/>
        <v>#DIV/0!</v>
      </c>
      <c r="N101" s="81">
        <f t="shared" si="45"/>
        <v>0</v>
      </c>
      <c r="P101" s="81">
        <f t="shared" si="33"/>
        <v>0</v>
      </c>
      <c r="Q101" s="88"/>
      <c r="R101" s="83" t="e">
        <f t="shared" si="34"/>
        <v>#DIV/0!</v>
      </c>
      <c r="S101" s="81">
        <f t="shared" si="44"/>
        <v>0</v>
      </c>
      <c r="T101" s="85"/>
      <c r="U101" s="81">
        <f>P101</f>
        <v>0</v>
      </c>
      <c r="V101" s="88"/>
      <c r="W101" s="11" t="e">
        <f t="shared" si="35"/>
        <v>#DIV/0!</v>
      </c>
      <c r="X101" s="81">
        <f t="shared" si="46"/>
        <v>0</v>
      </c>
      <c r="Y101" s="85"/>
      <c r="Z101" s="81">
        <f t="shared" si="36"/>
        <v>0</v>
      </c>
      <c r="AA101" s="3">
        <f t="shared" si="37"/>
        <v>0</v>
      </c>
      <c r="AB101" s="88"/>
      <c r="AC101" s="11" t="e">
        <f t="shared" si="38"/>
        <v>#DIV/0!</v>
      </c>
      <c r="AD101" s="81">
        <f t="shared" ref="AD101:AD178" si="48">K101*1.1</f>
        <v>0</v>
      </c>
      <c r="AE101" s="86"/>
    </row>
    <row r="102" spans="1:31" s="84" customFormat="1" ht="16.5" hidden="1" customHeight="1" x14ac:dyDescent="0.2">
      <c r="A102" s="213"/>
      <c r="B102" s="214"/>
      <c r="C102" s="74">
        <v>112001</v>
      </c>
      <c r="D102" s="90" t="s">
        <v>239</v>
      </c>
      <c r="E102" s="76" t="s">
        <v>322</v>
      </c>
      <c r="F102" s="77">
        <v>12</v>
      </c>
      <c r="G102" s="78">
        <f t="shared" si="47"/>
        <v>0</v>
      </c>
      <c r="H102" s="79"/>
      <c r="I102" s="1">
        <f t="shared" si="29"/>
        <v>0</v>
      </c>
      <c r="J102" s="88"/>
      <c r="K102" s="81">
        <f t="shared" si="30"/>
        <v>0</v>
      </c>
      <c r="L102" s="88"/>
      <c r="M102" s="83" t="e">
        <f t="shared" si="31"/>
        <v>#DIV/0!</v>
      </c>
      <c r="N102" s="81">
        <f t="shared" si="45"/>
        <v>0</v>
      </c>
      <c r="P102" s="81">
        <f t="shared" si="33"/>
        <v>0</v>
      </c>
      <c r="Q102" s="88"/>
      <c r="R102" s="83" t="e">
        <f t="shared" si="34"/>
        <v>#DIV/0!</v>
      </c>
      <c r="S102" s="81">
        <f t="shared" si="44"/>
        <v>0</v>
      </c>
      <c r="T102" s="85"/>
      <c r="U102" s="81">
        <f>X102</f>
        <v>0</v>
      </c>
      <c r="V102" s="88"/>
      <c r="W102" s="11" t="e">
        <f t="shared" si="35"/>
        <v>#DIV/0!</v>
      </c>
      <c r="X102" s="81">
        <f t="shared" si="46"/>
        <v>0</v>
      </c>
      <c r="Y102" s="85"/>
      <c r="Z102" s="81">
        <f t="shared" si="36"/>
        <v>0</v>
      </c>
      <c r="AA102" s="3">
        <f t="shared" si="37"/>
        <v>0</v>
      </c>
      <c r="AB102" s="88"/>
      <c r="AC102" s="11" t="e">
        <f t="shared" si="38"/>
        <v>#DIV/0!</v>
      </c>
      <c r="AD102" s="81">
        <f t="shared" si="48"/>
        <v>0</v>
      </c>
      <c r="AE102" s="86"/>
    </row>
    <row r="103" spans="1:31" s="84" customFormat="1" ht="16.5" hidden="1" customHeight="1" x14ac:dyDescent="0.2">
      <c r="A103" s="213"/>
      <c r="B103" s="214"/>
      <c r="C103" s="74">
        <v>112002</v>
      </c>
      <c r="D103" s="90" t="s">
        <v>240</v>
      </c>
      <c r="E103" s="76" t="s">
        <v>344</v>
      </c>
      <c r="F103" s="77">
        <v>12</v>
      </c>
      <c r="G103" s="78">
        <f t="shared" si="47"/>
        <v>0</v>
      </c>
      <c r="H103" s="79"/>
      <c r="I103" s="1">
        <f t="shared" si="29"/>
        <v>0</v>
      </c>
      <c r="J103" s="88"/>
      <c r="K103" s="81">
        <f t="shared" si="30"/>
        <v>0</v>
      </c>
      <c r="L103" s="88"/>
      <c r="M103" s="83" t="e">
        <f t="shared" si="31"/>
        <v>#DIV/0!</v>
      </c>
      <c r="N103" s="81">
        <f t="shared" si="45"/>
        <v>0</v>
      </c>
      <c r="P103" s="81">
        <f t="shared" si="33"/>
        <v>0</v>
      </c>
      <c r="Q103" s="88"/>
      <c r="R103" s="83" t="e">
        <f t="shared" si="34"/>
        <v>#DIV/0!</v>
      </c>
      <c r="S103" s="81">
        <f t="shared" si="44"/>
        <v>0</v>
      </c>
      <c r="T103" s="85"/>
      <c r="U103" s="81">
        <f t="shared" ref="U103:U125" si="49">X103</f>
        <v>0</v>
      </c>
      <c r="V103" s="88"/>
      <c r="W103" s="11" t="e">
        <f t="shared" si="35"/>
        <v>#DIV/0!</v>
      </c>
      <c r="X103" s="81">
        <f t="shared" si="46"/>
        <v>0</v>
      </c>
      <c r="Y103" s="85"/>
      <c r="Z103" s="81">
        <f t="shared" si="36"/>
        <v>0</v>
      </c>
      <c r="AA103" s="3">
        <f t="shared" si="37"/>
        <v>0</v>
      </c>
      <c r="AB103" s="88"/>
      <c r="AC103" s="11" t="e">
        <f t="shared" si="38"/>
        <v>#DIV/0!</v>
      </c>
      <c r="AD103" s="81">
        <f t="shared" si="48"/>
        <v>0</v>
      </c>
      <c r="AE103" s="86"/>
    </row>
    <row r="104" spans="1:31" s="84" customFormat="1" ht="16.5" hidden="1" customHeight="1" x14ac:dyDescent="0.2">
      <c r="A104" s="213"/>
      <c r="B104" s="214"/>
      <c r="C104" s="74">
        <v>112003</v>
      </c>
      <c r="D104" s="90">
        <v>7798099385445</v>
      </c>
      <c r="E104" s="76" t="s">
        <v>309</v>
      </c>
      <c r="F104" s="77">
        <v>12</v>
      </c>
      <c r="G104" s="78">
        <f t="shared" si="47"/>
        <v>0</v>
      </c>
      <c r="H104" s="79"/>
      <c r="I104" s="1">
        <f t="shared" si="29"/>
        <v>0</v>
      </c>
      <c r="J104" s="88"/>
      <c r="K104" s="81">
        <f t="shared" si="30"/>
        <v>0</v>
      </c>
      <c r="L104" s="88"/>
      <c r="M104" s="83" t="e">
        <f t="shared" si="31"/>
        <v>#DIV/0!</v>
      </c>
      <c r="N104" s="81">
        <f t="shared" si="45"/>
        <v>0</v>
      </c>
      <c r="P104" s="81">
        <f t="shared" si="33"/>
        <v>0</v>
      </c>
      <c r="Q104" s="88"/>
      <c r="R104" s="83" t="e">
        <f t="shared" si="34"/>
        <v>#DIV/0!</v>
      </c>
      <c r="S104" s="81">
        <f t="shared" si="44"/>
        <v>0</v>
      </c>
      <c r="T104" s="85"/>
      <c r="U104" s="81">
        <f t="shared" si="49"/>
        <v>0</v>
      </c>
      <c r="V104" s="88"/>
      <c r="W104" s="11" t="e">
        <f t="shared" si="35"/>
        <v>#DIV/0!</v>
      </c>
      <c r="X104" s="81">
        <f t="shared" si="46"/>
        <v>0</v>
      </c>
      <c r="Y104" s="85"/>
      <c r="Z104" s="81">
        <f t="shared" si="36"/>
        <v>0</v>
      </c>
      <c r="AA104" s="3">
        <f t="shared" si="37"/>
        <v>0</v>
      </c>
      <c r="AB104" s="88"/>
      <c r="AC104" s="11" t="e">
        <f t="shared" si="38"/>
        <v>#DIV/0!</v>
      </c>
      <c r="AD104" s="81">
        <f t="shared" si="48"/>
        <v>0</v>
      </c>
      <c r="AE104" s="86"/>
    </row>
    <row r="105" spans="1:31" s="84" customFormat="1" ht="16.5" hidden="1" customHeight="1" x14ac:dyDescent="0.2">
      <c r="A105" s="213"/>
      <c r="B105" s="214"/>
      <c r="C105" s="74">
        <v>112004</v>
      </c>
      <c r="D105" s="96" t="str">
        <f>"7798099381621  "</f>
        <v xml:space="preserve">7798099381621  </v>
      </c>
      <c r="E105" s="76" t="s">
        <v>310</v>
      </c>
      <c r="F105" s="77">
        <v>12</v>
      </c>
      <c r="G105" s="78">
        <f t="shared" si="47"/>
        <v>0</v>
      </c>
      <c r="H105" s="79"/>
      <c r="I105" s="1">
        <f t="shared" si="29"/>
        <v>0</v>
      </c>
      <c r="J105" s="88"/>
      <c r="K105" s="81">
        <f t="shared" si="30"/>
        <v>0</v>
      </c>
      <c r="L105" s="88"/>
      <c r="M105" s="83" t="e">
        <f t="shared" si="31"/>
        <v>#DIV/0!</v>
      </c>
      <c r="N105" s="81">
        <f t="shared" si="45"/>
        <v>0</v>
      </c>
      <c r="P105" s="81">
        <f t="shared" si="33"/>
        <v>0</v>
      </c>
      <c r="Q105" s="88"/>
      <c r="R105" s="83" t="e">
        <f t="shared" si="34"/>
        <v>#DIV/0!</v>
      </c>
      <c r="S105" s="81">
        <f t="shared" si="44"/>
        <v>0</v>
      </c>
      <c r="T105" s="85"/>
      <c r="U105" s="81">
        <f t="shared" si="49"/>
        <v>0</v>
      </c>
      <c r="V105" s="88"/>
      <c r="W105" s="11" t="e">
        <f t="shared" si="35"/>
        <v>#DIV/0!</v>
      </c>
      <c r="X105" s="81">
        <f t="shared" si="46"/>
        <v>0</v>
      </c>
      <c r="Y105" s="85"/>
      <c r="Z105" s="81">
        <f t="shared" si="36"/>
        <v>0</v>
      </c>
      <c r="AA105" s="3">
        <f t="shared" si="37"/>
        <v>0</v>
      </c>
      <c r="AB105" s="88"/>
      <c r="AC105" s="11" t="e">
        <f t="shared" si="38"/>
        <v>#DIV/0!</v>
      </c>
      <c r="AD105" s="81">
        <f t="shared" si="48"/>
        <v>0</v>
      </c>
      <c r="AE105" s="86"/>
    </row>
    <row r="106" spans="1:31" s="84" customFormat="1" ht="16.5" hidden="1" customHeight="1" x14ac:dyDescent="0.2">
      <c r="A106" s="213"/>
      <c r="B106" s="214"/>
      <c r="C106" s="74">
        <v>113001</v>
      </c>
      <c r="D106" s="87"/>
      <c r="E106" s="76" t="s">
        <v>345</v>
      </c>
      <c r="F106" s="77">
        <v>12</v>
      </c>
      <c r="G106" s="78">
        <f t="shared" si="47"/>
        <v>0</v>
      </c>
      <c r="H106" s="79"/>
      <c r="I106" s="1">
        <f t="shared" si="29"/>
        <v>0</v>
      </c>
      <c r="J106" s="88"/>
      <c r="K106" s="81">
        <f t="shared" si="30"/>
        <v>0</v>
      </c>
      <c r="L106" s="88"/>
      <c r="M106" s="83" t="e">
        <f t="shared" si="31"/>
        <v>#DIV/0!</v>
      </c>
      <c r="N106" s="81">
        <f t="shared" si="45"/>
        <v>0</v>
      </c>
      <c r="P106" s="81">
        <f t="shared" si="33"/>
        <v>0</v>
      </c>
      <c r="Q106" s="88"/>
      <c r="R106" s="83" t="e">
        <f t="shared" si="34"/>
        <v>#DIV/0!</v>
      </c>
      <c r="S106" s="81">
        <f t="shared" si="44"/>
        <v>0</v>
      </c>
      <c r="T106" s="85"/>
      <c r="U106" s="81">
        <f t="shared" si="49"/>
        <v>0</v>
      </c>
      <c r="V106" s="88"/>
      <c r="W106" s="11" t="e">
        <f t="shared" si="35"/>
        <v>#DIV/0!</v>
      </c>
      <c r="X106" s="81">
        <f t="shared" si="46"/>
        <v>0</v>
      </c>
      <c r="Y106" s="85"/>
      <c r="Z106" s="81">
        <f t="shared" si="36"/>
        <v>0</v>
      </c>
      <c r="AA106" s="3">
        <f t="shared" si="37"/>
        <v>0</v>
      </c>
      <c r="AB106" s="88"/>
      <c r="AC106" s="11" t="e">
        <f t="shared" si="38"/>
        <v>#DIV/0!</v>
      </c>
      <c r="AD106" s="81">
        <f t="shared" si="48"/>
        <v>0</v>
      </c>
      <c r="AE106" s="86"/>
    </row>
    <row r="107" spans="1:31" s="84" customFormat="1" ht="16.5" hidden="1" customHeight="1" x14ac:dyDescent="0.2">
      <c r="A107" s="213"/>
      <c r="B107" s="214"/>
      <c r="C107" s="74">
        <v>113002</v>
      </c>
      <c r="D107" s="97">
        <v>7798099385124</v>
      </c>
      <c r="E107" s="76" t="s">
        <v>311</v>
      </c>
      <c r="F107" s="77">
        <v>8</v>
      </c>
      <c r="G107" s="78">
        <f t="shared" si="47"/>
        <v>0</v>
      </c>
      <c r="H107" s="79"/>
      <c r="I107" s="1">
        <f t="shared" si="29"/>
        <v>0</v>
      </c>
      <c r="J107" s="88"/>
      <c r="K107" s="81">
        <f t="shared" si="30"/>
        <v>0</v>
      </c>
      <c r="L107" s="88"/>
      <c r="M107" s="83" t="e">
        <f t="shared" si="31"/>
        <v>#DIV/0!</v>
      </c>
      <c r="N107" s="81">
        <f t="shared" si="45"/>
        <v>0</v>
      </c>
      <c r="P107" s="81">
        <f t="shared" si="33"/>
        <v>0</v>
      </c>
      <c r="Q107" s="88"/>
      <c r="R107" s="83" t="e">
        <f t="shared" si="34"/>
        <v>#DIV/0!</v>
      </c>
      <c r="S107" s="81">
        <f t="shared" si="44"/>
        <v>0</v>
      </c>
      <c r="T107" s="85"/>
      <c r="U107" s="81">
        <f t="shared" si="49"/>
        <v>0</v>
      </c>
      <c r="V107" s="88"/>
      <c r="W107" s="11" t="e">
        <f t="shared" si="35"/>
        <v>#DIV/0!</v>
      </c>
      <c r="X107" s="81">
        <f t="shared" si="46"/>
        <v>0</v>
      </c>
      <c r="Y107" s="85"/>
      <c r="Z107" s="81">
        <f t="shared" si="36"/>
        <v>0</v>
      </c>
      <c r="AA107" s="3">
        <f t="shared" si="37"/>
        <v>0</v>
      </c>
      <c r="AB107" s="88"/>
      <c r="AC107" s="11" t="e">
        <f t="shared" si="38"/>
        <v>#DIV/0!</v>
      </c>
      <c r="AD107" s="81">
        <f t="shared" si="48"/>
        <v>0</v>
      </c>
      <c r="AE107" s="86"/>
    </row>
    <row r="108" spans="1:31" s="84" customFormat="1" ht="16.5" hidden="1" customHeight="1" x14ac:dyDescent="0.2">
      <c r="A108" s="213"/>
      <c r="B108" s="214"/>
      <c r="C108" s="74">
        <v>113003</v>
      </c>
      <c r="D108" s="90" t="s">
        <v>241</v>
      </c>
      <c r="E108" s="76" t="s">
        <v>312</v>
      </c>
      <c r="F108" s="77">
        <v>8</v>
      </c>
      <c r="G108" s="78">
        <f t="shared" si="47"/>
        <v>0</v>
      </c>
      <c r="H108" s="79"/>
      <c r="I108" s="1">
        <f t="shared" si="29"/>
        <v>0</v>
      </c>
      <c r="J108" s="88"/>
      <c r="K108" s="81">
        <f t="shared" si="30"/>
        <v>0</v>
      </c>
      <c r="L108" s="88"/>
      <c r="M108" s="83" t="e">
        <f t="shared" si="31"/>
        <v>#DIV/0!</v>
      </c>
      <c r="N108" s="81">
        <f t="shared" si="45"/>
        <v>0</v>
      </c>
      <c r="P108" s="81">
        <f t="shared" si="33"/>
        <v>0</v>
      </c>
      <c r="Q108" s="88"/>
      <c r="R108" s="83" t="e">
        <f t="shared" si="34"/>
        <v>#DIV/0!</v>
      </c>
      <c r="S108" s="81">
        <f t="shared" si="44"/>
        <v>0</v>
      </c>
      <c r="T108" s="85"/>
      <c r="U108" s="81">
        <f t="shared" si="49"/>
        <v>0</v>
      </c>
      <c r="V108" s="88"/>
      <c r="W108" s="11" t="e">
        <f t="shared" si="35"/>
        <v>#DIV/0!</v>
      </c>
      <c r="X108" s="81">
        <f t="shared" si="46"/>
        <v>0</v>
      </c>
      <c r="Y108" s="85"/>
      <c r="Z108" s="81">
        <f t="shared" si="36"/>
        <v>0</v>
      </c>
      <c r="AA108" s="3">
        <f t="shared" si="37"/>
        <v>0</v>
      </c>
      <c r="AB108" s="88"/>
      <c r="AC108" s="11" t="e">
        <f t="shared" si="38"/>
        <v>#DIV/0!</v>
      </c>
      <c r="AD108" s="81">
        <f t="shared" si="48"/>
        <v>0</v>
      </c>
      <c r="AE108" s="86"/>
    </row>
    <row r="109" spans="1:31" s="84" customFormat="1" ht="16.5" hidden="1" customHeight="1" x14ac:dyDescent="0.2">
      <c r="A109" s="213"/>
      <c r="B109" s="214"/>
      <c r="C109" s="74">
        <v>113004</v>
      </c>
      <c r="D109" s="98">
        <v>7798099385131</v>
      </c>
      <c r="E109" s="76" t="s">
        <v>313</v>
      </c>
      <c r="F109" s="77"/>
      <c r="G109" s="78">
        <f t="shared" si="47"/>
        <v>0</v>
      </c>
      <c r="H109" s="79"/>
      <c r="I109" s="1">
        <f t="shared" si="29"/>
        <v>0</v>
      </c>
      <c r="J109" s="88"/>
      <c r="K109" s="81">
        <f t="shared" si="30"/>
        <v>0</v>
      </c>
      <c r="L109" s="88"/>
      <c r="M109" s="83" t="e">
        <f t="shared" si="31"/>
        <v>#DIV/0!</v>
      </c>
      <c r="N109" s="81">
        <f t="shared" si="45"/>
        <v>0</v>
      </c>
      <c r="P109" s="81">
        <f t="shared" si="33"/>
        <v>0</v>
      </c>
      <c r="Q109" s="88"/>
      <c r="R109" s="83" t="e">
        <f t="shared" si="34"/>
        <v>#DIV/0!</v>
      </c>
      <c r="S109" s="81">
        <f t="shared" si="44"/>
        <v>0</v>
      </c>
      <c r="T109" s="85"/>
      <c r="U109" s="81">
        <f t="shared" si="49"/>
        <v>0</v>
      </c>
      <c r="V109" s="88"/>
      <c r="W109" s="11" t="e">
        <f t="shared" si="35"/>
        <v>#DIV/0!</v>
      </c>
      <c r="X109" s="81">
        <f t="shared" si="46"/>
        <v>0</v>
      </c>
      <c r="Y109" s="85"/>
      <c r="Z109" s="81">
        <f t="shared" si="36"/>
        <v>0</v>
      </c>
      <c r="AA109" s="3">
        <f t="shared" si="37"/>
        <v>0</v>
      </c>
      <c r="AB109" s="88"/>
      <c r="AC109" s="11" t="e">
        <f t="shared" si="38"/>
        <v>#DIV/0!</v>
      </c>
      <c r="AD109" s="81">
        <f t="shared" si="48"/>
        <v>0</v>
      </c>
      <c r="AE109" s="86"/>
    </row>
    <row r="110" spans="1:31" s="84" customFormat="1" ht="16.5" hidden="1" customHeight="1" x14ac:dyDescent="0.2">
      <c r="A110" s="213"/>
      <c r="B110" s="214"/>
      <c r="C110" s="74">
        <v>113005</v>
      </c>
      <c r="D110" s="96" t="str">
        <f>"7798099385162  "</f>
        <v xml:space="preserve">7798099385162  </v>
      </c>
      <c r="E110" s="76" t="s">
        <v>314</v>
      </c>
      <c r="F110" s="77"/>
      <c r="G110" s="78">
        <f t="shared" si="47"/>
        <v>0</v>
      </c>
      <c r="H110" s="79"/>
      <c r="I110" s="1">
        <f t="shared" si="29"/>
        <v>0</v>
      </c>
      <c r="J110" s="88"/>
      <c r="K110" s="81">
        <f t="shared" si="30"/>
        <v>0</v>
      </c>
      <c r="L110" s="88"/>
      <c r="M110" s="83" t="e">
        <f t="shared" si="31"/>
        <v>#DIV/0!</v>
      </c>
      <c r="N110" s="81">
        <f t="shared" si="45"/>
        <v>0</v>
      </c>
      <c r="P110" s="81">
        <f t="shared" si="33"/>
        <v>0</v>
      </c>
      <c r="Q110" s="88"/>
      <c r="R110" s="83" t="e">
        <f t="shared" si="34"/>
        <v>#DIV/0!</v>
      </c>
      <c r="S110" s="81">
        <f t="shared" si="44"/>
        <v>0</v>
      </c>
      <c r="T110" s="85"/>
      <c r="U110" s="81">
        <f t="shared" si="49"/>
        <v>0</v>
      </c>
      <c r="V110" s="88"/>
      <c r="W110" s="11" t="e">
        <f t="shared" si="35"/>
        <v>#DIV/0!</v>
      </c>
      <c r="X110" s="81">
        <f t="shared" si="46"/>
        <v>0</v>
      </c>
      <c r="Y110" s="85"/>
      <c r="Z110" s="81">
        <f t="shared" si="36"/>
        <v>0</v>
      </c>
      <c r="AA110" s="3">
        <f t="shared" si="37"/>
        <v>0</v>
      </c>
      <c r="AB110" s="88"/>
      <c r="AC110" s="11" t="e">
        <f t="shared" si="38"/>
        <v>#DIV/0!</v>
      </c>
      <c r="AD110" s="81">
        <f t="shared" si="48"/>
        <v>0</v>
      </c>
      <c r="AE110" s="86"/>
    </row>
    <row r="111" spans="1:31" s="84" customFormat="1" ht="16.5" hidden="1" customHeight="1" x14ac:dyDescent="0.2">
      <c r="A111" s="213"/>
      <c r="B111" s="214"/>
      <c r="C111" s="74">
        <v>113006</v>
      </c>
      <c r="D111" s="87"/>
      <c r="E111" s="76" t="s">
        <v>48</v>
      </c>
      <c r="F111" s="77">
        <v>8</v>
      </c>
      <c r="G111" s="78">
        <f t="shared" si="47"/>
        <v>0</v>
      </c>
      <c r="H111" s="79"/>
      <c r="I111" s="1">
        <f t="shared" si="29"/>
        <v>0</v>
      </c>
      <c r="J111" s="88"/>
      <c r="K111" s="81">
        <f t="shared" si="30"/>
        <v>0</v>
      </c>
      <c r="L111" s="88"/>
      <c r="M111" s="83" t="e">
        <f t="shared" si="31"/>
        <v>#DIV/0!</v>
      </c>
      <c r="N111" s="81">
        <f t="shared" si="45"/>
        <v>0</v>
      </c>
      <c r="P111" s="81">
        <f t="shared" si="33"/>
        <v>0</v>
      </c>
      <c r="Q111" s="88"/>
      <c r="R111" s="83" t="e">
        <f t="shared" si="34"/>
        <v>#DIV/0!</v>
      </c>
      <c r="S111" s="81">
        <f t="shared" si="44"/>
        <v>0</v>
      </c>
      <c r="T111" s="85"/>
      <c r="U111" s="81">
        <f t="shared" si="49"/>
        <v>0</v>
      </c>
      <c r="V111" s="88"/>
      <c r="W111" s="11" t="e">
        <f t="shared" si="35"/>
        <v>#DIV/0!</v>
      </c>
      <c r="X111" s="81">
        <f t="shared" si="46"/>
        <v>0</v>
      </c>
      <c r="Y111" s="85"/>
      <c r="Z111" s="81">
        <f t="shared" si="36"/>
        <v>0</v>
      </c>
      <c r="AA111" s="3">
        <f t="shared" si="37"/>
        <v>0</v>
      </c>
      <c r="AB111" s="88"/>
      <c r="AC111" s="11" t="e">
        <f t="shared" si="38"/>
        <v>#DIV/0!</v>
      </c>
      <c r="AD111" s="81">
        <f t="shared" si="48"/>
        <v>0</v>
      </c>
      <c r="AE111" s="86"/>
    </row>
    <row r="112" spans="1:31" s="84" customFormat="1" ht="16.5" hidden="1" customHeight="1" x14ac:dyDescent="0.2">
      <c r="A112" s="213"/>
      <c r="B112" s="214"/>
      <c r="C112" s="74">
        <v>111005</v>
      </c>
      <c r="D112" s="90" t="s">
        <v>242</v>
      </c>
      <c r="E112" s="76" t="s">
        <v>63</v>
      </c>
      <c r="F112" s="77">
        <v>16</v>
      </c>
      <c r="G112" s="78">
        <f t="shared" si="47"/>
        <v>0</v>
      </c>
      <c r="H112" s="79"/>
      <c r="I112" s="1">
        <f t="shared" si="29"/>
        <v>0</v>
      </c>
      <c r="J112" s="88"/>
      <c r="K112" s="81">
        <f t="shared" si="30"/>
        <v>0</v>
      </c>
      <c r="L112" s="88"/>
      <c r="M112" s="83" t="e">
        <f t="shared" si="31"/>
        <v>#DIV/0!</v>
      </c>
      <c r="N112" s="81">
        <f t="shared" si="45"/>
        <v>0</v>
      </c>
      <c r="P112" s="81">
        <f t="shared" si="33"/>
        <v>0</v>
      </c>
      <c r="Q112" s="88"/>
      <c r="R112" s="83" t="e">
        <f t="shared" si="34"/>
        <v>#DIV/0!</v>
      </c>
      <c r="S112" s="81">
        <f t="shared" si="44"/>
        <v>0</v>
      </c>
      <c r="T112" s="85"/>
      <c r="U112" s="81">
        <f t="shared" si="49"/>
        <v>0</v>
      </c>
      <c r="V112" s="88"/>
      <c r="W112" s="11" t="e">
        <f t="shared" si="35"/>
        <v>#DIV/0!</v>
      </c>
      <c r="X112" s="81">
        <f t="shared" si="46"/>
        <v>0</v>
      </c>
      <c r="Y112" s="85"/>
      <c r="Z112" s="81">
        <f t="shared" si="36"/>
        <v>0</v>
      </c>
      <c r="AA112" s="3">
        <f t="shared" si="37"/>
        <v>0</v>
      </c>
      <c r="AB112" s="88"/>
      <c r="AC112" s="11" t="e">
        <f t="shared" si="38"/>
        <v>#DIV/0!</v>
      </c>
      <c r="AD112" s="81">
        <f t="shared" si="48"/>
        <v>0</v>
      </c>
      <c r="AE112" s="86"/>
    </row>
    <row r="113" spans="1:31" s="84" customFormat="1" ht="16.5" hidden="1" customHeight="1" x14ac:dyDescent="0.2">
      <c r="A113" s="213"/>
      <c r="B113" s="214"/>
      <c r="C113" s="74">
        <v>114001</v>
      </c>
      <c r="D113" s="87"/>
      <c r="E113" s="76"/>
      <c r="F113" s="77"/>
      <c r="G113" s="78">
        <f t="shared" si="47"/>
        <v>0</v>
      </c>
      <c r="H113" s="79"/>
      <c r="I113" s="1">
        <f t="shared" si="29"/>
        <v>0</v>
      </c>
      <c r="J113" s="88"/>
      <c r="K113" s="81">
        <f t="shared" si="30"/>
        <v>0</v>
      </c>
      <c r="L113" s="88"/>
      <c r="M113" s="83" t="e">
        <f t="shared" si="31"/>
        <v>#DIV/0!</v>
      </c>
      <c r="N113" s="81">
        <f t="shared" si="45"/>
        <v>0</v>
      </c>
      <c r="P113" s="81">
        <f t="shared" si="33"/>
        <v>0</v>
      </c>
      <c r="Q113" s="88"/>
      <c r="R113" s="83" t="e">
        <f t="shared" si="34"/>
        <v>#DIV/0!</v>
      </c>
      <c r="S113" s="81">
        <f t="shared" si="44"/>
        <v>0</v>
      </c>
      <c r="T113" s="85"/>
      <c r="U113" s="81">
        <f t="shared" si="49"/>
        <v>0</v>
      </c>
      <c r="V113" s="88"/>
      <c r="W113" s="11" t="e">
        <f t="shared" si="35"/>
        <v>#DIV/0!</v>
      </c>
      <c r="X113" s="81">
        <f t="shared" si="46"/>
        <v>0</v>
      </c>
      <c r="Y113" s="85"/>
      <c r="Z113" s="81">
        <f t="shared" si="36"/>
        <v>0</v>
      </c>
      <c r="AA113" s="3">
        <f t="shared" si="37"/>
        <v>0</v>
      </c>
      <c r="AB113" s="88"/>
      <c r="AC113" s="11" t="e">
        <f t="shared" si="38"/>
        <v>#DIV/0!</v>
      </c>
      <c r="AD113" s="81">
        <f t="shared" si="48"/>
        <v>0</v>
      </c>
      <c r="AE113" s="86"/>
    </row>
    <row r="114" spans="1:31" s="84" customFormat="1" ht="16.5" hidden="1" customHeight="1" x14ac:dyDescent="0.2">
      <c r="A114" s="213"/>
      <c r="B114" s="214"/>
      <c r="C114" s="74">
        <v>114002</v>
      </c>
      <c r="D114" s="87"/>
      <c r="E114" s="76" t="s">
        <v>159</v>
      </c>
      <c r="F114" s="77">
        <v>30</v>
      </c>
      <c r="G114" s="78">
        <f t="shared" si="47"/>
        <v>0</v>
      </c>
      <c r="H114" s="79"/>
      <c r="I114" s="1">
        <f t="shared" si="29"/>
        <v>0</v>
      </c>
      <c r="J114" s="88"/>
      <c r="K114" s="81">
        <f t="shared" si="30"/>
        <v>0</v>
      </c>
      <c r="L114" s="88"/>
      <c r="M114" s="83" t="e">
        <f t="shared" si="31"/>
        <v>#DIV/0!</v>
      </c>
      <c r="N114" s="81">
        <f t="shared" si="45"/>
        <v>0</v>
      </c>
      <c r="P114" s="81">
        <f t="shared" si="33"/>
        <v>0</v>
      </c>
      <c r="Q114" s="88"/>
      <c r="R114" s="83" t="e">
        <f t="shared" si="34"/>
        <v>#DIV/0!</v>
      </c>
      <c r="S114" s="81">
        <f t="shared" si="44"/>
        <v>0</v>
      </c>
      <c r="T114" s="85"/>
      <c r="U114" s="81">
        <f t="shared" si="49"/>
        <v>0</v>
      </c>
      <c r="V114" s="88"/>
      <c r="W114" s="11" t="e">
        <f t="shared" si="35"/>
        <v>#DIV/0!</v>
      </c>
      <c r="X114" s="81">
        <f t="shared" si="46"/>
        <v>0</v>
      </c>
      <c r="Y114" s="85"/>
      <c r="Z114" s="81">
        <f t="shared" si="36"/>
        <v>0</v>
      </c>
      <c r="AA114" s="3">
        <f t="shared" si="37"/>
        <v>0</v>
      </c>
      <c r="AB114" s="88"/>
      <c r="AC114" s="11" t="e">
        <f t="shared" si="38"/>
        <v>#DIV/0!</v>
      </c>
      <c r="AD114" s="81">
        <f t="shared" si="48"/>
        <v>0</v>
      </c>
      <c r="AE114" s="86"/>
    </row>
    <row r="115" spans="1:31" s="84" customFormat="1" ht="16.5" hidden="1" customHeight="1" x14ac:dyDescent="0.2">
      <c r="A115" s="213"/>
      <c r="B115" s="214"/>
      <c r="C115" s="74">
        <v>114003</v>
      </c>
      <c r="D115" s="87"/>
      <c r="E115" s="76" t="s">
        <v>343</v>
      </c>
      <c r="F115" s="77">
        <v>7</v>
      </c>
      <c r="G115" s="78">
        <f t="shared" si="47"/>
        <v>0</v>
      </c>
      <c r="H115" s="79"/>
      <c r="I115" s="1">
        <f t="shared" si="29"/>
        <v>0</v>
      </c>
      <c r="J115" s="88"/>
      <c r="K115" s="81">
        <f t="shared" si="30"/>
        <v>0</v>
      </c>
      <c r="L115" s="88"/>
      <c r="M115" s="83" t="e">
        <f t="shared" si="31"/>
        <v>#DIV/0!</v>
      </c>
      <c r="N115" s="81">
        <f t="shared" si="45"/>
        <v>0</v>
      </c>
      <c r="P115" s="81">
        <f t="shared" si="33"/>
        <v>0</v>
      </c>
      <c r="Q115" s="88"/>
      <c r="R115" s="83" t="e">
        <f t="shared" si="34"/>
        <v>#DIV/0!</v>
      </c>
      <c r="S115" s="81">
        <f t="shared" si="44"/>
        <v>0</v>
      </c>
      <c r="T115" s="85"/>
      <c r="U115" s="81">
        <f t="shared" si="49"/>
        <v>0</v>
      </c>
      <c r="V115" s="88"/>
      <c r="W115" s="11" t="e">
        <f t="shared" si="35"/>
        <v>#DIV/0!</v>
      </c>
      <c r="X115" s="81">
        <f t="shared" si="46"/>
        <v>0</v>
      </c>
      <c r="Y115" s="85"/>
      <c r="Z115" s="81">
        <f t="shared" si="36"/>
        <v>0</v>
      </c>
      <c r="AA115" s="3">
        <f t="shared" si="37"/>
        <v>0</v>
      </c>
      <c r="AB115" s="88"/>
      <c r="AC115" s="11" t="e">
        <f t="shared" si="38"/>
        <v>#DIV/0!</v>
      </c>
      <c r="AD115" s="81">
        <f t="shared" si="48"/>
        <v>0</v>
      </c>
      <c r="AE115" s="86"/>
    </row>
    <row r="116" spans="1:31" s="84" customFormat="1" ht="16.5" hidden="1" customHeight="1" x14ac:dyDescent="0.2">
      <c r="A116" s="213"/>
      <c r="B116" s="214"/>
      <c r="C116" s="74">
        <v>114004</v>
      </c>
      <c r="D116" s="87"/>
      <c r="E116" s="76" t="s">
        <v>92</v>
      </c>
      <c r="F116" s="77">
        <v>5</v>
      </c>
      <c r="G116" s="78">
        <f t="shared" si="47"/>
        <v>0</v>
      </c>
      <c r="H116" s="79"/>
      <c r="I116" s="1">
        <f t="shared" si="29"/>
        <v>0</v>
      </c>
      <c r="J116" s="88"/>
      <c r="K116" s="81">
        <f t="shared" si="30"/>
        <v>0</v>
      </c>
      <c r="L116" s="88"/>
      <c r="M116" s="83" t="e">
        <f t="shared" si="31"/>
        <v>#DIV/0!</v>
      </c>
      <c r="N116" s="81">
        <f t="shared" si="45"/>
        <v>0</v>
      </c>
      <c r="P116" s="81">
        <f t="shared" si="33"/>
        <v>0</v>
      </c>
      <c r="Q116" s="88"/>
      <c r="R116" s="83" t="e">
        <f t="shared" si="34"/>
        <v>#DIV/0!</v>
      </c>
      <c r="S116" s="81">
        <f t="shared" si="44"/>
        <v>0</v>
      </c>
      <c r="T116" s="85"/>
      <c r="U116" s="81">
        <f t="shared" si="49"/>
        <v>0</v>
      </c>
      <c r="V116" s="88"/>
      <c r="W116" s="11" t="e">
        <f t="shared" si="35"/>
        <v>#DIV/0!</v>
      </c>
      <c r="X116" s="81">
        <f t="shared" si="46"/>
        <v>0</v>
      </c>
      <c r="Y116" s="85"/>
      <c r="Z116" s="81">
        <f t="shared" si="36"/>
        <v>0</v>
      </c>
      <c r="AA116" s="3">
        <f t="shared" si="37"/>
        <v>0</v>
      </c>
      <c r="AB116" s="88"/>
      <c r="AC116" s="11" t="e">
        <f t="shared" si="38"/>
        <v>#DIV/0!</v>
      </c>
      <c r="AD116" s="81">
        <f t="shared" si="48"/>
        <v>0</v>
      </c>
      <c r="AE116" s="86"/>
    </row>
    <row r="117" spans="1:31" s="84" customFormat="1" ht="16.5" hidden="1" customHeight="1" x14ac:dyDescent="0.2">
      <c r="A117" s="213"/>
      <c r="B117" s="214"/>
      <c r="C117" s="74">
        <v>114005</v>
      </c>
      <c r="D117" s="87"/>
      <c r="E117" s="76" t="s">
        <v>49</v>
      </c>
      <c r="F117" s="77">
        <v>4</v>
      </c>
      <c r="G117" s="78">
        <f t="shared" si="47"/>
        <v>0</v>
      </c>
      <c r="H117" s="79"/>
      <c r="I117" s="1">
        <f t="shared" si="29"/>
        <v>0</v>
      </c>
      <c r="J117" s="88"/>
      <c r="K117" s="81">
        <f t="shared" si="30"/>
        <v>0</v>
      </c>
      <c r="L117" s="88"/>
      <c r="M117" s="83" t="e">
        <f t="shared" si="31"/>
        <v>#DIV/0!</v>
      </c>
      <c r="N117" s="81">
        <f t="shared" si="45"/>
        <v>0</v>
      </c>
      <c r="P117" s="81">
        <f t="shared" si="33"/>
        <v>0</v>
      </c>
      <c r="Q117" s="88"/>
      <c r="R117" s="83" t="e">
        <f t="shared" si="34"/>
        <v>#DIV/0!</v>
      </c>
      <c r="S117" s="81">
        <f t="shared" si="44"/>
        <v>0</v>
      </c>
      <c r="T117" s="85"/>
      <c r="U117" s="81">
        <f t="shared" si="49"/>
        <v>0</v>
      </c>
      <c r="V117" s="88"/>
      <c r="W117" s="11" t="e">
        <f t="shared" si="35"/>
        <v>#DIV/0!</v>
      </c>
      <c r="X117" s="81">
        <f t="shared" si="46"/>
        <v>0</v>
      </c>
      <c r="Y117" s="85"/>
      <c r="Z117" s="81">
        <f t="shared" si="36"/>
        <v>0</v>
      </c>
      <c r="AA117" s="3">
        <f t="shared" si="37"/>
        <v>0</v>
      </c>
      <c r="AB117" s="88"/>
      <c r="AC117" s="11" t="e">
        <f t="shared" si="38"/>
        <v>#DIV/0!</v>
      </c>
      <c r="AD117" s="81">
        <f t="shared" si="48"/>
        <v>0</v>
      </c>
      <c r="AE117" s="86"/>
    </row>
    <row r="118" spans="1:31" s="84" customFormat="1" ht="16.5" hidden="1" customHeight="1" x14ac:dyDescent="0.2">
      <c r="A118" s="213"/>
      <c r="B118" s="214" t="s">
        <v>57</v>
      </c>
      <c r="C118" s="74">
        <v>111006</v>
      </c>
      <c r="D118" s="87"/>
      <c r="E118" s="100" t="s">
        <v>54</v>
      </c>
      <c r="F118" s="77">
        <v>16</v>
      </c>
      <c r="G118" s="78">
        <f t="shared" si="47"/>
        <v>0</v>
      </c>
      <c r="H118" s="79"/>
      <c r="I118" s="1">
        <f t="shared" si="29"/>
        <v>0</v>
      </c>
      <c r="J118" s="88"/>
      <c r="K118" s="81">
        <f t="shared" si="30"/>
        <v>0</v>
      </c>
      <c r="L118" s="101"/>
      <c r="M118" s="83" t="e">
        <f t="shared" si="31"/>
        <v>#DIV/0!</v>
      </c>
      <c r="N118" s="81">
        <f t="shared" si="45"/>
        <v>0</v>
      </c>
      <c r="P118" s="81">
        <f t="shared" si="33"/>
        <v>0</v>
      </c>
      <c r="Q118" s="101"/>
      <c r="R118" s="83" t="e">
        <f t="shared" si="34"/>
        <v>#DIV/0!</v>
      </c>
      <c r="S118" s="81">
        <f t="shared" si="44"/>
        <v>0</v>
      </c>
      <c r="T118" s="85"/>
      <c r="U118" s="81">
        <f t="shared" si="49"/>
        <v>0</v>
      </c>
      <c r="V118" s="101"/>
      <c r="W118" s="11" t="e">
        <f t="shared" si="35"/>
        <v>#DIV/0!</v>
      </c>
      <c r="X118" s="81">
        <f t="shared" si="46"/>
        <v>0</v>
      </c>
      <c r="Y118" s="85"/>
      <c r="Z118" s="81">
        <f t="shared" si="36"/>
        <v>0</v>
      </c>
      <c r="AA118" s="3">
        <f t="shared" si="37"/>
        <v>0</v>
      </c>
      <c r="AB118" s="101"/>
      <c r="AC118" s="11" t="e">
        <f t="shared" si="38"/>
        <v>#DIV/0!</v>
      </c>
      <c r="AD118" s="81">
        <f t="shared" si="48"/>
        <v>0</v>
      </c>
      <c r="AE118" s="86"/>
    </row>
    <row r="119" spans="1:31" s="84" customFormat="1" ht="16.5" hidden="1" customHeight="1" x14ac:dyDescent="0.2">
      <c r="A119" s="213"/>
      <c r="B119" s="214"/>
      <c r="C119" s="74">
        <v>111007</v>
      </c>
      <c r="D119" s="87"/>
      <c r="E119" s="100" t="s">
        <v>55</v>
      </c>
      <c r="F119" s="77">
        <v>16</v>
      </c>
      <c r="G119" s="78">
        <f t="shared" si="47"/>
        <v>0</v>
      </c>
      <c r="H119" s="79"/>
      <c r="I119" s="1">
        <f t="shared" si="29"/>
        <v>0</v>
      </c>
      <c r="J119" s="88"/>
      <c r="K119" s="81">
        <f t="shared" si="30"/>
        <v>0</v>
      </c>
      <c r="L119" s="88"/>
      <c r="M119" s="83" t="e">
        <f t="shared" si="31"/>
        <v>#DIV/0!</v>
      </c>
      <c r="N119" s="81">
        <f t="shared" si="45"/>
        <v>0</v>
      </c>
      <c r="P119" s="81">
        <f t="shared" si="33"/>
        <v>0</v>
      </c>
      <c r="Q119" s="88"/>
      <c r="R119" s="83" t="e">
        <f t="shared" si="34"/>
        <v>#DIV/0!</v>
      </c>
      <c r="S119" s="81">
        <f t="shared" si="44"/>
        <v>0</v>
      </c>
      <c r="T119" s="85"/>
      <c r="U119" s="81">
        <f t="shared" si="49"/>
        <v>0</v>
      </c>
      <c r="V119" s="88"/>
      <c r="W119" s="11" t="e">
        <f t="shared" si="35"/>
        <v>#DIV/0!</v>
      </c>
      <c r="X119" s="81">
        <f t="shared" si="46"/>
        <v>0</v>
      </c>
      <c r="Y119" s="85"/>
      <c r="Z119" s="81">
        <f t="shared" si="36"/>
        <v>0</v>
      </c>
      <c r="AA119" s="3">
        <f t="shared" si="37"/>
        <v>0</v>
      </c>
      <c r="AB119" s="88"/>
      <c r="AC119" s="11" t="e">
        <f t="shared" si="38"/>
        <v>#DIV/0!</v>
      </c>
      <c r="AD119" s="81">
        <f t="shared" si="48"/>
        <v>0</v>
      </c>
      <c r="AE119" s="86"/>
    </row>
    <row r="120" spans="1:31" s="84" customFormat="1" ht="16.5" hidden="1" customHeight="1" x14ac:dyDescent="0.2">
      <c r="A120" s="213"/>
      <c r="B120" s="214"/>
      <c r="C120" s="74">
        <v>111008</v>
      </c>
      <c r="D120" s="87"/>
      <c r="E120" s="100" t="s">
        <v>56</v>
      </c>
      <c r="F120" s="77">
        <v>16</v>
      </c>
      <c r="G120" s="78">
        <f t="shared" si="47"/>
        <v>0</v>
      </c>
      <c r="H120" s="79"/>
      <c r="I120" s="1">
        <f t="shared" si="29"/>
        <v>0</v>
      </c>
      <c r="J120" s="88"/>
      <c r="K120" s="81">
        <f t="shared" si="30"/>
        <v>0</v>
      </c>
      <c r="L120" s="88"/>
      <c r="M120" s="83" t="e">
        <f t="shared" si="31"/>
        <v>#DIV/0!</v>
      </c>
      <c r="N120" s="81">
        <f t="shared" si="45"/>
        <v>0</v>
      </c>
      <c r="P120" s="81">
        <f t="shared" si="33"/>
        <v>0</v>
      </c>
      <c r="Q120" s="88"/>
      <c r="R120" s="83" t="e">
        <f t="shared" si="34"/>
        <v>#DIV/0!</v>
      </c>
      <c r="S120" s="81">
        <f t="shared" si="44"/>
        <v>0</v>
      </c>
      <c r="T120" s="85"/>
      <c r="U120" s="81">
        <f t="shared" si="49"/>
        <v>0</v>
      </c>
      <c r="V120" s="88"/>
      <c r="W120" s="11" t="e">
        <f t="shared" si="35"/>
        <v>#DIV/0!</v>
      </c>
      <c r="X120" s="81">
        <f t="shared" si="46"/>
        <v>0</v>
      </c>
      <c r="Y120" s="85"/>
      <c r="Z120" s="81">
        <f t="shared" si="36"/>
        <v>0</v>
      </c>
      <c r="AA120" s="3">
        <f t="shared" si="37"/>
        <v>0</v>
      </c>
      <c r="AB120" s="88"/>
      <c r="AC120" s="11" t="e">
        <f t="shared" si="38"/>
        <v>#DIV/0!</v>
      </c>
      <c r="AD120" s="81">
        <f t="shared" si="48"/>
        <v>0</v>
      </c>
      <c r="AE120" s="86"/>
    </row>
    <row r="121" spans="1:31" s="84" customFormat="1" ht="16.5" hidden="1" customHeight="1" x14ac:dyDescent="0.2">
      <c r="A121" s="213"/>
      <c r="B121" s="214"/>
      <c r="C121" s="74">
        <v>111009</v>
      </c>
      <c r="D121" s="87"/>
      <c r="E121" s="100" t="s">
        <v>199</v>
      </c>
      <c r="F121" s="77">
        <v>16</v>
      </c>
      <c r="G121" s="78">
        <f t="shared" si="47"/>
        <v>0</v>
      </c>
      <c r="H121" s="79"/>
      <c r="I121" s="1">
        <f t="shared" si="29"/>
        <v>0</v>
      </c>
      <c r="J121" s="88"/>
      <c r="K121" s="81">
        <f t="shared" si="30"/>
        <v>0</v>
      </c>
      <c r="L121" s="88"/>
      <c r="M121" s="83" t="e">
        <f t="shared" si="31"/>
        <v>#DIV/0!</v>
      </c>
      <c r="N121" s="81">
        <f t="shared" si="45"/>
        <v>0</v>
      </c>
      <c r="P121" s="81">
        <f t="shared" si="33"/>
        <v>0</v>
      </c>
      <c r="Q121" s="88"/>
      <c r="R121" s="83" t="e">
        <f t="shared" si="34"/>
        <v>#DIV/0!</v>
      </c>
      <c r="S121" s="81">
        <f t="shared" si="44"/>
        <v>0</v>
      </c>
      <c r="T121" s="85"/>
      <c r="U121" s="81">
        <f t="shared" si="49"/>
        <v>0</v>
      </c>
      <c r="V121" s="88"/>
      <c r="W121" s="11" t="e">
        <f t="shared" si="35"/>
        <v>#DIV/0!</v>
      </c>
      <c r="X121" s="81">
        <f t="shared" si="46"/>
        <v>0</v>
      </c>
      <c r="Y121" s="85"/>
      <c r="Z121" s="81">
        <f t="shared" si="36"/>
        <v>0</v>
      </c>
      <c r="AA121" s="3">
        <f t="shared" si="37"/>
        <v>0</v>
      </c>
      <c r="AB121" s="88"/>
      <c r="AC121" s="11" t="e">
        <f t="shared" si="38"/>
        <v>#DIV/0!</v>
      </c>
      <c r="AD121" s="81">
        <f t="shared" si="48"/>
        <v>0</v>
      </c>
      <c r="AE121" s="86"/>
    </row>
    <row r="122" spans="1:31" s="84" customFormat="1" ht="16.5" hidden="1" customHeight="1" x14ac:dyDescent="0.2">
      <c r="A122" s="213"/>
      <c r="B122" s="214" t="s">
        <v>46</v>
      </c>
      <c r="C122" s="74">
        <v>111010</v>
      </c>
      <c r="D122" s="87"/>
      <c r="E122" s="76" t="s">
        <v>47</v>
      </c>
      <c r="F122" s="77"/>
      <c r="G122" s="78">
        <f t="shared" si="47"/>
        <v>0</v>
      </c>
      <c r="H122" s="79"/>
      <c r="I122" s="1">
        <f t="shared" si="29"/>
        <v>0</v>
      </c>
      <c r="J122" s="88"/>
      <c r="K122" s="81">
        <f t="shared" si="30"/>
        <v>0</v>
      </c>
      <c r="L122" s="88"/>
      <c r="M122" s="83" t="e">
        <f t="shared" si="31"/>
        <v>#DIV/0!</v>
      </c>
      <c r="N122" s="81">
        <f t="shared" si="45"/>
        <v>0</v>
      </c>
      <c r="P122" s="81">
        <f t="shared" si="33"/>
        <v>0</v>
      </c>
      <c r="Q122" s="88"/>
      <c r="R122" s="83" t="e">
        <f t="shared" si="34"/>
        <v>#DIV/0!</v>
      </c>
      <c r="S122" s="81">
        <f t="shared" si="44"/>
        <v>0</v>
      </c>
      <c r="T122" s="85"/>
      <c r="U122" s="81">
        <f t="shared" si="49"/>
        <v>0</v>
      </c>
      <c r="V122" s="88"/>
      <c r="W122" s="11" t="e">
        <f t="shared" si="35"/>
        <v>#DIV/0!</v>
      </c>
      <c r="X122" s="81">
        <f t="shared" si="46"/>
        <v>0</v>
      </c>
      <c r="Y122" s="85"/>
      <c r="Z122" s="81">
        <f t="shared" si="36"/>
        <v>0</v>
      </c>
      <c r="AA122" s="3">
        <f t="shared" si="37"/>
        <v>0</v>
      </c>
      <c r="AB122" s="88"/>
      <c r="AC122" s="11" t="e">
        <f t="shared" si="38"/>
        <v>#DIV/0!</v>
      </c>
      <c r="AD122" s="81">
        <f t="shared" si="48"/>
        <v>0</v>
      </c>
      <c r="AE122" s="86"/>
    </row>
    <row r="123" spans="1:31" s="84" customFormat="1" ht="16.5" hidden="1" customHeight="1" x14ac:dyDescent="0.2">
      <c r="A123" s="213"/>
      <c r="B123" s="214"/>
      <c r="C123" s="74">
        <v>111011</v>
      </c>
      <c r="D123" s="87"/>
      <c r="E123" s="76" t="s">
        <v>213</v>
      </c>
      <c r="F123" s="77"/>
      <c r="G123" s="78">
        <f t="shared" si="47"/>
        <v>0</v>
      </c>
      <c r="H123" s="79"/>
      <c r="I123" s="1">
        <f t="shared" si="29"/>
        <v>0</v>
      </c>
      <c r="J123" s="88"/>
      <c r="K123" s="81">
        <f t="shared" si="30"/>
        <v>0</v>
      </c>
      <c r="L123" s="101"/>
      <c r="M123" s="83" t="e">
        <f t="shared" si="31"/>
        <v>#DIV/0!</v>
      </c>
      <c r="N123" s="81">
        <f t="shared" si="45"/>
        <v>0</v>
      </c>
      <c r="P123" s="81">
        <f t="shared" si="33"/>
        <v>0</v>
      </c>
      <c r="Q123" s="101"/>
      <c r="R123" s="83" t="e">
        <f t="shared" si="34"/>
        <v>#DIV/0!</v>
      </c>
      <c r="S123" s="81">
        <f t="shared" si="44"/>
        <v>0</v>
      </c>
      <c r="T123" s="85"/>
      <c r="U123" s="81">
        <f t="shared" si="49"/>
        <v>0</v>
      </c>
      <c r="V123" s="101"/>
      <c r="W123" s="11" t="e">
        <f t="shared" si="35"/>
        <v>#DIV/0!</v>
      </c>
      <c r="X123" s="81">
        <f t="shared" si="46"/>
        <v>0</v>
      </c>
      <c r="Y123" s="85"/>
      <c r="Z123" s="81">
        <f t="shared" si="36"/>
        <v>0</v>
      </c>
      <c r="AA123" s="3">
        <f t="shared" si="37"/>
        <v>0</v>
      </c>
      <c r="AB123" s="101"/>
      <c r="AC123" s="11" t="e">
        <f t="shared" si="38"/>
        <v>#DIV/0!</v>
      </c>
      <c r="AD123" s="81">
        <f t="shared" si="48"/>
        <v>0</v>
      </c>
      <c r="AE123" s="86"/>
    </row>
    <row r="124" spans="1:31" s="84" customFormat="1" ht="16.5" hidden="1" customHeight="1" x14ac:dyDescent="0.2">
      <c r="A124" s="213"/>
      <c r="B124" s="214"/>
      <c r="C124" s="74">
        <v>111012</v>
      </c>
      <c r="D124" s="87"/>
      <c r="E124" s="76" t="s">
        <v>211</v>
      </c>
      <c r="F124" s="77"/>
      <c r="G124" s="78">
        <f t="shared" si="47"/>
        <v>0</v>
      </c>
      <c r="H124" s="79"/>
      <c r="I124" s="1">
        <f t="shared" si="29"/>
        <v>0</v>
      </c>
      <c r="J124" s="88"/>
      <c r="K124" s="81">
        <f t="shared" si="30"/>
        <v>0</v>
      </c>
      <c r="L124" s="101"/>
      <c r="M124" s="83" t="e">
        <f t="shared" si="31"/>
        <v>#DIV/0!</v>
      </c>
      <c r="N124" s="81">
        <f t="shared" si="45"/>
        <v>0</v>
      </c>
      <c r="P124" s="81">
        <f t="shared" si="33"/>
        <v>0</v>
      </c>
      <c r="Q124" s="101"/>
      <c r="R124" s="83" t="e">
        <f t="shared" si="34"/>
        <v>#DIV/0!</v>
      </c>
      <c r="S124" s="81">
        <f t="shared" si="44"/>
        <v>0</v>
      </c>
      <c r="T124" s="85"/>
      <c r="U124" s="81">
        <f t="shared" si="49"/>
        <v>0</v>
      </c>
      <c r="V124" s="101"/>
      <c r="W124" s="11" t="e">
        <f t="shared" si="35"/>
        <v>#DIV/0!</v>
      </c>
      <c r="X124" s="81">
        <f t="shared" si="46"/>
        <v>0</v>
      </c>
      <c r="Y124" s="85"/>
      <c r="Z124" s="81">
        <f t="shared" si="36"/>
        <v>0</v>
      </c>
      <c r="AA124" s="3">
        <f t="shared" si="37"/>
        <v>0</v>
      </c>
      <c r="AB124" s="101"/>
      <c r="AC124" s="11" t="e">
        <f t="shared" si="38"/>
        <v>#DIV/0!</v>
      </c>
      <c r="AD124" s="81">
        <f t="shared" si="48"/>
        <v>0</v>
      </c>
      <c r="AE124" s="86"/>
    </row>
    <row r="125" spans="1:31" s="84" customFormat="1" ht="16.5" hidden="1" customHeight="1" x14ac:dyDescent="0.2">
      <c r="A125" s="213"/>
      <c r="B125" s="214"/>
      <c r="C125" s="74">
        <v>111013</v>
      </c>
      <c r="D125" s="87"/>
      <c r="E125" s="76" t="s">
        <v>212</v>
      </c>
      <c r="F125" s="77"/>
      <c r="G125" s="78">
        <f t="shared" si="47"/>
        <v>0</v>
      </c>
      <c r="H125" s="79"/>
      <c r="I125" s="1">
        <f t="shared" si="29"/>
        <v>0</v>
      </c>
      <c r="J125" s="88"/>
      <c r="K125" s="81">
        <f t="shared" si="30"/>
        <v>0</v>
      </c>
      <c r="L125" s="88"/>
      <c r="M125" s="83" t="e">
        <f t="shared" si="31"/>
        <v>#DIV/0!</v>
      </c>
      <c r="N125" s="81">
        <f t="shared" si="45"/>
        <v>0</v>
      </c>
      <c r="P125" s="81">
        <f t="shared" si="33"/>
        <v>0</v>
      </c>
      <c r="Q125" s="88"/>
      <c r="R125" s="83" t="e">
        <f t="shared" si="34"/>
        <v>#DIV/0!</v>
      </c>
      <c r="S125" s="81">
        <f t="shared" si="44"/>
        <v>0</v>
      </c>
      <c r="T125" s="85"/>
      <c r="U125" s="81">
        <f t="shared" si="49"/>
        <v>0</v>
      </c>
      <c r="V125" s="88"/>
      <c r="W125" s="11" t="e">
        <f t="shared" si="35"/>
        <v>#DIV/0!</v>
      </c>
      <c r="X125" s="81">
        <f t="shared" si="46"/>
        <v>0</v>
      </c>
      <c r="Y125" s="85"/>
      <c r="Z125" s="81">
        <f t="shared" si="36"/>
        <v>0</v>
      </c>
      <c r="AA125" s="3">
        <f t="shared" si="37"/>
        <v>0</v>
      </c>
      <c r="AB125" s="88"/>
      <c r="AC125" s="11" t="e">
        <f t="shared" si="38"/>
        <v>#DIV/0!</v>
      </c>
      <c r="AD125" s="81">
        <f t="shared" si="48"/>
        <v>0</v>
      </c>
      <c r="AE125" s="86"/>
    </row>
    <row r="126" spans="1:31" s="84" customFormat="1" ht="16.5" hidden="1" customHeight="1" x14ac:dyDescent="0.2">
      <c r="A126" s="213" t="s">
        <v>41</v>
      </c>
      <c r="B126" s="214" t="s">
        <v>18</v>
      </c>
      <c r="C126" s="74">
        <v>115001</v>
      </c>
      <c r="D126" s="87"/>
      <c r="E126" s="76" t="s">
        <v>44</v>
      </c>
      <c r="F126" s="77">
        <v>48</v>
      </c>
      <c r="G126" s="78">
        <v>0</v>
      </c>
      <c r="H126" s="79"/>
      <c r="I126" s="1">
        <f t="shared" si="29"/>
        <v>0</v>
      </c>
      <c r="J126" s="88"/>
      <c r="K126" s="81">
        <f t="shared" si="30"/>
        <v>0</v>
      </c>
      <c r="L126" s="88"/>
      <c r="M126" s="83" t="e">
        <f t="shared" si="31"/>
        <v>#DIV/0!</v>
      </c>
      <c r="N126" s="81">
        <f t="shared" si="45"/>
        <v>0</v>
      </c>
      <c r="P126" s="81">
        <f t="shared" si="33"/>
        <v>0</v>
      </c>
      <c r="Q126" s="88"/>
      <c r="R126" s="83" t="e">
        <f t="shared" si="34"/>
        <v>#DIV/0!</v>
      </c>
      <c r="S126" s="81">
        <f t="shared" si="44"/>
        <v>0</v>
      </c>
      <c r="T126" s="85"/>
      <c r="U126" s="81">
        <v>23.25</v>
      </c>
      <c r="V126" s="88"/>
      <c r="W126" s="11">
        <f t="shared" si="35"/>
        <v>1</v>
      </c>
      <c r="X126" s="81">
        <f t="shared" si="46"/>
        <v>0</v>
      </c>
      <c r="Y126" s="85"/>
      <c r="Z126" s="81">
        <f t="shared" si="36"/>
        <v>0</v>
      </c>
      <c r="AA126" s="3">
        <f t="shared" si="37"/>
        <v>0</v>
      </c>
      <c r="AB126" s="88"/>
      <c r="AC126" s="11" t="e">
        <f t="shared" si="38"/>
        <v>#DIV/0!</v>
      </c>
      <c r="AD126" s="81">
        <f t="shared" si="48"/>
        <v>0</v>
      </c>
      <c r="AE126" s="86"/>
    </row>
    <row r="127" spans="1:31" s="84" customFormat="1" ht="16.5" hidden="1" customHeight="1" x14ac:dyDescent="0.2">
      <c r="A127" s="213"/>
      <c r="B127" s="214"/>
      <c r="C127" s="74">
        <v>115002</v>
      </c>
      <c r="D127" s="92" t="s">
        <v>243</v>
      </c>
      <c r="E127" s="76" t="s">
        <v>22</v>
      </c>
      <c r="F127" s="77">
        <v>24</v>
      </c>
      <c r="G127" s="78">
        <v>0</v>
      </c>
      <c r="H127" s="79"/>
      <c r="I127" s="1">
        <f t="shared" si="29"/>
        <v>0</v>
      </c>
      <c r="J127" s="88"/>
      <c r="K127" s="81">
        <f t="shared" si="30"/>
        <v>0</v>
      </c>
      <c r="L127" s="88"/>
      <c r="M127" s="83" t="e">
        <f t="shared" si="31"/>
        <v>#DIV/0!</v>
      </c>
      <c r="N127" s="81">
        <f t="shared" si="45"/>
        <v>0</v>
      </c>
      <c r="P127" s="81">
        <f t="shared" si="33"/>
        <v>0</v>
      </c>
      <c r="Q127" s="88"/>
      <c r="R127" s="83" t="e">
        <f t="shared" si="34"/>
        <v>#DIV/0!</v>
      </c>
      <c r="S127" s="81">
        <f t="shared" si="44"/>
        <v>0</v>
      </c>
      <c r="T127" s="85"/>
      <c r="U127" s="81">
        <v>39</v>
      </c>
      <c r="V127" s="88"/>
      <c r="W127" s="11">
        <f t="shared" si="35"/>
        <v>1</v>
      </c>
      <c r="X127" s="81">
        <f t="shared" si="46"/>
        <v>0</v>
      </c>
      <c r="Y127" s="85"/>
      <c r="Z127" s="81">
        <f t="shared" si="36"/>
        <v>0</v>
      </c>
      <c r="AA127" s="3">
        <f t="shared" si="37"/>
        <v>0</v>
      </c>
      <c r="AB127" s="88"/>
      <c r="AC127" s="11" t="e">
        <f t="shared" si="38"/>
        <v>#DIV/0!</v>
      </c>
      <c r="AD127" s="81">
        <f t="shared" si="48"/>
        <v>0</v>
      </c>
      <c r="AE127" s="86"/>
    </row>
    <row r="128" spans="1:31" s="84" customFormat="1" ht="16.5" hidden="1" customHeight="1" x14ac:dyDescent="0.2">
      <c r="A128" s="213"/>
      <c r="B128" s="214"/>
      <c r="C128" s="74">
        <v>115003</v>
      </c>
      <c r="D128" s="90" t="s">
        <v>244</v>
      </c>
      <c r="E128" s="76" t="s">
        <v>19</v>
      </c>
      <c r="F128" s="77">
        <v>12</v>
      </c>
      <c r="G128" s="78">
        <v>0</v>
      </c>
      <c r="H128" s="79"/>
      <c r="I128" s="1">
        <f t="shared" si="29"/>
        <v>0</v>
      </c>
      <c r="J128" s="88"/>
      <c r="K128" s="81">
        <f t="shared" si="30"/>
        <v>0</v>
      </c>
      <c r="L128" s="88"/>
      <c r="M128" s="83" t="e">
        <f t="shared" si="31"/>
        <v>#DIV/0!</v>
      </c>
      <c r="N128" s="81">
        <f t="shared" si="45"/>
        <v>0</v>
      </c>
      <c r="P128" s="81">
        <f t="shared" si="33"/>
        <v>0</v>
      </c>
      <c r="Q128" s="88"/>
      <c r="R128" s="83" t="e">
        <f t="shared" si="34"/>
        <v>#DIV/0!</v>
      </c>
      <c r="S128" s="81">
        <f t="shared" si="44"/>
        <v>0</v>
      </c>
      <c r="T128" s="85"/>
      <c r="U128" s="81">
        <v>93</v>
      </c>
      <c r="V128" s="88"/>
      <c r="W128" s="11">
        <f t="shared" si="35"/>
        <v>1</v>
      </c>
      <c r="X128" s="81">
        <f t="shared" si="46"/>
        <v>0</v>
      </c>
      <c r="Y128" s="85"/>
      <c r="Z128" s="81">
        <f t="shared" si="36"/>
        <v>0</v>
      </c>
      <c r="AA128" s="3">
        <f t="shared" si="37"/>
        <v>0</v>
      </c>
      <c r="AB128" s="88"/>
      <c r="AC128" s="11" t="e">
        <f t="shared" si="38"/>
        <v>#DIV/0!</v>
      </c>
      <c r="AD128" s="81">
        <f t="shared" si="48"/>
        <v>0</v>
      </c>
      <c r="AE128" s="86"/>
    </row>
    <row r="129" spans="1:31" s="84" customFormat="1" ht="16.5" hidden="1" customHeight="1" x14ac:dyDescent="0.2">
      <c r="A129" s="213"/>
      <c r="B129" s="214"/>
      <c r="C129" s="74">
        <v>115004</v>
      </c>
      <c r="D129" s="93" t="s">
        <v>398</v>
      </c>
      <c r="E129" s="76" t="s">
        <v>80</v>
      </c>
      <c r="F129" s="77">
        <v>48</v>
      </c>
      <c r="G129" s="78">
        <v>0</v>
      </c>
      <c r="H129" s="79"/>
      <c r="I129" s="1">
        <f t="shared" si="29"/>
        <v>0</v>
      </c>
      <c r="J129" s="88"/>
      <c r="K129" s="81">
        <f t="shared" si="30"/>
        <v>0</v>
      </c>
      <c r="L129" s="88"/>
      <c r="M129" s="83" t="e">
        <f t="shared" si="31"/>
        <v>#DIV/0!</v>
      </c>
      <c r="N129" s="81">
        <f t="shared" si="45"/>
        <v>0</v>
      </c>
      <c r="P129" s="81">
        <f t="shared" si="33"/>
        <v>0</v>
      </c>
      <c r="Q129" s="88"/>
      <c r="R129" s="83" t="e">
        <f t="shared" si="34"/>
        <v>#DIV/0!</v>
      </c>
      <c r="S129" s="81">
        <f t="shared" si="44"/>
        <v>0</v>
      </c>
      <c r="T129" s="85"/>
      <c r="U129" s="81">
        <v>23.25</v>
      </c>
      <c r="V129" s="88"/>
      <c r="W129" s="11">
        <f t="shared" si="35"/>
        <v>1</v>
      </c>
      <c r="X129" s="81">
        <f t="shared" si="46"/>
        <v>0</v>
      </c>
      <c r="Y129" s="85"/>
      <c r="Z129" s="81">
        <f t="shared" si="36"/>
        <v>0</v>
      </c>
      <c r="AA129" s="3">
        <f t="shared" si="37"/>
        <v>0</v>
      </c>
      <c r="AB129" s="88"/>
      <c r="AC129" s="11" t="e">
        <f t="shared" si="38"/>
        <v>#DIV/0!</v>
      </c>
      <c r="AD129" s="81">
        <f t="shared" si="48"/>
        <v>0</v>
      </c>
      <c r="AE129" s="86"/>
    </row>
    <row r="130" spans="1:31" s="84" customFormat="1" ht="16.5" hidden="1" customHeight="1" x14ac:dyDescent="0.2">
      <c r="A130" s="213"/>
      <c r="B130" s="214"/>
      <c r="C130" s="74">
        <v>115005</v>
      </c>
      <c r="D130" s="90" t="s">
        <v>245</v>
      </c>
      <c r="E130" s="76" t="s">
        <v>20</v>
      </c>
      <c r="F130" s="77">
        <v>24</v>
      </c>
      <c r="G130" s="78">
        <v>0</v>
      </c>
      <c r="H130" s="79"/>
      <c r="I130" s="1">
        <f t="shared" si="29"/>
        <v>0</v>
      </c>
      <c r="J130" s="88"/>
      <c r="K130" s="81">
        <f t="shared" si="30"/>
        <v>0</v>
      </c>
      <c r="L130" s="88"/>
      <c r="M130" s="83" t="e">
        <f t="shared" si="31"/>
        <v>#DIV/0!</v>
      </c>
      <c r="N130" s="81">
        <f t="shared" si="45"/>
        <v>0</v>
      </c>
      <c r="P130" s="81">
        <f t="shared" si="33"/>
        <v>0</v>
      </c>
      <c r="Q130" s="88"/>
      <c r="R130" s="83" t="e">
        <f t="shared" si="34"/>
        <v>#DIV/0!</v>
      </c>
      <c r="S130" s="81">
        <f t="shared" si="44"/>
        <v>0</v>
      </c>
      <c r="T130" s="85"/>
      <c r="U130" s="81">
        <v>39</v>
      </c>
      <c r="V130" s="88"/>
      <c r="W130" s="11">
        <f t="shared" si="35"/>
        <v>1</v>
      </c>
      <c r="X130" s="81">
        <f t="shared" si="46"/>
        <v>0</v>
      </c>
      <c r="Y130" s="85"/>
      <c r="Z130" s="81">
        <f t="shared" si="36"/>
        <v>0</v>
      </c>
      <c r="AA130" s="3">
        <f t="shared" si="37"/>
        <v>0</v>
      </c>
      <c r="AB130" s="88"/>
      <c r="AC130" s="11" t="e">
        <f t="shared" si="38"/>
        <v>#DIV/0!</v>
      </c>
      <c r="AD130" s="81">
        <f t="shared" si="48"/>
        <v>0</v>
      </c>
      <c r="AE130" s="86"/>
    </row>
    <row r="131" spans="1:31" s="84" customFormat="1" ht="16.5" hidden="1" customHeight="1" x14ac:dyDescent="0.2">
      <c r="A131" s="213"/>
      <c r="B131" s="214"/>
      <c r="C131" s="74">
        <v>115006</v>
      </c>
      <c r="D131" s="90" t="s">
        <v>244</v>
      </c>
      <c r="E131" s="76" t="s">
        <v>21</v>
      </c>
      <c r="F131" s="77">
        <v>12</v>
      </c>
      <c r="G131" s="78">
        <v>0</v>
      </c>
      <c r="H131" s="79"/>
      <c r="I131" s="1">
        <f t="shared" si="29"/>
        <v>0</v>
      </c>
      <c r="J131" s="88"/>
      <c r="K131" s="81">
        <f t="shared" si="30"/>
        <v>0</v>
      </c>
      <c r="L131" s="88"/>
      <c r="M131" s="83" t="e">
        <f t="shared" si="31"/>
        <v>#DIV/0!</v>
      </c>
      <c r="N131" s="81">
        <f t="shared" si="45"/>
        <v>0</v>
      </c>
      <c r="P131" s="81">
        <f t="shared" si="33"/>
        <v>0</v>
      </c>
      <c r="Q131" s="88"/>
      <c r="R131" s="83" t="e">
        <f t="shared" si="34"/>
        <v>#DIV/0!</v>
      </c>
      <c r="S131" s="81">
        <f t="shared" si="44"/>
        <v>0</v>
      </c>
      <c r="T131" s="85"/>
      <c r="U131" s="81">
        <v>99</v>
      </c>
      <c r="V131" s="88"/>
      <c r="W131" s="11">
        <f t="shared" si="35"/>
        <v>1</v>
      </c>
      <c r="X131" s="81">
        <f t="shared" si="46"/>
        <v>0</v>
      </c>
      <c r="Y131" s="85"/>
      <c r="Z131" s="81">
        <f t="shared" si="36"/>
        <v>0</v>
      </c>
      <c r="AA131" s="3">
        <f t="shared" si="37"/>
        <v>0</v>
      </c>
      <c r="AB131" s="88"/>
      <c r="AC131" s="11" t="e">
        <f t="shared" si="38"/>
        <v>#DIV/0!</v>
      </c>
      <c r="AD131" s="81">
        <f t="shared" si="48"/>
        <v>0</v>
      </c>
      <c r="AE131" s="86"/>
    </row>
    <row r="132" spans="1:31" s="84" customFormat="1" ht="16.5" hidden="1" customHeight="1" x14ac:dyDescent="0.2">
      <c r="A132" s="213"/>
      <c r="B132" s="214" t="s">
        <v>23</v>
      </c>
      <c r="C132" s="74">
        <v>110050</v>
      </c>
      <c r="D132" s="87"/>
      <c r="E132" s="76" t="s">
        <v>24</v>
      </c>
      <c r="F132" s="77">
        <v>48</v>
      </c>
      <c r="G132" s="78">
        <v>0</v>
      </c>
      <c r="H132" s="79"/>
      <c r="I132" s="1">
        <f t="shared" si="29"/>
        <v>0</v>
      </c>
      <c r="J132" s="88"/>
      <c r="K132" s="81">
        <f t="shared" si="30"/>
        <v>0</v>
      </c>
      <c r="L132" s="88"/>
      <c r="M132" s="83" t="e">
        <f t="shared" si="31"/>
        <v>#DIV/0!</v>
      </c>
      <c r="N132" s="81">
        <f t="shared" si="45"/>
        <v>0</v>
      </c>
      <c r="P132" s="81">
        <f t="shared" si="33"/>
        <v>0</v>
      </c>
      <c r="Q132" s="88"/>
      <c r="R132" s="83" t="e">
        <f t="shared" si="34"/>
        <v>#DIV/0!</v>
      </c>
      <c r="S132" s="81">
        <f t="shared" si="44"/>
        <v>0</v>
      </c>
      <c r="T132" s="85"/>
      <c r="U132" s="81">
        <v>38</v>
      </c>
      <c r="V132" s="88"/>
      <c r="W132" s="11">
        <f t="shared" si="35"/>
        <v>1</v>
      </c>
      <c r="X132" s="81">
        <f t="shared" si="46"/>
        <v>0</v>
      </c>
      <c r="Y132" s="85"/>
      <c r="Z132" s="81">
        <f t="shared" si="36"/>
        <v>0</v>
      </c>
      <c r="AA132" s="3">
        <f t="shared" si="37"/>
        <v>0</v>
      </c>
      <c r="AB132" s="88"/>
      <c r="AC132" s="11" t="e">
        <f t="shared" si="38"/>
        <v>#DIV/0!</v>
      </c>
      <c r="AD132" s="81">
        <f t="shared" si="48"/>
        <v>0</v>
      </c>
      <c r="AE132" s="86"/>
    </row>
    <row r="133" spans="1:31" s="84" customFormat="1" ht="16.5" hidden="1" customHeight="1" x14ac:dyDescent="0.2">
      <c r="A133" s="213"/>
      <c r="B133" s="214"/>
      <c r="C133" s="74">
        <v>110051</v>
      </c>
      <c r="D133" s="87"/>
      <c r="E133" s="76" t="s">
        <v>168</v>
      </c>
      <c r="F133" s="77">
        <v>48</v>
      </c>
      <c r="G133" s="78">
        <v>0</v>
      </c>
      <c r="H133" s="79"/>
      <c r="I133" s="1">
        <f t="shared" si="29"/>
        <v>0</v>
      </c>
      <c r="J133" s="88"/>
      <c r="K133" s="81">
        <f t="shared" si="30"/>
        <v>0</v>
      </c>
      <c r="L133" s="88"/>
      <c r="M133" s="83" t="e">
        <f t="shared" si="31"/>
        <v>#DIV/0!</v>
      </c>
      <c r="N133" s="81">
        <f t="shared" si="45"/>
        <v>0</v>
      </c>
      <c r="P133" s="81">
        <f t="shared" si="33"/>
        <v>0</v>
      </c>
      <c r="Q133" s="88"/>
      <c r="R133" s="83" t="e">
        <f t="shared" si="34"/>
        <v>#DIV/0!</v>
      </c>
      <c r="S133" s="81">
        <f t="shared" si="44"/>
        <v>0</v>
      </c>
      <c r="T133" s="85"/>
      <c r="U133" s="81">
        <v>39.700000000000003</v>
      </c>
      <c r="V133" s="88"/>
      <c r="W133" s="11">
        <f t="shared" si="35"/>
        <v>1</v>
      </c>
      <c r="X133" s="81">
        <f t="shared" si="46"/>
        <v>0</v>
      </c>
      <c r="Y133" s="85"/>
      <c r="Z133" s="81">
        <f t="shared" si="36"/>
        <v>0</v>
      </c>
      <c r="AA133" s="3">
        <f t="shared" si="37"/>
        <v>0</v>
      </c>
      <c r="AB133" s="88"/>
      <c r="AC133" s="11" t="e">
        <f t="shared" si="38"/>
        <v>#DIV/0!</v>
      </c>
      <c r="AD133" s="81">
        <f t="shared" si="48"/>
        <v>0</v>
      </c>
      <c r="AE133" s="86"/>
    </row>
    <row r="134" spans="1:31" s="84" customFormat="1" ht="16.5" hidden="1" customHeight="1" x14ac:dyDescent="0.2">
      <c r="A134" s="213"/>
      <c r="B134" s="214"/>
      <c r="C134" s="74">
        <v>110052</v>
      </c>
      <c r="D134" s="87"/>
      <c r="E134" s="76" t="s">
        <v>169</v>
      </c>
      <c r="F134" s="77">
        <v>48</v>
      </c>
      <c r="G134" s="78">
        <v>0</v>
      </c>
      <c r="H134" s="79"/>
      <c r="I134" s="1">
        <f t="shared" si="29"/>
        <v>0</v>
      </c>
      <c r="J134" s="88"/>
      <c r="K134" s="81">
        <f t="shared" si="30"/>
        <v>0</v>
      </c>
      <c r="L134" s="88"/>
      <c r="M134" s="83" t="e">
        <f t="shared" si="31"/>
        <v>#DIV/0!</v>
      </c>
      <c r="N134" s="81">
        <f t="shared" si="45"/>
        <v>0</v>
      </c>
      <c r="P134" s="81">
        <f t="shared" si="33"/>
        <v>0</v>
      </c>
      <c r="Q134" s="88"/>
      <c r="R134" s="83" t="e">
        <f t="shared" si="34"/>
        <v>#DIV/0!</v>
      </c>
      <c r="S134" s="81">
        <f t="shared" si="44"/>
        <v>0</v>
      </c>
      <c r="T134" s="85"/>
      <c r="U134" s="81">
        <v>57</v>
      </c>
      <c r="V134" s="88"/>
      <c r="W134" s="11">
        <f t="shared" si="35"/>
        <v>1</v>
      </c>
      <c r="X134" s="81">
        <f t="shared" si="46"/>
        <v>0</v>
      </c>
      <c r="Y134" s="85"/>
      <c r="Z134" s="81">
        <f t="shared" si="36"/>
        <v>0</v>
      </c>
      <c r="AA134" s="3">
        <f t="shared" si="37"/>
        <v>0</v>
      </c>
      <c r="AB134" s="88"/>
      <c r="AC134" s="11" t="e">
        <f t="shared" si="38"/>
        <v>#DIV/0!</v>
      </c>
      <c r="AD134" s="81">
        <f t="shared" si="48"/>
        <v>0</v>
      </c>
      <c r="AE134" s="86"/>
    </row>
    <row r="135" spans="1:31" s="84" customFormat="1" ht="16.5" hidden="1" customHeight="1" x14ac:dyDescent="0.2">
      <c r="A135" s="213"/>
      <c r="B135" s="214"/>
      <c r="C135" s="74">
        <v>110053</v>
      </c>
      <c r="D135" s="87"/>
      <c r="E135" s="76" t="s">
        <v>170</v>
      </c>
      <c r="F135" s="77">
        <v>48</v>
      </c>
      <c r="G135" s="78">
        <v>0</v>
      </c>
      <c r="H135" s="79"/>
      <c r="I135" s="1">
        <f t="shared" si="29"/>
        <v>0</v>
      </c>
      <c r="J135" s="88"/>
      <c r="K135" s="81">
        <f t="shared" si="30"/>
        <v>0</v>
      </c>
      <c r="L135" s="88"/>
      <c r="M135" s="83" t="e">
        <f t="shared" si="31"/>
        <v>#DIV/0!</v>
      </c>
      <c r="N135" s="81">
        <f t="shared" si="45"/>
        <v>0</v>
      </c>
      <c r="P135" s="81">
        <f t="shared" si="33"/>
        <v>0</v>
      </c>
      <c r="Q135" s="88"/>
      <c r="R135" s="83" t="e">
        <f t="shared" si="34"/>
        <v>#DIV/0!</v>
      </c>
      <c r="S135" s="81">
        <f t="shared" si="44"/>
        <v>0</v>
      </c>
      <c r="T135" s="85"/>
      <c r="U135" s="81">
        <v>49.2</v>
      </c>
      <c r="V135" s="88"/>
      <c r="W135" s="11">
        <f t="shared" si="35"/>
        <v>1</v>
      </c>
      <c r="X135" s="81">
        <f t="shared" si="46"/>
        <v>0</v>
      </c>
      <c r="Y135" s="85"/>
      <c r="Z135" s="81">
        <f t="shared" si="36"/>
        <v>0</v>
      </c>
      <c r="AA135" s="3">
        <f t="shared" si="37"/>
        <v>0</v>
      </c>
      <c r="AB135" s="88"/>
      <c r="AC135" s="11" t="e">
        <f t="shared" si="38"/>
        <v>#DIV/0!</v>
      </c>
      <c r="AD135" s="81">
        <f t="shared" si="48"/>
        <v>0</v>
      </c>
      <c r="AE135" s="86"/>
    </row>
    <row r="136" spans="1:31" s="84" customFormat="1" ht="16.5" hidden="1" customHeight="1" x14ac:dyDescent="0.2">
      <c r="A136" s="193" t="s">
        <v>414</v>
      </c>
      <c r="B136" s="194"/>
      <c r="C136" s="74">
        <v>116001</v>
      </c>
      <c r="D136" s="107" t="s">
        <v>331</v>
      </c>
      <c r="E136" s="102" t="s">
        <v>369</v>
      </c>
      <c r="F136" s="77">
        <v>1</v>
      </c>
      <c r="G136" s="103">
        <f>52.58</f>
        <v>52.58</v>
      </c>
      <c r="H136" s="79"/>
      <c r="I136" s="78">
        <f t="shared" si="29"/>
        <v>0</v>
      </c>
      <c r="J136" s="88"/>
      <c r="K136" s="81">
        <f t="shared" si="30"/>
        <v>87.63333333333334</v>
      </c>
      <c r="L136" s="88"/>
      <c r="M136" s="83">
        <f t="shared" si="31"/>
        <v>0.4</v>
      </c>
      <c r="N136" s="81">
        <f>$G136/0.6</f>
        <v>87.63333333333334</v>
      </c>
      <c r="P136" s="81">
        <f t="shared" si="33"/>
        <v>80.892307692307682</v>
      </c>
      <c r="Q136" s="88"/>
      <c r="R136" s="83">
        <f t="shared" si="34"/>
        <v>0.35</v>
      </c>
      <c r="S136" s="81">
        <f>$G136/0.65</f>
        <v>80.892307692307682</v>
      </c>
      <c r="T136" s="85"/>
      <c r="U136" s="81">
        <f>P136</f>
        <v>80.892307692307682</v>
      </c>
      <c r="V136" s="88"/>
      <c r="W136" s="83">
        <f t="shared" si="35"/>
        <v>0.35</v>
      </c>
      <c r="X136" s="81">
        <f>$G136/0.7</f>
        <v>75.114285714285714</v>
      </c>
      <c r="Y136" s="85"/>
      <c r="Z136" s="81">
        <f t="shared" si="36"/>
        <v>96.396666666666675</v>
      </c>
      <c r="AA136" s="81">
        <f t="shared" si="37"/>
        <v>116.63996666666668</v>
      </c>
      <c r="AB136" s="88"/>
      <c r="AC136" s="83">
        <f t="shared" si="38"/>
        <v>0.45454545454545459</v>
      </c>
      <c r="AD136" s="81">
        <f t="shared" si="48"/>
        <v>96.396666666666675</v>
      </c>
      <c r="AE136" s="86"/>
    </row>
    <row r="137" spans="1:31" s="84" customFormat="1" ht="16.5" hidden="1" customHeight="1" x14ac:dyDescent="0.2">
      <c r="A137" s="195"/>
      <c r="B137" s="196"/>
      <c r="C137" s="74">
        <v>116002</v>
      </c>
      <c r="D137" s="87"/>
      <c r="E137" s="102" t="s">
        <v>266</v>
      </c>
      <c r="F137" s="77">
        <v>1</v>
      </c>
      <c r="G137" s="103">
        <v>295</v>
      </c>
      <c r="H137" s="79"/>
      <c r="I137" s="78">
        <f t="shared" ref="I137:I214" si="50">G137*H137</f>
        <v>0</v>
      </c>
      <c r="J137" s="88"/>
      <c r="K137" s="81">
        <f t="shared" ref="K137:K214" si="51">N137</f>
        <v>491.66666666666669</v>
      </c>
      <c r="L137" s="88"/>
      <c r="M137" s="83">
        <f t="shared" ref="M137:M214" si="52">1-(G137/K137)</f>
        <v>0.4</v>
      </c>
      <c r="N137" s="81">
        <f>$G137/0.6</f>
        <v>491.66666666666669</v>
      </c>
      <c r="P137" s="81">
        <f t="shared" ref="P137:P214" si="53">S137</f>
        <v>453.84615384615381</v>
      </c>
      <c r="Q137" s="88"/>
      <c r="R137" s="83">
        <f t="shared" ref="R137:R214" si="54">1-(G137/P137)</f>
        <v>0.35</v>
      </c>
      <c r="S137" s="81">
        <f>$G137/0.65</f>
        <v>453.84615384615381</v>
      </c>
      <c r="T137" s="85"/>
      <c r="U137" s="81">
        <f>P137</f>
        <v>453.84615384615381</v>
      </c>
      <c r="V137" s="88"/>
      <c r="W137" s="83">
        <f t="shared" ref="W137:W211" si="55">1-(G137/U137)</f>
        <v>0.35</v>
      </c>
      <c r="X137" s="81">
        <f>$G137/0.7</f>
        <v>421.42857142857144</v>
      </c>
      <c r="Y137" s="85"/>
      <c r="Z137" s="81">
        <f t="shared" ref="Z137:Z214" si="56">AD137</f>
        <v>540.83333333333337</v>
      </c>
      <c r="AA137" s="81">
        <f t="shared" ref="AA137:AA211" si="57">Z137*1.21</f>
        <v>654.40833333333342</v>
      </c>
      <c r="AB137" s="88"/>
      <c r="AC137" s="83">
        <f t="shared" ref="AC137:AC211" si="58">1-(G137/Z137)</f>
        <v>0.45454545454545459</v>
      </c>
      <c r="AD137" s="81">
        <f t="shared" si="48"/>
        <v>540.83333333333337</v>
      </c>
      <c r="AE137" s="86"/>
    </row>
    <row r="138" spans="1:31" s="84" customFormat="1" ht="16.5" hidden="1" customHeight="1" x14ac:dyDescent="0.2">
      <c r="A138" s="195"/>
      <c r="B138" s="196"/>
      <c r="C138" s="74">
        <v>116003</v>
      </c>
      <c r="D138" s="107" t="s">
        <v>332</v>
      </c>
      <c r="E138" s="102" t="s">
        <v>370</v>
      </c>
      <c r="F138" s="77">
        <v>1</v>
      </c>
      <c r="G138" s="103">
        <v>61.86</v>
      </c>
      <c r="H138" s="89"/>
      <c r="I138" s="78">
        <f t="shared" si="50"/>
        <v>0</v>
      </c>
      <c r="J138" s="88"/>
      <c r="K138" s="81">
        <f t="shared" si="30"/>
        <v>103.10000000000001</v>
      </c>
      <c r="L138" s="88"/>
      <c r="M138" s="83">
        <f t="shared" si="52"/>
        <v>0.4</v>
      </c>
      <c r="N138" s="81">
        <f>$G138/0.6</f>
        <v>103.10000000000001</v>
      </c>
      <c r="P138" s="81">
        <f t="shared" si="33"/>
        <v>95.169230769230765</v>
      </c>
      <c r="Q138" s="88"/>
      <c r="R138" s="83">
        <f t="shared" si="54"/>
        <v>0.35</v>
      </c>
      <c r="S138" s="81">
        <f>$G138/0.65</f>
        <v>95.169230769230765</v>
      </c>
      <c r="T138" s="85"/>
      <c r="U138" s="81">
        <f>P138</f>
        <v>95.169230769230765</v>
      </c>
      <c r="V138" s="88"/>
      <c r="W138" s="83">
        <f t="shared" si="55"/>
        <v>0.35</v>
      </c>
      <c r="X138" s="81">
        <f>$G138/0.7</f>
        <v>88.371428571428581</v>
      </c>
      <c r="Y138" s="85"/>
      <c r="Z138" s="81">
        <f t="shared" si="56"/>
        <v>113.41000000000003</v>
      </c>
      <c r="AA138" s="81">
        <f t="shared" si="57"/>
        <v>137.22610000000003</v>
      </c>
      <c r="AB138" s="88"/>
      <c r="AC138" s="83">
        <f t="shared" si="58"/>
        <v>0.4545454545454547</v>
      </c>
      <c r="AD138" s="81">
        <f t="shared" si="48"/>
        <v>113.41000000000003</v>
      </c>
      <c r="AE138" s="86"/>
    </row>
    <row r="139" spans="1:31" s="84" customFormat="1" ht="16.5" hidden="1" customHeight="1" x14ac:dyDescent="0.2">
      <c r="A139" s="195"/>
      <c r="B139" s="196"/>
      <c r="C139" s="74">
        <v>116004</v>
      </c>
      <c r="D139" s="87"/>
      <c r="E139" s="102" t="s">
        <v>371</v>
      </c>
      <c r="F139" s="77">
        <v>1</v>
      </c>
      <c r="G139" s="103">
        <v>124.95</v>
      </c>
      <c r="H139" s="79"/>
      <c r="I139" s="78">
        <f t="shared" si="50"/>
        <v>0</v>
      </c>
      <c r="J139" s="88"/>
      <c r="K139" s="81">
        <f t="shared" si="51"/>
        <v>208.25</v>
      </c>
      <c r="L139" s="88"/>
      <c r="M139" s="83">
        <f t="shared" si="52"/>
        <v>0.4</v>
      </c>
      <c r="N139" s="81">
        <f>$G139/0.6</f>
        <v>208.25</v>
      </c>
      <c r="P139" s="81">
        <f t="shared" si="53"/>
        <v>192.23076923076923</v>
      </c>
      <c r="Q139" s="88"/>
      <c r="R139" s="83">
        <f t="shared" si="54"/>
        <v>0.35</v>
      </c>
      <c r="S139" s="81">
        <f>$G139/0.65</f>
        <v>192.23076923076923</v>
      </c>
      <c r="T139" s="85"/>
      <c r="U139" s="81">
        <f>P139</f>
        <v>192.23076923076923</v>
      </c>
      <c r="V139" s="88"/>
      <c r="W139" s="83">
        <f t="shared" si="55"/>
        <v>0.35</v>
      </c>
      <c r="X139" s="81">
        <f>$G139/0.7</f>
        <v>178.50000000000003</v>
      </c>
      <c r="Y139" s="85"/>
      <c r="Z139" s="81">
        <f t="shared" si="56"/>
        <v>229.07500000000002</v>
      </c>
      <c r="AA139" s="81">
        <f t="shared" si="57"/>
        <v>277.18074999999999</v>
      </c>
      <c r="AB139" s="88"/>
      <c r="AC139" s="83">
        <f t="shared" si="58"/>
        <v>0.45454545454545459</v>
      </c>
      <c r="AD139" s="81">
        <f t="shared" si="48"/>
        <v>229.07500000000002</v>
      </c>
      <c r="AE139" s="86"/>
    </row>
    <row r="140" spans="1:31" s="84" customFormat="1" ht="16.5" hidden="1" customHeight="1" x14ac:dyDescent="0.2">
      <c r="A140" s="197"/>
      <c r="B140" s="198"/>
      <c r="C140" s="74">
        <v>116005</v>
      </c>
      <c r="D140" s="87"/>
      <c r="E140" s="102" t="s">
        <v>70</v>
      </c>
      <c r="F140" s="77">
        <v>1</v>
      </c>
      <c r="G140" s="78">
        <v>0</v>
      </c>
      <c r="H140" s="79"/>
      <c r="I140" s="78">
        <f t="shared" si="50"/>
        <v>0</v>
      </c>
      <c r="J140" s="88"/>
      <c r="K140" s="81">
        <f t="shared" si="51"/>
        <v>0</v>
      </c>
      <c r="L140" s="88"/>
      <c r="M140" s="83" t="e">
        <f t="shared" si="52"/>
        <v>#DIV/0!</v>
      </c>
      <c r="N140" s="81">
        <f>$G140/0.6</f>
        <v>0</v>
      </c>
      <c r="P140" s="81">
        <f t="shared" si="53"/>
        <v>0</v>
      </c>
      <c r="Q140" s="88"/>
      <c r="R140" s="83" t="e">
        <f t="shared" si="54"/>
        <v>#DIV/0!</v>
      </c>
      <c r="S140" s="81">
        <f>$G140/0.7</f>
        <v>0</v>
      </c>
      <c r="T140" s="85"/>
      <c r="U140" s="81">
        <f>P140</f>
        <v>0</v>
      </c>
      <c r="V140" s="88"/>
      <c r="W140" s="83" t="e">
        <f t="shared" si="55"/>
        <v>#DIV/0!</v>
      </c>
      <c r="X140" s="81">
        <f>$G140/0.7</f>
        <v>0</v>
      </c>
      <c r="Y140" s="85"/>
      <c r="Z140" s="81">
        <f t="shared" si="56"/>
        <v>0</v>
      </c>
      <c r="AA140" s="81">
        <f t="shared" si="57"/>
        <v>0</v>
      </c>
      <c r="AB140" s="88"/>
      <c r="AC140" s="83" t="e">
        <f t="shared" si="58"/>
        <v>#DIV/0!</v>
      </c>
      <c r="AD140" s="81">
        <f t="shared" si="48"/>
        <v>0</v>
      </c>
      <c r="AE140" s="86"/>
    </row>
    <row r="141" spans="1:31" ht="16.5" customHeight="1" x14ac:dyDescent="0.2">
      <c r="A141" s="199" t="s">
        <v>258</v>
      </c>
      <c r="B141" s="192" t="s">
        <v>427</v>
      </c>
      <c r="C141" s="20">
        <v>117001</v>
      </c>
      <c r="D141" s="42">
        <v>7797897002875</v>
      </c>
      <c r="E141" s="17" t="s">
        <v>77</v>
      </c>
      <c r="F141" s="30">
        <v>15</v>
      </c>
      <c r="G141" s="3">
        <f>3600/240*0.76</f>
        <v>11.4</v>
      </c>
      <c r="H141" s="30"/>
      <c r="I141" s="1">
        <f t="shared" si="50"/>
        <v>0</v>
      </c>
      <c r="J141" s="10"/>
      <c r="K141" s="3">
        <f t="shared" si="51"/>
        <v>20.727272727272727</v>
      </c>
      <c r="L141" s="16"/>
      <c r="M141" s="11">
        <f t="shared" si="52"/>
        <v>0.44999999999999996</v>
      </c>
      <c r="N141" s="3">
        <f t="shared" ref="N141:N154" si="59">$G141/0.55</f>
        <v>20.727272727272727</v>
      </c>
      <c r="O141" s="72">
        <v>0.45</v>
      </c>
      <c r="P141" s="3">
        <f t="shared" si="53"/>
        <v>19.655172413793107</v>
      </c>
      <c r="Q141" s="16"/>
      <c r="R141" s="11">
        <f t="shared" si="54"/>
        <v>0.42000000000000004</v>
      </c>
      <c r="S141" s="3">
        <f>$G141/0.58</f>
        <v>19.655172413793107</v>
      </c>
      <c r="T141" s="70">
        <v>0.42</v>
      </c>
      <c r="U141" s="3">
        <f>X141</f>
        <v>18.688524590163937</v>
      </c>
      <c r="V141" s="16"/>
      <c r="W141" s="11">
        <f t="shared" si="55"/>
        <v>0.39</v>
      </c>
      <c r="X141" s="3">
        <f>$G141/0.61</f>
        <v>18.688524590163937</v>
      </c>
      <c r="Y141" s="70"/>
      <c r="Z141" s="3">
        <f t="shared" si="56"/>
        <v>22.8</v>
      </c>
      <c r="AA141" s="3">
        <f t="shared" si="57"/>
        <v>27.588000000000001</v>
      </c>
      <c r="AB141" s="16"/>
      <c r="AC141" s="11">
        <f t="shared" si="58"/>
        <v>0.5</v>
      </c>
      <c r="AD141" s="3">
        <f t="shared" si="48"/>
        <v>22.8</v>
      </c>
      <c r="AE141" s="35"/>
    </row>
    <row r="142" spans="1:31" ht="16.5" customHeight="1" x14ac:dyDescent="0.2">
      <c r="A142" s="199"/>
      <c r="B142" s="192"/>
      <c r="C142" s="20">
        <v>117002</v>
      </c>
      <c r="D142" s="42">
        <v>7797897002844</v>
      </c>
      <c r="E142" s="17" t="s">
        <v>78</v>
      </c>
      <c r="F142" s="30">
        <v>15</v>
      </c>
      <c r="G142" s="3">
        <f>G141</f>
        <v>11.4</v>
      </c>
      <c r="H142" s="30"/>
      <c r="I142" s="1">
        <f t="shared" si="50"/>
        <v>0</v>
      </c>
      <c r="J142" s="10"/>
      <c r="K142" s="3">
        <f t="shared" si="51"/>
        <v>20.727272727272727</v>
      </c>
      <c r="L142" s="12"/>
      <c r="M142" s="11">
        <f t="shared" si="52"/>
        <v>0.44999999999999996</v>
      </c>
      <c r="N142" s="3">
        <f t="shared" si="59"/>
        <v>20.727272727272727</v>
      </c>
      <c r="P142" s="3">
        <f t="shared" si="53"/>
        <v>19.655172413793107</v>
      </c>
      <c r="Q142" s="12"/>
      <c r="R142" s="11">
        <f t="shared" si="54"/>
        <v>0.42000000000000004</v>
      </c>
      <c r="S142" s="3">
        <f t="shared" ref="S142:S155" si="60">$G142/0.58</f>
        <v>19.655172413793107</v>
      </c>
      <c r="T142" s="70"/>
      <c r="U142" s="3">
        <f t="shared" ref="U142:U186" si="61">X142</f>
        <v>18.688524590163937</v>
      </c>
      <c r="V142" s="12"/>
      <c r="W142" s="11">
        <f t="shared" si="55"/>
        <v>0.39</v>
      </c>
      <c r="X142" s="3">
        <f t="shared" ref="X142:X173" si="62">$G142/0.61</f>
        <v>18.688524590163937</v>
      </c>
      <c r="Y142" s="70"/>
      <c r="Z142" s="3">
        <f t="shared" si="56"/>
        <v>22.8</v>
      </c>
      <c r="AA142" s="3">
        <f t="shared" si="57"/>
        <v>27.588000000000001</v>
      </c>
      <c r="AB142" s="39"/>
      <c r="AC142" s="11">
        <f t="shared" si="58"/>
        <v>0.5</v>
      </c>
      <c r="AD142" s="3">
        <f t="shared" si="48"/>
        <v>22.8</v>
      </c>
      <c r="AE142" s="35"/>
    </row>
    <row r="143" spans="1:31" ht="16.5" customHeight="1" x14ac:dyDescent="0.2">
      <c r="A143" s="199"/>
      <c r="B143" s="192"/>
      <c r="C143" s="20">
        <v>117003</v>
      </c>
      <c r="D143" s="42">
        <v>7797897002851</v>
      </c>
      <c r="E143" s="17" t="s">
        <v>347</v>
      </c>
      <c r="F143" s="30">
        <v>15</v>
      </c>
      <c r="G143" s="3">
        <f>G142</f>
        <v>11.4</v>
      </c>
      <c r="H143" s="30"/>
      <c r="I143" s="1">
        <f t="shared" si="50"/>
        <v>0</v>
      </c>
      <c r="J143" s="10"/>
      <c r="K143" s="3">
        <f t="shared" si="51"/>
        <v>20.727272727272727</v>
      </c>
      <c r="L143" s="12"/>
      <c r="M143" s="11">
        <f t="shared" si="52"/>
        <v>0.44999999999999996</v>
      </c>
      <c r="N143" s="3">
        <f t="shared" si="59"/>
        <v>20.727272727272727</v>
      </c>
      <c r="P143" s="3">
        <f t="shared" si="53"/>
        <v>19.655172413793107</v>
      </c>
      <c r="Q143" s="12"/>
      <c r="R143" s="11">
        <f t="shared" si="54"/>
        <v>0.42000000000000004</v>
      </c>
      <c r="S143" s="3">
        <f t="shared" si="60"/>
        <v>19.655172413793107</v>
      </c>
      <c r="T143" s="70"/>
      <c r="U143" s="3">
        <f t="shared" si="61"/>
        <v>18.688524590163937</v>
      </c>
      <c r="V143" s="12"/>
      <c r="W143" s="11">
        <f t="shared" si="55"/>
        <v>0.39</v>
      </c>
      <c r="X143" s="3">
        <f t="shared" si="62"/>
        <v>18.688524590163937</v>
      </c>
      <c r="Y143" s="70"/>
      <c r="Z143" s="3">
        <f t="shared" si="56"/>
        <v>22.8</v>
      </c>
      <c r="AA143" s="3">
        <f t="shared" si="57"/>
        <v>27.588000000000001</v>
      </c>
      <c r="AB143" s="39"/>
      <c r="AC143" s="11">
        <f t="shared" si="58"/>
        <v>0.5</v>
      </c>
      <c r="AD143" s="3">
        <f t="shared" si="48"/>
        <v>22.8</v>
      </c>
      <c r="AE143" s="35"/>
    </row>
    <row r="144" spans="1:31" ht="16.5" customHeight="1" x14ac:dyDescent="0.2">
      <c r="A144" s="199"/>
      <c r="B144" s="192"/>
      <c r="C144" s="20">
        <v>117004</v>
      </c>
      <c r="D144" s="42">
        <v>7797897002868</v>
      </c>
      <c r="E144" s="17" t="s">
        <v>82</v>
      </c>
      <c r="F144" s="30">
        <v>15</v>
      </c>
      <c r="G144" s="3">
        <f>G143</f>
        <v>11.4</v>
      </c>
      <c r="H144" s="30"/>
      <c r="I144" s="1">
        <f t="shared" si="50"/>
        <v>0</v>
      </c>
      <c r="J144" s="10"/>
      <c r="K144" s="3">
        <f t="shared" si="51"/>
        <v>20.727272727272727</v>
      </c>
      <c r="L144" s="12"/>
      <c r="M144" s="11">
        <f t="shared" si="52"/>
        <v>0.44999999999999996</v>
      </c>
      <c r="N144" s="3">
        <f t="shared" si="59"/>
        <v>20.727272727272727</v>
      </c>
      <c r="P144" s="3">
        <f t="shared" si="53"/>
        <v>19.655172413793107</v>
      </c>
      <c r="Q144" s="12"/>
      <c r="R144" s="11">
        <f t="shared" si="54"/>
        <v>0.42000000000000004</v>
      </c>
      <c r="S144" s="3">
        <f t="shared" si="60"/>
        <v>19.655172413793107</v>
      </c>
      <c r="T144" s="70"/>
      <c r="U144" s="3">
        <f t="shared" si="61"/>
        <v>18.688524590163937</v>
      </c>
      <c r="V144" s="12"/>
      <c r="W144" s="11">
        <f t="shared" si="55"/>
        <v>0.39</v>
      </c>
      <c r="X144" s="3">
        <f t="shared" si="62"/>
        <v>18.688524590163937</v>
      </c>
      <c r="Y144" s="70"/>
      <c r="Z144" s="3">
        <f t="shared" si="56"/>
        <v>22.8</v>
      </c>
      <c r="AA144" s="3">
        <f t="shared" si="57"/>
        <v>27.588000000000001</v>
      </c>
      <c r="AB144" s="39"/>
      <c r="AC144" s="11">
        <f t="shared" si="58"/>
        <v>0.5</v>
      </c>
      <c r="AD144" s="3">
        <f t="shared" si="48"/>
        <v>22.8</v>
      </c>
      <c r="AE144" s="35"/>
    </row>
    <row r="145" spans="1:31" ht="16.5" customHeight="1" x14ac:dyDescent="0.2">
      <c r="A145" s="199"/>
      <c r="B145" s="192"/>
      <c r="C145" s="20">
        <v>117005</v>
      </c>
      <c r="D145" s="44" t="s">
        <v>246</v>
      </c>
      <c r="E145" s="19" t="s">
        <v>147</v>
      </c>
      <c r="F145" s="13">
        <v>8</v>
      </c>
      <c r="G145" s="3">
        <f>1200/10*0.76</f>
        <v>91.2</v>
      </c>
      <c r="H145" s="13"/>
      <c r="I145" s="1">
        <f t="shared" si="50"/>
        <v>0</v>
      </c>
      <c r="K145" s="3">
        <f t="shared" si="51"/>
        <v>165.81818181818181</v>
      </c>
      <c r="L145" s="15"/>
      <c r="M145" s="11">
        <f t="shared" si="52"/>
        <v>0.44999999999999996</v>
      </c>
      <c r="N145" s="3">
        <f t="shared" si="59"/>
        <v>165.81818181818181</v>
      </c>
      <c r="P145" s="3">
        <f t="shared" si="53"/>
        <v>157.24137931034485</v>
      </c>
      <c r="Q145" s="15"/>
      <c r="R145" s="11">
        <f t="shared" si="54"/>
        <v>0.42000000000000004</v>
      </c>
      <c r="S145" s="3">
        <f t="shared" si="60"/>
        <v>157.24137931034485</v>
      </c>
      <c r="T145" s="70"/>
      <c r="U145" s="3">
        <f t="shared" si="61"/>
        <v>149.50819672131149</v>
      </c>
      <c r="V145" s="15"/>
      <c r="W145" s="11">
        <f t="shared" si="55"/>
        <v>0.39</v>
      </c>
      <c r="X145" s="3">
        <f t="shared" si="62"/>
        <v>149.50819672131149</v>
      </c>
      <c r="Y145" s="70"/>
      <c r="Z145" s="3">
        <f t="shared" si="56"/>
        <v>182.4</v>
      </c>
      <c r="AA145" s="3">
        <f t="shared" si="57"/>
        <v>220.70400000000001</v>
      </c>
      <c r="AB145" s="40"/>
      <c r="AC145" s="11">
        <f t="shared" si="58"/>
        <v>0.5</v>
      </c>
      <c r="AD145" s="3">
        <f t="shared" si="48"/>
        <v>182.4</v>
      </c>
      <c r="AE145" s="35"/>
    </row>
    <row r="146" spans="1:31" ht="16.5" customHeight="1" x14ac:dyDescent="0.2">
      <c r="A146" s="199"/>
      <c r="B146" s="192"/>
      <c r="C146" s="20">
        <v>117006</v>
      </c>
      <c r="D146" s="44" t="s">
        <v>247</v>
      </c>
      <c r="E146" s="19" t="s">
        <v>148</v>
      </c>
      <c r="F146" s="13">
        <v>8</v>
      </c>
      <c r="G146" s="3">
        <f>G145</f>
        <v>91.2</v>
      </c>
      <c r="H146" s="13"/>
      <c r="I146" s="1">
        <f t="shared" si="50"/>
        <v>0</v>
      </c>
      <c r="K146" s="3">
        <f t="shared" si="51"/>
        <v>165.81818181818181</v>
      </c>
      <c r="L146" s="15"/>
      <c r="M146" s="11">
        <f t="shared" si="52"/>
        <v>0.44999999999999996</v>
      </c>
      <c r="N146" s="3">
        <f t="shared" si="59"/>
        <v>165.81818181818181</v>
      </c>
      <c r="P146" s="3">
        <f t="shared" si="53"/>
        <v>157.24137931034485</v>
      </c>
      <c r="Q146" s="15"/>
      <c r="R146" s="11">
        <f t="shared" si="54"/>
        <v>0.42000000000000004</v>
      </c>
      <c r="S146" s="3">
        <f t="shared" si="60"/>
        <v>157.24137931034485</v>
      </c>
      <c r="T146" s="70"/>
      <c r="U146" s="3">
        <f t="shared" si="61"/>
        <v>149.50819672131149</v>
      </c>
      <c r="V146" s="15"/>
      <c r="W146" s="11">
        <f t="shared" si="55"/>
        <v>0.39</v>
      </c>
      <c r="X146" s="3">
        <f t="shared" si="62"/>
        <v>149.50819672131149</v>
      </c>
      <c r="Y146" s="70"/>
      <c r="Z146" s="3">
        <f t="shared" si="56"/>
        <v>182.4</v>
      </c>
      <c r="AA146" s="3">
        <f t="shared" si="57"/>
        <v>220.70400000000001</v>
      </c>
      <c r="AB146" s="40"/>
      <c r="AC146" s="11">
        <f t="shared" si="58"/>
        <v>0.5</v>
      </c>
      <c r="AD146" s="3">
        <f t="shared" si="48"/>
        <v>182.4</v>
      </c>
      <c r="AE146" s="35"/>
    </row>
    <row r="147" spans="1:31" ht="16.5" customHeight="1" x14ac:dyDescent="0.2">
      <c r="A147" s="199"/>
      <c r="B147" s="192"/>
      <c r="C147" s="20">
        <v>117007</v>
      </c>
      <c r="D147" s="44" t="s">
        <v>248</v>
      </c>
      <c r="E147" s="19" t="s">
        <v>149</v>
      </c>
      <c r="F147" s="13">
        <v>8</v>
      </c>
      <c r="G147" s="3">
        <f>G146</f>
        <v>91.2</v>
      </c>
      <c r="H147" s="13"/>
      <c r="I147" s="1">
        <f t="shared" si="50"/>
        <v>0</v>
      </c>
      <c r="K147" s="3">
        <f t="shared" si="51"/>
        <v>165.81818181818181</v>
      </c>
      <c r="L147" s="15"/>
      <c r="M147" s="11">
        <f t="shared" si="52"/>
        <v>0.44999999999999996</v>
      </c>
      <c r="N147" s="3">
        <f t="shared" si="59"/>
        <v>165.81818181818181</v>
      </c>
      <c r="P147" s="3">
        <f t="shared" si="53"/>
        <v>157.24137931034485</v>
      </c>
      <c r="Q147" s="15"/>
      <c r="R147" s="11">
        <f t="shared" si="54"/>
        <v>0.42000000000000004</v>
      </c>
      <c r="S147" s="3">
        <f t="shared" si="60"/>
        <v>157.24137931034485</v>
      </c>
      <c r="T147" s="70"/>
      <c r="U147" s="3">
        <f t="shared" si="61"/>
        <v>149.50819672131149</v>
      </c>
      <c r="V147" s="15"/>
      <c r="W147" s="11">
        <f t="shared" si="55"/>
        <v>0.39</v>
      </c>
      <c r="X147" s="3">
        <f t="shared" si="62"/>
        <v>149.50819672131149</v>
      </c>
      <c r="Y147" s="70"/>
      <c r="Z147" s="3">
        <f t="shared" si="56"/>
        <v>182.4</v>
      </c>
      <c r="AA147" s="3">
        <f t="shared" si="57"/>
        <v>220.70400000000001</v>
      </c>
      <c r="AB147" s="40"/>
      <c r="AC147" s="11">
        <f t="shared" si="58"/>
        <v>0.5</v>
      </c>
      <c r="AD147" s="3">
        <f t="shared" si="48"/>
        <v>182.4</v>
      </c>
      <c r="AE147" s="35"/>
    </row>
    <row r="148" spans="1:31" ht="16.5" customHeight="1" x14ac:dyDescent="0.2">
      <c r="A148" s="199"/>
      <c r="B148" s="192"/>
      <c r="C148" s="20">
        <v>117008</v>
      </c>
      <c r="D148" s="42">
        <v>7797897002998</v>
      </c>
      <c r="E148" s="19" t="s">
        <v>79</v>
      </c>
      <c r="F148" s="20">
        <v>8</v>
      </c>
      <c r="G148" s="3">
        <f>G147</f>
        <v>91.2</v>
      </c>
      <c r="H148" s="20"/>
      <c r="I148" s="1">
        <f t="shared" si="50"/>
        <v>0</v>
      </c>
      <c r="K148" s="3">
        <f t="shared" si="51"/>
        <v>165.81818181818181</v>
      </c>
      <c r="L148" s="15"/>
      <c r="M148" s="11">
        <f t="shared" si="52"/>
        <v>0.44999999999999996</v>
      </c>
      <c r="N148" s="3">
        <f t="shared" si="59"/>
        <v>165.81818181818181</v>
      </c>
      <c r="P148" s="3">
        <f t="shared" si="53"/>
        <v>157.24137931034485</v>
      </c>
      <c r="Q148" s="15"/>
      <c r="R148" s="11">
        <f t="shared" si="54"/>
        <v>0.42000000000000004</v>
      </c>
      <c r="S148" s="3">
        <f t="shared" si="60"/>
        <v>157.24137931034485</v>
      </c>
      <c r="T148" s="70"/>
      <c r="U148" s="3">
        <f t="shared" si="61"/>
        <v>149.50819672131149</v>
      </c>
      <c r="V148" s="15"/>
      <c r="W148" s="11">
        <f t="shared" si="55"/>
        <v>0.39</v>
      </c>
      <c r="X148" s="3">
        <f t="shared" si="62"/>
        <v>149.50819672131149</v>
      </c>
      <c r="Y148" s="70"/>
      <c r="Z148" s="3">
        <f t="shared" si="56"/>
        <v>182.4</v>
      </c>
      <c r="AA148" s="3">
        <f t="shared" si="57"/>
        <v>220.70400000000001</v>
      </c>
      <c r="AB148" s="40"/>
      <c r="AC148" s="11">
        <f t="shared" si="58"/>
        <v>0.5</v>
      </c>
      <c r="AD148" s="3">
        <f t="shared" si="48"/>
        <v>182.4</v>
      </c>
      <c r="AE148" s="35"/>
    </row>
    <row r="149" spans="1:31" ht="16.5" customHeight="1" x14ac:dyDescent="0.2">
      <c r="A149" s="199"/>
      <c r="B149" s="203" t="s">
        <v>428</v>
      </c>
      <c r="C149" s="20">
        <v>117027</v>
      </c>
      <c r="D149" s="42">
        <v>7797897003155</v>
      </c>
      <c r="E149" s="17" t="s">
        <v>421</v>
      </c>
      <c r="F149" s="30">
        <v>12</v>
      </c>
      <c r="G149" s="3">
        <f>548/12*0.76</f>
        <v>34.706666666666663</v>
      </c>
      <c r="H149" s="30"/>
      <c r="I149" s="1">
        <f t="shared" ref="I149:I154" si="63">G149*H149</f>
        <v>0</v>
      </c>
      <c r="J149" s="10"/>
      <c r="K149" s="3">
        <f t="shared" ref="K149:K154" si="64">N149</f>
        <v>63.103030303030295</v>
      </c>
      <c r="L149" s="16"/>
      <c r="M149" s="11">
        <f t="shared" ref="M149:M154" si="65">1-(G149/K149)</f>
        <v>0.44999999999999996</v>
      </c>
      <c r="N149" s="3">
        <f t="shared" si="59"/>
        <v>63.103030303030295</v>
      </c>
      <c r="O149" s="72">
        <v>0.45</v>
      </c>
      <c r="P149" s="3">
        <f t="shared" ref="P149:P155" si="66">S149</f>
        <v>59.839080459770116</v>
      </c>
      <c r="Q149" s="16"/>
      <c r="R149" s="11">
        <f t="shared" ref="R149:R155" si="67">1-(G149/P149)</f>
        <v>0.42000000000000004</v>
      </c>
      <c r="S149" s="3">
        <f t="shared" si="60"/>
        <v>59.839080459770116</v>
      </c>
      <c r="T149" s="70">
        <v>0.42</v>
      </c>
      <c r="U149" s="3">
        <f t="shared" ref="U149:U154" si="68">X149</f>
        <v>56.896174863387976</v>
      </c>
      <c r="V149" s="16"/>
      <c r="W149" s="11">
        <f t="shared" ref="W149:W154" si="69">1-(G149/U149)</f>
        <v>0.39</v>
      </c>
      <c r="X149" s="3">
        <f>$G149/0.61</f>
        <v>56.896174863387976</v>
      </c>
      <c r="Y149" s="70"/>
      <c r="Z149" s="3">
        <f t="shared" ref="Z149:Z154" si="70">AD149</f>
        <v>69.413333333333327</v>
      </c>
      <c r="AA149" s="3">
        <f t="shared" ref="AA149:AA154" si="71">Z149*1.21</f>
        <v>83.990133333333318</v>
      </c>
      <c r="AB149" s="16"/>
      <c r="AC149" s="11">
        <f t="shared" ref="AC149:AC154" si="72">1-(G149/Z149)</f>
        <v>0.5</v>
      </c>
      <c r="AD149" s="3">
        <f t="shared" ref="AD149:AD154" si="73">K149*1.1</f>
        <v>69.413333333333327</v>
      </c>
      <c r="AE149" s="35"/>
    </row>
    <row r="150" spans="1:31" ht="16.5" customHeight="1" x14ac:dyDescent="0.2">
      <c r="A150" s="199"/>
      <c r="B150" s="204"/>
      <c r="C150" s="20">
        <v>117028</v>
      </c>
      <c r="D150" s="42">
        <v>7797897003162</v>
      </c>
      <c r="E150" s="17" t="s">
        <v>422</v>
      </c>
      <c r="F150" s="30">
        <v>12</v>
      </c>
      <c r="G150" s="3">
        <f>G149</f>
        <v>34.706666666666663</v>
      </c>
      <c r="H150" s="30"/>
      <c r="I150" s="1">
        <f t="shared" si="63"/>
        <v>0</v>
      </c>
      <c r="J150" s="10"/>
      <c r="K150" s="3">
        <f t="shared" si="64"/>
        <v>63.103030303030295</v>
      </c>
      <c r="L150" s="12"/>
      <c r="M150" s="11">
        <f t="shared" si="65"/>
        <v>0.44999999999999996</v>
      </c>
      <c r="N150" s="3">
        <f t="shared" si="59"/>
        <v>63.103030303030295</v>
      </c>
      <c r="P150" s="3">
        <f t="shared" si="66"/>
        <v>59.839080459770116</v>
      </c>
      <c r="Q150" s="12"/>
      <c r="R150" s="11">
        <f t="shared" si="67"/>
        <v>0.42000000000000004</v>
      </c>
      <c r="S150" s="3">
        <f t="shared" si="60"/>
        <v>59.839080459770116</v>
      </c>
      <c r="T150" s="70"/>
      <c r="U150" s="3">
        <f t="shared" si="68"/>
        <v>56.896174863387976</v>
      </c>
      <c r="V150" s="12"/>
      <c r="W150" s="11">
        <f t="shared" si="69"/>
        <v>0.39</v>
      </c>
      <c r="X150" s="3">
        <f t="shared" si="62"/>
        <v>56.896174863387976</v>
      </c>
      <c r="Y150" s="70"/>
      <c r="Z150" s="3">
        <f t="shared" si="70"/>
        <v>69.413333333333327</v>
      </c>
      <c r="AA150" s="3">
        <f t="shared" si="71"/>
        <v>83.990133333333318</v>
      </c>
      <c r="AB150" s="39"/>
      <c r="AC150" s="11">
        <f t="shared" si="72"/>
        <v>0.5</v>
      </c>
      <c r="AD150" s="3">
        <f t="shared" si="73"/>
        <v>69.413333333333327</v>
      </c>
      <c r="AE150" s="35"/>
    </row>
    <row r="151" spans="1:31" ht="16.5" customHeight="1" x14ac:dyDescent="0.2">
      <c r="A151" s="199"/>
      <c r="B151" s="204"/>
      <c r="C151" s="20">
        <v>117029</v>
      </c>
      <c r="D151" s="42">
        <v>7797897003124</v>
      </c>
      <c r="E151" s="17" t="s">
        <v>426</v>
      </c>
      <c r="F151" s="30">
        <v>12</v>
      </c>
      <c r="G151" s="3">
        <f>361/12*0.76</f>
        <v>22.863333333333333</v>
      </c>
      <c r="H151" s="30"/>
      <c r="I151" s="1">
        <f t="shared" si="63"/>
        <v>0</v>
      </c>
      <c r="J151" s="10"/>
      <c r="K151" s="3">
        <f t="shared" si="64"/>
        <v>41.569696969696963</v>
      </c>
      <c r="L151" s="12"/>
      <c r="M151" s="11">
        <f t="shared" si="65"/>
        <v>0.44999999999999996</v>
      </c>
      <c r="N151" s="3">
        <f t="shared" si="59"/>
        <v>41.569696969696963</v>
      </c>
      <c r="P151" s="3">
        <f t="shared" si="66"/>
        <v>39.419540229885058</v>
      </c>
      <c r="Q151" s="12"/>
      <c r="R151" s="11">
        <f t="shared" si="67"/>
        <v>0.42000000000000004</v>
      </c>
      <c r="S151" s="3">
        <f t="shared" si="60"/>
        <v>39.419540229885058</v>
      </c>
      <c r="T151" s="70"/>
      <c r="U151" s="3">
        <f t="shared" si="68"/>
        <v>37.480874316939889</v>
      </c>
      <c r="V151" s="12"/>
      <c r="W151" s="11">
        <f t="shared" si="69"/>
        <v>0.39</v>
      </c>
      <c r="X151" s="3">
        <f t="shared" si="62"/>
        <v>37.480874316939889</v>
      </c>
      <c r="Y151" s="70"/>
      <c r="Z151" s="3">
        <f t="shared" si="70"/>
        <v>45.726666666666667</v>
      </c>
      <c r="AA151" s="3">
        <f t="shared" si="71"/>
        <v>55.329266666666662</v>
      </c>
      <c r="AB151" s="39"/>
      <c r="AC151" s="11">
        <f t="shared" si="72"/>
        <v>0.5</v>
      </c>
      <c r="AD151" s="3">
        <f t="shared" si="73"/>
        <v>45.726666666666667</v>
      </c>
      <c r="AE151" s="35"/>
    </row>
    <row r="152" spans="1:31" ht="16.5" customHeight="1" x14ac:dyDescent="0.2">
      <c r="A152" s="199"/>
      <c r="B152" s="204"/>
      <c r="C152" s="20">
        <v>117030</v>
      </c>
      <c r="D152" s="42">
        <v>7797897003117</v>
      </c>
      <c r="E152" s="17" t="s">
        <v>423</v>
      </c>
      <c r="F152" s="30">
        <v>12</v>
      </c>
      <c r="G152" s="3">
        <f>483/12*0.76</f>
        <v>30.59</v>
      </c>
      <c r="H152" s="30"/>
      <c r="I152" s="1">
        <f t="shared" si="63"/>
        <v>0</v>
      </c>
      <c r="J152" s="10"/>
      <c r="K152" s="3">
        <f t="shared" si="64"/>
        <v>55.61818181818181</v>
      </c>
      <c r="L152" s="12"/>
      <c r="M152" s="11">
        <f t="shared" si="65"/>
        <v>0.44999999999999996</v>
      </c>
      <c r="N152" s="3">
        <f t="shared" si="59"/>
        <v>55.61818181818181</v>
      </c>
      <c r="P152" s="3">
        <f t="shared" si="66"/>
        <v>52.741379310344833</v>
      </c>
      <c r="Q152" s="12"/>
      <c r="R152" s="11">
        <f t="shared" si="67"/>
        <v>0.42000000000000004</v>
      </c>
      <c r="S152" s="3">
        <f t="shared" si="60"/>
        <v>52.741379310344833</v>
      </c>
      <c r="T152" s="70"/>
      <c r="U152" s="3">
        <f t="shared" si="68"/>
        <v>50.147540983606561</v>
      </c>
      <c r="V152" s="12"/>
      <c r="W152" s="11">
        <f t="shared" si="69"/>
        <v>0.39</v>
      </c>
      <c r="X152" s="3">
        <f t="shared" si="62"/>
        <v>50.147540983606561</v>
      </c>
      <c r="Y152" s="70"/>
      <c r="Z152" s="3">
        <f t="shared" si="70"/>
        <v>61.179999999999993</v>
      </c>
      <c r="AA152" s="3">
        <f t="shared" si="71"/>
        <v>74.027799999999985</v>
      </c>
      <c r="AB152" s="39"/>
      <c r="AC152" s="11">
        <f t="shared" si="72"/>
        <v>0.49999999999999989</v>
      </c>
      <c r="AD152" s="3">
        <f t="shared" si="73"/>
        <v>61.179999999999993</v>
      </c>
      <c r="AE152" s="35"/>
    </row>
    <row r="153" spans="1:31" ht="16.5" customHeight="1" x14ac:dyDescent="0.2">
      <c r="A153" s="199"/>
      <c r="B153" s="204"/>
      <c r="C153" s="20">
        <v>117031</v>
      </c>
      <c r="D153" s="44" t="s">
        <v>429</v>
      </c>
      <c r="E153" s="19" t="s">
        <v>424</v>
      </c>
      <c r="F153" s="13">
        <v>12</v>
      </c>
      <c r="G153" s="3">
        <f>267/12*0.76</f>
        <v>16.91</v>
      </c>
      <c r="H153" s="13"/>
      <c r="I153" s="1">
        <f t="shared" si="63"/>
        <v>0</v>
      </c>
      <c r="K153" s="3">
        <f t="shared" si="64"/>
        <v>30.745454545454542</v>
      </c>
      <c r="L153" s="15"/>
      <c r="M153" s="11">
        <f t="shared" si="65"/>
        <v>0.44999999999999996</v>
      </c>
      <c r="N153" s="3">
        <f t="shared" si="59"/>
        <v>30.745454545454542</v>
      </c>
      <c r="P153" s="3">
        <f t="shared" si="66"/>
        <v>29.155172413793107</v>
      </c>
      <c r="Q153" s="15"/>
      <c r="R153" s="11">
        <f t="shared" si="67"/>
        <v>0.42000000000000004</v>
      </c>
      <c r="S153" s="3">
        <f t="shared" si="60"/>
        <v>29.155172413793107</v>
      </c>
      <c r="T153" s="70"/>
      <c r="U153" s="3">
        <f t="shared" si="68"/>
        <v>27.721311475409838</v>
      </c>
      <c r="V153" s="15"/>
      <c r="W153" s="11">
        <f t="shared" si="69"/>
        <v>0.39</v>
      </c>
      <c r="X153" s="3">
        <f t="shared" si="62"/>
        <v>27.721311475409838</v>
      </c>
      <c r="Y153" s="70"/>
      <c r="Z153" s="3">
        <f t="shared" si="70"/>
        <v>33.82</v>
      </c>
      <c r="AA153" s="3">
        <f t="shared" si="71"/>
        <v>40.922199999999997</v>
      </c>
      <c r="AB153" s="40"/>
      <c r="AC153" s="11">
        <f t="shared" si="72"/>
        <v>0.5</v>
      </c>
      <c r="AD153" s="3">
        <f t="shared" si="73"/>
        <v>33.82</v>
      </c>
      <c r="AE153" s="35"/>
    </row>
    <row r="154" spans="1:31" ht="16.5" customHeight="1" x14ac:dyDescent="0.2">
      <c r="A154" s="199"/>
      <c r="B154" s="205"/>
      <c r="C154" s="20">
        <v>117032</v>
      </c>
      <c r="D154" s="44" t="s">
        <v>430</v>
      </c>
      <c r="E154" s="19" t="s">
        <v>425</v>
      </c>
      <c r="F154" s="13">
        <v>12</v>
      </c>
      <c r="G154" s="3">
        <f>325/12*0.76</f>
        <v>20.583333333333332</v>
      </c>
      <c r="H154" s="13"/>
      <c r="I154" s="1">
        <f t="shared" si="63"/>
        <v>0</v>
      </c>
      <c r="K154" s="3">
        <f t="shared" si="64"/>
        <v>37.424242424242422</v>
      </c>
      <c r="L154" s="15"/>
      <c r="M154" s="11">
        <f t="shared" si="65"/>
        <v>0.44999999999999996</v>
      </c>
      <c r="N154" s="3">
        <f t="shared" si="59"/>
        <v>37.424242424242422</v>
      </c>
      <c r="P154" s="3">
        <f t="shared" si="66"/>
        <v>35.488505747126439</v>
      </c>
      <c r="Q154" s="15"/>
      <c r="R154" s="11">
        <f t="shared" si="67"/>
        <v>0.42000000000000004</v>
      </c>
      <c r="S154" s="3">
        <f t="shared" si="60"/>
        <v>35.488505747126439</v>
      </c>
      <c r="T154" s="70"/>
      <c r="U154" s="3">
        <f t="shared" si="68"/>
        <v>33.743169398907099</v>
      </c>
      <c r="V154" s="15"/>
      <c r="W154" s="11">
        <f t="shared" si="69"/>
        <v>0.3899999999999999</v>
      </c>
      <c r="X154" s="3">
        <f t="shared" si="62"/>
        <v>33.743169398907099</v>
      </c>
      <c r="Y154" s="70"/>
      <c r="Z154" s="3">
        <f t="shared" si="70"/>
        <v>41.166666666666664</v>
      </c>
      <c r="AA154" s="3">
        <f t="shared" si="71"/>
        <v>49.81166666666666</v>
      </c>
      <c r="AB154" s="40"/>
      <c r="AC154" s="11">
        <f t="shared" si="72"/>
        <v>0.5</v>
      </c>
      <c r="AD154" s="3">
        <f t="shared" si="73"/>
        <v>41.166666666666664</v>
      </c>
      <c r="AE154" s="35"/>
    </row>
    <row r="155" spans="1:31" ht="16.5" customHeight="1" x14ac:dyDescent="0.2">
      <c r="A155" s="199"/>
      <c r="B155" s="201" t="s">
        <v>400</v>
      </c>
      <c r="C155" s="20">
        <v>117009</v>
      </c>
      <c r="D155" s="45"/>
      <c r="E155" s="19" t="s">
        <v>321</v>
      </c>
      <c r="F155" s="20">
        <v>200</v>
      </c>
      <c r="G155" s="3">
        <v>2.024</v>
      </c>
      <c r="H155" s="38"/>
      <c r="I155" s="1">
        <f t="shared" si="50"/>
        <v>0</v>
      </c>
      <c r="K155" s="3">
        <f>N155</f>
        <v>3.4896551724137934</v>
      </c>
      <c r="L155" s="15"/>
      <c r="M155" s="11">
        <f t="shared" si="52"/>
        <v>0.42000000000000004</v>
      </c>
      <c r="N155" s="3">
        <f>S155</f>
        <v>3.4896551724137934</v>
      </c>
      <c r="P155" s="3">
        <f t="shared" si="66"/>
        <v>3.4896551724137934</v>
      </c>
      <c r="Q155" s="15"/>
      <c r="R155" s="11">
        <f t="shared" si="67"/>
        <v>0.42000000000000004</v>
      </c>
      <c r="S155" s="3">
        <f t="shared" si="60"/>
        <v>3.4896551724137934</v>
      </c>
      <c r="T155" s="70"/>
      <c r="U155" s="3">
        <f t="shared" si="61"/>
        <v>3.5102323968088798</v>
      </c>
      <c r="V155" s="15"/>
      <c r="W155" s="11">
        <f t="shared" si="55"/>
        <v>0.4234</v>
      </c>
      <c r="X155" s="3">
        <f>$G155/0.5766</f>
        <v>3.5102323968088798</v>
      </c>
      <c r="Y155" s="70"/>
      <c r="Z155" s="3">
        <f t="shared" si="56"/>
        <v>3.8386206896551731</v>
      </c>
      <c r="AA155" s="3">
        <f t="shared" si="57"/>
        <v>4.644731034482759</v>
      </c>
      <c r="AB155" s="40"/>
      <c r="AC155" s="11">
        <f t="shared" si="58"/>
        <v>0.47272727272727277</v>
      </c>
      <c r="AD155" s="3">
        <f t="shared" si="48"/>
        <v>3.8386206896551731</v>
      </c>
      <c r="AE155" s="35"/>
    </row>
    <row r="156" spans="1:31" ht="16.5" customHeight="1" x14ac:dyDescent="0.2">
      <c r="A156" s="199"/>
      <c r="B156" s="202"/>
      <c r="C156" s="20">
        <v>117010</v>
      </c>
      <c r="D156" s="45">
        <v>77954909</v>
      </c>
      <c r="E156" s="19" t="s">
        <v>373</v>
      </c>
      <c r="F156" s="20">
        <v>50</v>
      </c>
      <c r="G156" s="3">
        <f>510*0.76/50</f>
        <v>7.7520000000000007</v>
      </c>
      <c r="H156" s="38"/>
      <c r="I156" s="1">
        <f t="shared" si="50"/>
        <v>0</v>
      </c>
      <c r="K156" s="3">
        <f t="shared" si="51"/>
        <v>13.365517241379312</v>
      </c>
      <c r="L156" s="15"/>
      <c r="M156" s="11">
        <f t="shared" si="52"/>
        <v>0.42000000000000004</v>
      </c>
      <c r="N156" s="3">
        <f t="shared" ref="N156:N171" si="74">S156</f>
        <v>13.365517241379312</v>
      </c>
      <c r="P156" s="3">
        <f t="shared" si="53"/>
        <v>13.365517241379312</v>
      </c>
      <c r="Q156" s="15"/>
      <c r="R156" s="11">
        <f t="shared" si="54"/>
        <v>0.42000000000000004</v>
      </c>
      <c r="S156" s="3">
        <f t="shared" ref="S156:S165" si="75">$G156/0.58</f>
        <v>13.365517241379312</v>
      </c>
      <c r="T156" s="70">
        <v>0.42</v>
      </c>
      <c r="U156" s="3">
        <f t="shared" si="61"/>
        <v>12.708196721311477</v>
      </c>
      <c r="V156" s="15"/>
      <c r="W156" s="11">
        <f t="shared" si="55"/>
        <v>0.39</v>
      </c>
      <c r="X156" s="3">
        <f t="shared" si="62"/>
        <v>12.708196721311477</v>
      </c>
      <c r="Y156" s="70"/>
      <c r="Z156" s="3">
        <f t="shared" si="56"/>
        <v>14.702068965517244</v>
      </c>
      <c r="AA156" s="3">
        <f t="shared" si="57"/>
        <v>17.789503448275862</v>
      </c>
      <c r="AB156" s="40"/>
      <c r="AC156" s="11">
        <f t="shared" si="58"/>
        <v>0.47272727272727277</v>
      </c>
      <c r="AD156" s="3">
        <f t="shared" si="48"/>
        <v>14.702068965517244</v>
      </c>
      <c r="AE156" s="35"/>
    </row>
    <row r="157" spans="1:31" ht="16.5" customHeight="1" x14ac:dyDescent="0.2">
      <c r="A157" s="199"/>
      <c r="B157" s="202"/>
      <c r="C157" s="20">
        <v>117011</v>
      </c>
      <c r="D157" s="53">
        <v>77926340</v>
      </c>
      <c r="E157" s="19" t="s">
        <v>267</v>
      </c>
      <c r="F157" s="20">
        <v>50</v>
      </c>
      <c r="G157" s="3">
        <f>290*0.76/50</f>
        <v>4.4080000000000004</v>
      </c>
      <c r="H157" s="38"/>
      <c r="I157" s="1">
        <f t="shared" si="50"/>
        <v>0</v>
      </c>
      <c r="K157" s="3">
        <f t="shared" si="51"/>
        <v>7.6000000000000014</v>
      </c>
      <c r="L157" s="15"/>
      <c r="M157" s="11">
        <f t="shared" si="52"/>
        <v>0.42000000000000004</v>
      </c>
      <c r="N157" s="3">
        <f t="shared" si="74"/>
        <v>7.6000000000000014</v>
      </c>
      <c r="P157" s="3">
        <f t="shared" si="53"/>
        <v>7.6000000000000014</v>
      </c>
      <c r="Q157" s="15"/>
      <c r="R157" s="11">
        <f t="shared" si="54"/>
        <v>0.42000000000000004</v>
      </c>
      <c r="S157" s="3">
        <f t="shared" si="75"/>
        <v>7.6000000000000014</v>
      </c>
      <c r="T157" s="70"/>
      <c r="U157" s="3">
        <f t="shared" si="61"/>
        <v>7.2262295081967221</v>
      </c>
      <c r="V157" s="15"/>
      <c r="W157" s="11">
        <f t="shared" si="55"/>
        <v>0.39</v>
      </c>
      <c r="X157" s="3">
        <f t="shared" si="62"/>
        <v>7.2262295081967221</v>
      </c>
      <c r="Y157" s="70"/>
      <c r="Z157" s="3">
        <f t="shared" si="56"/>
        <v>8.360000000000003</v>
      </c>
      <c r="AA157" s="3">
        <f t="shared" si="57"/>
        <v>10.115600000000004</v>
      </c>
      <c r="AB157" s="40"/>
      <c r="AC157" s="11">
        <f t="shared" si="58"/>
        <v>0.47272727272727288</v>
      </c>
      <c r="AD157" s="3">
        <f t="shared" si="48"/>
        <v>8.360000000000003</v>
      </c>
      <c r="AE157" s="35"/>
    </row>
    <row r="158" spans="1:31" ht="16.5" customHeight="1" x14ac:dyDescent="0.2">
      <c r="A158" s="199"/>
      <c r="B158" s="202"/>
      <c r="C158" s="20">
        <v>117012</v>
      </c>
      <c r="D158" s="53">
        <v>1779797897002830</v>
      </c>
      <c r="E158" s="19" t="s">
        <v>407</v>
      </c>
      <c r="F158" s="20">
        <v>60</v>
      </c>
      <c r="G158" s="3">
        <f>1485/60*0.76</f>
        <v>18.809999999999999</v>
      </c>
      <c r="H158" s="38"/>
      <c r="I158" s="1">
        <f t="shared" si="50"/>
        <v>0</v>
      </c>
      <c r="K158" s="3">
        <f t="shared" si="51"/>
        <v>32.431034482758619</v>
      </c>
      <c r="L158" s="15"/>
      <c r="M158" s="11">
        <f t="shared" si="52"/>
        <v>0.42000000000000004</v>
      </c>
      <c r="N158" s="3">
        <f t="shared" si="74"/>
        <v>32.431034482758619</v>
      </c>
      <c r="P158" s="3">
        <f t="shared" si="53"/>
        <v>32.431034482758619</v>
      </c>
      <c r="Q158" s="15"/>
      <c r="R158" s="11">
        <f t="shared" si="54"/>
        <v>0.42000000000000004</v>
      </c>
      <c r="S158" s="3">
        <f t="shared" si="75"/>
        <v>32.431034482758619</v>
      </c>
      <c r="T158" s="70"/>
      <c r="U158" s="3">
        <f t="shared" si="61"/>
        <v>30.83606557377049</v>
      </c>
      <c r="V158" s="15"/>
      <c r="W158" s="11">
        <f t="shared" si="55"/>
        <v>0.39</v>
      </c>
      <c r="X158" s="3">
        <f t="shared" si="62"/>
        <v>30.83606557377049</v>
      </c>
      <c r="Y158" s="70"/>
      <c r="Z158" s="3">
        <f t="shared" si="56"/>
        <v>35.674137931034487</v>
      </c>
      <c r="AA158" s="3">
        <f t="shared" si="57"/>
        <v>43.165706896551725</v>
      </c>
      <c r="AB158" s="40"/>
      <c r="AC158" s="11">
        <f t="shared" si="58"/>
        <v>0.47272727272727277</v>
      </c>
      <c r="AD158" s="3">
        <f t="shared" si="48"/>
        <v>35.674137931034487</v>
      </c>
      <c r="AE158" s="35"/>
    </row>
    <row r="159" spans="1:31" ht="16.5" customHeight="1" x14ac:dyDescent="0.2">
      <c r="A159" s="199"/>
      <c r="B159" s="202"/>
      <c r="C159" s="20">
        <v>117020</v>
      </c>
      <c r="D159" s="53">
        <v>7797897003001</v>
      </c>
      <c r="E159" s="68" t="s">
        <v>392</v>
      </c>
      <c r="F159" s="20">
        <v>60</v>
      </c>
      <c r="G159" s="3">
        <f>2255/60*0.76</f>
        <v>28.563333333333336</v>
      </c>
      <c r="H159" s="38"/>
      <c r="I159" s="1">
        <f t="shared" ref="I159:I167" si="76">G159*H159</f>
        <v>0</v>
      </c>
      <c r="K159" s="3">
        <f t="shared" ref="K159:K167" si="77">N159</f>
        <v>49.24712643678162</v>
      </c>
      <c r="L159" s="15"/>
      <c r="M159" s="11">
        <f t="shared" ref="M159:M167" si="78">1-(G159/K159)</f>
        <v>0.42000000000000004</v>
      </c>
      <c r="N159" s="3">
        <f t="shared" si="74"/>
        <v>49.24712643678162</v>
      </c>
      <c r="P159" s="3">
        <f t="shared" ref="P159:P167" si="79">S159</f>
        <v>49.24712643678162</v>
      </c>
      <c r="Q159" s="15"/>
      <c r="R159" s="11">
        <f t="shared" ref="R159:R167" si="80">1-(G159/P159)</f>
        <v>0.42000000000000004</v>
      </c>
      <c r="S159" s="3">
        <f t="shared" si="75"/>
        <v>49.24712643678162</v>
      </c>
      <c r="T159" s="70">
        <v>0.42</v>
      </c>
      <c r="U159" s="3">
        <f t="shared" ref="U159:U167" si="81">X159</f>
        <v>46.825136612021865</v>
      </c>
      <c r="V159" s="15"/>
      <c r="W159" s="11">
        <f t="shared" si="55"/>
        <v>0.39</v>
      </c>
      <c r="X159" s="3">
        <f t="shared" si="62"/>
        <v>46.825136612021865</v>
      </c>
      <c r="Y159" s="70"/>
      <c r="Z159" s="3">
        <f t="shared" ref="Z159:Z167" si="82">AD159</f>
        <v>54.17183908045979</v>
      </c>
      <c r="AA159" s="3">
        <f t="shared" si="57"/>
        <v>65.54792528735635</v>
      </c>
      <c r="AB159" s="40"/>
      <c r="AC159" s="11">
        <f t="shared" si="58"/>
        <v>0.47272727272727288</v>
      </c>
      <c r="AD159" s="3">
        <f t="shared" ref="AD159:AD167" si="83">K159*1.1</f>
        <v>54.17183908045979</v>
      </c>
      <c r="AE159" s="35"/>
    </row>
    <row r="160" spans="1:31" ht="16.5" customHeight="1" x14ac:dyDescent="0.2">
      <c r="A160" s="199"/>
      <c r="B160" s="202"/>
      <c r="C160" s="20">
        <v>117034</v>
      </c>
      <c r="D160" s="53"/>
      <c r="E160" s="68" t="s">
        <v>437</v>
      </c>
      <c r="F160" s="20">
        <v>60</v>
      </c>
      <c r="G160" s="3">
        <f>2350/60*0.76</f>
        <v>29.766666666666666</v>
      </c>
      <c r="H160" s="38"/>
      <c r="I160" s="1">
        <f t="shared" ref="I160" si="84">G160*H160</f>
        <v>0</v>
      </c>
      <c r="K160" s="3">
        <f t="shared" ref="K160" si="85">N160</f>
        <v>51.321839080459775</v>
      </c>
      <c r="L160" s="15"/>
      <c r="M160" s="11">
        <f t="shared" ref="M160" si="86">1-(G160/K160)</f>
        <v>0.42000000000000004</v>
      </c>
      <c r="N160" s="3">
        <f t="shared" ref="N160" si="87">S160</f>
        <v>51.321839080459775</v>
      </c>
      <c r="P160" s="3">
        <f t="shared" ref="P160" si="88">S160</f>
        <v>51.321839080459775</v>
      </c>
      <c r="Q160" s="15"/>
      <c r="R160" s="11">
        <f t="shared" ref="R160" si="89">1-(G160/P160)</f>
        <v>0.42000000000000004</v>
      </c>
      <c r="S160" s="3">
        <f t="shared" si="75"/>
        <v>51.321839080459775</v>
      </c>
      <c r="T160" s="70">
        <v>0.42</v>
      </c>
      <c r="U160" s="3">
        <f t="shared" ref="U160" si="90">X160</f>
        <v>48.797814207650269</v>
      </c>
      <c r="V160" s="15"/>
      <c r="W160" s="11">
        <f t="shared" ref="W160" si="91">1-(G160/U160)</f>
        <v>0.39</v>
      </c>
      <c r="X160" s="3">
        <f t="shared" si="62"/>
        <v>48.797814207650269</v>
      </c>
      <c r="Y160" s="70"/>
      <c r="Z160" s="3">
        <f t="shared" ref="Z160" si="92">AD160</f>
        <v>56.454022988505756</v>
      </c>
      <c r="AA160" s="3">
        <f t="shared" ref="AA160" si="93">Z160*1.21</f>
        <v>68.309367816091964</v>
      </c>
      <c r="AB160" s="40"/>
      <c r="AC160" s="11">
        <f t="shared" ref="AC160" si="94">1-(G160/Z160)</f>
        <v>0.47272727272727277</v>
      </c>
      <c r="AD160" s="3">
        <f t="shared" ref="AD160" si="95">K160*1.1</f>
        <v>56.454022988505756</v>
      </c>
      <c r="AE160" s="35"/>
    </row>
    <row r="161" spans="1:33" ht="16.5" customHeight="1" x14ac:dyDescent="0.2">
      <c r="A161" s="199"/>
      <c r="B161" s="202"/>
      <c r="C161" s="20">
        <v>117021</v>
      </c>
      <c r="D161" s="53"/>
      <c r="E161" s="68" t="s">
        <v>401</v>
      </c>
      <c r="F161" s="20">
        <v>6</v>
      </c>
      <c r="G161" s="3">
        <f>137*0.76</f>
        <v>104.12</v>
      </c>
      <c r="H161" s="38"/>
      <c r="I161" s="1">
        <f t="shared" si="76"/>
        <v>0</v>
      </c>
      <c r="K161" s="3">
        <f t="shared" si="77"/>
        <v>179.51724137931038</v>
      </c>
      <c r="L161" s="15"/>
      <c r="M161" s="11">
        <f t="shared" si="78"/>
        <v>0.42000000000000004</v>
      </c>
      <c r="N161" s="3">
        <f t="shared" si="74"/>
        <v>179.51724137931038</v>
      </c>
      <c r="O161" s="72"/>
      <c r="P161" s="3">
        <f t="shared" si="79"/>
        <v>179.51724137931038</v>
      </c>
      <c r="Q161" s="15"/>
      <c r="R161" s="11">
        <f t="shared" si="80"/>
        <v>0.42000000000000004</v>
      </c>
      <c r="S161" s="3">
        <f t="shared" si="75"/>
        <v>179.51724137931038</v>
      </c>
      <c r="T161" s="70"/>
      <c r="U161" s="3">
        <f t="shared" si="81"/>
        <v>170.68852459016395</v>
      </c>
      <c r="V161" s="15"/>
      <c r="W161" s="11">
        <f t="shared" si="55"/>
        <v>0.39</v>
      </c>
      <c r="X161" s="3">
        <f t="shared" si="62"/>
        <v>170.68852459016395</v>
      </c>
      <c r="Y161" s="70"/>
      <c r="Z161" s="3">
        <f t="shared" si="82"/>
        <v>197.46896551724143</v>
      </c>
      <c r="AA161" s="3">
        <f t="shared" si="57"/>
        <v>238.93744827586212</v>
      </c>
      <c r="AB161" s="40"/>
      <c r="AC161" s="11">
        <f t="shared" si="58"/>
        <v>0.47272727272727288</v>
      </c>
      <c r="AD161" s="3">
        <f t="shared" si="83"/>
        <v>197.46896551724143</v>
      </c>
      <c r="AE161" s="35"/>
    </row>
    <row r="162" spans="1:33" ht="16.5" customHeight="1" x14ac:dyDescent="0.2">
      <c r="A162" s="199"/>
      <c r="B162" s="202"/>
      <c r="C162" s="20">
        <v>117022</v>
      </c>
      <c r="D162" s="53"/>
      <c r="E162" s="68" t="s">
        <v>402</v>
      </c>
      <c r="F162" s="20">
        <v>6</v>
      </c>
      <c r="G162" s="3">
        <f>147*0.76</f>
        <v>111.72</v>
      </c>
      <c r="H162" s="38"/>
      <c r="I162" s="1">
        <f t="shared" si="76"/>
        <v>0</v>
      </c>
      <c r="K162" s="3">
        <f t="shared" si="77"/>
        <v>192.62068965517241</v>
      </c>
      <c r="L162" s="15"/>
      <c r="M162" s="11">
        <f t="shared" si="78"/>
        <v>0.42000000000000004</v>
      </c>
      <c r="N162" s="3">
        <f t="shared" si="74"/>
        <v>192.62068965517241</v>
      </c>
      <c r="P162" s="3">
        <f t="shared" si="79"/>
        <v>192.62068965517241</v>
      </c>
      <c r="Q162" s="15"/>
      <c r="R162" s="11">
        <f t="shared" si="80"/>
        <v>0.42000000000000004</v>
      </c>
      <c r="S162" s="3">
        <f t="shared" si="75"/>
        <v>192.62068965517241</v>
      </c>
      <c r="T162" s="70"/>
      <c r="U162" s="3">
        <f t="shared" si="81"/>
        <v>183.14754098360655</v>
      </c>
      <c r="V162" s="15"/>
      <c r="W162" s="11">
        <f t="shared" si="55"/>
        <v>0.39</v>
      </c>
      <c r="X162" s="3">
        <f t="shared" si="62"/>
        <v>183.14754098360655</v>
      </c>
      <c r="Y162" s="70"/>
      <c r="Z162" s="3">
        <f t="shared" si="82"/>
        <v>211.88275862068969</v>
      </c>
      <c r="AA162" s="3">
        <f t="shared" si="57"/>
        <v>256.37813793103453</v>
      </c>
      <c r="AB162" s="40"/>
      <c r="AC162" s="11">
        <f t="shared" si="58"/>
        <v>0.47272727272727277</v>
      </c>
      <c r="AD162" s="3">
        <f t="shared" si="83"/>
        <v>211.88275862068969</v>
      </c>
      <c r="AE162" s="35"/>
    </row>
    <row r="163" spans="1:33" ht="16.5" customHeight="1" x14ac:dyDescent="0.2">
      <c r="A163" s="199"/>
      <c r="B163" s="202"/>
      <c r="C163" s="20">
        <v>117023</v>
      </c>
      <c r="D163" s="53"/>
      <c r="E163" s="68" t="s">
        <v>403</v>
      </c>
      <c r="F163" s="20">
        <v>6</v>
      </c>
      <c r="G163" s="3">
        <f>G162</f>
        <v>111.72</v>
      </c>
      <c r="H163" s="38"/>
      <c r="I163" s="1">
        <f t="shared" si="76"/>
        <v>0</v>
      </c>
      <c r="K163" s="3">
        <f t="shared" si="77"/>
        <v>192.62068965517241</v>
      </c>
      <c r="L163" s="15"/>
      <c r="M163" s="11">
        <f t="shared" si="78"/>
        <v>0.42000000000000004</v>
      </c>
      <c r="N163" s="3">
        <f>S163</f>
        <v>192.62068965517241</v>
      </c>
      <c r="P163" s="3">
        <f t="shared" si="79"/>
        <v>192.62068965517241</v>
      </c>
      <c r="Q163" s="15"/>
      <c r="R163" s="11">
        <f t="shared" si="80"/>
        <v>0.42000000000000004</v>
      </c>
      <c r="S163" s="3">
        <f t="shared" si="75"/>
        <v>192.62068965517241</v>
      </c>
      <c r="T163" s="70">
        <v>0.42</v>
      </c>
      <c r="U163" s="3">
        <f t="shared" si="81"/>
        <v>183.14754098360655</v>
      </c>
      <c r="V163" s="15"/>
      <c r="W163" s="11">
        <f>1-(G163/U163)</f>
        <v>0.39</v>
      </c>
      <c r="X163" s="3">
        <f t="shared" si="62"/>
        <v>183.14754098360655</v>
      </c>
      <c r="Y163" s="70"/>
      <c r="Z163" s="3">
        <f t="shared" si="82"/>
        <v>211.88275862068969</v>
      </c>
      <c r="AA163" s="3">
        <f>Z163*1.21</f>
        <v>256.37813793103453</v>
      </c>
      <c r="AB163" s="40"/>
      <c r="AC163" s="11">
        <f>1-(G163/Z163)</f>
        <v>0.47272727272727277</v>
      </c>
      <c r="AD163" s="3">
        <f t="shared" si="83"/>
        <v>211.88275862068969</v>
      </c>
      <c r="AE163" s="35"/>
    </row>
    <row r="164" spans="1:33" ht="16.5" customHeight="1" x14ac:dyDescent="0.2">
      <c r="A164" s="199"/>
      <c r="B164" s="202"/>
      <c r="C164" s="20">
        <v>117024</v>
      </c>
      <c r="D164" s="53"/>
      <c r="E164" s="68" t="s">
        <v>418</v>
      </c>
      <c r="F164" s="20">
        <v>12</v>
      </c>
      <c r="G164" s="3">
        <f>100/10*0.76</f>
        <v>7.6</v>
      </c>
      <c r="H164" s="38"/>
      <c r="I164" s="1">
        <f t="shared" si="76"/>
        <v>0</v>
      </c>
      <c r="K164" s="3">
        <f t="shared" si="77"/>
        <v>13.103448275862069</v>
      </c>
      <c r="L164" s="15"/>
      <c r="M164" s="11">
        <f t="shared" si="78"/>
        <v>0.42000000000000004</v>
      </c>
      <c r="N164" s="3">
        <f>S164</f>
        <v>13.103448275862069</v>
      </c>
      <c r="P164" s="3">
        <f t="shared" si="79"/>
        <v>13.103448275862069</v>
      </c>
      <c r="Q164" s="15"/>
      <c r="R164" s="11">
        <f t="shared" si="80"/>
        <v>0.42000000000000004</v>
      </c>
      <c r="S164" s="3">
        <f t="shared" si="75"/>
        <v>13.103448275862069</v>
      </c>
      <c r="T164" s="172"/>
      <c r="U164" s="3">
        <f t="shared" si="81"/>
        <v>12.459016393442623</v>
      </c>
      <c r="V164" s="15"/>
      <c r="W164" s="11">
        <f>1-(G164/U164)</f>
        <v>0.39</v>
      </c>
      <c r="X164" s="3">
        <f>$G164/0.61</f>
        <v>12.459016393442623</v>
      </c>
      <c r="Y164" s="70"/>
      <c r="Z164" s="3">
        <f t="shared" si="82"/>
        <v>14.413793103448278</v>
      </c>
      <c r="AA164" s="3">
        <f>Z164*1.21</f>
        <v>17.440689655172417</v>
      </c>
      <c r="AB164" s="40"/>
      <c r="AC164" s="11">
        <f>1-(G164/Z164)</f>
        <v>0.47272727272727277</v>
      </c>
      <c r="AD164" s="3">
        <f t="shared" si="83"/>
        <v>14.413793103448278</v>
      </c>
      <c r="AE164" s="35"/>
    </row>
    <row r="165" spans="1:33" ht="16.5" customHeight="1" x14ac:dyDescent="0.2">
      <c r="A165" s="199"/>
      <c r="B165" s="202"/>
      <c r="C165" s="20">
        <v>117026</v>
      </c>
      <c r="D165" s="53"/>
      <c r="E165" s="68" t="s">
        <v>420</v>
      </c>
      <c r="F165" s="20">
        <v>12</v>
      </c>
      <c r="G165" s="3">
        <f>744/12*0.76</f>
        <v>47.12</v>
      </c>
      <c r="H165" s="38"/>
      <c r="I165" s="1">
        <f>G165*H165</f>
        <v>0</v>
      </c>
      <c r="K165" s="3">
        <f>N165</f>
        <v>81.241379310344826</v>
      </c>
      <c r="L165" s="15"/>
      <c r="M165" s="11">
        <f>1-(G165/K165)</f>
        <v>0.42000000000000004</v>
      </c>
      <c r="N165" s="3">
        <f>S165</f>
        <v>81.241379310344826</v>
      </c>
      <c r="P165" s="3">
        <f>S165</f>
        <v>81.241379310344826</v>
      </c>
      <c r="Q165" s="15"/>
      <c r="R165" s="11">
        <f>1-(G165/P165)</f>
        <v>0.42000000000000004</v>
      </c>
      <c r="S165" s="3">
        <f t="shared" si="75"/>
        <v>81.241379310344826</v>
      </c>
      <c r="T165" s="172"/>
      <c r="U165" s="3">
        <f>X165</f>
        <v>77.245901639344254</v>
      </c>
      <c r="V165" s="15"/>
      <c r="W165" s="11">
        <f>1-(G165/U165)</f>
        <v>0.39</v>
      </c>
      <c r="X165" s="3">
        <f t="shared" si="62"/>
        <v>77.245901639344254</v>
      </c>
      <c r="Y165" s="70"/>
      <c r="Z165" s="3">
        <f>AD165</f>
        <v>89.365517241379322</v>
      </c>
      <c r="AA165" s="3">
        <f>Z165*1.21</f>
        <v>108.13227586206898</v>
      </c>
      <c r="AB165" s="40"/>
      <c r="AC165" s="11">
        <f>1-(G165/Z165)</f>
        <v>0.47272727272727277</v>
      </c>
      <c r="AD165" s="3">
        <f>K165*1.1</f>
        <v>89.365517241379322</v>
      </c>
      <c r="AE165" s="35"/>
    </row>
    <row r="166" spans="1:33" s="84" customFormat="1" ht="16.5" customHeight="1" x14ac:dyDescent="0.2">
      <c r="A166" s="199"/>
      <c r="B166" s="202"/>
      <c r="C166" s="74">
        <v>117025</v>
      </c>
      <c r="D166" s="175"/>
      <c r="E166" s="176" t="s">
        <v>419</v>
      </c>
      <c r="F166" s="74">
        <v>1</v>
      </c>
      <c r="G166" s="81">
        <v>0</v>
      </c>
      <c r="H166" s="106"/>
      <c r="I166" s="78">
        <f t="shared" ref="I166" si="96">G166*H166</f>
        <v>0</v>
      </c>
      <c r="K166" s="81">
        <f t="shared" ref="K166" si="97">N166</f>
        <v>0</v>
      </c>
      <c r="L166" s="140"/>
      <c r="M166" s="83" t="e">
        <f t="shared" ref="M166" si="98">1-(G166/K166)</f>
        <v>#DIV/0!</v>
      </c>
      <c r="N166" s="81">
        <f t="shared" ref="N166" si="99">S166</f>
        <v>0</v>
      </c>
      <c r="P166" s="81">
        <f t="shared" ref="P166" si="100">S166</f>
        <v>0</v>
      </c>
      <c r="Q166" s="140"/>
      <c r="R166" s="83" t="e">
        <f t="shared" ref="R166" si="101">1-(G166/P166)</f>
        <v>#DIV/0!</v>
      </c>
      <c r="S166" s="81">
        <f t="shared" ref="S166:S172" si="102">$G166/0.58</f>
        <v>0</v>
      </c>
      <c r="T166" s="177">
        <v>0.57999999999999996</v>
      </c>
      <c r="U166" s="81">
        <f t="shared" ref="U166" si="103">X166</f>
        <v>0</v>
      </c>
      <c r="V166" s="140"/>
      <c r="W166" s="83" t="e">
        <f t="shared" ref="W166" si="104">1-(G166/U166)</f>
        <v>#DIV/0!</v>
      </c>
      <c r="X166" s="81">
        <f t="shared" si="62"/>
        <v>0</v>
      </c>
      <c r="Y166" s="85"/>
      <c r="Z166" s="81">
        <f t="shared" ref="Z166" si="105">AD166</f>
        <v>0</v>
      </c>
      <c r="AA166" s="81">
        <f t="shared" ref="AA166" si="106">Z166*1.21</f>
        <v>0</v>
      </c>
      <c r="AB166" s="156"/>
      <c r="AC166" s="83" t="e">
        <f t="shared" ref="AC166" si="107">1-(G166/Z166)</f>
        <v>#DIV/0!</v>
      </c>
      <c r="AD166" s="81">
        <f t="shared" ref="AD166" si="108">K166*1.1</f>
        <v>0</v>
      </c>
      <c r="AE166" s="86"/>
    </row>
    <row r="167" spans="1:33" s="84" customFormat="1" ht="16.5" customHeight="1" x14ac:dyDescent="0.2">
      <c r="A167" s="199"/>
      <c r="B167" s="202"/>
      <c r="C167" s="74">
        <v>117033</v>
      </c>
      <c r="D167" s="175"/>
      <c r="E167" s="176" t="s">
        <v>433</v>
      </c>
      <c r="F167" s="74">
        <v>1</v>
      </c>
      <c r="G167" s="81">
        <v>0</v>
      </c>
      <c r="H167" s="106"/>
      <c r="I167" s="78">
        <f t="shared" si="76"/>
        <v>0</v>
      </c>
      <c r="K167" s="81">
        <f t="shared" si="77"/>
        <v>0</v>
      </c>
      <c r="L167" s="140"/>
      <c r="M167" s="83" t="e">
        <f t="shared" si="78"/>
        <v>#DIV/0!</v>
      </c>
      <c r="N167" s="81">
        <f t="shared" si="74"/>
        <v>0</v>
      </c>
      <c r="P167" s="81">
        <f t="shared" si="79"/>
        <v>0</v>
      </c>
      <c r="Q167" s="140"/>
      <c r="R167" s="83" t="e">
        <f t="shared" si="80"/>
        <v>#DIV/0!</v>
      </c>
      <c r="S167" s="81">
        <f t="shared" si="102"/>
        <v>0</v>
      </c>
      <c r="T167" s="177">
        <v>0.57999999999999996</v>
      </c>
      <c r="U167" s="81">
        <f t="shared" si="81"/>
        <v>0</v>
      </c>
      <c r="V167" s="140"/>
      <c r="W167" s="83" t="e">
        <f t="shared" si="55"/>
        <v>#DIV/0!</v>
      </c>
      <c r="X167" s="81">
        <f t="shared" si="62"/>
        <v>0</v>
      </c>
      <c r="Y167" s="85"/>
      <c r="Z167" s="81">
        <f t="shared" si="82"/>
        <v>0</v>
      </c>
      <c r="AA167" s="81">
        <f t="shared" si="57"/>
        <v>0</v>
      </c>
      <c r="AB167" s="156"/>
      <c r="AC167" s="83" t="e">
        <f t="shared" si="58"/>
        <v>#DIV/0!</v>
      </c>
      <c r="AD167" s="81">
        <f t="shared" si="83"/>
        <v>0</v>
      </c>
      <c r="AE167" s="86"/>
    </row>
    <row r="168" spans="1:33" ht="16.5" customHeight="1" x14ac:dyDescent="0.2">
      <c r="A168" s="199"/>
      <c r="B168" s="203" t="s">
        <v>146</v>
      </c>
      <c r="C168" s="20">
        <v>117013</v>
      </c>
      <c r="D168" s="44" t="s">
        <v>249</v>
      </c>
      <c r="E168" s="19" t="s">
        <v>96</v>
      </c>
      <c r="F168" s="30">
        <v>50</v>
      </c>
      <c r="G168" s="3">
        <f>2025/900*0.76</f>
        <v>1.71</v>
      </c>
      <c r="H168" s="30"/>
      <c r="I168" s="1">
        <f t="shared" si="50"/>
        <v>0</v>
      </c>
      <c r="K168" s="3">
        <f t="shared" si="51"/>
        <v>2.9482758620689657</v>
      </c>
      <c r="L168" s="15"/>
      <c r="M168" s="11">
        <f t="shared" si="52"/>
        <v>0.42000000000000004</v>
      </c>
      <c r="N168" s="3">
        <f t="shared" si="74"/>
        <v>2.9482758620689657</v>
      </c>
      <c r="P168" s="3">
        <f t="shared" si="53"/>
        <v>2.9482758620689657</v>
      </c>
      <c r="Q168" s="15"/>
      <c r="R168" s="11">
        <f t="shared" si="54"/>
        <v>0.42000000000000004</v>
      </c>
      <c r="S168" s="3">
        <f t="shared" si="102"/>
        <v>2.9482758620689657</v>
      </c>
      <c r="T168" s="70">
        <v>0.42</v>
      </c>
      <c r="U168" s="3">
        <f t="shared" si="61"/>
        <v>2.8032786885245899</v>
      </c>
      <c r="V168" s="15"/>
      <c r="W168" s="11">
        <f t="shared" si="55"/>
        <v>0.39</v>
      </c>
      <c r="X168" s="3">
        <f t="shared" si="62"/>
        <v>2.8032786885245899</v>
      </c>
      <c r="Y168" s="70"/>
      <c r="Z168" s="3">
        <f t="shared" si="56"/>
        <v>3.2431034482758627</v>
      </c>
      <c r="AA168" s="3">
        <f t="shared" si="57"/>
        <v>3.9241551724137937</v>
      </c>
      <c r="AB168" s="40"/>
      <c r="AC168" s="11">
        <f t="shared" si="58"/>
        <v>0.47272727272727288</v>
      </c>
      <c r="AD168" s="3">
        <f t="shared" si="48"/>
        <v>3.2431034482758627</v>
      </c>
      <c r="AE168" s="35"/>
    </row>
    <row r="169" spans="1:33" ht="16.5" customHeight="1" x14ac:dyDescent="0.2">
      <c r="A169" s="199"/>
      <c r="B169" s="204"/>
      <c r="C169" s="20">
        <v>117014</v>
      </c>
      <c r="D169" s="44" t="s">
        <v>250</v>
      </c>
      <c r="E169" s="19" t="s">
        <v>97</v>
      </c>
      <c r="F169" s="30">
        <v>50</v>
      </c>
      <c r="G169" s="3">
        <f>G168</f>
        <v>1.71</v>
      </c>
      <c r="H169" s="30"/>
      <c r="I169" s="1">
        <f t="shared" si="50"/>
        <v>0</v>
      </c>
      <c r="K169" s="3">
        <f t="shared" si="51"/>
        <v>2.9482758620689657</v>
      </c>
      <c r="L169" s="15"/>
      <c r="M169" s="11">
        <f t="shared" si="52"/>
        <v>0.42000000000000004</v>
      </c>
      <c r="N169" s="3">
        <f t="shared" si="74"/>
        <v>2.9482758620689657</v>
      </c>
      <c r="P169" s="3">
        <f t="shared" si="53"/>
        <v>2.9482758620689657</v>
      </c>
      <c r="Q169" s="15"/>
      <c r="R169" s="11">
        <f t="shared" si="54"/>
        <v>0.42000000000000004</v>
      </c>
      <c r="S169" s="3">
        <f t="shared" si="102"/>
        <v>2.9482758620689657</v>
      </c>
      <c r="T169" s="70"/>
      <c r="U169" s="3">
        <f t="shared" si="61"/>
        <v>2.8032786885245899</v>
      </c>
      <c r="V169" s="15"/>
      <c r="W169" s="11">
        <f t="shared" si="55"/>
        <v>0.39</v>
      </c>
      <c r="X169" s="3">
        <f t="shared" si="62"/>
        <v>2.8032786885245899</v>
      </c>
      <c r="Y169" s="70"/>
      <c r="Z169" s="3">
        <f t="shared" si="56"/>
        <v>3.2431034482758627</v>
      </c>
      <c r="AA169" s="3">
        <f t="shared" si="57"/>
        <v>3.9241551724137937</v>
      </c>
      <c r="AB169" s="40"/>
      <c r="AC169" s="11">
        <f t="shared" si="58"/>
        <v>0.47272727272727288</v>
      </c>
      <c r="AD169" s="3">
        <f t="shared" si="48"/>
        <v>3.2431034482758627</v>
      </c>
      <c r="AE169" s="35"/>
    </row>
    <row r="170" spans="1:33" s="54" customFormat="1" ht="16.5" customHeight="1" x14ac:dyDescent="0.2">
      <c r="A170" s="199"/>
      <c r="B170" s="204"/>
      <c r="C170" s="20">
        <v>117015</v>
      </c>
      <c r="D170" s="44" t="s">
        <v>251</v>
      </c>
      <c r="E170" s="19" t="s">
        <v>412</v>
      </c>
      <c r="F170" s="30">
        <v>50</v>
      </c>
      <c r="G170" s="3">
        <f>G169</f>
        <v>1.71</v>
      </c>
      <c r="H170" s="30"/>
      <c r="I170" s="1">
        <f t="shared" si="50"/>
        <v>0</v>
      </c>
      <c r="K170" s="3">
        <f t="shared" si="51"/>
        <v>2.9482758620689657</v>
      </c>
      <c r="L170" s="138"/>
      <c r="M170" s="11">
        <f t="shared" si="52"/>
        <v>0.42000000000000004</v>
      </c>
      <c r="N170" s="3">
        <f t="shared" si="74"/>
        <v>2.9482758620689657</v>
      </c>
      <c r="P170" s="3">
        <f t="shared" si="53"/>
        <v>2.9482758620689657</v>
      </c>
      <c r="Q170" s="138"/>
      <c r="R170" s="11">
        <f t="shared" si="54"/>
        <v>0.42000000000000004</v>
      </c>
      <c r="S170" s="3">
        <f t="shared" si="102"/>
        <v>2.9482758620689657</v>
      </c>
      <c r="T170" s="70"/>
      <c r="U170" s="3">
        <f t="shared" si="61"/>
        <v>2.8032786885245899</v>
      </c>
      <c r="V170" s="138"/>
      <c r="W170" s="11">
        <f t="shared" si="55"/>
        <v>0.39</v>
      </c>
      <c r="X170" s="3">
        <f t="shared" si="62"/>
        <v>2.8032786885245899</v>
      </c>
      <c r="Y170" s="70"/>
      <c r="Z170" s="3">
        <f t="shared" si="56"/>
        <v>3.2431034482758627</v>
      </c>
      <c r="AA170" s="3">
        <f t="shared" si="57"/>
        <v>3.9241551724137937</v>
      </c>
      <c r="AB170" s="155"/>
      <c r="AC170" s="11">
        <f t="shared" si="58"/>
        <v>0.47272727272727288</v>
      </c>
      <c r="AD170" s="3">
        <f t="shared" si="48"/>
        <v>3.2431034482758627</v>
      </c>
      <c r="AE170" s="35"/>
    </row>
    <row r="171" spans="1:33" ht="16.5" customHeight="1" x14ac:dyDescent="0.2">
      <c r="A171" s="199"/>
      <c r="B171" s="204"/>
      <c r="C171" s="20">
        <v>117016</v>
      </c>
      <c r="D171" s="44" t="s">
        <v>252</v>
      </c>
      <c r="E171" s="19" t="s">
        <v>98</v>
      </c>
      <c r="F171" s="30">
        <v>50</v>
      </c>
      <c r="G171" s="3">
        <f>2700/900*0.76</f>
        <v>2.2800000000000002</v>
      </c>
      <c r="H171" s="30"/>
      <c r="I171" s="1">
        <f t="shared" si="50"/>
        <v>0</v>
      </c>
      <c r="K171" s="3">
        <f t="shared" si="51"/>
        <v>3.9310344827586214</v>
      </c>
      <c r="L171" s="15"/>
      <c r="M171" s="11">
        <f t="shared" si="52"/>
        <v>0.42000000000000004</v>
      </c>
      <c r="N171" s="3">
        <f t="shared" si="74"/>
        <v>3.9310344827586214</v>
      </c>
      <c r="P171" s="3">
        <f t="shared" si="53"/>
        <v>3.9310344827586214</v>
      </c>
      <c r="Q171" s="15"/>
      <c r="R171" s="11">
        <f t="shared" si="54"/>
        <v>0.42000000000000004</v>
      </c>
      <c r="S171" s="3">
        <f t="shared" si="102"/>
        <v>3.9310344827586214</v>
      </c>
      <c r="T171" s="70"/>
      <c r="U171" s="3">
        <f t="shared" si="61"/>
        <v>3.7377049180327875</v>
      </c>
      <c r="V171" s="15"/>
      <c r="W171" s="11">
        <f t="shared" si="55"/>
        <v>0.39</v>
      </c>
      <c r="X171" s="3">
        <f t="shared" si="62"/>
        <v>3.7377049180327875</v>
      </c>
      <c r="Y171" s="70"/>
      <c r="Z171" s="3">
        <f t="shared" si="56"/>
        <v>4.3241379310344836</v>
      </c>
      <c r="AA171" s="3">
        <f t="shared" si="57"/>
        <v>5.232206896551725</v>
      </c>
      <c r="AB171" s="40"/>
      <c r="AC171" s="11">
        <f t="shared" si="58"/>
        <v>0.47272727272727277</v>
      </c>
      <c r="AD171" s="3">
        <f t="shared" si="48"/>
        <v>4.3241379310344836</v>
      </c>
      <c r="AE171" s="35"/>
    </row>
    <row r="172" spans="1:33" ht="16.5" customHeight="1" x14ac:dyDescent="0.2">
      <c r="A172" s="199"/>
      <c r="B172" s="204"/>
      <c r="C172" s="20">
        <v>117018</v>
      </c>
      <c r="D172" s="42">
        <v>7797897000062</v>
      </c>
      <c r="E172" s="19" t="s">
        <v>106</v>
      </c>
      <c r="F172" s="30">
        <v>12</v>
      </c>
      <c r="G172" s="3">
        <f>1272/12*0.76</f>
        <v>80.56</v>
      </c>
      <c r="H172" s="30"/>
      <c r="I172" s="1">
        <f t="shared" si="50"/>
        <v>0</v>
      </c>
      <c r="K172" s="3">
        <f t="shared" si="51"/>
        <v>146.47272727272727</v>
      </c>
      <c r="L172" s="15"/>
      <c r="M172" s="11">
        <f t="shared" si="52"/>
        <v>0.44999999999999996</v>
      </c>
      <c r="N172" s="3">
        <f>$G172/0.55</f>
        <v>146.47272727272727</v>
      </c>
      <c r="P172" s="3">
        <f t="shared" si="53"/>
        <v>138.89655172413794</v>
      </c>
      <c r="Q172" s="15"/>
      <c r="R172" s="11">
        <f t="shared" si="54"/>
        <v>0.42000000000000004</v>
      </c>
      <c r="S172" s="3">
        <f t="shared" si="102"/>
        <v>138.89655172413794</v>
      </c>
      <c r="T172" s="70">
        <v>0.42</v>
      </c>
      <c r="U172" s="3">
        <f t="shared" si="61"/>
        <v>132.06557377049182</v>
      </c>
      <c r="V172" s="15"/>
      <c r="W172" s="11">
        <f t="shared" si="55"/>
        <v>0.39000000000000012</v>
      </c>
      <c r="X172" s="3">
        <f t="shared" si="62"/>
        <v>132.06557377049182</v>
      </c>
      <c r="Y172" s="70"/>
      <c r="Z172" s="3">
        <f t="shared" si="56"/>
        <v>161.12</v>
      </c>
      <c r="AA172" s="3">
        <f t="shared" si="57"/>
        <v>194.95519999999999</v>
      </c>
      <c r="AB172" s="40"/>
      <c r="AC172" s="11">
        <f t="shared" si="58"/>
        <v>0.5</v>
      </c>
      <c r="AD172" s="3">
        <f t="shared" si="48"/>
        <v>161.12</v>
      </c>
      <c r="AE172" s="35"/>
    </row>
    <row r="173" spans="1:33" ht="16.5" customHeight="1" x14ac:dyDescent="0.2">
      <c r="A173" s="199"/>
      <c r="B173" s="205"/>
      <c r="C173" s="20">
        <v>117019</v>
      </c>
      <c r="D173" s="42">
        <v>7797897000079</v>
      </c>
      <c r="E173" s="19" t="s">
        <v>192</v>
      </c>
      <c r="F173" s="30">
        <v>12</v>
      </c>
      <c r="G173" s="3">
        <f>G172</f>
        <v>80.56</v>
      </c>
      <c r="H173" s="30"/>
      <c r="I173" s="1">
        <f t="shared" si="50"/>
        <v>0</v>
      </c>
      <c r="K173" s="3">
        <f t="shared" si="51"/>
        <v>146.47272727272727</v>
      </c>
      <c r="L173" s="15"/>
      <c r="M173" s="11">
        <f t="shared" si="52"/>
        <v>0.44999999999999996</v>
      </c>
      <c r="N173" s="3">
        <f>$G173/0.55</f>
        <v>146.47272727272727</v>
      </c>
      <c r="P173" s="3">
        <f t="shared" si="53"/>
        <v>138.89655172413794</v>
      </c>
      <c r="Q173" s="15"/>
      <c r="R173" s="11">
        <f t="shared" si="54"/>
        <v>0.42000000000000004</v>
      </c>
      <c r="S173" s="3">
        <f>S172</f>
        <v>138.89655172413794</v>
      </c>
      <c r="T173" s="70"/>
      <c r="U173" s="3">
        <f t="shared" si="61"/>
        <v>132.06557377049182</v>
      </c>
      <c r="V173" s="15"/>
      <c r="W173" s="11">
        <f t="shared" si="55"/>
        <v>0.39000000000000012</v>
      </c>
      <c r="X173" s="3">
        <f t="shared" si="62"/>
        <v>132.06557377049182</v>
      </c>
      <c r="Y173" s="70"/>
      <c r="Z173" s="3">
        <f t="shared" si="56"/>
        <v>161.12</v>
      </c>
      <c r="AA173" s="3">
        <f t="shared" si="57"/>
        <v>194.95519999999999</v>
      </c>
      <c r="AB173" s="40"/>
      <c r="AC173" s="11">
        <f t="shared" si="58"/>
        <v>0.5</v>
      </c>
      <c r="AD173" s="3">
        <f t="shared" si="48"/>
        <v>161.12</v>
      </c>
      <c r="AE173" s="35"/>
    </row>
    <row r="174" spans="1:33" ht="16.5" customHeight="1" x14ac:dyDescent="0.2">
      <c r="A174" s="192" t="s">
        <v>302</v>
      </c>
      <c r="B174" s="200" t="s">
        <v>257</v>
      </c>
      <c r="C174" s="20">
        <v>111014</v>
      </c>
      <c r="D174" s="42">
        <v>7798101343005</v>
      </c>
      <c r="E174" s="19" t="s">
        <v>83</v>
      </c>
      <c r="F174" s="20">
        <v>12</v>
      </c>
      <c r="G174" s="3">
        <f>477.66/12</f>
        <v>39.805</v>
      </c>
      <c r="H174" s="38"/>
      <c r="I174" s="1">
        <f t="shared" si="50"/>
        <v>0</v>
      </c>
      <c r="K174" s="3">
        <f t="shared" si="51"/>
        <v>61.238461538461536</v>
      </c>
      <c r="L174" s="15"/>
      <c r="M174" s="11">
        <f t="shared" si="52"/>
        <v>0.35</v>
      </c>
      <c r="N174" s="3">
        <f t="shared" ref="N174:N179" si="109">$G174/0.65</f>
        <v>61.238461538461536</v>
      </c>
      <c r="O174" s="4">
        <v>35</v>
      </c>
      <c r="P174" s="3">
        <f t="shared" si="53"/>
        <v>55.284722222222221</v>
      </c>
      <c r="Q174" s="15"/>
      <c r="R174" s="11">
        <f t="shared" si="54"/>
        <v>0.28000000000000003</v>
      </c>
      <c r="S174" s="3">
        <f>$G174/0.72</f>
        <v>55.284722222222221</v>
      </c>
      <c r="T174" s="70">
        <v>0.28000000000000003</v>
      </c>
      <c r="U174" s="3">
        <f t="shared" si="61"/>
        <v>55.284722222222221</v>
      </c>
      <c r="V174" s="15"/>
      <c r="W174" s="11">
        <f t="shared" si="55"/>
        <v>0.28000000000000003</v>
      </c>
      <c r="X174" s="3">
        <f>$G174/0.72</f>
        <v>55.284722222222221</v>
      </c>
      <c r="Y174" s="70">
        <v>0.28000000000000003</v>
      </c>
      <c r="Z174" s="3">
        <f t="shared" si="56"/>
        <v>67.362307692307695</v>
      </c>
      <c r="AA174" s="3">
        <f t="shared" si="57"/>
        <v>81.508392307692304</v>
      </c>
      <c r="AB174" s="40"/>
      <c r="AC174" s="11">
        <f t="shared" si="58"/>
        <v>0.40909090909090917</v>
      </c>
      <c r="AD174" s="3">
        <f t="shared" si="48"/>
        <v>67.362307692307695</v>
      </c>
      <c r="AE174" s="35"/>
    </row>
    <row r="175" spans="1:33" ht="16.5" customHeight="1" x14ac:dyDescent="0.2">
      <c r="A175" s="192"/>
      <c r="B175" s="200"/>
      <c r="C175" s="20">
        <v>111015</v>
      </c>
      <c r="D175" s="42">
        <v>7798101343012</v>
      </c>
      <c r="E175" s="19" t="s">
        <v>84</v>
      </c>
      <c r="F175" s="20">
        <v>12</v>
      </c>
      <c r="G175" s="3">
        <f>379.2/12</f>
        <v>31.599999999999998</v>
      </c>
      <c r="H175" s="38"/>
      <c r="I175" s="1">
        <f t="shared" si="50"/>
        <v>0</v>
      </c>
      <c r="K175" s="3">
        <f t="shared" si="51"/>
        <v>48.615384615384613</v>
      </c>
      <c r="L175" s="15"/>
      <c r="M175" s="11">
        <f t="shared" si="52"/>
        <v>0.35</v>
      </c>
      <c r="N175" s="3">
        <f t="shared" si="109"/>
        <v>48.615384615384613</v>
      </c>
      <c r="P175" s="3">
        <f t="shared" si="53"/>
        <v>43.888888888888886</v>
      </c>
      <c r="Q175" s="15"/>
      <c r="R175" s="11">
        <f t="shared" si="54"/>
        <v>0.28000000000000003</v>
      </c>
      <c r="S175" s="3">
        <f t="shared" ref="S175:S179" si="110">$G175/0.72</f>
        <v>43.888888888888886</v>
      </c>
      <c r="T175" s="70"/>
      <c r="U175" s="3">
        <f t="shared" si="61"/>
        <v>43.888888888888886</v>
      </c>
      <c r="V175" s="15"/>
      <c r="W175" s="11">
        <f t="shared" si="55"/>
        <v>0.28000000000000003</v>
      </c>
      <c r="X175" s="3">
        <f t="shared" ref="X175:X186" si="111">$G175/0.72</f>
        <v>43.888888888888886</v>
      </c>
      <c r="Y175" s="70"/>
      <c r="Z175" s="3">
        <f t="shared" si="56"/>
        <v>53.476923076923079</v>
      </c>
      <c r="AA175" s="3">
        <f t="shared" si="57"/>
        <v>64.707076923076926</v>
      </c>
      <c r="AB175" s="40"/>
      <c r="AC175" s="11">
        <f t="shared" si="58"/>
        <v>0.40909090909090917</v>
      </c>
      <c r="AD175" s="3">
        <f t="shared" si="48"/>
        <v>53.476923076923079</v>
      </c>
      <c r="AE175" s="35"/>
      <c r="AG175" s="4" t="s">
        <v>378</v>
      </c>
    </row>
    <row r="176" spans="1:33" ht="16.5" customHeight="1" x14ac:dyDescent="0.2">
      <c r="A176" s="192"/>
      <c r="B176" s="200"/>
      <c r="C176" s="20">
        <v>111016</v>
      </c>
      <c r="D176" s="42">
        <v>7798101343043</v>
      </c>
      <c r="E176" s="19" t="s">
        <v>85</v>
      </c>
      <c r="F176" s="20">
        <v>12</v>
      </c>
      <c r="G176" s="3">
        <f t="shared" ref="G176:G179" si="112">379.2/12</f>
        <v>31.599999999999998</v>
      </c>
      <c r="H176" s="38"/>
      <c r="I176" s="1">
        <f t="shared" si="50"/>
        <v>0</v>
      </c>
      <c r="K176" s="3">
        <f t="shared" si="51"/>
        <v>48.615384615384613</v>
      </c>
      <c r="L176" s="15"/>
      <c r="M176" s="11">
        <f t="shared" si="52"/>
        <v>0.35</v>
      </c>
      <c r="N176" s="3">
        <f t="shared" si="109"/>
        <v>48.615384615384613</v>
      </c>
      <c r="P176" s="3">
        <f t="shared" si="53"/>
        <v>43.888888888888886</v>
      </c>
      <c r="Q176" s="15"/>
      <c r="R176" s="11">
        <f t="shared" si="54"/>
        <v>0.28000000000000003</v>
      </c>
      <c r="S176" s="3">
        <f t="shared" si="110"/>
        <v>43.888888888888886</v>
      </c>
      <c r="T176" s="70"/>
      <c r="U176" s="3">
        <f t="shared" si="61"/>
        <v>43.888888888888886</v>
      </c>
      <c r="V176" s="15"/>
      <c r="W176" s="11">
        <f t="shared" si="55"/>
        <v>0.28000000000000003</v>
      </c>
      <c r="X176" s="3">
        <f t="shared" si="111"/>
        <v>43.888888888888886</v>
      </c>
      <c r="Y176" s="70"/>
      <c r="Z176" s="3">
        <f t="shared" si="56"/>
        <v>53.476923076923079</v>
      </c>
      <c r="AA176" s="3">
        <f t="shared" si="57"/>
        <v>64.707076923076926</v>
      </c>
      <c r="AB176" s="40"/>
      <c r="AC176" s="11">
        <f t="shared" si="58"/>
        <v>0.40909090909090917</v>
      </c>
      <c r="AD176" s="3">
        <f t="shared" si="48"/>
        <v>53.476923076923079</v>
      </c>
      <c r="AE176" s="35"/>
      <c r="AG176" s="54" t="s">
        <v>379</v>
      </c>
    </row>
    <row r="177" spans="1:31" ht="16.5" customHeight="1" x14ac:dyDescent="0.2">
      <c r="A177" s="192"/>
      <c r="B177" s="200"/>
      <c r="C177" s="20">
        <v>111017</v>
      </c>
      <c r="D177" s="42">
        <v>7798101343036</v>
      </c>
      <c r="E177" s="19" t="s">
        <v>86</v>
      </c>
      <c r="F177" s="20">
        <v>12</v>
      </c>
      <c r="G177" s="3">
        <f t="shared" si="112"/>
        <v>31.599999999999998</v>
      </c>
      <c r="H177" s="38"/>
      <c r="I177" s="1">
        <f t="shared" si="50"/>
        <v>0</v>
      </c>
      <c r="K177" s="3">
        <f t="shared" si="51"/>
        <v>48.615384615384613</v>
      </c>
      <c r="L177" s="15"/>
      <c r="M177" s="11">
        <f t="shared" si="52"/>
        <v>0.35</v>
      </c>
      <c r="N177" s="3">
        <f t="shared" si="109"/>
        <v>48.615384615384613</v>
      </c>
      <c r="P177" s="3">
        <f t="shared" si="53"/>
        <v>43.888888888888886</v>
      </c>
      <c r="Q177" s="15"/>
      <c r="R177" s="11">
        <f t="shared" si="54"/>
        <v>0.28000000000000003</v>
      </c>
      <c r="S177" s="3">
        <f t="shared" si="110"/>
        <v>43.888888888888886</v>
      </c>
      <c r="T177" s="70"/>
      <c r="U177" s="3">
        <f t="shared" si="61"/>
        <v>43.888888888888886</v>
      </c>
      <c r="V177" s="15"/>
      <c r="W177" s="11">
        <f t="shared" si="55"/>
        <v>0.28000000000000003</v>
      </c>
      <c r="X177" s="3">
        <f t="shared" si="111"/>
        <v>43.888888888888886</v>
      </c>
      <c r="Y177" s="70"/>
      <c r="Z177" s="3">
        <f t="shared" si="56"/>
        <v>53.476923076923079</v>
      </c>
      <c r="AA177" s="3">
        <f t="shared" si="57"/>
        <v>64.707076923076926</v>
      </c>
      <c r="AB177" s="40"/>
      <c r="AC177" s="11">
        <f t="shared" si="58"/>
        <v>0.40909090909090917</v>
      </c>
      <c r="AD177" s="3">
        <f t="shared" si="48"/>
        <v>53.476923076923079</v>
      </c>
      <c r="AE177" s="35"/>
    </row>
    <row r="178" spans="1:31" ht="16.5" customHeight="1" x14ac:dyDescent="0.2">
      <c r="A178" s="192"/>
      <c r="B178" s="200"/>
      <c r="C178" s="20">
        <v>111018</v>
      </c>
      <c r="D178" s="42">
        <v>7798101343050</v>
      </c>
      <c r="E178" s="19" t="s">
        <v>87</v>
      </c>
      <c r="F178" s="20">
        <v>12</v>
      </c>
      <c r="G178" s="3">
        <f t="shared" si="112"/>
        <v>31.599999999999998</v>
      </c>
      <c r="H178" s="38"/>
      <c r="I178" s="1">
        <f t="shared" si="50"/>
        <v>0</v>
      </c>
      <c r="K178" s="3">
        <f t="shared" si="51"/>
        <v>48.615384615384613</v>
      </c>
      <c r="L178" s="15"/>
      <c r="M178" s="11">
        <f t="shared" si="52"/>
        <v>0.35</v>
      </c>
      <c r="N178" s="3">
        <f t="shared" si="109"/>
        <v>48.615384615384613</v>
      </c>
      <c r="P178" s="3">
        <f t="shared" si="53"/>
        <v>43.888888888888886</v>
      </c>
      <c r="Q178" s="15"/>
      <c r="R178" s="11">
        <f t="shared" si="54"/>
        <v>0.28000000000000003</v>
      </c>
      <c r="S178" s="3">
        <f t="shared" si="110"/>
        <v>43.888888888888886</v>
      </c>
      <c r="T178" s="70"/>
      <c r="U178" s="3">
        <f t="shared" si="61"/>
        <v>43.888888888888886</v>
      </c>
      <c r="V178" s="15"/>
      <c r="W178" s="11">
        <f t="shared" si="55"/>
        <v>0.28000000000000003</v>
      </c>
      <c r="X178" s="3">
        <f t="shared" si="111"/>
        <v>43.888888888888886</v>
      </c>
      <c r="Y178" s="70"/>
      <c r="Z178" s="3">
        <f t="shared" si="56"/>
        <v>53.476923076923079</v>
      </c>
      <c r="AA178" s="3">
        <f t="shared" si="57"/>
        <v>64.707076923076926</v>
      </c>
      <c r="AB178" s="40"/>
      <c r="AC178" s="11">
        <f t="shared" si="58"/>
        <v>0.40909090909090917</v>
      </c>
      <c r="AD178" s="3">
        <f t="shared" si="48"/>
        <v>53.476923076923079</v>
      </c>
      <c r="AE178" s="35"/>
    </row>
    <row r="179" spans="1:31" ht="16.5" customHeight="1" x14ac:dyDescent="0.2">
      <c r="A179" s="192"/>
      <c r="B179" s="200"/>
      <c r="C179" s="20">
        <v>111019</v>
      </c>
      <c r="D179" s="42">
        <v>7798101343029</v>
      </c>
      <c r="E179" s="19" t="s">
        <v>88</v>
      </c>
      <c r="F179" s="20">
        <v>12</v>
      </c>
      <c r="G179" s="3">
        <f t="shared" si="112"/>
        <v>31.599999999999998</v>
      </c>
      <c r="H179" s="38"/>
      <c r="I179" s="1">
        <f t="shared" si="50"/>
        <v>0</v>
      </c>
      <c r="K179" s="3">
        <f t="shared" si="51"/>
        <v>48.615384615384613</v>
      </c>
      <c r="L179" s="15"/>
      <c r="M179" s="11">
        <f t="shared" si="52"/>
        <v>0.35</v>
      </c>
      <c r="N179" s="3">
        <f t="shared" si="109"/>
        <v>48.615384615384613</v>
      </c>
      <c r="P179" s="3">
        <f t="shared" si="53"/>
        <v>43.888888888888886</v>
      </c>
      <c r="Q179" s="15"/>
      <c r="R179" s="11">
        <f t="shared" si="54"/>
        <v>0.28000000000000003</v>
      </c>
      <c r="S179" s="3">
        <f t="shared" si="110"/>
        <v>43.888888888888886</v>
      </c>
      <c r="T179" s="70"/>
      <c r="U179" s="3">
        <f t="shared" si="61"/>
        <v>43.888888888888886</v>
      </c>
      <c r="V179" s="15"/>
      <c r="W179" s="11">
        <f t="shared" si="55"/>
        <v>0.28000000000000003</v>
      </c>
      <c r="X179" s="3">
        <f t="shared" si="111"/>
        <v>43.888888888888886</v>
      </c>
      <c r="Y179" s="70"/>
      <c r="Z179" s="3">
        <f t="shared" si="56"/>
        <v>53.476923076923079</v>
      </c>
      <c r="AA179" s="3">
        <f t="shared" si="57"/>
        <v>64.707076923076926</v>
      </c>
      <c r="AB179" s="40"/>
      <c r="AC179" s="11">
        <f t="shared" si="58"/>
        <v>0.40909090909090917</v>
      </c>
      <c r="AD179" s="3">
        <f t="shared" ref="AD179:AD243" si="113">K179*1.1</f>
        <v>53.476923076923079</v>
      </c>
      <c r="AE179" s="35"/>
    </row>
    <row r="180" spans="1:31" ht="16.5" hidden="1" customHeight="1" x14ac:dyDescent="0.2">
      <c r="A180" s="192"/>
      <c r="B180" s="200"/>
      <c r="C180" s="74">
        <v>111023</v>
      </c>
      <c r="D180" s="90">
        <v>7798101343095</v>
      </c>
      <c r="E180" s="109" t="s">
        <v>376</v>
      </c>
      <c r="F180" s="74">
        <v>12</v>
      </c>
      <c r="G180" s="81">
        <v>0</v>
      </c>
      <c r="H180" s="106"/>
      <c r="I180" s="78">
        <f t="shared" si="50"/>
        <v>0</v>
      </c>
      <c r="J180" s="84"/>
      <c r="K180" s="81">
        <f t="shared" si="51"/>
        <v>0</v>
      </c>
      <c r="L180" s="140"/>
      <c r="M180" s="83" t="e">
        <f t="shared" si="52"/>
        <v>#DIV/0!</v>
      </c>
      <c r="N180" s="81">
        <f t="shared" ref="N180:N186" si="114">$G180/0.65</f>
        <v>0</v>
      </c>
      <c r="O180" s="84"/>
      <c r="P180" s="81">
        <f t="shared" si="53"/>
        <v>0</v>
      </c>
      <c r="Q180" s="140"/>
      <c r="R180" s="83" t="e">
        <f t="shared" si="54"/>
        <v>#DIV/0!</v>
      </c>
      <c r="S180" s="81">
        <f t="shared" ref="S180:S186" si="115">$G180/0.72</f>
        <v>0</v>
      </c>
      <c r="T180" s="85"/>
      <c r="U180" s="81">
        <f t="shared" si="61"/>
        <v>0</v>
      </c>
      <c r="V180" s="140"/>
      <c r="W180" s="83" t="e">
        <f t="shared" si="55"/>
        <v>#DIV/0!</v>
      </c>
      <c r="X180" s="81">
        <f t="shared" si="111"/>
        <v>0</v>
      </c>
      <c r="Y180" s="85"/>
      <c r="Z180" s="81">
        <f t="shared" si="56"/>
        <v>0</v>
      </c>
      <c r="AA180" s="81">
        <f t="shared" si="57"/>
        <v>0</v>
      </c>
      <c r="AB180" s="156"/>
      <c r="AC180" s="83" t="e">
        <f t="shared" si="58"/>
        <v>#DIV/0!</v>
      </c>
      <c r="AD180" s="81">
        <f t="shared" si="113"/>
        <v>0</v>
      </c>
      <c r="AE180" s="35"/>
    </row>
    <row r="181" spans="1:31" s="84" customFormat="1" ht="16.5" hidden="1" customHeight="1" x14ac:dyDescent="0.2">
      <c r="A181" s="192"/>
      <c r="B181" s="200"/>
      <c r="C181" s="74">
        <v>111025</v>
      </c>
      <c r="D181" s="139">
        <v>7798104300074</v>
      </c>
      <c r="E181" s="109" t="s">
        <v>383</v>
      </c>
      <c r="F181" s="74">
        <v>12</v>
      </c>
      <c r="G181" s="81">
        <f>G180</f>
        <v>0</v>
      </c>
      <c r="H181" s="106"/>
      <c r="I181" s="78">
        <f t="shared" si="50"/>
        <v>0</v>
      </c>
      <c r="K181" s="81">
        <f t="shared" si="51"/>
        <v>0</v>
      </c>
      <c r="L181" s="140"/>
      <c r="M181" s="83" t="e">
        <f t="shared" si="52"/>
        <v>#DIV/0!</v>
      </c>
      <c r="N181" s="81">
        <f t="shared" si="114"/>
        <v>0</v>
      </c>
      <c r="P181" s="81">
        <f t="shared" si="53"/>
        <v>0</v>
      </c>
      <c r="Q181" s="140"/>
      <c r="R181" s="83" t="e">
        <f t="shared" si="54"/>
        <v>#DIV/0!</v>
      </c>
      <c r="S181" s="81">
        <f t="shared" si="115"/>
        <v>0</v>
      </c>
      <c r="T181" s="85"/>
      <c r="U181" s="81">
        <f t="shared" si="61"/>
        <v>0</v>
      </c>
      <c r="V181" s="140"/>
      <c r="W181" s="83" t="e">
        <f t="shared" si="55"/>
        <v>#DIV/0!</v>
      </c>
      <c r="X181" s="81">
        <f t="shared" si="111"/>
        <v>0</v>
      </c>
      <c r="Y181" s="85"/>
      <c r="Z181" s="81">
        <f t="shared" si="56"/>
        <v>0</v>
      </c>
      <c r="AA181" s="81">
        <f t="shared" si="57"/>
        <v>0</v>
      </c>
      <c r="AB181" s="156"/>
      <c r="AC181" s="83" t="e">
        <f t="shared" si="58"/>
        <v>#DIV/0!</v>
      </c>
      <c r="AD181" s="81">
        <f t="shared" si="113"/>
        <v>0</v>
      </c>
      <c r="AE181" s="86"/>
    </row>
    <row r="182" spans="1:31" s="84" customFormat="1" ht="16.5" hidden="1" customHeight="1" x14ac:dyDescent="0.2">
      <c r="A182" s="192"/>
      <c r="B182" s="200"/>
      <c r="C182" s="74">
        <v>111026</v>
      </c>
      <c r="D182" s="139">
        <v>7798104300050</v>
      </c>
      <c r="E182" s="109" t="s">
        <v>384</v>
      </c>
      <c r="F182" s="74">
        <v>12</v>
      </c>
      <c r="G182" s="81">
        <f>G181</f>
        <v>0</v>
      </c>
      <c r="H182" s="106"/>
      <c r="I182" s="78">
        <f t="shared" si="50"/>
        <v>0</v>
      </c>
      <c r="K182" s="81">
        <f t="shared" si="51"/>
        <v>0</v>
      </c>
      <c r="L182" s="140"/>
      <c r="M182" s="83" t="e">
        <f t="shared" si="52"/>
        <v>#DIV/0!</v>
      </c>
      <c r="N182" s="81">
        <f t="shared" si="114"/>
        <v>0</v>
      </c>
      <c r="P182" s="81">
        <f t="shared" si="53"/>
        <v>0</v>
      </c>
      <c r="Q182" s="140"/>
      <c r="R182" s="83" t="e">
        <f t="shared" si="54"/>
        <v>#DIV/0!</v>
      </c>
      <c r="S182" s="81">
        <f t="shared" si="115"/>
        <v>0</v>
      </c>
      <c r="T182" s="85"/>
      <c r="U182" s="81">
        <f t="shared" si="61"/>
        <v>0</v>
      </c>
      <c r="V182" s="140"/>
      <c r="W182" s="83" t="e">
        <f t="shared" si="55"/>
        <v>#DIV/0!</v>
      </c>
      <c r="X182" s="81">
        <f t="shared" si="111"/>
        <v>0</v>
      </c>
      <c r="Y182" s="85"/>
      <c r="Z182" s="81">
        <f t="shared" si="56"/>
        <v>0</v>
      </c>
      <c r="AA182" s="81">
        <f t="shared" si="57"/>
        <v>0</v>
      </c>
      <c r="AB182" s="156"/>
      <c r="AC182" s="83" t="e">
        <f t="shared" si="58"/>
        <v>#DIV/0!</v>
      </c>
      <c r="AD182" s="81">
        <f t="shared" si="113"/>
        <v>0</v>
      </c>
      <c r="AE182" s="86"/>
    </row>
    <row r="183" spans="1:31" s="84" customFormat="1" ht="16.5" hidden="1" customHeight="1" x14ac:dyDescent="0.2">
      <c r="A183" s="192"/>
      <c r="B183" s="200"/>
      <c r="C183" s="74">
        <v>111027</v>
      </c>
      <c r="D183" s="139">
        <v>7798104300067</v>
      </c>
      <c r="E183" s="109" t="s">
        <v>385</v>
      </c>
      <c r="F183" s="74">
        <v>12</v>
      </c>
      <c r="G183" s="81">
        <f>G182</f>
        <v>0</v>
      </c>
      <c r="H183" s="106"/>
      <c r="I183" s="78">
        <f t="shared" si="50"/>
        <v>0</v>
      </c>
      <c r="K183" s="81">
        <f t="shared" si="51"/>
        <v>0</v>
      </c>
      <c r="L183" s="140"/>
      <c r="M183" s="83" t="e">
        <f t="shared" si="52"/>
        <v>#DIV/0!</v>
      </c>
      <c r="N183" s="81">
        <f t="shared" si="114"/>
        <v>0</v>
      </c>
      <c r="P183" s="81">
        <f t="shared" si="53"/>
        <v>0</v>
      </c>
      <c r="Q183" s="140"/>
      <c r="R183" s="83" t="e">
        <f t="shared" si="54"/>
        <v>#DIV/0!</v>
      </c>
      <c r="S183" s="81">
        <f t="shared" si="115"/>
        <v>0</v>
      </c>
      <c r="T183" s="85"/>
      <c r="U183" s="81">
        <f t="shared" si="61"/>
        <v>0</v>
      </c>
      <c r="V183" s="140"/>
      <c r="W183" s="83" t="e">
        <f t="shared" si="55"/>
        <v>#DIV/0!</v>
      </c>
      <c r="X183" s="81">
        <f t="shared" si="111"/>
        <v>0</v>
      </c>
      <c r="Y183" s="85"/>
      <c r="Z183" s="81">
        <f t="shared" si="56"/>
        <v>0</v>
      </c>
      <c r="AA183" s="81">
        <f t="shared" si="57"/>
        <v>0</v>
      </c>
      <c r="AB183" s="156"/>
      <c r="AC183" s="83" t="e">
        <f t="shared" si="58"/>
        <v>#DIV/0!</v>
      </c>
      <c r="AD183" s="81">
        <f t="shared" si="113"/>
        <v>0</v>
      </c>
      <c r="AE183" s="86"/>
    </row>
    <row r="184" spans="1:31" s="84" customFormat="1" ht="16.5" hidden="1" customHeight="1" x14ac:dyDescent="0.2">
      <c r="A184" s="192"/>
      <c r="B184" s="200" t="s">
        <v>150</v>
      </c>
      <c r="C184" s="74">
        <v>111020</v>
      </c>
      <c r="D184" s="75" t="s">
        <v>253</v>
      </c>
      <c r="E184" s="109" t="s">
        <v>151</v>
      </c>
      <c r="F184" s="74">
        <v>12</v>
      </c>
      <c r="G184" s="81">
        <v>84.72</v>
      </c>
      <c r="H184" s="106"/>
      <c r="I184" s="78">
        <f t="shared" si="50"/>
        <v>0</v>
      </c>
      <c r="K184" s="81">
        <f t="shared" si="51"/>
        <v>130.33846153846153</v>
      </c>
      <c r="L184" s="140"/>
      <c r="M184" s="83">
        <f t="shared" si="52"/>
        <v>0.35</v>
      </c>
      <c r="N184" s="81">
        <f t="shared" si="114"/>
        <v>130.33846153846153</v>
      </c>
      <c r="P184" s="81">
        <f t="shared" si="53"/>
        <v>117.66666666666667</v>
      </c>
      <c r="Q184" s="140"/>
      <c r="R184" s="83">
        <f t="shared" si="54"/>
        <v>0.28000000000000003</v>
      </c>
      <c r="S184" s="81">
        <f t="shared" si="115"/>
        <v>117.66666666666667</v>
      </c>
      <c r="T184" s="85"/>
      <c r="U184" s="81">
        <f t="shared" si="61"/>
        <v>117.66666666666667</v>
      </c>
      <c r="V184" s="140"/>
      <c r="W184" s="83">
        <f t="shared" si="55"/>
        <v>0.28000000000000003</v>
      </c>
      <c r="X184" s="81">
        <f t="shared" si="111"/>
        <v>117.66666666666667</v>
      </c>
      <c r="Y184" s="85"/>
      <c r="Z184" s="81">
        <f t="shared" si="56"/>
        <v>143.37230769230769</v>
      </c>
      <c r="AA184" s="81">
        <f t="shared" si="57"/>
        <v>173.48049230769229</v>
      </c>
      <c r="AB184" s="156"/>
      <c r="AC184" s="83">
        <f t="shared" si="58"/>
        <v>0.40909090909090906</v>
      </c>
      <c r="AD184" s="81">
        <f t="shared" si="113"/>
        <v>143.37230769230769</v>
      </c>
      <c r="AE184" s="86"/>
    </row>
    <row r="185" spans="1:31" s="84" customFormat="1" ht="16.5" hidden="1" customHeight="1" x14ac:dyDescent="0.2">
      <c r="A185" s="192"/>
      <c r="B185" s="200"/>
      <c r="C185" s="74">
        <v>111021</v>
      </c>
      <c r="D185" s="75" t="s">
        <v>386</v>
      </c>
      <c r="E185" s="109" t="s">
        <v>152</v>
      </c>
      <c r="F185" s="74">
        <v>12</v>
      </c>
      <c r="G185" s="81">
        <f>G184</f>
        <v>84.72</v>
      </c>
      <c r="H185" s="106"/>
      <c r="I185" s="78">
        <f t="shared" si="50"/>
        <v>0</v>
      </c>
      <c r="K185" s="81">
        <f t="shared" si="51"/>
        <v>130.33846153846153</v>
      </c>
      <c r="L185" s="140"/>
      <c r="M185" s="83">
        <f t="shared" si="52"/>
        <v>0.35</v>
      </c>
      <c r="N185" s="81">
        <f t="shared" si="114"/>
        <v>130.33846153846153</v>
      </c>
      <c r="P185" s="81">
        <f t="shared" si="53"/>
        <v>117.66666666666667</v>
      </c>
      <c r="Q185" s="140"/>
      <c r="R185" s="83">
        <f t="shared" si="54"/>
        <v>0.28000000000000003</v>
      </c>
      <c r="S185" s="81">
        <f t="shared" si="115"/>
        <v>117.66666666666667</v>
      </c>
      <c r="T185" s="85"/>
      <c r="U185" s="81">
        <f t="shared" si="61"/>
        <v>117.66666666666667</v>
      </c>
      <c r="V185" s="140"/>
      <c r="W185" s="83">
        <f t="shared" si="55"/>
        <v>0.28000000000000003</v>
      </c>
      <c r="X185" s="81">
        <f t="shared" si="111"/>
        <v>117.66666666666667</v>
      </c>
      <c r="Y185" s="85"/>
      <c r="Z185" s="81">
        <f t="shared" si="56"/>
        <v>143.37230769230769</v>
      </c>
      <c r="AA185" s="81">
        <f t="shared" si="57"/>
        <v>173.48049230769229</v>
      </c>
      <c r="AB185" s="156"/>
      <c r="AC185" s="83">
        <f t="shared" si="58"/>
        <v>0.40909090909090906</v>
      </c>
      <c r="AD185" s="81">
        <f t="shared" si="113"/>
        <v>143.37230769230769</v>
      </c>
      <c r="AE185" s="86"/>
    </row>
    <row r="186" spans="1:31" s="84" customFormat="1" ht="16.5" hidden="1" customHeight="1" x14ac:dyDescent="0.2">
      <c r="A186" s="192"/>
      <c r="B186" s="200"/>
      <c r="C186" s="74">
        <v>111022</v>
      </c>
      <c r="D186" s="75" t="s">
        <v>254</v>
      </c>
      <c r="E186" s="109" t="s">
        <v>153</v>
      </c>
      <c r="F186" s="74">
        <v>12</v>
      </c>
      <c r="G186" s="81">
        <f>G184</f>
        <v>84.72</v>
      </c>
      <c r="H186" s="106"/>
      <c r="I186" s="78">
        <f t="shared" si="50"/>
        <v>0</v>
      </c>
      <c r="K186" s="81">
        <f t="shared" si="51"/>
        <v>130.33846153846153</v>
      </c>
      <c r="L186" s="140"/>
      <c r="M186" s="83">
        <f t="shared" si="52"/>
        <v>0.35</v>
      </c>
      <c r="N186" s="81">
        <f t="shared" si="114"/>
        <v>130.33846153846153</v>
      </c>
      <c r="P186" s="81">
        <f t="shared" si="53"/>
        <v>117.66666666666667</v>
      </c>
      <c r="Q186" s="140"/>
      <c r="R186" s="83">
        <f t="shared" si="54"/>
        <v>0.28000000000000003</v>
      </c>
      <c r="S186" s="81">
        <f t="shared" si="115"/>
        <v>117.66666666666667</v>
      </c>
      <c r="T186" s="85"/>
      <c r="U186" s="81">
        <f t="shared" si="61"/>
        <v>117.66666666666667</v>
      </c>
      <c r="V186" s="140"/>
      <c r="W186" s="83">
        <f t="shared" si="55"/>
        <v>0.28000000000000003</v>
      </c>
      <c r="X186" s="81">
        <f t="shared" si="111"/>
        <v>117.66666666666667</v>
      </c>
      <c r="Y186" s="85"/>
      <c r="Z186" s="81">
        <f t="shared" si="56"/>
        <v>143.37230769230769</v>
      </c>
      <c r="AA186" s="81">
        <f t="shared" si="57"/>
        <v>173.48049230769229</v>
      </c>
      <c r="AB186" s="156"/>
      <c r="AC186" s="83">
        <f t="shared" si="58"/>
        <v>0.40909090909090906</v>
      </c>
      <c r="AD186" s="81">
        <f t="shared" si="113"/>
        <v>143.37230769230769</v>
      </c>
      <c r="AE186" s="86"/>
    </row>
    <row r="187" spans="1:31" s="84" customFormat="1" ht="16.5" hidden="1" customHeight="1" x14ac:dyDescent="0.2">
      <c r="A187" s="154"/>
      <c r="B187" s="105"/>
      <c r="C187" s="74">
        <v>118001</v>
      </c>
      <c r="D187" s="90">
        <v>7793482000110</v>
      </c>
      <c r="E187" s="109" t="s">
        <v>154</v>
      </c>
      <c r="F187" s="74">
        <v>30</v>
      </c>
      <c r="G187" s="81">
        <f>62.1*0.75</f>
        <v>46.575000000000003</v>
      </c>
      <c r="H187" s="106"/>
      <c r="I187" s="78">
        <f t="shared" si="50"/>
        <v>0</v>
      </c>
      <c r="J187" s="88"/>
      <c r="K187" s="81">
        <f t="shared" si="51"/>
        <v>62.1</v>
      </c>
      <c r="L187" s="88"/>
      <c r="M187" s="83">
        <f t="shared" si="52"/>
        <v>0.25</v>
      </c>
      <c r="N187" s="81">
        <f>$G187/0.75</f>
        <v>62.1</v>
      </c>
      <c r="O187" s="110">
        <v>0.25</v>
      </c>
      <c r="P187" s="81">
        <f t="shared" si="53"/>
        <v>66.535714285714292</v>
      </c>
      <c r="Q187" s="88"/>
      <c r="R187" s="83">
        <f t="shared" si="54"/>
        <v>0.30000000000000004</v>
      </c>
      <c r="S187" s="81">
        <f t="shared" ref="S187:S195" si="116">$G187/0.7</f>
        <v>66.535714285714292</v>
      </c>
      <c r="T187" s="85">
        <v>0.25</v>
      </c>
      <c r="U187" s="81">
        <f>X187</f>
        <v>66.535714285714292</v>
      </c>
      <c r="V187" s="88"/>
      <c r="W187" s="11">
        <f>1-(G187/U187)</f>
        <v>0.30000000000000004</v>
      </c>
      <c r="X187" s="81">
        <f t="shared" ref="X187:X193" si="117">$G187/0.7</f>
        <v>66.535714285714292</v>
      </c>
      <c r="Y187" s="85"/>
      <c r="Z187" s="81">
        <f t="shared" si="56"/>
        <v>68.31</v>
      </c>
      <c r="AA187" s="3">
        <f t="shared" si="57"/>
        <v>82.655100000000004</v>
      </c>
      <c r="AB187" s="88"/>
      <c r="AC187" s="11">
        <f t="shared" si="58"/>
        <v>0.31818181818181812</v>
      </c>
      <c r="AD187" s="81">
        <f t="shared" si="113"/>
        <v>68.31</v>
      </c>
      <c r="AE187" s="86"/>
    </row>
    <row r="188" spans="1:31" s="10" customFormat="1" ht="16.5" customHeight="1" x14ac:dyDescent="0.2">
      <c r="A188" s="206" t="s">
        <v>113</v>
      </c>
      <c r="B188" s="183" t="s">
        <v>114</v>
      </c>
      <c r="C188" s="20">
        <v>118002</v>
      </c>
      <c r="D188" s="42">
        <v>7793482000448</v>
      </c>
      <c r="E188" s="2" t="s">
        <v>115</v>
      </c>
      <c r="F188" s="13">
        <v>12</v>
      </c>
      <c r="G188" s="1">
        <v>62.93</v>
      </c>
      <c r="H188" s="18"/>
      <c r="I188" s="1">
        <f t="shared" si="50"/>
        <v>0</v>
      </c>
      <c r="K188" s="3">
        <f t="shared" si="51"/>
        <v>92.544117647058812</v>
      </c>
      <c r="M188" s="11">
        <f t="shared" si="52"/>
        <v>0.31999999999999995</v>
      </c>
      <c r="N188" s="3">
        <f>$G188/0.68</f>
        <v>92.544117647058812</v>
      </c>
      <c r="P188" s="3">
        <f t="shared" si="53"/>
        <v>89.9</v>
      </c>
      <c r="R188" s="11">
        <f t="shared" si="54"/>
        <v>0.30000000000000004</v>
      </c>
      <c r="S188" s="3">
        <f t="shared" si="116"/>
        <v>89.9</v>
      </c>
      <c r="T188" s="70">
        <v>0.3</v>
      </c>
      <c r="U188" s="81">
        <f t="shared" ref="U188:U221" si="118">X188</f>
        <v>89.9</v>
      </c>
      <c r="W188" s="11">
        <f t="shared" si="55"/>
        <v>0.30000000000000004</v>
      </c>
      <c r="X188" s="81">
        <f t="shared" si="117"/>
        <v>89.9</v>
      </c>
      <c r="Y188" s="70"/>
      <c r="Z188" s="3">
        <f t="shared" si="56"/>
        <v>101.7985294117647</v>
      </c>
      <c r="AA188" s="3">
        <f t="shared" si="57"/>
        <v>123.17622058823528</v>
      </c>
      <c r="AC188" s="11">
        <f t="shared" si="58"/>
        <v>0.38181818181818183</v>
      </c>
      <c r="AD188" s="3">
        <f t="shared" si="113"/>
        <v>101.7985294117647</v>
      </c>
      <c r="AE188" s="35"/>
    </row>
    <row r="189" spans="1:31" s="10" customFormat="1" ht="16.5" customHeight="1" x14ac:dyDescent="0.2">
      <c r="A189" s="207"/>
      <c r="B189" s="183"/>
      <c r="C189" s="20">
        <v>118003</v>
      </c>
      <c r="D189" s="42">
        <v>7793482000608</v>
      </c>
      <c r="E189" s="2" t="s">
        <v>116</v>
      </c>
      <c r="F189" s="13">
        <v>12</v>
      </c>
      <c r="G189" s="1">
        <f>G188</f>
        <v>62.93</v>
      </c>
      <c r="H189" s="18"/>
      <c r="I189" s="1">
        <f t="shared" si="50"/>
        <v>0</v>
      </c>
      <c r="K189" s="3">
        <f t="shared" si="51"/>
        <v>92.544117647058812</v>
      </c>
      <c r="M189" s="11">
        <f t="shared" si="52"/>
        <v>0.31999999999999995</v>
      </c>
      <c r="N189" s="3">
        <f>$G189/0.68</f>
        <v>92.544117647058812</v>
      </c>
      <c r="P189" s="3">
        <f t="shared" si="53"/>
        <v>89.9</v>
      </c>
      <c r="R189" s="11">
        <f t="shared" si="54"/>
        <v>0.30000000000000004</v>
      </c>
      <c r="S189" s="3">
        <f t="shared" si="116"/>
        <v>89.9</v>
      </c>
      <c r="T189" s="70"/>
      <c r="U189" s="81">
        <f t="shared" si="118"/>
        <v>89.9</v>
      </c>
      <c r="W189" s="11">
        <f t="shared" si="55"/>
        <v>0.30000000000000004</v>
      </c>
      <c r="X189" s="81">
        <f t="shared" si="117"/>
        <v>89.9</v>
      </c>
      <c r="Y189" s="70"/>
      <c r="Z189" s="3">
        <f t="shared" si="56"/>
        <v>101.7985294117647</v>
      </c>
      <c r="AA189" s="3">
        <f t="shared" si="57"/>
        <v>123.17622058823528</v>
      </c>
      <c r="AC189" s="11">
        <f t="shared" si="58"/>
        <v>0.38181818181818183</v>
      </c>
      <c r="AD189" s="3">
        <f t="shared" si="113"/>
        <v>101.7985294117647</v>
      </c>
      <c r="AE189" s="35"/>
    </row>
    <row r="190" spans="1:31" s="10" customFormat="1" ht="16.5" customHeight="1" x14ac:dyDescent="0.2">
      <c r="A190" s="207"/>
      <c r="B190" s="183"/>
      <c r="C190" s="20">
        <v>118004</v>
      </c>
      <c r="D190" s="42">
        <v>7793482000332</v>
      </c>
      <c r="E190" s="2" t="s">
        <v>117</v>
      </c>
      <c r="F190" s="13">
        <v>12</v>
      </c>
      <c r="G190" s="1">
        <v>70.16</v>
      </c>
      <c r="H190" s="18"/>
      <c r="I190" s="1">
        <f t="shared" si="50"/>
        <v>0</v>
      </c>
      <c r="K190" s="3">
        <f t="shared" si="51"/>
        <v>100.22857142857143</v>
      </c>
      <c r="M190" s="11">
        <f t="shared" si="52"/>
        <v>0.30000000000000004</v>
      </c>
      <c r="N190" s="3">
        <f>$G190/0.7</f>
        <v>100.22857142857143</v>
      </c>
      <c r="P190" s="3">
        <f t="shared" si="53"/>
        <v>100.22857142857143</v>
      </c>
      <c r="R190" s="11">
        <f>1-(G190/P190)</f>
        <v>0.30000000000000004</v>
      </c>
      <c r="S190" s="3">
        <f t="shared" si="116"/>
        <v>100.22857142857143</v>
      </c>
      <c r="T190" s="70"/>
      <c r="U190" s="81">
        <f t="shared" si="118"/>
        <v>100.22857142857143</v>
      </c>
      <c r="W190" s="11">
        <f t="shared" si="55"/>
        <v>0.30000000000000004</v>
      </c>
      <c r="X190" s="81">
        <f t="shared" si="117"/>
        <v>100.22857142857143</v>
      </c>
      <c r="Y190" s="70"/>
      <c r="Z190" s="3">
        <f t="shared" si="56"/>
        <v>110.25142857142858</v>
      </c>
      <c r="AA190" s="3">
        <f t="shared" si="57"/>
        <v>133.40422857142858</v>
      </c>
      <c r="AC190" s="11">
        <f t="shared" si="58"/>
        <v>0.36363636363636365</v>
      </c>
      <c r="AD190" s="3">
        <f t="shared" si="113"/>
        <v>110.25142857142858</v>
      </c>
      <c r="AE190" s="35"/>
    </row>
    <row r="191" spans="1:31" s="10" customFormat="1" ht="16.5" customHeight="1" x14ac:dyDescent="0.2">
      <c r="A191" s="207"/>
      <c r="B191" s="183"/>
      <c r="C191" s="20">
        <v>118005</v>
      </c>
      <c r="D191" s="42">
        <v>7793482000349</v>
      </c>
      <c r="E191" s="2" t="s">
        <v>118</v>
      </c>
      <c r="F191" s="13">
        <v>12</v>
      </c>
      <c r="G191" s="1">
        <f>G188</f>
        <v>62.93</v>
      </c>
      <c r="H191" s="18"/>
      <c r="I191" s="1">
        <f t="shared" si="50"/>
        <v>0</v>
      </c>
      <c r="K191" s="3">
        <f t="shared" si="51"/>
        <v>95.348484848484844</v>
      </c>
      <c r="M191" s="11">
        <f t="shared" si="52"/>
        <v>0.33999999999999997</v>
      </c>
      <c r="N191" s="3">
        <f>$G191/0.66</f>
        <v>95.348484848484844</v>
      </c>
      <c r="P191" s="3">
        <f t="shared" si="53"/>
        <v>89.9</v>
      </c>
      <c r="R191" s="11">
        <f t="shared" si="54"/>
        <v>0.30000000000000004</v>
      </c>
      <c r="S191" s="3">
        <f t="shared" si="116"/>
        <v>89.9</v>
      </c>
      <c r="T191" s="70">
        <v>0.3</v>
      </c>
      <c r="U191" s="81">
        <f t="shared" si="118"/>
        <v>89.9</v>
      </c>
      <c r="W191" s="11">
        <f t="shared" si="55"/>
        <v>0.30000000000000004</v>
      </c>
      <c r="X191" s="81">
        <f t="shared" si="117"/>
        <v>89.9</v>
      </c>
      <c r="Y191" s="70"/>
      <c r="Z191" s="3">
        <f t="shared" si="56"/>
        <v>104.88333333333334</v>
      </c>
      <c r="AA191" s="3">
        <f t="shared" si="57"/>
        <v>126.90883333333333</v>
      </c>
      <c r="AC191" s="11">
        <f t="shared" si="58"/>
        <v>0.4</v>
      </c>
      <c r="AD191" s="3">
        <f t="shared" si="113"/>
        <v>104.88333333333334</v>
      </c>
      <c r="AE191" s="35"/>
    </row>
    <row r="192" spans="1:31" s="10" customFormat="1" ht="16.5" customHeight="1" x14ac:dyDescent="0.2">
      <c r="A192" s="207"/>
      <c r="B192" s="183"/>
      <c r="C192" s="20">
        <v>118006</v>
      </c>
      <c r="D192" s="42">
        <v>7793482000455</v>
      </c>
      <c r="E192" s="2" t="s">
        <v>119</v>
      </c>
      <c r="F192" s="13">
        <v>12</v>
      </c>
      <c r="G192" s="1">
        <f>G188</f>
        <v>62.93</v>
      </c>
      <c r="H192" s="18"/>
      <c r="I192" s="1">
        <f t="shared" si="50"/>
        <v>0</v>
      </c>
      <c r="K192" s="3">
        <f t="shared" si="51"/>
        <v>95.348484848484844</v>
      </c>
      <c r="M192" s="11">
        <f t="shared" si="52"/>
        <v>0.33999999999999997</v>
      </c>
      <c r="N192" s="3">
        <f>$G192/0.66</f>
        <v>95.348484848484844</v>
      </c>
      <c r="P192" s="3">
        <f t="shared" si="53"/>
        <v>89.9</v>
      </c>
      <c r="R192" s="11">
        <f t="shared" si="54"/>
        <v>0.30000000000000004</v>
      </c>
      <c r="S192" s="3">
        <f t="shared" si="116"/>
        <v>89.9</v>
      </c>
      <c r="T192" s="70"/>
      <c r="U192" s="81">
        <f t="shared" si="118"/>
        <v>89.9</v>
      </c>
      <c r="W192" s="11">
        <f t="shared" si="55"/>
        <v>0.30000000000000004</v>
      </c>
      <c r="X192" s="81">
        <f t="shared" si="117"/>
        <v>89.9</v>
      </c>
      <c r="Y192" s="70"/>
      <c r="Z192" s="3">
        <f t="shared" si="56"/>
        <v>104.88333333333334</v>
      </c>
      <c r="AA192" s="3">
        <f t="shared" si="57"/>
        <v>126.90883333333333</v>
      </c>
      <c r="AC192" s="11">
        <f t="shared" si="58"/>
        <v>0.4</v>
      </c>
      <c r="AD192" s="3">
        <f t="shared" si="113"/>
        <v>104.88333333333334</v>
      </c>
      <c r="AE192" s="35"/>
    </row>
    <row r="193" spans="1:31" s="88" customFormat="1" ht="16.5" customHeight="1" x14ac:dyDescent="0.2">
      <c r="A193" s="207"/>
      <c r="B193" s="183"/>
      <c r="C193" s="74">
        <v>118007</v>
      </c>
      <c r="D193" s="90">
        <v>7793482000356</v>
      </c>
      <c r="E193" s="76" t="s">
        <v>120</v>
      </c>
      <c r="F193" s="77">
        <v>12</v>
      </c>
      <c r="G193" s="78">
        <f>G188</f>
        <v>62.93</v>
      </c>
      <c r="H193" s="91"/>
      <c r="I193" s="78">
        <f t="shared" si="50"/>
        <v>0</v>
      </c>
      <c r="K193" s="81">
        <f t="shared" si="51"/>
        <v>89.9</v>
      </c>
      <c r="M193" s="83">
        <f t="shared" si="52"/>
        <v>0.30000000000000004</v>
      </c>
      <c r="N193" s="81">
        <f>$G193/0.7</f>
        <v>89.9</v>
      </c>
      <c r="P193" s="81">
        <f t="shared" si="53"/>
        <v>89.9</v>
      </c>
      <c r="R193" s="83">
        <f t="shared" si="54"/>
        <v>0.30000000000000004</v>
      </c>
      <c r="S193" s="3">
        <f t="shared" si="116"/>
        <v>89.9</v>
      </c>
      <c r="T193" s="85"/>
      <c r="U193" s="81">
        <f t="shared" si="118"/>
        <v>89.9</v>
      </c>
      <c r="W193" s="83">
        <f t="shared" si="55"/>
        <v>0.30000000000000004</v>
      </c>
      <c r="X193" s="81">
        <f t="shared" si="117"/>
        <v>89.9</v>
      </c>
      <c r="Y193" s="85"/>
      <c r="Z193" s="81">
        <f t="shared" si="56"/>
        <v>98.890000000000015</v>
      </c>
      <c r="AA193" s="3">
        <f t="shared" si="57"/>
        <v>119.65690000000001</v>
      </c>
      <c r="AC193" s="83">
        <f t="shared" si="58"/>
        <v>0.36363636363636376</v>
      </c>
      <c r="AD193" s="81">
        <f t="shared" si="113"/>
        <v>98.890000000000015</v>
      </c>
      <c r="AE193" s="86"/>
    </row>
    <row r="194" spans="1:31" s="88" customFormat="1" ht="16.5" customHeight="1" x14ac:dyDescent="0.2">
      <c r="A194" s="207"/>
      <c r="B194" s="183"/>
      <c r="C194" s="74">
        <v>118034</v>
      </c>
      <c r="D194" s="90"/>
      <c r="E194" s="76"/>
      <c r="F194" s="77">
        <v>12</v>
      </c>
      <c r="G194" s="78">
        <v>0</v>
      </c>
      <c r="H194" s="91"/>
      <c r="I194" s="78">
        <f t="shared" si="50"/>
        <v>0</v>
      </c>
      <c r="K194" s="81">
        <f t="shared" si="51"/>
        <v>0</v>
      </c>
      <c r="M194" s="83" t="e">
        <f t="shared" si="52"/>
        <v>#DIV/0!</v>
      </c>
      <c r="N194" s="81">
        <f>$G194/0.75</f>
        <v>0</v>
      </c>
      <c r="P194" s="81">
        <f t="shared" si="53"/>
        <v>0</v>
      </c>
      <c r="R194" s="83" t="e">
        <f t="shared" si="54"/>
        <v>#DIV/0!</v>
      </c>
      <c r="S194" s="3">
        <f t="shared" si="116"/>
        <v>0</v>
      </c>
      <c r="T194" s="85"/>
      <c r="U194" s="81">
        <f t="shared" si="118"/>
        <v>0</v>
      </c>
      <c r="W194" s="11" t="e">
        <f t="shared" si="55"/>
        <v>#DIV/0!</v>
      </c>
      <c r="X194" s="81">
        <f t="shared" ref="X194:X207" si="119">$G194/0.73</f>
        <v>0</v>
      </c>
      <c r="Y194" s="85"/>
      <c r="Z194" s="81">
        <f t="shared" si="56"/>
        <v>0</v>
      </c>
      <c r="AA194" s="3">
        <f t="shared" si="57"/>
        <v>0</v>
      </c>
      <c r="AC194" s="11" t="e">
        <f t="shared" si="58"/>
        <v>#DIV/0!</v>
      </c>
      <c r="AD194" s="81">
        <f t="shared" si="113"/>
        <v>0</v>
      </c>
      <c r="AE194" s="86"/>
    </row>
    <row r="195" spans="1:31" s="10" customFormat="1" ht="15.75" customHeight="1" x14ac:dyDescent="0.2">
      <c r="A195" s="207"/>
      <c r="B195" s="183" t="s">
        <v>157</v>
      </c>
      <c r="C195" s="20">
        <v>118008</v>
      </c>
      <c r="D195" s="42">
        <v>7793482000622</v>
      </c>
      <c r="E195" s="2" t="s">
        <v>315</v>
      </c>
      <c r="F195" s="13">
        <v>15</v>
      </c>
      <c r="G195" s="1">
        <v>49.28</v>
      </c>
      <c r="H195" s="18"/>
      <c r="I195" s="1">
        <f t="shared" si="50"/>
        <v>0</v>
      </c>
      <c r="K195" s="3">
        <f t="shared" si="51"/>
        <v>70.400000000000006</v>
      </c>
      <c r="M195" s="11">
        <f t="shared" si="52"/>
        <v>0.30000000000000004</v>
      </c>
      <c r="N195" s="3">
        <f t="shared" ref="N195:N253" si="120">$G195/0.7</f>
        <v>70.400000000000006</v>
      </c>
      <c r="O195" s="73">
        <v>0.2</v>
      </c>
      <c r="P195" s="3">
        <f t="shared" si="53"/>
        <v>70.400000000000006</v>
      </c>
      <c r="R195" s="11">
        <f t="shared" si="54"/>
        <v>0.30000000000000004</v>
      </c>
      <c r="S195" s="3">
        <f t="shared" si="116"/>
        <v>70.400000000000006</v>
      </c>
      <c r="T195" s="70">
        <v>0.3</v>
      </c>
      <c r="U195" s="81">
        <f t="shared" si="118"/>
        <v>67.506849315068493</v>
      </c>
      <c r="W195" s="11">
        <f t="shared" si="55"/>
        <v>0.27</v>
      </c>
      <c r="X195" s="81">
        <f t="shared" si="119"/>
        <v>67.506849315068493</v>
      </c>
      <c r="Y195" s="70"/>
      <c r="Z195" s="3">
        <f t="shared" si="56"/>
        <v>77.440000000000012</v>
      </c>
      <c r="AA195" s="3">
        <f t="shared" si="57"/>
        <v>93.702400000000011</v>
      </c>
      <c r="AC195" s="11">
        <f t="shared" si="58"/>
        <v>0.36363636363636376</v>
      </c>
      <c r="AD195" s="3">
        <f t="shared" si="113"/>
        <v>77.440000000000012</v>
      </c>
      <c r="AE195" s="35"/>
    </row>
    <row r="196" spans="1:31" s="10" customFormat="1" ht="15.75" customHeight="1" x14ac:dyDescent="0.2">
      <c r="A196" s="207"/>
      <c r="B196" s="183"/>
      <c r="C196" s="20">
        <v>118009</v>
      </c>
      <c r="D196" s="42">
        <v>7793482000202</v>
      </c>
      <c r="E196" s="12" t="s">
        <v>121</v>
      </c>
      <c r="F196" s="13">
        <v>15</v>
      </c>
      <c r="G196" s="1">
        <v>45.36</v>
      </c>
      <c r="H196" s="18"/>
      <c r="I196" s="1">
        <f t="shared" si="50"/>
        <v>0</v>
      </c>
      <c r="K196" s="3">
        <f t="shared" si="51"/>
        <v>64.8</v>
      </c>
      <c r="M196" s="11">
        <f t="shared" si="52"/>
        <v>0.29999999999999993</v>
      </c>
      <c r="N196" s="3">
        <f t="shared" si="120"/>
        <v>64.8</v>
      </c>
      <c r="P196" s="3">
        <f t="shared" si="53"/>
        <v>69.784615384615378</v>
      </c>
      <c r="R196" s="11">
        <f t="shared" si="54"/>
        <v>0.35</v>
      </c>
      <c r="S196" s="3">
        <f>$G196/0.65</f>
        <v>69.784615384615378</v>
      </c>
      <c r="T196" s="70"/>
      <c r="U196" s="81">
        <f t="shared" si="118"/>
        <v>62.136986301369866</v>
      </c>
      <c r="W196" s="11">
        <f t="shared" si="55"/>
        <v>0.27</v>
      </c>
      <c r="X196" s="81">
        <f t="shared" si="119"/>
        <v>62.136986301369866</v>
      </c>
      <c r="Y196" s="70"/>
      <c r="Z196" s="3">
        <f t="shared" si="56"/>
        <v>71.28</v>
      </c>
      <c r="AA196" s="3">
        <f t="shared" si="57"/>
        <v>86.248800000000003</v>
      </c>
      <c r="AC196" s="11">
        <f t="shared" si="58"/>
        <v>0.36363636363636365</v>
      </c>
      <c r="AD196" s="3">
        <f t="shared" si="113"/>
        <v>71.28</v>
      </c>
      <c r="AE196" s="35"/>
    </row>
    <row r="197" spans="1:31" s="10" customFormat="1" ht="15.75" customHeight="1" x14ac:dyDescent="0.2">
      <c r="A197" s="207"/>
      <c r="B197" s="183"/>
      <c r="C197" s="20">
        <v>118010</v>
      </c>
      <c r="D197" s="42">
        <v>7793482000615</v>
      </c>
      <c r="E197" s="12" t="s">
        <v>122</v>
      </c>
      <c r="F197" s="13">
        <v>15</v>
      </c>
      <c r="G197" s="1">
        <f>G195</f>
        <v>49.28</v>
      </c>
      <c r="H197" s="18"/>
      <c r="I197" s="1">
        <f t="shared" si="50"/>
        <v>0</v>
      </c>
      <c r="K197" s="3">
        <f t="shared" si="51"/>
        <v>70.400000000000006</v>
      </c>
      <c r="M197" s="11">
        <f t="shared" si="52"/>
        <v>0.30000000000000004</v>
      </c>
      <c r="N197" s="3">
        <f t="shared" si="120"/>
        <v>70.400000000000006</v>
      </c>
      <c r="P197" s="3">
        <f t="shared" si="53"/>
        <v>75.815384615384616</v>
      </c>
      <c r="R197" s="11">
        <f t="shared" si="54"/>
        <v>0.35</v>
      </c>
      <c r="S197" s="3">
        <f>$G197/0.65</f>
        <v>75.815384615384616</v>
      </c>
      <c r="T197" s="70"/>
      <c r="U197" s="81">
        <f t="shared" si="118"/>
        <v>67.506849315068493</v>
      </c>
      <c r="W197" s="11">
        <f t="shared" si="55"/>
        <v>0.27</v>
      </c>
      <c r="X197" s="81">
        <f t="shared" si="119"/>
        <v>67.506849315068493</v>
      </c>
      <c r="Y197" s="70"/>
      <c r="Z197" s="3">
        <f t="shared" si="56"/>
        <v>77.440000000000012</v>
      </c>
      <c r="AA197" s="3">
        <f t="shared" si="57"/>
        <v>93.702400000000011</v>
      </c>
      <c r="AC197" s="11">
        <f t="shared" si="58"/>
        <v>0.36363636363636376</v>
      </c>
      <c r="AD197" s="3">
        <f t="shared" si="113"/>
        <v>77.440000000000012</v>
      </c>
      <c r="AE197" s="35"/>
    </row>
    <row r="198" spans="1:31" s="10" customFormat="1" ht="15.75" customHeight="1" x14ac:dyDescent="0.2">
      <c r="A198" s="207"/>
      <c r="B198" s="183"/>
      <c r="C198" s="20">
        <v>118011</v>
      </c>
      <c r="D198" s="42">
        <v>7793482000189</v>
      </c>
      <c r="E198" s="12" t="s">
        <v>123</v>
      </c>
      <c r="F198" s="13">
        <v>15</v>
      </c>
      <c r="G198" s="1">
        <v>53.84</v>
      </c>
      <c r="H198" s="18"/>
      <c r="I198" s="1">
        <f t="shared" si="50"/>
        <v>0</v>
      </c>
      <c r="K198" s="3">
        <f t="shared" si="51"/>
        <v>76.914285714285725</v>
      </c>
      <c r="M198" s="11">
        <f t="shared" si="52"/>
        <v>0.30000000000000004</v>
      </c>
      <c r="N198" s="3">
        <f t="shared" si="120"/>
        <v>76.914285714285725</v>
      </c>
      <c r="P198" s="3">
        <f t="shared" si="53"/>
        <v>76.914285714285725</v>
      </c>
      <c r="R198" s="11">
        <f t="shared" si="54"/>
        <v>0.30000000000000004</v>
      </c>
      <c r="S198" s="3">
        <f>$G198/0.7</f>
        <v>76.914285714285725</v>
      </c>
      <c r="T198" s="70"/>
      <c r="U198" s="81">
        <f t="shared" si="118"/>
        <v>73.753424657534254</v>
      </c>
      <c r="W198" s="11">
        <f t="shared" si="55"/>
        <v>0.27</v>
      </c>
      <c r="X198" s="81">
        <f t="shared" si="119"/>
        <v>73.753424657534254</v>
      </c>
      <c r="Y198" s="70"/>
      <c r="Z198" s="3">
        <f t="shared" si="56"/>
        <v>84.605714285714299</v>
      </c>
      <c r="AA198" s="3">
        <f t="shared" si="57"/>
        <v>102.3729142857143</v>
      </c>
      <c r="AC198" s="11">
        <f t="shared" si="58"/>
        <v>0.36363636363636365</v>
      </c>
      <c r="AD198" s="3">
        <f t="shared" si="113"/>
        <v>84.605714285714299</v>
      </c>
      <c r="AE198" s="35"/>
    </row>
    <row r="199" spans="1:31" s="10" customFormat="1" ht="15.75" customHeight="1" x14ac:dyDescent="0.2">
      <c r="A199" s="207"/>
      <c r="B199" s="183"/>
      <c r="C199" s="20">
        <v>118012</v>
      </c>
      <c r="D199" s="42">
        <v>7793482000196</v>
      </c>
      <c r="E199" s="12" t="s">
        <v>124</v>
      </c>
      <c r="F199" s="13">
        <v>15</v>
      </c>
      <c r="G199" s="1">
        <f>G197</f>
        <v>49.28</v>
      </c>
      <c r="H199" s="18"/>
      <c r="I199" s="1">
        <f t="shared" si="50"/>
        <v>0</v>
      </c>
      <c r="K199" s="3">
        <f t="shared" si="51"/>
        <v>70.400000000000006</v>
      </c>
      <c r="M199" s="11">
        <f t="shared" si="52"/>
        <v>0.30000000000000004</v>
      </c>
      <c r="N199" s="3">
        <f t="shared" si="120"/>
        <v>70.400000000000006</v>
      </c>
      <c r="P199" s="3">
        <f t="shared" si="53"/>
        <v>75.815384615384616</v>
      </c>
      <c r="R199" s="11">
        <f t="shared" si="54"/>
        <v>0.35</v>
      </c>
      <c r="S199" s="3">
        <f>S197</f>
        <v>75.815384615384616</v>
      </c>
      <c r="T199" s="70"/>
      <c r="U199" s="81">
        <f t="shared" si="118"/>
        <v>67.506849315068493</v>
      </c>
      <c r="W199" s="11">
        <f t="shared" si="55"/>
        <v>0.27</v>
      </c>
      <c r="X199" s="81">
        <f t="shared" si="119"/>
        <v>67.506849315068493</v>
      </c>
      <c r="Y199" s="70"/>
      <c r="Z199" s="3">
        <f t="shared" si="56"/>
        <v>77.440000000000012</v>
      </c>
      <c r="AA199" s="3">
        <f t="shared" si="57"/>
        <v>93.702400000000011</v>
      </c>
      <c r="AC199" s="11">
        <f t="shared" si="58"/>
        <v>0.36363636363636376</v>
      </c>
      <c r="AD199" s="3">
        <f t="shared" si="113"/>
        <v>77.440000000000012</v>
      </c>
      <c r="AE199" s="35"/>
    </row>
    <row r="200" spans="1:31" s="10" customFormat="1" ht="15.75" customHeight="1" x14ac:dyDescent="0.2">
      <c r="A200" s="207"/>
      <c r="B200" s="183"/>
      <c r="C200" s="20">
        <v>118013</v>
      </c>
      <c r="D200" s="42">
        <v>7793482000264</v>
      </c>
      <c r="E200" s="12" t="s">
        <v>125</v>
      </c>
      <c r="F200" s="13">
        <v>15</v>
      </c>
      <c r="G200" s="1">
        <f>G196</f>
        <v>45.36</v>
      </c>
      <c r="H200" s="18"/>
      <c r="I200" s="1">
        <f t="shared" si="50"/>
        <v>0</v>
      </c>
      <c r="K200" s="3">
        <f t="shared" si="51"/>
        <v>64.8</v>
      </c>
      <c r="M200" s="11">
        <f t="shared" si="52"/>
        <v>0.29999999999999993</v>
      </c>
      <c r="N200" s="3">
        <f t="shared" si="120"/>
        <v>64.8</v>
      </c>
      <c r="P200" s="3">
        <f t="shared" si="53"/>
        <v>69.784615384615378</v>
      </c>
      <c r="R200" s="11">
        <f t="shared" si="54"/>
        <v>0.35</v>
      </c>
      <c r="S200" s="3">
        <f>$G200/0.65</f>
        <v>69.784615384615378</v>
      </c>
      <c r="T200" s="70"/>
      <c r="U200" s="81">
        <f t="shared" si="118"/>
        <v>62.136986301369866</v>
      </c>
      <c r="W200" s="11">
        <f t="shared" si="55"/>
        <v>0.27</v>
      </c>
      <c r="X200" s="81">
        <f t="shared" si="119"/>
        <v>62.136986301369866</v>
      </c>
      <c r="Y200" s="70"/>
      <c r="Z200" s="3">
        <f t="shared" si="56"/>
        <v>71.28</v>
      </c>
      <c r="AA200" s="3">
        <f t="shared" si="57"/>
        <v>86.248800000000003</v>
      </c>
      <c r="AC200" s="11">
        <f t="shared" si="58"/>
        <v>0.36363636363636365</v>
      </c>
      <c r="AD200" s="3">
        <f t="shared" si="113"/>
        <v>71.28</v>
      </c>
      <c r="AE200" s="35"/>
    </row>
    <row r="201" spans="1:31" s="10" customFormat="1" ht="15.75" customHeight="1" x14ac:dyDescent="0.2">
      <c r="A201" s="207"/>
      <c r="B201" s="183"/>
      <c r="C201" s="20">
        <v>118014</v>
      </c>
      <c r="D201" s="42">
        <v>7793482000240</v>
      </c>
      <c r="E201" s="12" t="s">
        <v>126</v>
      </c>
      <c r="F201" s="13">
        <v>15</v>
      </c>
      <c r="G201" s="1">
        <f>G200</f>
        <v>45.36</v>
      </c>
      <c r="H201" s="18"/>
      <c r="I201" s="1">
        <f t="shared" si="50"/>
        <v>0</v>
      </c>
      <c r="K201" s="3">
        <f t="shared" si="51"/>
        <v>64.8</v>
      </c>
      <c r="M201" s="11">
        <f t="shared" si="52"/>
        <v>0.29999999999999993</v>
      </c>
      <c r="N201" s="3">
        <f t="shared" si="120"/>
        <v>64.8</v>
      </c>
      <c r="P201" s="3">
        <f t="shared" si="53"/>
        <v>69.784615384615378</v>
      </c>
      <c r="R201" s="11">
        <f t="shared" si="54"/>
        <v>0.35</v>
      </c>
      <c r="S201" s="3">
        <f>$G201/0.65</f>
        <v>69.784615384615378</v>
      </c>
      <c r="T201" s="70"/>
      <c r="U201" s="81">
        <f t="shared" si="118"/>
        <v>62.136986301369866</v>
      </c>
      <c r="W201" s="11">
        <f t="shared" si="55"/>
        <v>0.27</v>
      </c>
      <c r="X201" s="81">
        <f t="shared" si="119"/>
        <v>62.136986301369866</v>
      </c>
      <c r="Y201" s="70"/>
      <c r="Z201" s="3">
        <f t="shared" si="56"/>
        <v>71.28</v>
      </c>
      <c r="AA201" s="3">
        <f t="shared" si="57"/>
        <v>86.248800000000003</v>
      </c>
      <c r="AC201" s="11">
        <f t="shared" si="58"/>
        <v>0.36363636363636365</v>
      </c>
      <c r="AD201" s="3">
        <f t="shared" si="113"/>
        <v>71.28</v>
      </c>
      <c r="AE201" s="35"/>
    </row>
    <row r="202" spans="1:31" s="88" customFormat="1" ht="15.75" hidden="1" customHeight="1" x14ac:dyDescent="0.2">
      <c r="A202" s="207"/>
      <c r="B202" s="188" t="s">
        <v>200</v>
      </c>
      <c r="C202" s="74">
        <v>118015</v>
      </c>
      <c r="D202" s="96" t="s">
        <v>268</v>
      </c>
      <c r="E202" s="76" t="s">
        <v>316</v>
      </c>
      <c r="F202" s="77">
        <v>12</v>
      </c>
      <c r="G202" s="78">
        <f>59.85*0.75</f>
        <v>44.887500000000003</v>
      </c>
      <c r="H202" s="91"/>
      <c r="I202" s="1">
        <f t="shared" si="50"/>
        <v>0</v>
      </c>
      <c r="K202" s="81">
        <f t="shared" si="51"/>
        <v>64.125000000000014</v>
      </c>
      <c r="M202" s="83">
        <f t="shared" si="52"/>
        <v>0.30000000000000016</v>
      </c>
      <c r="N202" s="81">
        <f t="shared" si="120"/>
        <v>64.125000000000014</v>
      </c>
      <c r="P202" s="81">
        <f t="shared" si="53"/>
        <v>64.125000000000014</v>
      </c>
      <c r="R202" s="83">
        <f t="shared" si="54"/>
        <v>0.30000000000000016</v>
      </c>
      <c r="S202" s="81">
        <f t="shared" ref="S202:S207" si="121">$G202/0.7</f>
        <v>64.125000000000014</v>
      </c>
      <c r="T202" s="85"/>
      <c r="U202" s="81">
        <f t="shared" si="118"/>
        <v>61.489726027397268</v>
      </c>
      <c r="W202" s="11">
        <f t="shared" si="55"/>
        <v>0.27</v>
      </c>
      <c r="X202" s="81">
        <f t="shared" si="119"/>
        <v>61.489726027397268</v>
      </c>
      <c r="Y202" s="85"/>
      <c r="Z202" s="81">
        <f t="shared" si="56"/>
        <v>70.537500000000023</v>
      </c>
      <c r="AA202" s="3">
        <f t="shared" si="57"/>
        <v>85.350375000000028</v>
      </c>
      <c r="AC202" s="11">
        <f t="shared" si="58"/>
        <v>0.36363636363636376</v>
      </c>
      <c r="AD202" s="81">
        <f t="shared" si="113"/>
        <v>70.537500000000023</v>
      </c>
      <c r="AE202" s="86"/>
    </row>
    <row r="203" spans="1:31" s="88" customFormat="1" ht="15.75" hidden="1" customHeight="1" x14ac:dyDescent="0.2">
      <c r="A203" s="207"/>
      <c r="B203" s="188"/>
      <c r="C203" s="74">
        <v>118016</v>
      </c>
      <c r="D203" s="96" t="s">
        <v>269</v>
      </c>
      <c r="E203" s="76" t="s">
        <v>201</v>
      </c>
      <c r="F203" s="77">
        <v>12</v>
      </c>
      <c r="G203" s="78">
        <f>G202</f>
        <v>44.887500000000003</v>
      </c>
      <c r="H203" s="91"/>
      <c r="I203" s="1">
        <f t="shared" si="50"/>
        <v>0</v>
      </c>
      <c r="K203" s="81">
        <f t="shared" si="51"/>
        <v>64.125000000000014</v>
      </c>
      <c r="M203" s="83">
        <f t="shared" si="52"/>
        <v>0.30000000000000016</v>
      </c>
      <c r="N203" s="81">
        <f t="shared" si="120"/>
        <v>64.125000000000014</v>
      </c>
      <c r="P203" s="81">
        <f t="shared" si="53"/>
        <v>64.125000000000014</v>
      </c>
      <c r="R203" s="83">
        <f t="shared" si="54"/>
        <v>0.30000000000000016</v>
      </c>
      <c r="S203" s="81">
        <f t="shared" si="121"/>
        <v>64.125000000000014</v>
      </c>
      <c r="T203" s="85"/>
      <c r="U203" s="81">
        <f t="shared" si="118"/>
        <v>61.489726027397268</v>
      </c>
      <c r="W203" s="11">
        <f t="shared" si="55"/>
        <v>0.27</v>
      </c>
      <c r="X203" s="81">
        <f t="shared" si="119"/>
        <v>61.489726027397268</v>
      </c>
      <c r="Y203" s="85"/>
      <c r="Z203" s="81">
        <f t="shared" si="56"/>
        <v>70.537500000000023</v>
      </c>
      <c r="AA203" s="3">
        <f t="shared" si="57"/>
        <v>85.350375000000028</v>
      </c>
      <c r="AC203" s="11">
        <f t="shared" si="58"/>
        <v>0.36363636363636376</v>
      </c>
      <c r="AD203" s="81">
        <f t="shared" si="113"/>
        <v>70.537500000000023</v>
      </c>
      <c r="AE203" s="86"/>
    </row>
    <row r="204" spans="1:31" s="88" customFormat="1" ht="15.75" hidden="1" customHeight="1" x14ac:dyDescent="0.2">
      <c r="A204" s="207"/>
      <c r="B204" s="188"/>
      <c r="C204" s="74">
        <v>118017</v>
      </c>
      <c r="D204" s="96" t="s">
        <v>270</v>
      </c>
      <c r="E204" s="76" t="s">
        <v>202</v>
      </c>
      <c r="F204" s="77">
        <v>12</v>
      </c>
      <c r="G204" s="78">
        <f>G202</f>
        <v>44.887500000000003</v>
      </c>
      <c r="H204" s="91"/>
      <c r="I204" s="1">
        <f t="shared" si="50"/>
        <v>0</v>
      </c>
      <c r="K204" s="81">
        <f t="shared" si="51"/>
        <v>64.125000000000014</v>
      </c>
      <c r="M204" s="83">
        <f t="shared" si="52"/>
        <v>0.30000000000000016</v>
      </c>
      <c r="N204" s="81">
        <f t="shared" si="120"/>
        <v>64.125000000000014</v>
      </c>
      <c r="P204" s="81">
        <f t="shared" si="53"/>
        <v>64.125000000000014</v>
      </c>
      <c r="R204" s="83">
        <f t="shared" si="54"/>
        <v>0.30000000000000016</v>
      </c>
      <c r="S204" s="81">
        <f t="shared" si="121"/>
        <v>64.125000000000014</v>
      </c>
      <c r="T204" s="85"/>
      <c r="U204" s="81">
        <f t="shared" si="118"/>
        <v>61.489726027397268</v>
      </c>
      <c r="W204" s="11">
        <f t="shared" si="55"/>
        <v>0.27</v>
      </c>
      <c r="X204" s="81">
        <f t="shared" si="119"/>
        <v>61.489726027397268</v>
      </c>
      <c r="Y204" s="85"/>
      <c r="Z204" s="81">
        <f t="shared" si="56"/>
        <v>70.537500000000023</v>
      </c>
      <c r="AA204" s="3">
        <f t="shared" si="57"/>
        <v>85.350375000000028</v>
      </c>
      <c r="AC204" s="11">
        <f t="shared" si="58"/>
        <v>0.36363636363636376</v>
      </c>
      <c r="AD204" s="81">
        <f t="shared" si="113"/>
        <v>70.537500000000023</v>
      </c>
      <c r="AE204" s="86"/>
    </row>
    <row r="205" spans="1:31" s="88" customFormat="1" ht="15.75" hidden="1" customHeight="1" x14ac:dyDescent="0.2">
      <c r="A205" s="207"/>
      <c r="B205" s="188"/>
      <c r="C205" s="74">
        <v>118018</v>
      </c>
      <c r="D205" s="96" t="s">
        <v>271</v>
      </c>
      <c r="E205" s="76" t="s">
        <v>203</v>
      </c>
      <c r="F205" s="77">
        <v>12</v>
      </c>
      <c r="G205" s="78">
        <f>62.7*0.75</f>
        <v>47.025000000000006</v>
      </c>
      <c r="H205" s="91"/>
      <c r="I205" s="1">
        <f t="shared" si="50"/>
        <v>0</v>
      </c>
      <c r="K205" s="81">
        <f t="shared" si="51"/>
        <v>67.178571428571445</v>
      </c>
      <c r="M205" s="83">
        <f t="shared" si="52"/>
        <v>0.30000000000000004</v>
      </c>
      <c r="N205" s="81">
        <f t="shared" si="120"/>
        <v>67.178571428571445</v>
      </c>
      <c r="P205" s="81">
        <f t="shared" si="53"/>
        <v>67.178571428571445</v>
      </c>
      <c r="R205" s="83">
        <f t="shared" si="54"/>
        <v>0.30000000000000004</v>
      </c>
      <c r="S205" s="81">
        <f t="shared" si="121"/>
        <v>67.178571428571445</v>
      </c>
      <c r="T205" s="85"/>
      <c r="U205" s="81">
        <f t="shared" si="118"/>
        <v>64.417808219178085</v>
      </c>
      <c r="W205" s="11">
        <f t="shared" si="55"/>
        <v>0.26999999999999991</v>
      </c>
      <c r="X205" s="81">
        <f t="shared" si="119"/>
        <v>64.417808219178085</v>
      </c>
      <c r="Y205" s="85"/>
      <c r="Z205" s="81">
        <f t="shared" si="56"/>
        <v>73.896428571428601</v>
      </c>
      <c r="AA205" s="3">
        <f t="shared" si="57"/>
        <v>89.41467857142861</v>
      </c>
      <c r="AC205" s="11">
        <f t="shared" si="58"/>
        <v>0.36363636363636376</v>
      </c>
      <c r="AD205" s="81">
        <f t="shared" si="113"/>
        <v>73.896428571428601</v>
      </c>
      <c r="AE205" s="86"/>
    </row>
    <row r="206" spans="1:31" s="88" customFormat="1" ht="15.75" hidden="1" customHeight="1" x14ac:dyDescent="0.2">
      <c r="A206" s="207"/>
      <c r="B206" s="188"/>
      <c r="C206" s="74">
        <v>118019</v>
      </c>
      <c r="D206" s="96" t="s">
        <v>272</v>
      </c>
      <c r="E206" s="76" t="s">
        <v>204</v>
      </c>
      <c r="F206" s="77">
        <v>12</v>
      </c>
      <c r="G206" s="78">
        <f>G205</f>
        <v>47.025000000000006</v>
      </c>
      <c r="H206" s="91"/>
      <c r="I206" s="1">
        <f t="shared" si="50"/>
        <v>0</v>
      </c>
      <c r="K206" s="81">
        <f t="shared" si="51"/>
        <v>67.178571428571445</v>
      </c>
      <c r="M206" s="83">
        <f t="shared" si="52"/>
        <v>0.30000000000000004</v>
      </c>
      <c r="N206" s="81">
        <f t="shared" si="120"/>
        <v>67.178571428571445</v>
      </c>
      <c r="P206" s="81">
        <f t="shared" si="53"/>
        <v>67.178571428571445</v>
      </c>
      <c r="R206" s="83">
        <f t="shared" si="54"/>
        <v>0.30000000000000004</v>
      </c>
      <c r="S206" s="81">
        <f t="shared" si="121"/>
        <v>67.178571428571445</v>
      </c>
      <c r="T206" s="85"/>
      <c r="U206" s="81">
        <f t="shared" si="118"/>
        <v>64.417808219178085</v>
      </c>
      <c r="W206" s="11">
        <f t="shared" si="55"/>
        <v>0.26999999999999991</v>
      </c>
      <c r="X206" s="81">
        <f t="shared" si="119"/>
        <v>64.417808219178085</v>
      </c>
      <c r="Y206" s="85"/>
      <c r="Z206" s="81">
        <f t="shared" si="56"/>
        <v>73.896428571428601</v>
      </c>
      <c r="AA206" s="3">
        <f t="shared" si="57"/>
        <v>89.41467857142861</v>
      </c>
      <c r="AC206" s="11">
        <f t="shared" si="58"/>
        <v>0.36363636363636376</v>
      </c>
      <c r="AD206" s="81">
        <f t="shared" si="113"/>
        <v>73.896428571428601</v>
      </c>
      <c r="AE206" s="86"/>
    </row>
    <row r="207" spans="1:31" s="88" customFormat="1" ht="15.75" hidden="1" customHeight="1" x14ac:dyDescent="0.2">
      <c r="A207" s="207"/>
      <c r="B207" s="188"/>
      <c r="C207" s="74">
        <v>118020</v>
      </c>
      <c r="D207" s="96" t="s">
        <v>273</v>
      </c>
      <c r="E207" s="76" t="s">
        <v>205</v>
      </c>
      <c r="F207" s="77">
        <v>12</v>
      </c>
      <c r="G207" s="78">
        <f>G202</f>
        <v>44.887500000000003</v>
      </c>
      <c r="H207" s="91"/>
      <c r="I207" s="1">
        <f t="shared" si="50"/>
        <v>0</v>
      </c>
      <c r="K207" s="81">
        <f t="shared" si="51"/>
        <v>64.125000000000014</v>
      </c>
      <c r="M207" s="83">
        <f t="shared" si="52"/>
        <v>0.30000000000000016</v>
      </c>
      <c r="N207" s="81">
        <f t="shared" si="120"/>
        <v>64.125000000000014</v>
      </c>
      <c r="P207" s="81">
        <f t="shared" si="53"/>
        <v>64.125000000000014</v>
      </c>
      <c r="R207" s="83">
        <f t="shared" si="54"/>
        <v>0.30000000000000016</v>
      </c>
      <c r="S207" s="81">
        <f t="shared" si="121"/>
        <v>64.125000000000014</v>
      </c>
      <c r="T207" s="85"/>
      <c r="U207" s="81">
        <f t="shared" si="118"/>
        <v>61.489726027397268</v>
      </c>
      <c r="W207" s="11">
        <f t="shared" si="55"/>
        <v>0.27</v>
      </c>
      <c r="X207" s="81">
        <f t="shared" si="119"/>
        <v>61.489726027397268</v>
      </c>
      <c r="Y207" s="85"/>
      <c r="Z207" s="81">
        <f t="shared" si="56"/>
        <v>70.537500000000023</v>
      </c>
      <c r="AA207" s="3">
        <f t="shared" si="57"/>
        <v>85.350375000000028</v>
      </c>
      <c r="AC207" s="11">
        <f t="shared" si="58"/>
        <v>0.36363636363636376</v>
      </c>
      <c r="AD207" s="81">
        <f t="shared" si="113"/>
        <v>70.537500000000023</v>
      </c>
      <c r="AE207" s="86"/>
    </row>
    <row r="208" spans="1:31" s="10" customFormat="1" ht="15.75" customHeight="1" x14ac:dyDescent="0.2">
      <c r="A208" s="207"/>
      <c r="B208" s="183" t="s">
        <v>127</v>
      </c>
      <c r="C208" s="20">
        <v>118021</v>
      </c>
      <c r="D208" s="42">
        <v>7793482000486</v>
      </c>
      <c r="E208" s="2" t="s">
        <v>317</v>
      </c>
      <c r="F208" s="13">
        <v>12</v>
      </c>
      <c r="G208" s="1">
        <v>74.63</v>
      </c>
      <c r="H208" s="18"/>
      <c r="I208" s="1">
        <f t="shared" si="50"/>
        <v>0</v>
      </c>
      <c r="K208" s="3">
        <f t="shared" si="51"/>
        <v>109.74999999999999</v>
      </c>
      <c r="M208" s="11">
        <f t="shared" si="52"/>
        <v>0.31999999999999995</v>
      </c>
      <c r="N208" s="3">
        <f>$G208/0.68</f>
        <v>109.74999999999999</v>
      </c>
      <c r="O208" s="73">
        <v>0.3</v>
      </c>
      <c r="P208" s="3">
        <f t="shared" si="53"/>
        <v>106.61428571428571</v>
      </c>
      <c r="R208" s="11">
        <f t="shared" si="54"/>
        <v>0.30000000000000004</v>
      </c>
      <c r="S208" s="3">
        <f t="shared" ref="S208:S213" si="122">$G208/0.7</f>
        <v>106.61428571428571</v>
      </c>
      <c r="T208" s="70">
        <v>0.3</v>
      </c>
      <c r="U208" s="81">
        <f t="shared" si="118"/>
        <v>106.61428571428571</v>
      </c>
      <c r="W208" s="11">
        <f t="shared" si="55"/>
        <v>0.30000000000000004</v>
      </c>
      <c r="X208" s="81">
        <f t="shared" ref="X208:X222" si="123">$G208/0.7</f>
        <v>106.61428571428571</v>
      </c>
      <c r="Y208" s="70"/>
      <c r="Z208" s="3">
        <f t="shared" si="56"/>
        <v>120.72499999999999</v>
      </c>
      <c r="AA208" s="3">
        <f t="shared" si="57"/>
        <v>146.07724999999999</v>
      </c>
      <c r="AC208" s="11">
        <f t="shared" si="58"/>
        <v>0.38181818181818183</v>
      </c>
      <c r="AD208" s="3">
        <f t="shared" si="113"/>
        <v>120.72499999999999</v>
      </c>
      <c r="AE208" s="35"/>
    </row>
    <row r="209" spans="1:31" s="10" customFormat="1" ht="15.75" customHeight="1" x14ac:dyDescent="0.2">
      <c r="A209" s="207"/>
      <c r="B209" s="183"/>
      <c r="C209" s="20">
        <v>118022</v>
      </c>
      <c r="D209" s="42">
        <v>7793482000042</v>
      </c>
      <c r="E209" s="12" t="s">
        <v>128</v>
      </c>
      <c r="F209" s="13">
        <v>12</v>
      </c>
      <c r="G209" s="1">
        <f>G208</f>
        <v>74.63</v>
      </c>
      <c r="H209" s="18"/>
      <c r="I209" s="1">
        <f t="shared" si="50"/>
        <v>0</v>
      </c>
      <c r="K209" s="3">
        <f t="shared" si="51"/>
        <v>109.74999999999999</v>
      </c>
      <c r="M209" s="11">
        <f t="shared" si="52"/>
        <v>0.31999999999999995</v>
      </c>
      <c r="N209" s="3">
        <f>$G209/0.68</f>
        <v>109.74999999999999</v>
      </c>
      <c r="P209" s="3">
        <f t="shared" si="53"/>
        <v>106.61428571428571</v>
      </c>
      <c r="R209" s="11">
        <f t="shared" si="54"/>
        <v>0.30000000000000004</v>
      </c>
      <c r="S209" s="3">
        <f t="shared" si="122"/>
        <v>106.61428571428571</v>
      </c>
      <c r="T209" s="70">
        <v>0.3</v>
      </c>
      <c r="U209" s="81">
        <f t="shared" si="118"/>
        <v>106.61428571428571</v>
      </c>
      <c r="W209" s="11">
        <f t="shared" si="55"/>
        <v>0.30000000000000004</v>
      </c>
      <c r="X209" s="81">
        <f t="shared" si="123"/>
        <v>106.61428571428571</v>
      </c>
      <c r="Y209" s="70"/>
      <c r="Z209" s="3">
        <f t="shared" si="56"/>
        <v>120.72499999999999</v>
      </c>
      <c r="AA209" s="3">
        <f t="shared" si="57"/>
        <v>146.07724999999999</v>
      </c>
      <c r="AC209" s="11">
        <f t="shared" si="58"/>
        <v>0.38181818181818183</v>
      </c>
      <c r="AD209" s="3">
        <f t="shared" si="113"/>
        <v>120.72499999999999</v>
      </c>
      <c r="AE209" s="35"/>
    </row>
    <row r="210" spans="1:31" s="10" customFormat="1" ht="15.75" customHeight="1" x14ac:dyDescent="0.2">
      <c r="A210" s="207"/>
      <c r="B210" s="183"/>
      <c r="C210" s="20">
        <v>118023</v>
      </c>
      <c r="D210" s="42">
        <v>7793482300074</v>
      </c>
      <c r="E210" s="12" t="s">
        <v>129</v>
      </c>
      <c r="F210" s="13">
        <v>12</v>
      </c>
      <c r="G210" s="1">
        <f>G208</f>
        <v>74.63</v>
      </c>
      <c r="H210" s="18"/>
      <c r="I210" s="1">
        <f t="shared" si="50"/>
        <v>0</v>
      </c>
      <c r="K210" s="3">
        <f t="shared" si="51"/>
        <v>109.74999999999999</v>
      </c>
      <c r="M210" s="11">
        <f t="shared" si="52"/>
        <v>0.31999999999999995</v>
      </c>
      <c r="N210" s="3">
        <f>$G210/0.68</f>
        <v>109.74999999999999</v>
      </c>
      <c r="P210" s="3">
        <f t="shared" si="53"/>
        <v>106.61428571428571</v>
      </c>
      <c r="R210" s="11">
        <f t="shared" si="54"/>
        <v>0.30000000000000004</v>
      </c>
      <c r="S210" s="3">
        <f t="shared" si="122"/>
        <v>106.61428571428571</v>
      </c>
      <c r="T210" s="70">
        <v>0.3</v>
      </c>
      <c r="U210" s="81">
        <f t="shared" si="118"/>
        <v>106.61428571428571</v>
      </c>
      <c r="W210" s="11">
        <f t="shared" si="55"/>
        <v>0.30000000000000004</v>
      </c>
      <c r="X210" s="81">
        <f t="shared" si="123"/>
        <v>106.61428571428571</v>
      </c>
      <c r="Y210" s="70"/>
      <c r="Z210" s="3">
        <f t="shared" si="56"/>
        <v>120.72499999999999</v>
      </c>
      <c r="AA210" s="3">
        <f t="shared" si="57"/>
        <v>146.07724999999999</v>
      </c>
      <c r="AC210" s="11">
        <f t="shared" si="58"/>
        <v>0.38181818181818183</v>
      </c>
      <c r="AD210" s="3">
        <f t="shared" si="113"/>
        <v>120.72499999999999</v>
      </c>
      <c r="AE210" s="35"/>
    </row>
    <row r="211" spans="1:31" s="10" customFormat="1" ht="15.75" customHeight="1" x14ac:dyDescent="0.2">
      <c r="A211" s="207"/>
      <c r="B211" s="183"/>
      <c r="C211" s="20">
        <v>118024</v>
      </c>
      <c r="D211" s="42">
        <v>7793482000011</v>
      </c>
      <c r="E211" s="12" t="s">
        <v>130</v>
      </c>
      <c r="F211" s="13">
        <v>12</v>
      </c>
      <c r="G211" s="1">
        <v>82.7</v>
      </c>
      <c r="H211" s="18"/>
      <c r="I211" s="1">
        <f t="shared" si="50"/>
        <v>0</v>
      </c>
      <c r="K211" s="3">
        <f t="shared" si="51"/>
        <v>118.14285714285715</v>
      </c>
      <c r="M211" s="11">
        <f t="shared" si="52"/>
        <v>0.30000000000000004</v>
      </c>
      <c r="N211" s="3">
        <f t="shared" si="120"/>
        <v>118.14285714285715</v>
      </c>
      <c r="P211" s="3">
        <f t="shared" si="53"/>
        <v>118.14285714285715</v>
      </c>
      <c r="R211" s="11">
        <f t="shared" si="54"/>
        <v>0.30000000000000004</v>
      </c>
      <c r="S211" s="3">
        <f t="shared" si="122"/>
        <v>118.14285714285715</v>
      </c>
      <c r="T211" s="70">
        <v>0.3</v>
      </c>
      <c r="U211" s="81">
        <f t="shared" si="118"/>
        <v>118.14285714285715</v>
      </c>
      <c r="W211" s="11">
        <f t="shared" si="55"/>
        <v>0.30000000000000004</v>
      </c>
      <c r="X211" s="81">
        <f t="shared" si="123"/>
        <v>118.14285714285715</v>
      </c>
      <c r="Y211" s="70"/>
      <c r="Z211" s="3">
        <f t="shared" si="56"/>
        <v>129.95714285714288</v>
      </c>
      <c r="AA211" s="3">
        <f t="shared" si="57"/>
        <v>157.24814285714288</v>
      </c>
      <c r="AC211" s="11">
        <f t="shared" si="58"/>
        <v>0.36363636363636376</v>
      </c>
      <c r="AD211" s="3">
        <f t="shared" si="113"/>
        <v>129.95714285714288</v>
      </c>
      <c r="AE211" s="35"/>
    </row>
    <row r="212" spans="1:31" s="10" customFormat="1" ht="15.75" customHeight="1" x14ac:dyDescent="0.2">
      <c r="A212" s="207"/>
      <c r="B212" s="183"/>
      <c r="C212" s="20">
        <v>118025</v>
      </c>
      <c r="D212" s="42">
        <v>7793482000028</v>
      </c>
      <c r="E212" s="12" t="s">
        <v>131</v>
      </c>
      <c r="F212" s="13">
        <v>12</v>
      </c>
      <c r="G212" s="1">
        <v>74.63</v>
      </c>
      <c r="H212" s="18"/>
      <c r="I212" s="1">
        <f t="shared" si="50"/>
        <v>0</v>
      </c>
      <c r="K212" s="3">
        <f t="shared" si="51"/>
        <v>106.61428571428571</v>
      </c>
      <c r="M212" s="11">
        <f t="shared" si="52"/>
        <v>0.30000000000000004</v>
      </c>
      <c r="N212" s="3">
        <f t="shared" si="120"/>
        <v>106.61428571428571</v>
      </c>
      <c r="P212" s="3">
        <f t="shared" si="53"/>
        <v>106.61428571428571</v>
      </c>
      <c r="R212" s="11">
        <f t="shared" si="54"/>
        <v>0.30000000000000004</v>
      </c>
      <c r="S212" s="3">
        <f t="shared" si="122"/>
        <v>106.61428571428571</v>
      </c>
      <c r="T212" s="70">
        <v>0.3</v>
      </c>
      <c r="U212" s="81">
        <f t="shared" si="118"/>
        <v>106.61428571428571</v>
      </c>
      <c r="W212" s="11">
        <f t="shared" ref="W212:W276" si="124">1-(G212/U212)</f>
        <v>0.30000000000000004</v>
      </c>
      <c r="X212" s="81">
        <f t="shared" si="123"/>
        <v>106.61428571428571</v>
      </c>
      <c r="Y212" s="70"/>
      <c r="Z212" s="3">
        <f t="shared" si="56"/>
        <v>117.2757142857143</v>
      </c>
      <c r="AA212" s="3">
        <f t="shared" ref="AA212:AA276" si="125">Z212*1.21</f>
        <v>141.9036142857143</v>
      </c>
      <c r="AC212" s="11">
        <f t="shared" ref="AC212:AC276" si="126">1-(G212/Z212)</f>
        <v>0.36363636363636376</v>
      </c>
      <c r="AD212" s="3">
        <f t="shared" si="113"/>
        <v>117.2757142857143</v>
      </c>
      <c r="AE212" s="35"/>
    </row>
    <row r="213" spans="1:31" s="88" customFormat="1" ht="15.75" customHeight="1" x14ac:dyDescent="0.2">
      <c r="A213" s="207"/>
      <c r="B213" s="183"/>
      <c r="C213" s="74">
        <v>118026</v>
      </c>
      <c r="D213" s="96" t="str">
        <f>"7793482000035  "</f>
        <v xml:space="preserve">7793482000035  </v>
      </c>
      <c r="E213" s="82" t="s">
        <v>155</v>
      </c>
      <c r="F213" s="77">
        <v>12</v>
      </c>
      <c r="G213" s="78">
        <v>74.63</v>
      </c>
      <c r="H213" s="91"/>
      <c r="I213" s="78">
        <f t="shared" si="50"/>
        <v>0</v>
      </c>
      <c r="K213" s="81">
        <f t="shared" si="51"/>
        <v>106.61428571428571</v>
      </c>
      <c r="M213" s="83">
        <f t="shared" si="52"/>
        <v>0.30000000000000004</v>
      </c>
      <c r="N213" s="81">
        <f t="shared" si="120"/>
        <v>106.61428571428571</v>
      </c>
      <c r="P213" s="81">
        <f t="shared" si="53"/>
        <v>106.61428571428571</v>
      </c>
      <c r="R213" s="83">
        <f t="shared" si="54"/>
        <v>0.30000000000000004</v>
      </c>
      <c r="S213" s="81">
        <f t="shared" si="122"/>
        <v>106.61428571428571</v>
      </c>
      <c r="T213" s="85">
        <v>0.3</v>
      </c>
      <c r="U213" s="81">
        <f t="shared" si="118"/>
        <v>106.61428571428571</v>
      </c>
      <c r="W213" s="83">
        <f t="shared" si="124"/>
        <v>0.30000000000000004</v>
      </c>
      <c r="X213" s="81">
        <f t="shared" si="123"/>
        <v>106.61428571428571</v>
      </c>
      <c r="Y213" s="85"/>
      <c r="Z213" s="81">
        <f t="shared" si="56"/>
        <v>117.2757142857143</v>
      </c>
      <c r="AA213" s="3">
        <f t="shared" si="125"/>
        <v>141.9036142857143</v>
      </c>
      <c r="AC213" s="83">
        <f t="shared" si="126"/>
        <v>0.36363636363636376</v>
      </c>
      <c r="AD213" s="81">
        <f t="shared" si="113"/>
        <v>117.2757142857143</v>
      </c>
      <c r="AE213" s="86"/>
    </row>
    <row r="214" spans="1:31" s="10" customFormat="1" ht="15.75" customHeight="1" x14ac:dyDescent="0.2">
      <c r="A214" s="207"/>
      <c r="B214" s="183"/>
      <c r="C214" s="20">
        <v>118027</v>
      </c>
      <c r="D214" s="42">
        <v>7793482000097</v>
      </c>
      <c r="E214" s="12" t="s">
        <v>132</v>
      </c>
      <c r="F214" s="13">
        <v>12</v>
      </c>
      <c r="G214" s="1">
        <v>66.680000000000007</v>
      </c>
      <c r="H214" s="18"/>
      <c r="I214" s="1">
        <f t="shared" si="50"/>
        <v>0</v>
      </c>
      <c r="K214" s="3">
        <f t="shared" si="51"/>
        <v>101.03030303030303</v>
      </c>
      <c r="M214" s="11">
        <f t="shared" si="52"/>
        <v>0.33999999999999997</v>
      </c>
      <c r="N214" s="3">
        <f>$G214/0.66</f>
        <v>101.03030303030303</v>
      </c>
      <c r="P214" s="3">
        <f t="shared" si="53"/>
        <v>102.58461538461539</v>
      </c>
      <c r="R214" s="11">
        <f t="shared" si="54"/>
        <v>0.35</v>
      </c>
      <c r="S214" s="3">
        <f>$G214/0.65</f>
        <v>102.58461538461539</v>
      </c>
      <c r="T214" s="70">
        <v>0.35</v>
      </c>
      <c r="U214" s="81">
        <f t="shared" si="118"/>
        <v>95.257142857142867</v>
      </c>
      <c r="W214" s="11">
        <f t="shared" si="124"/>
        <v>0.30000000000000004</v>
      </c>
      <c r="X214" s="81">
        <f t="shared" si="123"/>
        <v>95.257142857142867</v>
      </c>
      <c r="Y214" s="70"/>
      <c r="Z214" s="3">
        <f t="shared" si="56"/>
        <v>111.13333333333334</v>
      </c>
      <c r="AA214" s="3">
        <f t="shared" si="125"/>
        <v>134.47133333333335</v>
      </c>
      <c r="AC214" s="11">
        <f t="shared" si="126"/>
        <v>0.4</v>
      </c>
      <c r="AD214" s="3">
        <f t="shared" si="113"/>
        <v>111.13333333333334</v>
      </c>
      <c r="AE214" s="35"/>
    </row>
    <row r="215" spans="1:31" s="10" customFormat="1" ht="15.75" customHeight="1" x14ac:dyDescent="0.2">
      <c r="A215" s="207"/>
      <c r="B215" s="183"/>
      <c r="C215" s="20">
        <v>118028</v>
      </c>
      <c r="D215" s="42">
        <v>7793482000073</v>
      </c>
      <c r="E215" s="12" t="s">
        <v>133</v>
      </c>
      <c r="F215" s="13">
        <v>12</v>
      </c>
      <c r="G215" s="1">
        <v>74.63</v>
      </c>
      <c r="H215" s="18"/>
      <c r="I215" s="1">
        <f t="shared" ref="I215:I278" si="127">G215*H215</f>
        <v>0</v>
      </c>
      <c r="K215" s="3">
        <f t="shared" ref="K215:K278" si="128">N215</f>
        <v>106.61428571428571</v>
      </c>
      <c r="M215" s="11">
        <f t="shared" ref="M215:M280" si="129">1-(G215/K215)</f>
        <v>0.30000000000000004</v>
      </c>
      <c r="N215" s="3">
        <f>$G215/0.7</f>
        <v>106.61428571428571</v>
      </c>
      <c r="P215" s="3">
        <f t="shared" ref="P215:P278" si="130">S215</f>
        <v>106.61428571428571</v>
      </c>
      <c r="R215" s="11">
        <f t="shared" ref="R215:R278" si="131">1-(G215/P215)</f>
        <v>0.30000000000000004</v>
      </c>
      <c r="S215" s="3">
        <f>$G215/0.7</f>
        <v>106.61428571428571</v>
      </c>
      <c r="T215" s="70">
        <v>0.3</v>
      </c>
      <c r="U215" s="81">
        <f t="shared" si="118"/>
        <v>106.61428571428571</v>
      </c>
      <c r="W215" s="11">
        <f t="shared" si="124"/>
        <v>0.30000000000000004</v>
      </c>
      <c r="X215" s="81">
        <f t="shared" si="123"/>
        <v>106.61428571428571</v>
      </c>
      <c r="Y215" s="70"/>
      <c r="Z215" s="3">
        <f t="shared" ref="Z215:Z278" si="132">AD215</f>
        <v>117.2757142857143</v>
      </c>
      <c r="AA215" s="3">
        <f t="shared" si="125"/>
        <v>141.9036142857143</v>
      </c>
      <c r="AC215" s="11">
        <f t="shared" si="126"/>
        <v>0.36363636363636376</v>
      </c>
      <c r="AD215" s="3">
        <f t="shared" si="113"/>
        <v>117.2757142857143</v>
      </c>
      <c r="AE215" s="35"/>
    </row>
    <row r="216" spans="1:31" s="88" customFormat="1" ht="15.75" customHeight="1" x14ac:dyDescent="0.2">
      <c r="A216" s="207"/>
      <c r="B216" s="183"/>
      <c r="C216" s="74">
        <v>118029</v>
      </c>
      <c r="D216" s="90">
        <v>7793482000080</v>
      </c>
      <c r="E216" s="82" t="s">
        <v>134</v>
      </c>
      <c r="F216" s="77">
        <v>12</v>
      </c>
      <c r="G216" s="78">
        <f>G215</f>
        <v>74.63</v>
      </c>
      <c r="H216" s="91"/>
      <c r="I216" s="78">
        <f t="shared" si="127"/>
        <v>0</v>
      </c>
      <c r="K216" s="81">
        <f t="shared" si="128"/>
        <v>106.61428571428571</v>
      </c>
      <c r="M216" s="83">
        <f t="shared" si="129"/>
        <v>0.30000000000000004</v>
      </c>
      <c r="N216" s="81">
        <f t="shared" si="120"/>
        <v>106.61428571428571</v>
      </c>
      <c r="P216" s="81">
        <f t="shared" si="130"/>
        <v>106.61428571428571</v>
      </c>
      <c r="R216" s="83">
        <f t="shared" si="131"/>
        <v>0.30000000000000004</v>
      </c>
      <c r="S216" s="81">
        <f>$G216/0.7</f>
        <v>106.61428571428571</v>
      </c>
      <c r="T216" s="85"/>
      <c r="U216" s="81">
        <f t="shared" si="118"/>
        <v>106.61428571428571</v>
      </c>
      <c r="W216" s="83">
        <f t="shared" si="124"/>
        <v>0.30000000000000004</v>
      </c>
      <c r="X216" s="81">
        <f t="shared" si="123"/>
        <v>106.61428571428571</v>
      </c>
      <c r="Y216" s="85"/>
      <c r="Z216" s="81">
        <f t="shared" si="132"/>
        <v>117.2757142857143</v>
      </c>
      <c r="AA216" s="3">
        <f t="shared" si="125"/>
        <v>141.9036142857143</v>
      </c>
      <c r="AC216" s="83">
        <f t="shared" si="126"/>
        <v>0.36363636363636376</v>
      </c>
      <c r="AD216" s="81">
        <f t="shared" si="113"/>
        <v>117.2757142857143</v>
      </c>
      <c r="AE216" s="86"/>
    </row>
    <row r="217" spans="1:31" s="10" customFormat="1" ht="15.75" customHeight="1" x14ac:dyDescent="0.2">
      <c r="A217" s="207"/>
      <c r="B217" s="183"/>
      <c r="C217" s="20">
        <v>118035</v>
      </c>
      <c r="D217" s="42"/>
      <c r="E217" s="12" t="s">
        <v>382</v>
      </c>
      <c r="F217" s="13">
        <v>12</v>
      </c>
      <c r="G217" s="1">
        <f>G209</f>
        <v>74.63</v>
      </c>
      <c r="H217" s="18"/>
      <c r="I217" s="1">
        <f t="shared" si="127"/>
        <v>0</v>
      </c>
      <c r="K217" s="3">
        <f t="shared" si="128"/>
        <v>106.61428571428571</v>
      </c>
      <c r="M217" s="11">
        <f t="shared" si="129"/>
        <v>0.30000000000000004</v>
      </c>
      <c r="N217" s="3">
        <f t="shared" si="120"/>
        <v>106.61428571428571</v>
      </c>
      <c r="P217" s="3">
        <f t="shared" si="130"/>
        <v>114.8153846153846</v>
      </c>
      <c r="R217" s="11">
        <f t="shared" si="131"/>
        <v>0.35</v>
      </c>
      <c r="S217" s="3">
        <f>$G217/0.65</f>
        <v>114.8153846153846</v>
      </c>
      <c r="T217" s="70">
        <v>0.35</v>
      </c>
      <c r="U217" s="81">
        <f t="shared" si="118"/>
        <v>106.61428571428571</v>
      </c>
      <c r="W217" s="11">
        <f t="shared" si="124"/>
        <v>0.30000000000000004</v>
      </c>
      <c r="X217" s="81">
        <f t="shared" si="123"/>
        <v>106.61428571428571</v>
      </c>
      <c r="Y217" s="70"/>
      <c r="Z217" s="3">
        <f t="shared" si="132"/>
        <v>117.2757142857143</v>
      </c>
      <c r="AA217" s="3">
        <f t="shared" si="125"/>
        <v>141.9036142857143</v>
      </c>
      <c r="AC217" s="11">
        <f t="shared" si="126"/>
        <v>0.36363636363636376</v>
      </c>
      <c r="AD217" s="3">
        <f t="shared" si="113"/>
        <v>117.2757142857143</v>
      </c>
      <c r="AE217" s="35"/>
    </row>
    <row r="218" spans="1:31" s="88" customFormat="1" ht="15.75" customHeight="1" x14ac:dyDescent="0.2">
      <c r="A218" s="207"/>
      <c r="B218" s="211" t="s">
        <v>135</v>
      </c>
      <c r="C218" s="74">
        <v>118030</v>
      </c>
      <c r="D218" s="90">
        <v>7793482000400</v>
      </c>
      <c r="E218" s="82" t="s">
        <v>318</v>
      </c>
      <c r="F218" s="77">
        <v>12</v>
      </c>
      <c r="G218" s="78">
        <v>112.95</v>
      </c>
      <c r="H218" s="91"/>
      <c r="I218" s="78">
        <f t="shared" si="127"/>
        <v>0</v>
      </c>
      <c r="K218" s="81">
        <f t="shared" si="128"/>
        <v>161.35714285714286</v>
      </c>
      <c r="M218" s="83">
        <f t="shared" si="129"/>
        <v>0.30000000000000004</v>
      </c>
      <c r="N218" s="81">
        <f t="shared" si="120"/>
        <v>161.35714285714286</v>
      </c>
      <c r="P218" s="81">
        <f t="shared" si="130"/>
        <v>161.35714285714286</v>
      </c>
      <c r="R218" s="83">
        <f t="shared" si="131"/>
        <v>0.30000000000000004</v>
      </c>
      <c r="S218" s="81">
        <f>$G218/0.7</f>
        <v>161.35714285714286</v>
      </c>
      <c r="T218" s="85"/>
      <c r="U218" s="81">
        <f t="shared" si="118"/>
        <v>161.35714285714286</v>
      </c>
      <c r="W218" s="83">
        <f t="shared" si="124"/>
        <v>0.30000000000000004</v>
      </c>
      <c r="X218" s="81">
        <f t="shared" si="123"/>
        <v>161.35714285714286</v>
      </c>
      <c r="Y218" s="85"/>
      <c r="Z218" s="81">
        <f t="shared" si="132"/>
        <v>177.49285714285716</v>
      </c>
      <c r="AA218" s="3">
        <f t="shared" si="125"/>
        <v>214.76635714285715</v>
      </c>
      <c r="AC218" s="83">
        <f t="shared" si="126"/>
        <v>0.36363636363636365</v>
      </c>
      <c r="AD218" s="81">
        <f t="shared" si="113"/>
        <v>177.49285714285716</v>
      </c>
      <c r="AE218" s="86"/>
    </row>
    <row r="219" spans="1:31" s="10" customFormat="1" ht="15.75" customHeight="1" x14ac:dyDescent="0.2">
      <c r="A219" s="207"/>
      <c r="B219" s="211"/>
      <c r="C219" s="20">
        <v>118031</v>
      </c>
      <c r="D219" s="42">
        <v>7793482000172</v>
      </c>
      <c r="E219" s="12" t="s">
        <v>136</v>
      </c>
      <c r="F219" s="13">
        <v>12</v>
      </c>
      <c r="G219" s="1">
        <v>130.76</v>
      </c>
      <c r="H219" s="18"/>
      <c r="I219" s="1">
        <f t="shared" si="127"/>
        <v>0</v>
      </c>
      <c r="K219" s="3">
        <f t="shared" si="128"/>
        <v>186.8</v>
      </c>
      <c r="M219" s="11">
        <f t="shared" si="129"/>
        <v>0.30000000000000004</v>
      </c>
      <c r="N219" s="3">
        <f t="shared" si="120"/>
        <v>186.8</v>
      </c>
      <c r="P219" s="3">
        <f t="shared" si="130"/>
        <v>186.8</v>
      </c>
      <c r="R219" s="11">
        <f t="shared" si="131"/>
        <v>0.30000000000000004</v>
      </c>
      <c r="S219" s="3">
        <f>$G219/0.7</f>
        <v>186.8</v>
      </c>
      <c r="T219" s="70"/>
      <c r="U219" s="81">
        <f t="shared" si="118"/>
        <v>186.8</v>
      </c>
      <c r="W219" s="11">
        <f t="shared" si="124"/>
        <v>0.30000000000000004</v>
      </c>
      <c r="X219" s="81">
        <f t="shared" si="123"/>
        <v>186.8</v>
      </c>
      <c r="Y219" s="70"/>
      <c r="Z219" s="3">
        <f t="shared" si="132"/>
        <v>205.48000000000002</v>
      </c>
      <c r="AA219" s="3">
        <f t="shared" si="125"/>
        <v>248.63080000000002</v>
      </c>
      <c r="AC219" s="11">
        <f t="shared" si="126"/>
        <v>0.36363636363636376</v>
      </c>
      <c r="AD219" s="3">
        <f t="shared" si="113"/>
        <v>205.48000000000002</v>
      </c>
      <c r="AE219" s="35"/>
    </row>
    <row r="220" spans="1:31" s="10" customFormat="1" ht="15.75" customHeight="1" x14ac:dyDescent="0.2">
      <c r="A220" s="207"/>
      <c r="B220" s="211"/>
      <c r="C220" s="20">
        <v>118032</v>
      </c>
      <c r="D220" s="42">
        <v>7793482000639</v>
      </c>
      <c r="E220" s="12" t="s">
        <v>156</v>
      </c>
      <c r="F220" s="13">
        <v>12</v>
      </c>
      <c r="G220" s="1">
        <v>112.95</v>
      </c>
      <c r="H220" s="18"/>
      <c r="I220" s="1">
        <f t="shared" si="127"/>
        <v>0</v>
      </c>
      <c r="K220" s="3">
        <f t="shared" si="128"/>
        <v>173.76923076923077</v>
      </c>
      <c r="M220" s="11">
        <f t="shared" si="129"/>
        <v>0.35</v>
      </c>
      <c r="N220" s="3">
        <f>$G220/0.65</f>
        <v>173.76923076923077</v>
      </c>
      <c r="P220" s="3">
        <f t="shared" si="130"/>
        <v>161.35714285714286</v>
      </c>
      <c r="R220" s="11">
        <f t="shared" si="131"/>
        <v>0.30000000000000004</v>
      </c>
      <c r="S220" s="3">
        <f>$G220/0.7</f>
        <v>161.35714285714286</v>
      </c>
      <c r="T220" s="70">
        <v>0.3</v>
      </c>
      <c r="U220" s="81">
        <f t="shared" si="118"/>
        <v>161.35714285714286</v>
      </c>
      <c r="W220" s="11">
        <f t="shared" si="124"/>
        <v>0.30000000000000004</v>
      </c>
      <c r="X220" s="81">
        <f t="shared" si="123"/>
        <v>161.35714285714286</v>
      </c>
      <c r="Y220" s="70"/>
      <c r="Z220" s="3">
        <f t="shared" si="132"/>
        <v>191.14615384615388</v>
      </c>
      <c r="AA220" s="3">
        <f t="shared" si="125"/>
        <v>231.2868461538462</v>
      </c>
      <c r="AC220" s="11">
        <f t="shared" si="126"/>
        <v>0.40909090909090917</v>
      </c>
      <c r="AD220" s="3">
        <f t="shared" si="113"/>
        <v>191.14615384615388</v>
      </c>
      <c r="AE220" s="35"/>
    </row>
    <row r="221" spans="1:31" s="88" customFormat="1" ht="15.75" customHeight="1" x14ac:dyDescent="0.2">
      <c r="A221" s="210"/>
      <c r="B221" s="211"/>
      <c r="C221" s="74">
        <v>118033</v>
      </c>
      <c r="D221" s="90">
        <v>7793482000417</v>
      </c>
      <c r="E221" s="82" t="s">
        <v>137</v>
      </c>
      <c r="F221" s="77">
        <v>12</v>
      </c>
      <c r="G221" s="78">
        <f>G220</f>
        <v>112.95</v>
      </c>
      <c r="H221" s="91"/>
      <c r="I221" s="78">
        <f t="shared" si="127"/>
        <v>0</v>
      </c>
      <c r="K221" s="81">
        <f t="shared" si="128"/>
        <v>161.35714285714286</v>
      </c>
      <c r="M221" s="83">
        <f t="shared" si="129"/>
        <v>0.30000000000000004</v>
      </c>
      <c r="N221" s="81">
        <f t="shared" si="120"/>
        <v>161.35714285714286</v>
      </c>
      <c r="P221" s="81">
        <f t="shared" si="130"/>
        <v>161.35714285714286</v>
      </c>
      <c r="R221" s="83">
        <f t="shared" si="131"/>
        <v>0.30000000000000004</v>
      </c>
      <c r="S221" s="81">
        <f>$G221/0.7</f>
        <v>161.35714285714286</v>
      </c>
      <c r="T221" s="85"/>
      <c r="U221" s="81">
        <f t="shared" si="118"/>
        <v>161.35714285714286</v>
      </c>
      <c r="W221" s="83">
        <f t="shared" si="124"/>
        <v>0.30000000000000004</v>
      </c>
      <c r="X221" s="81">
        <f t="shared" si="123"/>
        <v>161.35714285714286</v>
      </c>
      <c r="Y221" s="85"/>
      <c r="Z221" s="81">
        <f t="shared" si="132"/>
        <v>177.49285714285716</v>
      </c>
      <c r="AA221" s="3">
        <f t="shared" si="125"/>
        <v>214.76635714285715</v>
      </c>
      <c r="AC221" s="83">
        <f t="shared" si="126"/>
        <v>0.36363636363636365</v>
      </c>
      <c r="AD221" s="81">
        <f t="shared" si="113"/>
        <v>177.49285714285716</v>
      </c>
      <c r="AE221" s="86"/>
    </row>
    <row r="222" spans="1:31" s="10" customFormat="1" ht="15.75" customHeight="1" x14ac:dyDescent="0.2">
      <c r="A222" s="206" t="s">
        <v>138</v>
      </c>
      <c r="B222" s="208" t="s">
        <v>139</v>
      </c>
      <c r="C222" s="20">
        <v>119001</v>
      </c>
      <c r="D222" s="42">
        <v>7798165590315</v>
      </c>
      <c r="E222" s="12" t="s">
        <v>303</v>
      </c>
      <c r="F222" s="13">
        <v>10</v>
      </c>
      <c r="G222" s="1">
        <f>65*0.8</f>
        <v>52</v>
      </c>
      <c r="H222" s="18"/>
      <c r="I222" s="1">
        <f t="shared" si="127"/>
        <v>0</v>
      </c>
      <c r="K222" s="3">
        <f t="shared" si="128"/>
        <v>74.285714285714292</v>
      </c>
      <c r="M222" s="11">
        <f t="shared" si="129"/>
        <v>0.30000000000000004</v>
      </c>
      <c r="N222" s="3">
        <f t="shared" si="120"/>
        <v>74.285714285714292</v>
      </c>
      <c r="O222" s="73">
        <v>0.3</v>
      </c>
      <c r="P222" s="3">
        <f t="shared" si="130"/>
        <v>74.285714285714292</v>
      </c>
      <c r="R222" s="11">
        <f t="shared" si="131"/>
        <v>0.30000000000000004</v>
      </c>
      <c r="S222" s="3">
        <f>$G222/0.7</f>
        <v>74.285714285714292</v>
      </c>
      <c r="T222" s="70">
        <v>0.3</v>
      </c>
      <c r="U222" s="3">
        <f t="shared" ref="U222:U232" si="133">P222</f>
        <v>74.285714285714292</v>
      </c>
      <c r="W222" s="11">
        <f t="shared" si="124"/>
        <v>0.30000000000000004</v>
      </c>
      <c r="X222" s="3">
        <f t="shared" si="123"/>
        <v>74.285714285714292</v>
      </c>
      <c r="Y222" s="70"/>
      <c r="Z222" s="3">
        <f t="shared" si="132"/>
        <v>81.714285714285722</v>
      </c>
      <c r="AA222" s="3">
        <f t="shared" si="125"/>
        <v>98.874285714285719</v>
      </c>
      <c r="AC222" s="11">
        <f t="shared" si="126"/>
        <v>0.36363636363636365</v>
      </c>
      <c r="AD222" s="3">
        <f t="shared" si="113"/>
        <v>81.714285714285722</v>
      </c>
      <c r="AE222" s="35"/>
    </row>
    <row r="223" spans="1:31" s="10" customFormat="1" ht="15.75" customHeight="1" x14ac:dyDescent="0.2">
      <c r="A223" s="207"/>
      <c r="B223" s="209"/>
      <c r="C223" s="20">
        <v>119002</v>
      </c>
      <c r="D223" s="42">
        <v>7798165590339</v>
      </c>
      <c r="E223" s="12" t="s">
        <v>387</v>
      </c>
      <c r="F223" s="13">
        <v>12</v>
      </c>
      <c r="G223" s="1">
        <f>57*0.8</f>
        <v>45.6</v>
      </c>
      <c r="H223" s="18"/>
      <c r="I223" s="1">
        <f t="shared" si="127"/>
        <v>0</v>
      </c>
      <c r="K223" s="3">
        <f t="shared" si="128"/>
        <v>65.142857142857153</v>
      </c>
      <c r="M223" s="11">
        <f t="shared" si="129"/>
        <v>0.30000000000000004</v>
      </c>
      <c r="N223" s="3">
        <f t="shared" si="120"/>
        <v>65.142857142857153</v>
      </c>
      <c r="P223" s="3">
        <f t="shared" si="130"/>
        <v>65.142857142857153</v>
      </c>
      <c r="R223" s="11">
        <f t="shared" si="131"/>
        <v>0.30000000000000004</v>
      </c>
      <c r="S223" s="3">
        <f t="shared" ref="S223:S232" si="134">$G223/0.7</f>
        <v>65.142857142857153</v>
      </c>
      <c r="T223" s="70"/>
      <c r="U223" s="3">
        <f t="shared" si="133"/>
        <v>65.142857142857153</v>
      </c>
      <c r="W223" s="11">
        <f t="shared" si="124"/>
        <v>0.30000000000000004</v>
      </c>
      <c r="X223" s="3">
        <f t="shared" ref="X223:X240" si="135">$G223/0.7</f>
        <v>65.142857142857153</v>
      </c>
      <c r="Y223" s="70"/>
      <c r="Z223" s="3">
        <f t="shared" si="132"/>
        <v>71.657142857142873</v>
      </c>
      <c r="AA223" s="3">
        <f t="shared" si="125"/>
        <v>86.705142857142874</v>
      </c>
      <c r="AC223" s="11">
        <f t="shared" si="126"/>
        <v>0.36363636363636376</v>
      </c>
      <c r="AD223" s="3">
        <f t="shared" si="113"/>
        <v>71.657142857142873</v>
      </c>
      <c r="AE223" s="35"/>
    </row>
    <row r="224" spans="1:31" s="10" customFormat="1" ht="15.75" customHeight="1" x14ac:dyDescent="0.2">
      <c r="A224" s="207"/>
      <c r="B224" s="209"/>
      <c r="C224" s="20">
        <v>119003</v>
      </c>
      <c r="D224" s="42"/>
      <c r="E224" s="12" t="s">
        <v>394</v>
      </c>
      <c r="F224" s="13">
        <v>12</v>
      </c>
      <c r="G224" s="1">
        <f>42*0.8</f>
        <v>33.6</v>
      </c>
      <c r="H224" s="18"/>
      <c r="I224" s="1">
        <f t="shared" si="127"/>
        <v>0</v>
      </c>
      <c r="K224" s="3">
        <f t="shared" si="128"/>
        <v>48.000000000000007</v>
      </c>
      <c r="M224" s="11">
        <f t="shared" si="129"/>
        <v>0.30000000000000004</v>
      </c>
      <c r="N224" s="3">
        <f t="shared" si="120"/>
        <v>48.000000000000007</v>
      </c>
      <c r="P224" s="3">
        <f t="shared" si="130"/>
        <v>48.000000000000007</v>
      </c>
      <c r="R224" s="11">
        <f t="shared" si="131"/>
        <v>0.30000000000000004</v>
      </c>
      <c r="S224" s="3">
        <f t="shared" si="134"/>
        <v>48.000000000000007</v>
      </c>
      <c r="T224" s="70"/>
      <c r="U224" s="3">
        <f>P224</f>
        <v>48.000000000000007</v>
      </c>
      <c r="W224" s="11">
        <f t="shared" si="124"/>
        <v>0.30000000000000004</v>
      </c>
      <c r="X224" s="3">
        <f t="shared" si="135"/>
        <v>48.000000000000007</v>
      </c>
      <c r="Y224" s="70"/>
      <c r="Z224" s="3">
        <f t="shared" si="132"/>
        <v>52.800000000000011</v>
      </c>
      <c r="AA224" s="3">
        <f t="shared" si="125"/>
        <v>63.888000000000012</v>
      </c>
      <c r="AC224" s="11">
        <f t="shared" si="126"/>
        <v>0.36363636363636376</v>
      </c>
      <c r="AD224" s="3">
        <f t="shared" si="113"/>
        <v>52.800000000000011</v>
      </c>
      <c r="AE224" s="35"/>
    </row>
    <row r="225" spans="1:31" s="10" customFormat="1" ht="15.75" customHeight="1" x14ac:dyDescent="0.2">
      <c r="A225" s="207"/>
      <c r="B225" s="209"/>
      <c r="C225" s="20">
        <v>108006</v>
      </c>
      <c r="D225" s="42">
        <v>7798165590216</v>
      </c>
      <c r="E225" s="12" t="s">
        <v>140</v>
      </c>
      <c r="F225" s="13">
        <v>6</v>
      </c>
      <c r="G225" s="1">
        <f>136*0.8</f>
        <v>108.80000000000001</v>
      </c>
      <c r="H225" s="18"/>
      <c r="I225" s="1">
        <f t="shared" si="127"/>
        <v>0</v>
      </c>
      <c r="K225" s="3">
        <f t="shared" si="128"/>
        <v>155.42857142857144</v>
      </c>
      <c r="M225" s="11">
        <f t="shared" si="129"/>
        <v>0.30000000000000004</v>
      </c>
      <c r="N225" s="3">
        <f t="shared" si="120"/>
        <v>155.42857142857144</v>
      </c>
      <c r="P225" s="3">
        <f t="shared" si="130"/>
        <v>155.42857142857144</v>
      </c>
      <c r="R225" s="11">
        <f t="shared" si="131"/>
        <v>0.30000000000000004</v>
      </c>
      <c r="S225" s="3">
        <f t="shared" si="134"/>
        <v>155.42857142857144</v>
      </c>
      <c r="T225" s="70"/>
      <c r="U225" s="3">
        <f t="shared" si="133"/>
        <v>155.42857142857144</v>
      </c>
      <c r="W225" s="11">
        <f t="shared" si="124"/>
        <v>0.30000000000000004</v>
      </c>
      <c r="X225" s="3">
        <f t="shared" si="135"/>
        <v>155.42857142857144</v>
      </c>
      <c r="Y225" s="70"/>
      <c r="Z225" s="3">
        <f t="shared" si="132"/>
        <v>170.97142857142859</v>
      </c>
      <c r="AA225" s="3">
        <f t="shared" si="125"/>
        <v>206.87542857142859</v>
      </c>
      <c r="AC225" s="11">
        <f t="shared" si="126"/>
        <v>0.36363636363636365</v>
      </c>
      <c r="AD225" s="3">
        <f t="shared" si="113"/>
        <v>170.97142857142859</v>
      </c>
      <c r="AE225" s="35"/>
    </row>
    <row r="226" spans="1:31" s="10" customFormat="1" ht="15.75" customHeight="1" x14ac:dyDescent="0.2">
      <c r="A226" s="207"/>
      <c r="B226" s="209"/>
      <c r="C226" s="20">
        <v>108007</v>
      </c>
      <c r="D226" s="42">
        <v>7798165590223</v>
      </c>
      <c r="E226" s="12" t="s">
        <v>141</v>
      </c>
      <c r="F226" s="13"/>
      <c r="G226" s="1">
        <f>G225</f>
        <v>108.80000000000001</v>
      </c>
      <c r="H226" s="18"/>
      <c r="I226" s="1">
        <f t="shared" si="127"/>
        <v>0</v>
      </c>
      <c r="K226" s="3">
        <f t="shared" si="128"/>
        <v>155.42857142857144</v>
      </c>
      <c r="M226" s="11">
        <f t="shared" si="129"/>
        <v>0.30000000000000004</v>
      </c>
      <c r="N226" s="3">
        <f t="shared" si="120"/>
        <v>155.42857142857144</v>
      </c>
      <c r="P226" s="3">
        <f t="shared" si="130"/>
        <v>155.42857142857144</v>
      </c>
      <c r="R226" s="11">
        <f t="shared" si="131"/>
        <v>0.30000000000000004</v>
      </c>
      <c r="S226" s="3">
        <f t="shared" si="134"/>
        <v>155.42857142857144</v>
      </c>
      <c r="T226" s="70"/>
      <c r="U226" s="3">
        <f t="shared" si="133"/>
        <v>155.42857142857144</v>
      </c>
      <c r="W226" s="11">
        <f t="shared" si="124"/>
        <v>0.30000000000000004</v>
      </c>
      <c r="X226" s="3">
        <f t="shared" si="135"/>
        <v>155.42857142857144</v>
      </c>
      <c r="Y226" s="70"/>
      <c r="Z226" s="3">
        <f t="shared" si="132"/>
        <v>170.97142857142859</v>
      </c>
      <c r="AA226" s="3">
        <f t="shared" si="125"/>
        <v>206.87542857142859</v>
      </c>
      <c r="AC226" s="11">
        <f t="shared" si="126"/>
        <v>0.36363636363636365</v>
      </c>
      <c r="AD226" s="3">
        <f t="shared" si="113"/>
        <v>170.97142857142859</v>
      </c>
      <c r="AE226" s="35"/>
    </row>
    <row r="227" spans="1:31" s="10" customFormat="1" ht="15.75" customHeight="1" x14ac:dyDescent="0.2">
      <c r="A227" s="207"/>
      <c r="B227" s="209"/>
      <c r="C227" s="20">
        <v>108008</v>
      </c>
      <c r="D227" s="42">
        <v>7798165590193</v>
      </c>
      <c r="E227" s="2" t="s">
        <v>142</v>
      </c>
      <c r="F227" s="13">
        <v>12</v>
      </c>
      <c r="G227" s="1">
        <f>81*0.8</f>
        <v>64.8</v>
      </c>
      <c r="H227" s="18"/>
      <c r="I227" s="1">
        <f t="shared" si="127"/>
        <v>0</v>
      </c>
      <c r="K227" s="3">
        <f t="shared" si="128"/>
        <v>92.571428571428569</v>
      </c>
      <c r="M227" s="11">
        <f t="shared" si="129"/>
        <v>0.30000000000000004</v>
      </c>
      <c r="N227" s="3">
        <f t="shared" si="120"/>
        <v>92.571428571428569</v>
      </c>
      <c r="P227" s="3">
        <f t="shared" si="130"/>
        <v>92.571428571428569</v>
      </c>
      <c r="R227" s="11">
        <f t="shared" si="131"/>
        <v>0.30000000000000004</v>
      </c>
      <c r="S227" s="3">
        <f t="shared" si="134"/>
        <v>92.571428571428569</v>
      </c>
      <c r="T227" s="70"/>
      <c r="U227" s="3">
        <f t="shared" si="133"/>
        <v>92.571428571428569</v>
      </c>
      <c r="W227" s="11">
        <f t="shared" si="124"/>
        <v>0.30000000000000004</v>
      </c>
      <c r="X227" s="3">
        <f t="shared" si="135"/>
        <v>92.571428571428569</v>
      </c>
      <c r="Y227" s="70"/>
      <c r="Z227" s="3">
        <f t="shared" si="132"/>
        <v>101.82857142857144</v>
      </c>
      <c r="AA227" s="3">
        <f t="shared" si="125"/>
        <v>123.21257142857144</v>
      </c>
      <c r="AC227" s="11">
        <f t="shared" si="126"/>
        <v>0.36363636363636376</v>
      </c>
      <c r="AD227" s="3">
        <f t="shared" si="113"/>
        <v>101.82857142857144</v>
      </c>
      <c r="AE227" s="35"/>
    </row>
    <row r="228" spans="1:31" s="10" customFormat="1" ht="15.75" customHeight="1" x14ac:dyDescent="0.2">
      <c r="A228" s="207"/>
      <c r="B228" s="209"/>
      <c r="C228" s="20">
        <v>108009</v>
      </c>
      <c r="D228" s="42">
        <v>7798165590230</v>
      </c>
      <c r="E228" s="2" t="s">
        <v>143</v>
      </c>
      <c r="F228" s="13">
        <v>12</v>
      </c>
      <c r="G228" s="1">
        <f>G227</f>
        <v>64.8</v>
      </c>
      <c r="H228" s="18"/>
      <c r="I228" s="1">
        <f t="shared" si="127"/>
        <v>0</v>
      </c>
      <c r="K228" s="3">
        <f t="shared" si="128"/>
        <v>92.571428571428569</v>
      </c>
      <c r="M228" s="11">
        <f t="shared" si="129"/>
        <v>0.30000000000000004</v>
      </c>
      <c r="N228" s="3">
        <f t="shared" si="120"/>
        <v>92.571428571428569</v>
      </c>
      <c r="P228" s="3">
        <f t="shared" si="130"/>
        <v>92.571428571428569</v>
      </c>
      <c r="R228" s="11">
        <f t="shared" si="131"/>
        <v>0.30000000000000004</v>
      </c>
      <c r="S228" s="3">
        <f t="shared" si="134"/>
        <v>92.571428571428569</v>
      </c>
      <c r="T228" s="70"/>
      <c r="U228" s="3">
        <f t="shared" si="133"/>
        <v>92.571428571428569</v>
      </c>
      <c r="W228" s="11">
        <f t="shared" si="124"/>
        <v>0.30000000000000004</v>
      </c>
      <c r="X228" s="3">
        <f t="shared" si="135"/>
        <v>92.571428571428569</v>
      </c>
      <c r="Y228" s="70"/>
      <c r="Z228" s="3">
        <f t="shared" si="132"/>
        <v>101.82857142857144</v>
      </c>
      <c r="AA228" s="3">
        <f t="shared" si="125"/>
        <v>123.21257142857144</v>
      </c>
      <c r="AC228" s="11">
        <f t="shared" si="126"/>
        <v>0.36363636363636376</v>
      </c>
      <c r="AD228" s="3">
        <f t="shared" si="113"/>
        <v>101.82857142857144</v>
      </c>
      <c r="AE228" s="35"/>
    </row>
    <row r="229" spans="1:31" s="10" customFormat="1" ht="15.75" customHeight="1" x14ac:dyDescent="0.2">
      <c r="A229" s="207"/>
      <c r="B229" s="209"/>
      <c r="C229" s="74">
        <v>108016</v>
      </c>
      <c r="D229" s="90">
        <v>7798165590292</v>
      </c>
      <c r="E229" s="76" t="s">
        <v>144</v>
      </c>
      <c r="F229" s="77">
        <v>12</v>
      </c>
      <c r="G229" s="78">
        <v>0</v>
      </c>
      <c r="H229" s="91"/>
      <c r="I229" s="78">
        <f t="shared" si="127"/>
        <v>0</v>
      </c>
      <c r="J229" s="88"/>
      <c r="K229" s="81">
        <f t="shared" si="128"/>
        <v>0</v>
      </c>
      <c r="L229" s="88"/>
      <c r="M229" s="83" t="e">
        <f t="shared" si="129"/>
        <v>#DIV/0!</v>
      </c>
      <c r="N229" s="81">
        <f t="shared" si="120"/>
        <v>0</v>
      </c>
      <c r="O229" s="88"/>
      <c r="P229" s="81">
        <f t="shared" si="130"/>
        <v>0</v>
      </c>
      <c r="Q229" s="88"/>
      <c r="R229" s="83" t="e">
        <f t="shared" si="131"/>
        <v>#DIV/0!</v>
      </c>
      <c r="S229" s="3">
        <f t="shared" si="134"/>
        <v>0</v>
      </c>
      <c r="T229" s="85"/>
      <c r="U229" s="81">
        <v>28.5</v>
      </c>
      <c r="V229" s="88"/>
      <c r="W229" s="83">
        <f t="shared" si="124"/>
        <v>1</v>
      </c>
      <c r="X229" s="81">
        <f t="shared" si="135"/>
        <v>0</v>
      </c>
      <c r="Y229" s="85"/>
      <c r="Z229" s="81">
        <f t="shared" si="132"/>
        <v>0</v>
      </c>
      <c r="AA229" s="3">
        <f t="shared" si="125"/>
        <v>0</v>
      </c>
      <c r="AB229" s="88"/>
      <c r="AC229" s="83" t="e">
        <f t="shared" si="126"/>
        <v>#DIV/0!</v>
      </c>
      <c r="AD229" s="81">
        <f t="shared" si="113"/>
        <v>0</v>
      </c>
      <c r="AE229" s="86"/>
    </row>
    <row r="230" spans="1:31" s="10" customFormat="1" ht="15.75" customHeight="1" x14ac:dyDescent="0.2">
      <c r="A230" s="207"/>
      <c r="B230" s="209"/>
      <c r="C230" s="20">
        <v>107004</v>
      </c>
      <c r="D230" s="42"/>
      <c r="E230" s="12" t="s">
        <v>397</v>
      </c>
      <c r="F230" s="13">
        <v>12</v>
      </c>
      <c r="G230" s="1">
        <f>98.8*0.8</f>
        <v>79.040000000000006</v>
      </c>
      <c r="H230" s="18"/>
      <c r="I230" s="1">
        <f t="shared" si="127"/>
        <v>0</v>
      </c>
      <c r="K230" s="3">
        <f t="shared" si="128"/>
        <v>112.91428571428573</v>
      </c>
      <c r="M230" s="11">
        <f t="shared" si="129"/>
        <v>0.30000000000000004</v>
      </c>
      <c r="N230" s="3">
        <f t="shared" si="120"/>
        <v>112.91428571428573</v>
      </c>
      <c r="P230" s="3">
        <f t="shared" si="130"/>
        <v>112.91428571428573</v>
      </c>
      <c r="R230" s="11">
        <f t="shared" si="131"/>
        <v>0.30000000000000004</v>
      </c>
      <c r="S230" s="3">
        <f>$G230/0.7</f>
        <v>112.91428571428573</v>
      </c>
      <c r="T230" s="70"/>
      <c r="U230" s="3">
        <f t="shared" si="133"/>
        <v>112.91428571428573</v>
      </c>
      <c r="W230" s="11">
        <f t="shared" si="124"/>
        <v>0.30000000000000004</v>
      </c>
      <c r="X230" s="3">
        <f t="shared" si="135"/>
        <v>112.91428571428573</v>
      </c>
      <c r="Y230" s="70"/>
      <c r="Z230" s="3">
        <f t="shared" si="132"/>
        <v>124.20571428571431</v>
      </c>
      <c r="AA230" s="3">
        <f t="shared" si="125"/>
        <v>150.2889142857143</v>
      </c>
      <c r="AC230" s="11">
        <f t="shared" si="126"/>
        <v>0.36363636363636365</v>
      </c>
      <c r="AD230" s="3">
        <f t="shared" si="113"/>
        <v>124.20571428571431</v>
      </c>
      <c r="AE230" s="35"/>
    </row>
    <row r="231" spans="1:31" s="10" customFormat="1" ht="15.75" customHeight="1" x14ac:dyDescent="0.2">
      <c r="A231" s="207"/>
      <c r="B231" s="209"/>
      <c r="C231" s="20">
        <v>107005</v>
      </c>
      <c r="D231" s="42"/>
      <c r="E231" s="12" t="s">
        <v>396</v>
      </c>
      <c r="F231" s="13">
        <v>12</v>
      </c>
      <c r="G231" s="1">
        <f>136*0.8</f>
        <v>108.80000000000001</v>
      </c>
      <c r="H231" s="18"/>
      <c r="I231" s="1">
        <f t="shared" si="127"/>
        <v>0</v>
      </c>
      <c r="K231" s="3">
        <f t="shared" si="128"/>
        <v>155.42857142857144</v>
      </c>
      <c r="M231" s="11">
        <f t="shared" si="129"/>
        <v>0.30000000000000004</v>
      </c>
      <c r="N231" s="3">
        <f t="shared" si="120"/>
        <v>155.42857142857144</v>
      </c>
      <c r="P231" s="3">
        <f t="shared" si="130"/>
        <v>155.42857142857144</v>
      </c>
      <c r="R231" s="11">
        <f t="shared" si="131"/>
        <v>0.30000000000000004</v>
      </c>
      <c r="S231" s="3">
        <f>$G231/0.7</f>
        <v>155.42857142857144</v>
      </c>
      <c r="T231" s="70"/>
      <c r="U231" s="3">
        <f t="shared" si="133"/>
        <v>155.42857142857144</v>
      </c>
      <c r="W231" s="11">
        <f t="shared" si="124"/>
        <v>0.30000000000000004</v>
      </c>
      <c r="X231" s="3">
        <f t="shared" si="135"/>
        <v>155.42857142857144</v>
      </c>
      <c r="Y231" s="70"/>
      <c r="Z231" s="3">
        <f t="shared" si="132"/>
        <v>170.97142857142859</v>
      </c>
      <c r="AA231" s="3">
        <f t="shared" si="125"/>
        <v>206.87542857142859</v>
      </c>
      <c r="AC231" s="11">
        <f t="shared" si="126"/>
        <v>0.36363636363636365</v>
      </c>
      <c r="AD231" s="3">
        <f t="shared" si="113"/>
        <v>170.97142857142859</v>
      </c>
      <c r="AE231" s="35"/>
    </row>
    <row r="232" spans="1:31" s="10" customFormat="1" ht="15.75" customHeight="1" x14ac:dyDescent="0.2">
      <c r="A232" s="207"/>
      <c r="B232" s="209"/>
      <c r="C232" s="20">
        <v>122017</v>
      </c>
      <c r="D232" s="42"/>
      <c r="E232" s="2" t="s">
        <v>395</v>
      </c>
      <c r="F232" s="13">
        <v>6</v>
      </c>
      <c r="G232" s="1">
        <f>118*0.8</f>
        <v>94.4</v>
      </c>
      <c r="H232" s="18"/>
      <c r="I232" s="1">
        <f t="shared" si="127"/>
        <v>0</v>
      </c>
      <c r="K232" s="3">
        <f t="shared" si="128"/>
        <v>134.85714285714286</v>
      </c>
      <c r="M232" s="11">
        <f t="shared" si="129"/>
        <v>0.29999999999999993</v>
      </c>
      <c r="N232" s="3">
        <f t="shared" si="120"/>
        <v>134.85714285714286</v>
      </c>
      <c r="P232" s="3">
        <f t="shared" si="130"/>
        <v>134.85714285714286</v>
      </c>
      <c r="R232" s="11">
        <f t="shared" si="131"/>
        <v>0.29999999999999993</v>
      </c>
      <c r="S232" s="3">
        <f t="shared" si="134"/>
        <v>134.85714285714286</v>
      </c>
      <c r="T232" s="70">
        <v>0.3</v>
      </c>
      <c r="U232" s="3">
        <f t="shared" si="133"/>
        <v>134.85714285714286</v>
      </c>
      <c r="W232" s="11">
        <f t="shared" si="124"/>
        <v>0.29999999999999993</v>
      </c>
      <c r="X232" s="3">
        <f t="shared" si="135"/>
        <v>134.85714285714286</v>
      </c>
      <c r="Y232" s="70"/>
      <c r="Z232" s="3">
        <f t="shared" si="132"/>
        <v>148.34285714285716</v>
      </c>
      <c r="AA232" s="3">
        <f t="shared" si="125"/>
        <v>179.49485714285714</v>
      </c>
      <c r="AC232" s="11">
        <f t="shared" si="126"/>
        <v>0.36363636363636365</v>
      </c>
      <c r="AD232" s="3">
        <f t="shared" si="113"/>
        <v>148.34285714285716</v>
      </c>
      <c r="AE232" s="35"/>
    </row>
    <row r="233" spans="1:31" s="10" customFormat="1" ht="15.75" customHeight="1" x14ac:dyDescent="0.2">
      <c r="A233" s="207"/>
      <c r="B233" s="209"/>
      <c r="C233" s="20">
        <v>122019</v>
      </c>
      <c r="D233" s="42"/>
      <c r="E233" s="2" t="s">
        <v>432</v>
      </c>
      <c r="F233" s="13">
        <v>6</v>
      </c>
      <c r="G233" s="1">
        <f>110*0.8</f>
        <v>88</v>
      </c>
      <c r="H233" s="18"/>
      <c r="I233" s="1">
        <f>G233*H233</f>
        <v>0</v>
      </c>
      <c r="K233" s="3">
        <f>N233</f>
        <v>134.85714285714286</v>
      </c>
      <c r="M233" s="11">
        <f>1-(G233/K233)</f>
        <v>0.34745762711864414</v>
      </c>
      <c r="N233" s="3">
        <f>N232</f>
        <v>134.85714285714286</v>
      </c>
      <c r="P233" s="3">
        <f>S233</f>
        <v>134.85714285714286</v>
      </c>
      <c r="R233" s="11">
        <f>1-(G233/P233)</f>
        <v>0.34745762711864414</v>
      </c>
      <c r="S233" s="3">
        <f>S232:S232</f>
        <v>134.85714285714286</v>
      </c>
      <c r="T233" s="70">
        <v>0.3</v>
      </c>
      <c r="U233" s="3">
        <f>P233</f>
        <v>134.85714285714286</v>
      </c>
      <c r="W233" s="11">
        <f>1-(G233/U233)</f>
        <v>0.34745762711864414</v>
      </c>
      <c r="X233" s="3">
        <f t="shared" si="135"/>
        <v>125.71428571428572</v>
      </c>
      <c r="Y233" s="70"/>
      <c r="Z233" s="3">
        <f>AD233</f>
        <v>148.34285714285716</v>
      </c>
      <c r="AA233" s="3">
        <f>Z233*1.21</f>
        <v>179.49485714285714</v>
      </c>
      <c r="AC233" s="11">
        <f>1-(G233/Z233)</f>
        <v>0.40677966101694918</v>
      </c>
      <c r="AD233" s="3">
        <f>K233*1.1</f>
        <v>148.34285714285716</v>
      </c>
      <c r="AE233" s="35"/>
    </row>
    <row r="234" spans="1:31" s="88" customFormat="1" ht="15.75" hidden="1" customHeight="1" x14ac:dyDescent="0.2">
      <c r="A234" s="188" t="s">
        <v>161</v>
      </c>
      <c r="B234" s="184" t="s">
        <v>176</v>
      </c>
      <c r="C234" s="74">
        <v>120001</v>
      </c>
      <c r="D234" s="134">
        <v>7798195510055</v>
      </c>
      <c r="E234" s="76" t="s">
        <v>165</v>
      </c>
      <c r="F234" s="77">
        <v>12</v>
      </c>
      <c r="G234" s="78">
        <v>9.1</v>
      </c>
      <c r="H234" s="91"/>
      <c r="I234" s="78">
        <f t="shared" si="127"/>
        <v>0</v>
      </c>
      <c r="K234" s="81">
        <f t="shared" si="128"/>
        <v>13</v>
      </c>
      <c r="M234" s="83">
        <f t="shared" si="129"/>
        <v>0.30000000000000004</v>
      </c>
      <c r="N234" s="81">
        <f t="shared" si="120"/>
        <v>13</v>
      </c>
      <c r="P234" s="81">
        <f t="shared" si="130"/>
        <v>12.465753424657533</v>
      </c>
      <c r="R234" s="83">
        <f t="shared" si="131"/>
        <v>0.27</v>
      </c>
      <c r="S234" s="81">
        <f t="shared" ref="S234:S240" si="136">$G234/0.73</f>
        <v>12.465753424657533</v>
      </c>
      <c r="T234" s="85"/>
      <c r="U234" s="81">
        <f>P234</f>
        <v>12.465753424657533</v>
      </c>
      <c r="W234" s="83">
        <f t="shared" si="124"/>
        <v>0.27</v>
      </c>
      <c r="X234" s="81">
        <f t="shared" si="135"/>
        <v>13</v>
      </c>
      <c r="Y234" s="85"/>
      <c r="Z234" s="81">
        <f t="shared" si="132"/>
        <v>14.3</v>
      </c>
      <c r="AA234" s="3">
        <f t="shared" si="125"/>
        <v>17.303000000000001</v>
      </c>
      <c r="AC234" s="83">
        <f t="shared" si="126"/>
        <v>0.36363636363636365</v>
      </c>
      <c r="AD234" s="81">
        <f t="shared" si="113"/>
        <v>14.3</v>
      </c>
      <c r="AE234" s="86"/>
    </row>
    <row r="235" spans="1:31" s="88" customFormat="1" ht="15.75" hidden="1" customHeight="1" x14ac:dyDescent="0.2">
      <c r="A235" s="188"/>
      <c r="B235" s="184"/>
      <c r="C235" s="74">
        <v>120002</v>
      </c>
      <c r="D235" s="134">
        <v>7798195510109</v>
      </c>
      <c r="E235" s="76" t="s">
        <v>164</v>
      </c>
      <c r="F235" s="77">
        <v>12</v>
      </c>
      <c r="G235" s="78">
        <f>G234</f>
        <v>9.1</v>
      </c>
      <c r="H235" s="91"/>
      <c r="I235" s="78">
        <f t="shared" si="127"/>
        <v>0</v>
      </c>
      <c r="K235" s="81">
        <f t="shared" si="128"/>
        <v>13</v>
      </c>
      <c r="M235" s="83">
        <f t="shared" si="129"/>
        <v>0.30000000000000004</v>
      </c>
      <c r="N235" s="81">
        <f t="shared" si="120"/>
        <v>13</v>
      </c>
      <c r="P235" s="81">
        <f t="shared" si="130"/>
        <v>12.465753424657533</v>
      </c>
      <c r="R235" s="83">
        <f t="shared" si="131"/>
        <v>0.27</v>
      </c>
      <c r="S235" s="81">
        <f t="shared" si="136"/>
        <v>12.465753424657533</v>
      </c>
      <c r="T235" s="85"/>
      <c r="U235" s="81">
        <f>U234</f>
        <v>12.465753424657533</v>
      </c>
      <c r="W235" s="83">
        <f t="shared" si="124"/>
        <v>0.27</v>
      </c>
      <c r="X235" s="81">
        <f t="shared" si="135"/>
        <v>13</v>
      </c>
      <c r="Y235" s="85"/>
      <c r="Z235" s="81">
        <f t="shared" si="132"/>
        <v>14.3</v>
      </c>
      <c r="AA235" s="3">
        <f t="shared" si="125"/>
        <v>17.303000000000001</v>
      </c>
      <c r="AC235" s="83">
        <f t="shared" si="126"/>
        <v>0.36363636363636365</v>
      </c>
      <c r="AD235" s="81">
        <f t="shared" si="113"/>
        <v>14.3</v>
      </c>
      <c r="AE235" s="86"/>
    </row>
    <row r="236" spans="1:31" s="88" customFormat="1" ht="15.75" hidden="1" customHeight="1" x14ac:dyDescent="0.2">
      <c r="A236" s="188"/>
      <c r="B236" s="184"/>
      <c r="C236" s="74">
        <v>120003</v>
      </c>
      <c r="D236" s="134">
        <v>7798195510130</v>
      </c>
      <c r="E236" s="76" t="s">
        <v>163</v>
      </c>
      <c r="F236" s="77">
        <v>12</v>
      </c>
      <c r="G236" s="78">
        <f>G235</f>
        <v>9.1</v>
      </c>
      <c r="H236" s="91"/>
      <c r="I236" s="78">
        <f t="shared" si="127"/>
        <v>0</v>
      </c>
      <c r="K236" s="81">
        <f t="shared" si="128"/>
        <v>13</v>
      </c>
      <c r="M236" s="83">
        <f t="shared" si="129"/>
        <v>0.30000000000000004</v>
      </c>
      <c r="N236" s="81">
        <f t="shared" si="120"/>
        <v>13</v>
      </c>
      <c r="P236" s="81">
        <f t="shared" si="130"/>
        <v>12.465753424657533</v>
      </c>
      <c r="R236" s="83">
        <f t="shared" si="131"/>
        <v>0.27</v>
      </c>
      <c r="S236" s="81">
        <f t="shared" si="136"/>
        <v>12.465753424657533</v>
      </c>
      <c r="T236" s="85"/>
      <c r="U236" s="81">
        <f>U235</f>
        <v>12.465753424657533</v>
      </c>
      <c r="W236" s="83">
        <f t="shared" si="124"/>
        <v>0.27</v>
      </c>
      <c r="X236" s="81">
        <f t="shared" si="135"/>
        <v>13</v>
      </c>
      <c r="Y236" s="85"/>
      <c r="Z236" s="81">
        <f t="shared" si="132"/>
        <v>14.3</v>
      </c>
      <c r="AA236" s="3">
        <f t="shared" si="125"/>
        <v>17.303000000000001</v>
      </c>
      <c r="AC236" s="83">
        <f t="shared" si="126"/>
        <v>0.36363636363636365</v>
      </c>
      <c r="AD236" s="81">
        <f t="shared" si="113"/>
        <v>14.3</v>
      </c>
      <c r="AE236" s="86"/>
    </row>
    <row r="237" spans="1:31" s="88" customFormat="1" ht="15.75" hidden="1" customHeight="1" x14ac:dyDescent="0.2">
      <c r="A237" s="188"/>
      <c r="B237" s="184"/>
      <c r="C237" s="74">
        <v>120004</v>
      </c>
      <c r="D237" s="134">
        <v>7798195510123</v>
      </c>
      <c r="E237" s="76" t="s">
        <v>162</v>
      </c>
      <c r="F237" s="77">
        <v>12</v>
      </c>
      <c r="G237" s="78">
        <f>G236</f>
        <v>9.1</v>
      </c>
      <c r="H237" s="91"/>
      <c r="I237" s="78">
        <f t="shared" si="127"/>
        <v>0</v>
      </c>
      <c r="K237" s="81">
        <f t="shared" si="128"/>
        <v>13</v>
      </c>
      <c r="M237" s="83">
        <f t="shared" si="129"/>
        <v>0.30000000000000004</v>
      </c>
      <c r="N237" s="81">
        <f t="shared" si="120"/>
        <v>13</v>
      </c>
      <c r="P237" s="81">
        <f t="shared" si="130"/>
        <v>12.465753424657533</v>
      </c>
      <c r="R237" s="83">
        <f t="shared" si="131"/>
        <v>0.27</v>
      </c>
      <c r="S237" s="81">
        <f t="shared" si="136"/>
        <v>12.465753424657533</v>
      </c>
      <c r="T237" s="85"/>
      <c r="U237" s="81">
        <f>U236</f>
        <v>12.465753424657533</v>
      </c>
      <c r="W237" s="83">
        <f t="shared" si="124"/>
        <v>0.27</v>
      </c>
      <c r="X237" s="81">
        <f t="shared" si="135"/>
        <v>13</v>
      </c>
      <c r="Y237" s="85"/>
      <c r="Z237" s="81">
        <f t="shared" si="132"/>
        <v>14.3</v>
      </c>
      <c r="AA237" s="3">
        <f t="shared" si="125"/>
        <v>17.303000000000001</v>
      </c>
      <c r="AC237" s="83">
        <f t="shared" si="126"/>
        <v>0.36363636363636365</v>
      </c>
      <c r="AD237" s="81">
        <f t="shared" si="113"/>
        <v>14.3</v>
      </c>
      <c r="AE237" s="86"/>
    </row>
    <row r="238" spans="1:31" s="88" customFormat="1" ht="15.75" hidden="1" customHeight="1" x14ac:dyDescent="0.2">
      <c r="A238" s="188"/>
      <c r="B238" s="184"/>
      <c r="C238" s="74">
        <v>120005</v>
      </c>
      <c r="D238" s="135">
        <v>7798148380643</v>
      </c>
      <c r="E238" s="76" t="s">
        <v>195</v>
      </c>
      <c r="F238" s="77">
        <v>24</v>
      </c>
      <c r="G238" s="78">
        <v>15</v>
      </c>
      <c r="H238" s="91"/>
      <c r="I238" s="78">
        <f t="shared" si="127"/>
        <v>0</v>
      </c>
      <c r="K238" s="81">
        <f t="shared" si="128"/>
        <v>21.428571428571431</v>
      </c>
      <c r="M238" s="83">
        <f t="shared" si="129"/>
        <v>0.30000000000000004</v>
      </c>
      <c r="N238" s="81">
        <f t="shared" si="120"/>
        <v>21.428571428571431</v>
      </c>
      <c r="P238" s="81">
        <f t="shared" si="130"/>
        <v>20.547945205479454</v>
      </c>
      <c r="R238" s="83">
        <f t="shared" si="131"/>
        <v>0.27000000000000013</v>
      </c>
      <c r="S238" s="81">
        <f t="shared" si="136"/>
        <v>20.547945205479454</v>
      </c>
      <c r="T238" s="85"/>
      <c r="U238" s="81">
        <f>P238</f>
        <v>20.547945205479454</v>
      </c>
      <c r="W238" s="83">
        <f t="shared" si="124"/>
        <v>0.27000000000000013</v>
      </c>
      <c r="X238" s="81">
        <f t="shared" si="135"/>
        <v>21.428571428571431</v>
      </c>
      <c r="Y238" s="85"/>
      <c r="Z238" s="81">
        <f t="shared" si="132"/>
        <v>23.571428571428577</v>
      </c>
      <c r="AA238" s="3">
        <f t="shared" si="125"/>
        <v>28.521428571428576</v>
      </c>
      <c r="AC238" s="83">
        <f t="shared" si="126"/>
        <v>0.36363636363636376</v>
      </c>
      <c r="AD238" s="81">
        <f t="shared" si="113"/>
        <v>23.571428571428577</v>
      </c>
      <c r="AE238" s="86"/>
    </row>
    <row r="239" spans="1:31" s="88" customFormat="1" ht="15.75" hidden="1" customHeight="1" x14ac:dyDescent="0.2">
      <c r="A239" s="188"/>
      <c r="B239" s="184"/>
      <c r="C239" s="74">
        <v>120006</v>
      </c>
      <c r="D239" s="134">
        <v>7798195510161</v>
      </c>
      <c r="E239" s="76" t="s">
        <v>166</v>
      </c>
      <c r="F239" s="77">
        <v>30</v>
      </c>
      <c r="G239" s="78">
        <v>12.45</v>
      </c>
      <c r="H239" s="91"/>
      <c r="I239" s="78">
        <f t="shared" si="127"/>
        <v>0</v>
      </c>
      <c r="K239" s="81">
        <f t="shared" si="128"/>
        <v>17.785714285714285</v>
      </c>
      <c r="M239" s="83">
        <f t="shared" si="129"/>
        <v>0.30000000000000004</v>
      </c>
      <c r="N239" s="81">
        <f t="shared" si="120"/>
        <v>17.785714285714285</v>
      </c>
      <c r="P239" s="81">
        <f t="shared" si="130"/>
        <v>17.054794520547944</v>
      </c>
      <c r="R239" s="83">
        <f t="shared" si="131"/>
        <v>0.27</v>
      </c>
      <c r="S239" s="81">
        <f t="shared" si="136"/>
        <v>17.054794520547944</v>
      </c>
      <c r="T239" s="85"/>
      <c r="U239" s="81">
        <f>P239</f>
        <v>17.054794520547944</v>
      </c>
      <c r="W239" s="83">
        <f t="shared" si="124"/>
        <v>0.27</v>
      </c>
      <c r="X239" s="81">
        <f t="shared" si="135"/>
        <v>17.785714285714285</v>
      </c>
      <c r="Y239" s="85"/>
      <c r="Z239" s="81">
        <f t="shared" si="132"/>
        <v>19.564285714285713</v>
      </c>
      <c r="AA239" s="3">
        <f t="shared" si="125"/>
        <v>23.672785714285713</v>
      </c>
      <c r="AC239" s="83">
        <f t="shared" si="126"/>
        <v>0.36363636363636365</v>
      </c>
      <c r="AD239" s="81">
        <f t="shared" si="113"/>
        <v>19.564285714285713</v>
      </c>
      <c r="AE239" s="86"/>
    </row>
    <row r="240" spans="1:31" s="88" customFormat="1" ht="15.75" hidden="1" customHeight="1" x14ac:dyDescent="0.2">
      <c r="A240" s="188"/>
      <c r="B240" s="184"/>
      <c r="C240" s="74">
        <v>120007</v>
      </c>
      <c r="D240" s="134">
        <v>7798195510178</v>
      </c>
      <c r="E240" s="76" t="s">
        <v>167</v>
      </c>
      <c r="F240" s="77">
        <v>30</v>
      </c>
      <c r="G240" s="78">
        <f>G239</f>
        <v>12.45</v>
      </c>
      <c r="H240" s="91"/>
      <c r="I240" s="78">
        <f t="shared" si="127"/>
        <v>0</v>
      </c>
      <c r="K240" s="81">
        <f t="shared" si="128"/>
        <v>17.785714285714285</v>
      </c>
      <c r="M240" s="83">
        <f t="shared" si="129"/>
        <v>0.30000000000000004</v>
      </c>
      <c r="N240" s="81">
        <f t="shared" si="120"/>
        <v>17.785714285714285</v>
      </c>
      <c r="P240" s="81">
        <f t="shared" si="130"/>
        <v>17.054794520547944</v>
      </c>
      <c r="R240" s="83">
        <f t="shared" si="131"/>
        <v>0.27</v>
      </c>
      <c r="S240" s="81">
        <f t="shared" si="136"/>
        <v>17.054794520547944</v>
      </c>
      <c r="T240" s="85"/>
      <c r="U240" s="81">
        <f>U239</f>
        <v>17.054794520547944</v>
      </c>
      <c r="W240" s="83">
        <f t="shared" si="124"/>
        <v>0.27</v>
      </c>
      <c r="X240" s="81">
        <f t="shared" si="135"/>
        <v>17.785714285714285</v>
      </c>
      <c r="Y240" s="85"/>
      <c r="Z240" s="81">
        <f t="shared" si="132"/>
        <v>19.564285714285713</v>
      </c>
      <c r="AA240" s="3">
        <f t="shared" si="125"/>
        <v>23.672785714285713</v>
      </c>
      <c r="AC240" s="83">
        <f t="shared" si="126"/>
        <v>0.36363636363636365</v>
      </c>
      <c r="AD240" s="81">
        <f t="shared" si="113"/>
        <v>19.564285714285713</v>
      </c>
      <c r="AE240" s="86"/>
    </row>
    <row r="241" spans="1:31" s="88" customFormat="1" ht="15.75" hidden="1" customHeight="1" x14ac:dyDescent="0.2">
      <c r="A241" s="188" t="s">
        <v>171</v>
      </c>
      <c r="B241" s="184" t="s">
        <v>175</v>
      </c>
      <c r="C241" s="74">
        <v>116020</v>
      </c>
      <c r="D241" s="135">
        <v>7798053651296</v>
      </c>
      <c r="E241" s="76" t="s">
        <v>177</v>
      </c>
      <c r="F241" s="77">
        <v>24</v>
      </c>
      <c r="G241" s="78">
        <f>60*0.85</f>
        <v>51</v>
      </c>
      <c r="H241" s="91"/>
      <c r="I241" s="78">
        <f t="shared" si="127"/>
        <v>0</v>
      </c>
      <c r="K241" s="81">
        <f t="shared" si="128"/>
        <v>72.857142857142861</v>
      </c>
      <c r="M241" s="83">
        <f t="shared" si="129"/>
        <v>0.30000000000000004</v>
      </c>
      <c r="N241" s="81">
        <f t="shared" si="120"/>
        <v>72.857142857142861</v>
      </c>
      <c r="P241" s="81">
        <f t="shared" si="130"/>
        <v>68</v>
      </c>
      <c r="R241" s="83">
        <f t="shared" si="131"/>
        <v>0.25</v>
      </c>
      <c r="S241" s="81">
        <f>$G241/0.75</f>
        <v>68</v>
      </c>
      <c r="T241" s="85">
        <v>0.25</v>
      </c>
      <c r="U241" s="81">
        <f>P241</f>
        <v>68</v>
      </c>
      <c r="W241" s="83">
        <f t="shared" si="124"/>
        <v>0.25</v>
      </c>
      <c r="X241" s="81">
        <f>S241</f>
        <v>68</v>
      </c>
      <c r="Y241" s="85"/>
      <c r="Z241" s="81">
        <f t="shared" si="132"/>
        <v>80.142857142857153</v>
      </c>
      <c r="AA241" s="81">
        <f t="shared" si="125"/>
        <v>96.972857142857151</v>
      </c>
      <c r="AC241" s="83">
        <f t="shared" si="126"/>
        <v>0.36363636363636376</v>
      </c>
      <c r="AD241" s="81">
        <f t="shared" si="113"/>
        <v>80.142857142857153</v>
      </c>
      <c r="AE241" s="86"/>
    </row>
    <row r="242" spans="1:31" s="88" customFormat="1" ht="15.75" hidden="1" customHeight="1" x14ac:dyDescent="0.2">
      <c r="A242" s="188"/>
      <c r="B242" s="184"/>
      <c r="C242" s="74">
        <v>116021</v>
      </c>
      <c r="D242" s="135">
        <v>7798053651302</v>
      </c>
      <c r="E242" s="76" t="s">
        <v>178</v>
      </c>
      <c r="F242" s="77">
        <v>24</v>
      </c>
      <c r="G242" s="78">
        <f>G241</f>
        <v>51</v>
      </c>
      <c r="H242" s="91"/>
      <c r="I242" s="78">
        <f t="shared" si="127"/>
        <v>0</v>
      </c>
      <c r="K242" s="81">
        <f t="shared" si="128"/>
        <v>72.857142857142861</v>
      </c>
      <c r="M242" s="83">
        <f t="shared" si="129"/>
        <v>0.30000000000000004</v>
      </c>
      <c r="N242" s="81">
        <f t="shared" si="120"/>
        <v>72.857142857142861</v>
      </c>
      <c r="P242" s="81">
        <f t="shared" si="130"/>
        <v>68</v>
      </c>
      <c r="R242" s="83">
        <f t="shared" si="131"/>
        <v>0.25</v>
      </c>
      <c r="S242" s="81">
        <f t="shared" ref="S242:S254" si="137">$G242/0.75</f>
        <v>68</v>
      </c>
      <c r="T242" s="85"/>
      <c r="U242" s="81">
        <f t="shared" ref="U242:U254" si="138">P242</f>
        <v>68</v>
      </c>
      <c r="W242" s="83">
        <f t="shared" si="124"/>
        <v>0.25</v>
      </c>
      <c r="X242" s="81">
        <f t="shared" ref="X242:X254" si="139">S242</f>
        <v>68</v>
      </c>
      <c r="Y242" s="85"/>
      <c r="Z242" s="81">
        <f t="shared" si="132"/>
        <v>80.142857142857153</v>
      </c>
      <c r="AA242" s="81">
        <f t="shared" si="125"/>
        <v>96.972857142857151</v>
      </c>
      <c r="AC242" s="83">
        <f t="shared" si="126"/>
        <v>0.36363636363636376</v>
      </c>
      <c r="AD242" s="81">
        <f t="shared" si="113"/>
        <v>80.142857142857153</v>
      </c>
      <c r="AE242" s="86"/>
    </row>
    <row r="243" spans="1:31" s="88" customFormat="1" ht="15.75" hidden="1" customHeight="1" x14ac:dyDescent="0.2">
      <c r="A243" s="188"/>
      <c r="B243" s="184"/>
      <c r="C243" s="74">
        <v>116022</v>
      </c>
      <c r="D243" s="135">
        <v>7798053651425</v>
      </c>
      <c r="E243" s="76" t="s">
        <v>179</v>
      </c>
      <c r="F243" s="77">
        <v>24</v>
      </c>
      <c r="G243" s="78">
        <f t="shared" ref="G243:G254" si="140">G242</f>
        <v>51</v>
      </c>
      <c r="H243" s="91"/>
      <c r="I243" s="78">
        <f t="shared" si="127"/>
        <v>0</v>
      </c>
      <c r="K243" s="81">
        <f t="shared" si="128"/>
        <v>72.857142857142861</v>
      </c>
      <c r="M243" s="83">
        <f t="shared" si="129"/>
        <v>0.30000000000000004</v>
      </c>
      <c r="N243" s="81">
        <f t="shared" si="120"/>
        <v>72.857142857142861</v>
      </c>
      <c r="P243" s="81">
        <f t="shared" si="130"/>
        <v>68</v>
      </c>
      <c r="R243" s="83">
        <f t="shared" si="131"/>
        <v>0.25</v>
      </c>
      <c r="S243" s="81">
        <f t="shared" si="137"/>
        <v>68</v>
      </c>
      <c r="T243" s="85"/>
      <c r="U243" s="81">
        <f t="shared" si="138"/>
        <v>68</v>
      </c>
      <c r="W243" s="83">
        <f t="shared" si="124"/>
        <v>0.25</v>
      </c>
      <c r="X243" s="81">
        <f t="shared" si="139"/>
        <v>68</v>
      </c>
      <c r="Y243" s="85"/>
      <c r="Z243" s="81">
        <f t="shared" si="132"/>
        <v>80.142857142857153</v>
      </c>
      <c r="AA243" s="81">
        <f t="shared" si="125"/>
        <v>96.972857142857151</v>
      </c>
      <c r="AC243" s="83">
        <f t="shared" si="126"/>
        <v>0.36363636363636376</v>
      </c>
      <c r="AD243" s="81">
        <f t="shared" si="113"/>
        <v>80.142857142857153</v>
      </c>
      <c r="AE243" s="86"/>
    </row>
    <row r="244" spans="1:31" s="88" customFormat="1" ht="15.75" hidden="1" customHeight="1" x14ac:dyDescent="0.2">
      <c r="A244" s="188"/>
      <c r="B244" s="184"/>
      <c r="C244" s="74">
        <v>116023</v>
      </c>
      <c r="D244" s="135">
        <v>7798053651319</v>
      </c>
      <c r="E244" s="76" t="s">
        <v>180</v>
      </c>
      <c r="F244" s="77">
        <v>24</v>
      </c>
      <c r="G244" s="78">
        <f t="shared" si="140"/>
        <v>51</v>
      </c>
      <c r="H244" s="91"/>
      <c r="I244" s="78">
        <f t="shared" si="127"/>
        <v>0</v>
      </c>
      <c r="K244" s="81">
        <f t="shared" si="128"/>
        <v>72.857142857142861</v>
      </c>
      <c r="M244" s="83">
        <f t="shared" si="129"/>
        <v>0.30000000000000004</v>
      </c>
      <c r="N244" s="81">
        <f t="shared" si="120"/>
        <v>72.857142857142861</v>
      </c>
      <c r="P244" s="81">
        <f t="shared" si="130"/>
        <v>68</v>
      </c>
      <c r="R244" s="83">
        <f t="shared" si="131"/>
        <v>0.25</v>
      </c>
      <c r="S244" s="81">
        <f t="shared" si="137"/>
        <v>68</v>
      </c>
      <c r="T244" s="85"/>
      <c r="U244" s="81">
        <f t="shared" si="138"/>
        <v>68</v>
      </c>
      <c r="W244" s="83">
        <f t="shared" si="124"/>
        <v>0.25</v>
      </c>
      <c r="X244" s="81">
        <f t="shared" si="139"/>
        <v>68</v>
      </c>
      <c r="Y244" s="85"/>
      <c r="Z244" s="81">
        <f t="shared" si="132"/>
        <v>80.142857142857153</v>
      </c>
      <c r="AA244" s="81">
        <f t="shared" si="125"/>
        <v>96.972857142857151</v>
      </c>
      <c r="AC244" s="83">
        <f t="shared" si="126"/>
        <v>0.36363636363636376</v>
      </c>
      <c r="AD244" s="81">
        <f t="shared" ref="AD244:AD278" si="141">K244*1.1</f>
        <v>80.142857142857153</v>
      </c>
      <c r="AE244" s="86"/>
    </row>
    <row r="245" spans="1:31" s="88" customFormat="1" ht="15.75" hidden="1" customHeight="1" x14ac:dyDescent="0.2">
      <c r="A245" s="188"/>
      <c r="B245" s="184"/>
      <c r="C245" s="74">
        <v>116024</v>
      </c>
      <c r="D245" s="135">
        <v>7798053651241</v>
      </c>
      <c r="E245" s="76" t="s">
        <v>181</v>
      </c>
      <c r="F245" s="77">
        <v>24</v>
      </c>
      <c r="G245" s="78">
        <f t="shared" si="140"/>
        <v>51</v>
      </c>
      <c r="H245" s="91"/>
      <c r="I245" s="78">
        <f t="shared" si="127"/>
        <v>0</v>
      </c>
      <c r="K245" s="81">
        <f t="shared" si="128"/>
        <v>72.857142857142861</v>
      </c>
      <c r="M245" s="83">
        <f t="shared" si="129"/>
        <v>0.30000000000000004</v>
      </c>
      <c r="N245" s="81">
        <f t="shared" si="120"/>
        <v>72.857142857142861</v>
      </c>
      <c r="P245" s="81">
        <f t="shared" si="130"/>
        <v>68</v>
      </c>
      <c r="R245" s="83">
        <f t="shared" si="131"/>
        <v>0.25</v>
      </c>
      <c r="S245" s="81">
        <f t="shared" si="137"/>
        <v>68</v>
      </c>
      <c r="T245" s="85"/>
      <c r="U245" s="81">
        <f t="shared" si="138"/>
        <v>68</v>
      </c>
      <c r="W245" s="83">
        <f t="shared" si="124"/>
        <v>0.25</v>
      </c>
      <c r="X245" s="81">
        <f t="shared" si="139"/>
        <v>68</v>
      </c>
      <c r="Y245" s="85"/>
      <c r="Z245" s="81">
        <f t="shared" si="132"/>
        <v>80.142857142857153</v>
      </c>
      <c r="AA245" s="81">
        <f t="shared" si="125"/>
        <v>96.972857142857151</v>
      </c>
      <c r="AC245" s="83">
        <f t="shared" si="126"/>
        <v>0.36363636363636376</v>
      </c>
      <c r="AD245" s="81">
        <f t="shared" si="141"/>
        <v>80.142857142857153</v>
      </c>
      <c r="AE245" s="86"/>
    </row>
    <row r="246" spans="1:31" s="88" customFormat="1" ht="15.75" hidden="1" customHeight="1" x14ac:dyDescent="0.2">
      <c r="A246" s="188"/>
      <c r="B246" s="184"/>
      <c r="C246" s="74">
        <v>116025</v>
      </c>
      <c r="D246" s="135">
        <v>7798053651234</v>
      </c>
      <c r="E246" s="76" t="s">
        <v>182</v>
      </c>
      <c r="F246" s="77">
        <v>24</v>
      </c>
      <c r="G246" s="78">
        <f t="shared" si="140"/>
        <v>51</v>
      </c>
      <c r="H246" s="91"/>
      <c r="I246" s="78">
        <f t="shared" si="127"/>
        <v>0</v>
      </c>
      <c r="K246" s="81">
        <f t="shared" si="128"/>
        <v>72.857142857142861</v>
      </c>
      <c r="M246" s="83">
        <f t="shared" si="129"/>
        <v>0.30000000000000004</v>
      </c>
      <c r="N246" s="81">
        <f t="shared" si="120"/>
        <v>72.857142857142861</v>
      </c>
      <c r="P246" s="81">
        <f t="shared" si="130"/>
        <v>68</v>
      </c>
      <c r="R246" s="83">
        <f t="shared" si="131"/>
        <v>0.25</v>
      </c>
      <c r="S246" s="81">
        <f t="shared" si="137"/>
        <v>68</v>
      </c>
      <c r="T246" s="85"/>
      <c r="U246" s="81">
        <f t="shared" si="138"/>
        <v>68</v>
      </c>
      <c r="W246" s="83">
        <f t="shared" si="124"/>
        <v>0.25</v>
      </c>
      <c r="X246" s="81">
        <f t="shared" si="139"/>
        <v>68</v>
      </c>
      <c r="Y246" s="85"/>
      <c r="Z246" s="81">
        <f t="shared" si="132"/>
        <v>80.142857142857153</v>
      </c>
      <c r="AA246" s="81">
        <f t="shared" si="125"/>
        <v>96.972857142857151</v>
      </c>
      <c r="AC246" s="83">
        <f t="shared" si="126"/>
        <v>0.36363636363636376</v>
      </c>
      <c r="AD246" s="81">
        <f t="shared" si="141"/>
        <v>80.142857142857153</v>
      </c>
      <c r="AE246" s="86"/>
    </row>
    <row r="247" spans="1:31" s="88" customFormat="1" ht="15.75" hidden="1" customHeight="1" x14ac:dyDescent="0.2">
      <c r="A247" s="188"/>
      <c r="B247" s="184"/>
      <c r="C247" s="74">
        <v>116026</v>
      </c>
      <c r="D247" s="135">
        <v>7798053651265</v>
      </c>
      <c r="E247" s="76" t="s">
        <v>183</v>
      </c>
      <c r="F247" s="77">
        <v>24</v>
      </c>
      <c r="G247" s="78">
        <f t="shared" si="140"/>
        <v>51</v>
      </c>
      <c r="H247" s="91"/>
      <c r="I247" s="78">
        <f t="shared" si="127"/>
        <v>0</v>
      </c>
      <c r="K247" s="81">
        <f t="shared" si="128"/>
        <v>72.857142857142861</v>
      </c>
      <c r="M247" s="83">
        <f t="shared" si="129"/>
        <v>0.30000000000000004</v>
      </c>
      <c r="N247" s="81">
        <f t="shared" si="120"/>
        <v>72.857142857142861</v>
      </c>
      <c r="P247" s="81">
        <f t="shared" si="130"/>
        <v>68</v>
      </c>
      <c r="R247" s="83">
        <f t="shared" si="131"/>
        <v>0.25</v>
      </c>
      <c r="S247" s="81">
        <f t="shared" si="137"/>
        <v>68</v>
      </c>
      <c r="T247" s="85"/>
      <c r="U247" s="81">
        <f t="shared" si="138"/>
        <v>68</v>
      </c>
      <c r="W247" s="83">
        <f t="shared" si="124"/>
        <v>0.25</v>
      </c>
      <c r="X247" s="81">
        <f t="shared" si="139"/>
        <v>68</v>
      </c>
      <c r="Y247" s="85"/>
      <c r="Z247" s="81">
        <f t="shared" si="132"/>
        <v>80.142857142857153</v>
      </c>
      <c r="AA247" s="81">
        <f t="shared" si="125"/>
        <v>96.972857142857151</v>
      </c>
      <c r="AC247" s="83">
        <f t="shared" si="126"/>
        <v>0.36363636363636376</v>
      </c>
      <c r="AD247" s="81">
        <f t="shared" si="141"/>
        <v>80.142857142857153</v>
      </c>
      <c r="AE247" s="86"/>
    </row>
    <row r="248" spans="1:31" s="88" customFormat="1" ht="15.75" hidden="1" customHeight="1" x14ac:dyDescent="0.2">
      <c r="A248" s="188"/>
      <c r="B248" s="184"/>
      <c r="C248" s="74">
        <v>116027</v>
      </c>
      <c r="D248" s="135">
        <v>7798053651463</v>
      </c>
      <c r="E248" s="76" t="s">
        <v>184</v>
      </c>
      <c r="F248" s="77">
        <v>24</v>
      </c>
      <c r="G248" s="78">
        <f t="shared" si="140"/>
        <v>51</v>
      </c>
      <c r="H248" s="91"/>
      <c r="I248" s="78">
        <f t="shared" si="127"/>
        <v>0</v>
      </c>
      <c r="K248" s="81">
        <f t="shared" si="128"/>
        <v>72.857142857142861</v>
      </c>
      <c r="M248" s="83">
        <f t="shared" si="129"/>
        <v>0.30000000000000004</v>
      </c>
      <c r="N248" s="81">
        <f t="shared" si="120"/>
        <v>72.857142857142861</v>
      </c>
      <c r="P248" s="81">
        <f t="shared" si="130"/>
        <v>68</v>
      </c>
      <c r="R248" s="83">
        <f t="shared" si="131"/>
        <v>0.25</v>
      </c>
      <c r="S248" s="81">
        <f t="shared" si="137"/>
        <v>68</v>
      </c>
      <c r="T248" s="85"/>
      <c r="U248" s="81">
        <f t="shared" si="138"/>
        <v>68</v>
      </c>
      <c r="W248" s="83">
        <f t="shared" si="124"/>
        <v>0.25</v>
      </c>
      <c r="X248" s="81">
        <f t="shared" si="139"/>
        <v>68</v>
      </c>
      <c r="Y248" s="85"/>
      <c r="Z248" s="81">
        <f t="shared" si="132"/>
        <v>80.142857142857153</v>
      </c>
      <c r="AA248" s="81">
        <f t="shared" si="125"/>
        <v>96.972857142857151</v>
      </c>
      <c r="AC248" s="83">
        <f t="shared" si="126"/>
        <v>0.36363636363636376</v>
      </c>
      <c r="AD248" s="81">
        <f t="shared" si="141"/>
        <v>80.142857142857153</v>
      </c>
      <c r="AE248" s="86"/>
    </row>
    <row r="249" spans="1:31" s="88" customFormat="1" ht="15.75" hidden="1" customHeight="1" x14ac:dyDescent="0.2">
      <c r="A249" s="188"/>
      <c r="B249" s="184"/>
      <c r="C249" s="74">
        <v>116028</v>
      </c>
      <c r="D249" s="135" t="s">
        <v>362</v>
      </c>
      <c r="E249" s="76" t="s">
        <v>185</v>
      </c>
      <c r="F249" s="77">
        <v>24</v>
      </c>
      <c r="G249" s="78">
        <f t="shared" si="140"/>
        <v>51</v>
      </c>
      <c r="H249" s="91"/>
      <c r="I249" s="78">
        <f t="shared" si="127"/>
        <v>0</v>
      </c>
      <c r="K249" s="81">
        <f t="shared" si="128"/>
        <v>72.857142857142861</v>
      </c>
      <c r="M249" s="83">
        <f t="shared" si="129"/>
        <v>0.30000000000000004</v>
      </c>
      <c r="N249" s="81">
        <f t="shared" si="120"/>
        <v>72.857142857142861</v>
      </c>
      <c r="P249" s="81">
        <f t="shared" si="130"/>
        <v>68</v>
      </c>
      <c r="R249" s="83">
        <f t="shared" si="131"/>
        <v>0.25</v>
      </c>
      <c r="S249" s="81">
        <f t="shared" si="137"/>
        <v>68</v>
      </c>
      <c r="T249" s="85"/>
      <c r="U249" s="81">
        <f t="shared" si="138"/>
        <v>68</v>
      </c>
      <c r="W249" s="83">
        <f t="shared" si="124"/>
        <v>0.25</v>
      </c>
      <c r="X249" s="81">
        <f t="shared" si="139"/>
        <v>68</v>
      </c>
      <c r="Y249" s="85"/>
      <c r="Z249" s="81">
        <f t="shared" si="132"/>
        <v>80.142857142857153</v>
      </c>
      <c r="AA249" s="81">
        <f t="shared" si="125"/>
        <v>96.972857142857151</v>
      </c>
      <c r="AC249" s="83">
        <f t="shared" si="126"/>
        <v>0.36363636363636376</v>
      </c>
      <c r="AD249" s="81">
        <f t="shared" si="141"/>
        <v>80.142857142857153</v>
      </c>
      <c r="AE249" s="86"/>
    </row>
    <row r="250" spans="1:31" s="88" customFormat="1" ht="15.75" hidden="1" customHeight="1" x14ac:dyDescent="0.2">
      <c r="A250" s="188"/>
      <c r="B250" s="184"/>
      <c r="C250" s="74">
        <v>116029</v>
      </c>
      <c r="D250" s="135">
        <v>7798053650367</v>
      </c>
      <c r="E250" s="76" t="s">
        <v>186</v>
      </c>
      <c r="F250" s="77">
        <v>24</v>
      </c>
      <c r="G250" s="78">
        <f t="shared" si="140"/>
        <v>51</v>
      </c>
      <c r="H250" s="91"/>
      <c r="I250" s="78">
        <f t="shared" si="127"/>
        <v>0</v>
      </c>
      <c r="K250" s="81">
        <f t="shared" si="128"/>
        <v>72.857142857142861</v>
      </c>
      <c r="M250" s="83">
        <f t="shared" si="129"/>
        <v>0.30000000000000004</v>
      </c>
      <c r="N250" s="81">
        <f t="shared" si="120"/>
        <v>72.857142857142861</v>
      </c>
      <c r="P250" s="81">
        <f t="shared" si="130"/>
        <v>68</v>
      </c>
      <c r="R250" s="83">
        <f t="shared" si="131"/>
        <v>0.25</v>
      </c>
      <c r="S250" s="81">
        <f t="shared" si="137"/>
        <v>68</v>
      </c>
      <c r="T250" s="85"/>
      <c r="U250" s="81">
        <f t="shared" si="138"/>
        <v>68</v>
      </c>
      <c r="W250" s="83">
        <f t="shared" si="124"/>
        <v>0.25</v>
      </c>
      <c r="X250" s="81">
        <f t="shared" si="139"/>
        <v>68</v>
      </c>
      <c r="Y250" s="85"/>
      <c r="Z250" s="81">
        <f t="shared" si="132"/>
        <v>80.142857142857153</v>
      </c>
      <c r="AA250" s="81">
        <f t="shared" si="125"/>
        <v>96.972857142857151</v>
      </c>
      <c r="AC250" s="83">
        <f t="shared" si="126"/>
        <v>0.36363636363636376</v>
      </c>
      <c r="AD250" s="81">
        <f t="shared" si="141"/>
        <v>80.142857142857153</v>
      </c>
      <c r="AE250" s="86"/>
    </row>
    <row r="251" spans="1:31" s="88" customFormat="1" ht="15.75" hidden="1" customHeight="1" x14ac:dyDescent="0.2">
      <c r="A251" s="188"/>
      <c r="B251" s="184"/>
      <c r="C251" s="74">
        <v>116030</v>
      </c>
      <c r="D251" s="135">
        <v>7798053650268</v>
      </c>
      <c r="E251" s="76" t="s">
        <v>187</v>
      </c>
      <c r="F251" s="77">
        <v>24</v>
      </c>
      <c r="G251" s="78">
        <f t="shared" si="140"/>
        <v>51</v>
      </c>
      <c r="H251" s="91"/>
      <c r="I251" s="78">
        <f t="shared" si="127"/>
        <v>0</v>
      </c>
      <c r="K251" s="81">
        <f t="shared" si="128"/>
        <v>72.857142857142861</v>
      </c>
      <c r="M251" s="83">
        <f t="shared" si="129"/>
        <v>0.30000000000000004</v>
      </c>
      <c r="N251" s="81">
        <f t="shared" si="120"/>
        <v>72.857142857142861</v>
      </c>
      <c r="P251" s="81">
        <f t="shared" si="130"/>
        <v>68</v>
      </c>
      <c r="R251" s="83">
        <f t="shared" si="131"/>
        <v>0.25</v>
      </c>
      <c r="S251" s="81">
        <f t="shared" si="137"/>
        <v>68</v>
      </c>
      <c r="T251" s="85"/>
      <c r="U251" s="81">
        <f t="shared" si="138"/>
        <v>68</v>
      </c>
      <c r="W251" s="83">
        <f t="shared" si="124"/>
        <v>0.25</v>
      </c>
      <c r="X251" s="81">
        <f t="shared" si="139"/>
        <v>68</v>
      </c>
      <c r="Y251" s="85"/>
      <c r="Z251" s="81">
        <f t="shared" si="132"/>
        <v>80.142857142857153</v>
      </c>
      <c r="AA251" s="81">
        <f t="shared" si="125"/>
        <v>96.972857142857151</v>
      </c>
      <c r="AC251" s="83">
        <f t="shared" si="126"/>
        <v>0.36363636363636376</v>
      </c>
      <c r="AD251" s="81">
        <f t="shared" si="141"/>
        <v>80.142857142857153</v>
      </c>
      <c r="AE251" s="86"/>
    </row>
    <row r="252" spans="1:31" s="88" customFormat="1" ht="15.75" hidden="1" customHeight="1" x14ac:dyDescent="0.2">
      <c r="A252" s="188"/>
      <c r="B252" s="184"/>
      <c r="C252" s="74">
        <v>116031</v>
      </c>
      <c r="D252" s="135">
        <v>7798053651432</v>
      </c>
      <c r="E252" s="76" t="s">
        <v>188</v>
      </c>
      <c r="F252" s="77">
        <v>24</v>
      </c>
      <c r="G252" s="78">
        <f t="shared" si="140"/>
        <v>51</v>
      </c>
      <c r="H252" s="91"/>
      <c r="I252" s="78">
        <f t="shared" si="127"/>
        <v>0</v>
      </c>
      <c r="K252" s="81">
        <f t="shared" si="128"/>
        <v>72.857142857142861</v>
      </c>
      <c r="M252" s="83">
        <f t="shared" si="129"/>
        <v>0.30000000000000004</v>
      </c>
      <c r="N252" s="81">
        <f t="shared" si="120"/>
        <v>72.857142857142861</v>
      </c>
      <c r="P252" s="81">
        <f t="shared" si="130"/>
        <v>68</v>
      </c>
      <c r="R252" s="83">
        <f t="shared" si="131"/>
        <v>0.25</v>
      </c>
      <c r="S252" s="81">
        <f t="shared" si="137"/>
        <v>68</v>
      </c>
      <c r="T252" s="85"/>
      <c r="U252" s="81">
        <f t="shared" si="138"/>
        <v>68</v>
      </c>
      <c r="W252" s="83">
        <f t="shared" si="124"/>
        <v>0.25</v>
      </c>
      <c r="X252" s="81">
        <f t="shared" si="139"/>
        <v>68</v>
      </c>
      <c r="Y252" s="85"/>
      <c r="Z252" s="81">
        <f t="shared" si="132"/>
        <v>80.142857142857153</v>
      </c>
      <c r="AA252" s="81">
        <f t="shared" si="125"/>
        <v>96.972857142857151</v>
      </c>
      <c r="AC252" s="83">
        <f t="shared" si="126"/>
        <v>0.36363636363636376</v>
      </c>
      <c r="AD252" s="81">
        <f t="shared" si="141"/>
        <v>80.142857142857153</v>
      </c>
      <c r="AE252" s="86"/>
    </row>
    <row r="253" spans="1:31" s="88" customFormat="1" ht="15.75" hidden="1" customHeight="1" x14ac:dyDescent="0.2">
      <c r="A253" s="188"/>
      <c r="B253" s="184"/>
      <c r="C253" s="74">
        <v>116032</v>
      </c>
      <c r="D253" s="135">
        <v>7798053651268</v>
      </c>
      <c r="E253" s="76" t="s">
        <v>189</v>
      </c>
      <c r="F253" s="77">
        <v>24</v>
      </c>
      <c r="G253" s="78">
        <f t="shared" si="140"/>
        <v>51</v>
      </c>
      <c r="H253" s="91"/>
      <c r="I253" s="78">
        <f t="shared" si="127"/>
        <v>0</v>
      </c>
      <c r="K253" s="81">
        <f t="shared" si="128"/>
        <v>72.857142857142861</v>
      </c>
      <c r="M253" s="83">
        <f t="shared" si="129"/>
        <v>0.30000000000000004</v>
      </c>
      <c r="N253" s="81">
        <f t="shared" si="120"/>
        <v>72.857142857142861</v>
      </c>
      <c r="P253" s="81">
        <f t="shared" si="130"/>
        <v>68</v>
      </c>
      <c r="R253" s="83">
        <f t="shared" si="131"/>
        <v>0.25</v>
      </c>
      <c r="S253" s="81">
        <f t="shared" si="137"/>
        <v>68</v>
      </c>
      <c r="T253" s="85"/>
      <c r="U253" s="81">
        <f t="shared" si="138"/>
        <v>68</v>
      </c>
      <c r="W253" s="83">
        <f t="shared" si="124"/>
        <v>0.25</v>
      </c>
      <c r="X253" s="81">
        <f t="shared" si="139"/>
        <v>68</v>
      </c>
      <c r="Y253" s="85"/>
      <c r="Z253" s="81">
        <f t="shared" si="132"/>
        <v>80.142857142857153</v>
      </c>
      <c r="AA253" s="81">
        <f t="shared" si="125"/>
        <v>96.972857142857151</v>
      </c>
      <c r="AC253" s="83">
        <f t="shared" si="126"/>
        <v>0.36363636363636376</v>
      </c>
      <c r="AD253" s="81">
        <f t="shared" si="141"/>
        <v>80.142857142857153</v>
      </c>
      <c r="AE253" s="86"/>
    </row>
    <row r="254" spans="1:31" s="88" customFormat="1" ht="15.75" hidden="1" customHeight="1" x14ac:dyDescent="0.2">
      <c r="A254" s="188"/>
      <c r="B254" s="184"/>
      <c r="C254" s="74">
        <v>116033</v>
      </c>
      <c r="D254" s="135">
        <v>7798053651401</v>
      </c>
      <c r="E254" s="76" t="s">
        <v>190</v>
      </c>
      <c r="F254" s="77">
        <v>24</v>
      </c>
      <c r="G254" s="78">
        <f t="shared" si="140"/>
        <v>51</v>
      </c>
      <c r="H254" s="91"/>
      <c r="I254" s="78">
        <f t="shared" si="127"/>
        <v>0</v>
      </c>
      <c r="K254" s="81">
        <f t="shared" si="128"/>
        <v>72.857142857142861</v>
      </c>
      <c r="M254" s="83">
        <f t="shared" si="129"/>
        <v>0.30000000000000004</v>
      </c>
      <c r="N254" s="81">
        <f>$G254/0.7</f>
        <v>72.857142857142861</v>
      </c>
      <c r="P254" s="81">
        <f t="shared" si="130"/>
        <v>68</v>
      </c>
      <c r="R254" s="83">
        <f t="shared" si="131"/>
        <v>0.25</v>
      </c>
      <c r="S254" s="81">
        <f t="shared" si="137"/>
        <v>68</v>
      </c>
      <c r="T254" s="85"/>
      <c r="U254" s="81">
        <f t="shared" si="138"/>
        <v>68</v>
      </c>
      <c r="W254" s="83">
        <f t="shared" si="124"/>
        <v>0.25</v>
      </c>
      <c r="X254" s="81">
        <f t="shared" si="139"/>
        <v>68</v>
      </c>
      <c r="Y254" s="85"/>
      <c r="Z254" s="81">
        <f t="shared" si="132"/>
        <v>80.142857142857153</v>
      </c>
      <c r="AA254" s="81">
        <f t="shared" si="125"/>
        <v>96.972857142857151</v>
      </c>
      <c r="AC254" s="83">
        <f t="shared" si="126"/>
        <v>0.36363636363636376</v>
      </c>
      <c r="AD254" s="81">
        <f t="shared" si="141"/>
        <v>80.142857142857153</v>
      </c>
      <c r="AE254" s="86"/>
    </row>
    <row r="255" spans="1:31" s="88" customFormat="1" ht="15.75" hidden="1" customHeight="1" x14ac:dyDescent="0.2">
      <c r="A255" s="188" t="s">
        <v>172</v>
      </c>
      <c r="B255" s="184" t="s">
        <v>173</v>
      </c>
      <c r="C255" s="74">
        <v>121001</v>
      </c>
      <c r="D255" s="90">
        <v>7798161720266</v>
      </c>
      <c r="E255" s="76" t="s">
        <v>174</v>
      </c>
      <c r="F255" s="77">
        <v>12</v>
      </c>
      <c r="G255" s="78">
        <v>0</v>
      </c>
      <c r="H255" s="91"/>
      <c r="I255" s="1">
        <f t="shared" si="127"/>
        <v>0</v>
      </c>
      <c r="K255" s="81">
        <f t="shared" si="128"/>
        <v>0</v>
      </c>
      <c r="M255" s="83" t="e">
        <f t="shared" si="129"/>
        <v>#DIV/0!</v>
      </c>
      <c r="N255" s="81">
        <f t="shared" ref="N255:N261" si="142">$G255/0.75</f>
        <v>0</v>
      </c>
      <c r="P255" s="81">
        <f t="shared" si="130"/>
        <v>0</v>
      </c>
      <c r="R255" s="83" t="e">
        <f t="shared" si="131"/>
        <v>#DIV/0!</v>
      </c>
      <c r="S255" s="81">
        <f t="shared" ref="S255:S261" si="143">$G255/0.82</f>
        <v>0</v>
      </c>
      <c r="T255" s="85"/>
      <c r="U255" s="81">
        <v>23.5</v>
      </c>
      <c r="W255" s="11">
        <f t="shared" si="124"/>
        <v>1</v>
      </c>
      <c r="X255" s="81" t="e">
        <f>#N/A</f>
        <v>#N/A</v>
      </c>
      <c r="Y255" s="85"/>
      <c r="Z255" s="81">
        <f t="shared" si="132"/>
        <v>0</v>
      </c>
      <c r="AA255" s="3">
        <f t="shared" si="125"/>
        <v>0</v>
      </c>
      <c r="AC255" s="11" t="e">
        <f t="shared" si="126"/>
        <v>#DIV/0!</v>
      </c>
      <c r="AD255" s="81">
        <f t="shared" si="141"/>
        <v>0</v>
      </c>
      <c r="AE255" s="86"/>
    </row>
    <row r="256" spans="1:31" s="88" customFormat="1" ht="15.75" hidden="1" customHeight="1" x14ac:dyDescent="0.2">
      <c r="A256" s="188"/>
      <c r="B256" s="184"/>
      <c r="C256" s="74">
        <v>121002</v>
      </c>
      <c r="D256" s="90">
        <v>7798161720044</v>
      </c>
      <c r="E256" s="76" t="s">
        <v>193</v>
      </c>
      <c r="F256" s="77">
        <v>12</v>
      </c>
      <c r="G256" s="78">
        <v>0</v>
      </c>
      <c r="H256" s="91"/>
      <c r="I256" s="1">
        <f t="shared" si="127"/>
        <v>0</v>
      </c>
      <c r="K256" s="81">
        <f t="shared" si="128"/>
        <v>0</v>
      </c>
      <c r="M256" s="83" t="e">
        <f t="shared" si="129"/>
        <v>#DIV/0!</v>
      </c>
      <c r="N256" s="81">
        <f t="shared" si="142"/>
        <v>0</v>
      </c>
      <c r="P256" s="81">
        <f t="shared" si="130"/>
        <v>0</v>
      </c>
      <c r="R256" s="83" t="e">
        <f t="shared" si="131"/>
        <v>#DIV/0!</v>
      </c>
      <c r="S256" s="81">
        <f t="shared" si="143"/>
        <v>0</v>
      </c>
      <c r="T256" s="85"/>
      <c r="U256" s="81">
        <f>U255</f>
        <v>23.5</v>
      </c>
      <c r="W256" s="11">
        <f t="shared" si="124"/>
        <v>1</v>
      </c>
      <c r="X256" s="81" t="e">
        <f>#N/A</f>
        <v>#N/A</v>
      </c>
      <c r="Y256" s="85"/>
      <c r="Z256" s="81">
        <f t="shared" si="132"/>
        <v>0</v>
      </c>
      <c r="AA256" s="3">
        <f t="shared" si="125"/>
        <v>0</v>
      </c>
      <c r="AC256" s="11" t="e">
        <f t="shared" si="126"/>
        <v>#DIV/0!</v>
      </c>
      <c r="AD256" s="81">
        <f t="shared" si="141"/>
        <v>0</v>
      </c>
      <c r="AE256" s="86"/>
    </row>
    <row r="257" spans="1:31" s="88" customFormat="1" ht="15.75" hidden="1" customHeight="1" x14ac:dyDescent="0.2">
      <c r="A257" s="188"/>
      <c r="B257" s="184"/>
      <c r="C257" s="74">
        <v>121003</v>
      </c>
      <c r="D257" s="90">
        <v>7798161720877</v>
      </c>
      <c r="E257" s="76" t="s">
        <v>194</v>
      </c>
      <c r="F257" s="77">
        <v>12</v>
      </c>
      <c r="G257" s="78">
        <v>0</v>
      </c>
      <c r="H257" s="91"/>
      <c r="I257" s="1">
        <f t="shared" si="127"/>
        <v>0</v>
      </c>
      <c r="K257" s="81">
        <f t="shared" si="128"/>
        <v>0</v>
      </c>
      <c r="M257" s="83" t="e">
        <f t="shared" si="129"/>
        <v>#DIV/0!</v>
      </c>
      <c r="N257" s="81">
        <f t="shared" si="142"/>
        <v>0</v>
      </c>
      <c r="P257" s="81">
        <f t="shared" si="130"/>
        <v>0</v>
      </c>
      <c r="R257" s="83" t="e">
        <f t="shared" si="131"/>
        <v>#DIV/0!</v>
      </c>
      <c r="S257" s="81">
        <f t="shared" si="143"/>
        <v>0</v>
      </c>
      <c r="T257" s="85"/>
      <c r="U257" s="81">
        <v>28</v>
      </c>
      <c r="W257" s="11">
        <f t="shared" si="124"/>
        <v>1</v>
      </c>
      <c r="X257" s="81" t="e">
        <f>#N/A</f>
        <v>#N/A</v>
      </c>
      <c r="Y257" s="85"/>
      <c r="Z257" s="81">
        <f t="shared" si="132"/>
        <v>0</v>
      </c>
      <c r="AA257" s="3">
        <f t="shared" si="125"/>
        <v>0</v>
      </c>
      <c r="AC257" s="11" t="e">
        <f t="shared" si="126"/>
        <v>#DIV/0!</v>
      </c>
      <c r="AD257" s="81">
        <f t="shared" si="141"/>
        <v>0</v>
      </c>
      <c r="AE257" s="86"/>
    </row>
    <row r="258" spans="1:31" s="88" customFormat="1" ht="15.75" hidden="1" customHeight="1" x14ac:dyDescent="0.2">
      <c r="A258" s="188"/>
      <c r="B258" s="184"/>
      <c r="C258" s="74">
        <v>121004</v>
      </c>
      <c r="D258" s="90">
        <v>7798161721102</v>
      </c>
      <c r="E258" s="76" t="s">
        <v>196</v>
      </c>
      <c r="F258" s="77">
        <v>12</v>
      </c>
      <c r="G258" s="78">
        <v>0</v>
      </c>
      <c r="H258" s="91"/>
      <c r="I258" s="1">
        <f t="shared" si="127"/>
        <v>0</v>
      </c>
      <c r="K258" s="81">
        <f t="shared" si="128"/>
        <v>0</v>
      </c>
      <c r="M258" s="83" t="e">
        <f t="shared" si="129"/>
        <v>#DIV/0!</v>
      </c>
      <c r="N258" s="81">
        <f t="shared" si="142"/>
        <v>0</v>
      </c>
      <c r="P258" s="81">
        <f t="shared" si="130"/>
        <v>0</v>
      </c>
      <c r="R258" s="83" t="e">
        <f t="shared" si="131"/>
        <v>#DIV/0!</v>
      </c>
      <c r="S258" s="81">
        <f t="shared" si="143"/>
        <v>0</v>
      </c>
      <c r="T258" s="85"/>
      <c r="U258" s="81">
        <v>31.9</v>
      </c>
      <c r="W258" s="11">
        <f t="shared" si="124"/>
        <v>1</v>
      </c>
      <c r="X258" s="81" t="e">
        <f>#N/A</f>
        <v>#N/A</v>
      </c>
      <c r="Y258" s="85"/>
      <c r="Z258" s="81">
        <f t="shared" si="132"/>
        <v>0</v>
      </c>
      <c r="AA258" s="3">
        <f t="shared" si="125"/>
        <v>0</v>
      </c>
      <c r="AC258" s="11" t="e">
        <f t="shared" si="126"/>
        <v>#DIV/0!</v>
      </c>
      <c r="AD258" s="81">
        <f t="shared" si="141"/>
        <v>0</v>
      </c>
      <c r="AE258" s="86"/>
    </row>
    <row r="259" spans="1:31" s="88" customFormat="1" ht="15.75" hidden="1" customHeight="1" x14ac:dyDescent="0.2">
      <c r="A259" s="188"/>
      <c r="B259" s="184"/>
      <c r="C259" s="74">
        <v>121005</v>
      </c>
      <c r="D259" s="90">
        <v>779816171096</v>
      </c>
      <c r="E259" s="76" t="s">
        <v>197</v>
      </c>
      <c r="F259" s="77">
        <v>12</v>
      </c>
      <c r="G259" s="78">
        <v>0</v>
      </c>
      <c r="H259" s="91"/>
      <c r="I259" s="1">
        <f t="shared" si="127"/>
        <v>0</v>
      </c>
      <c r="K259" s="81">
        <f t="shared" si="128"/>
        <v>0</v>
      </c>
      <c r="M259" s="83" t="e">
        <f t="shared" si="129"/>
        <v>#DIV/0!</v>
      </c>
      <c r="N259" s="81">
        <f t="shared" si="142"/>
        <v>0</v>
      </c>
      <c r="P259" s="81">
        <f t="shared" si="130"/>
        <v>0</v>
      </c>
      <c r="R259" s="83" t="e">
        <f t="shared" si="131"/>
        <v>#DIV/0!</v>
      </c>
      <c r="S259" s="81">
        <f t="shared" si="143"/>
        <v>0</v>
      </c>
      <c r="T259" s="85"/>
      <c r="U259" s="81">
        <f>U258</f>
        <v>31.9</v>
      </c>
      <c r="W259" s="11">
        <f t="shared" si="124"/>
        <v>1</v>
      </c>
      <c r="X259" s="81" t="e">
        <f>#N/A</f>
        <v>#N/A</v>
      </c>
      <c r="Y259" s="85"/>
      <c r="Z259" s="81">
        <f t="shared" si="132"/>
        <v>0</v>
      </c>
      <c r="AA259" s="3">
        <f t="shared" si="125"/>
        <v>0</v>
      </c>
      <c r="AC259" s="11" t="e">
        <f t="shared" si="126"/>
        <v>#DIV/0!</v>
      </c>
      <c r="AD259" s="81">
        <f t="shared" si="141"/>
        <v>0</v>
      </c>
      <c r="AE259" s="86"/>
    </row>
    <row r="260" spans="1:31" s="88" customFormat="1" ht="15.75" hidden="1" customHeight="1" x14ac:dyDescent="0.2">
      <c r="A260" s="188"/>
      <c r="B260" s="184"/>
      <c r="C260" s="74">
        <v>121006</v>
      </c>
      <c r="D260" s="90">
        <v>7798161721119</v>
      </c>
      <c r="E260" s="76" t="s">
        <v>198</v>
      </c>
      <c r="F260" s="77">
        <v>12</v>
      </c>
      <c r="G260" s="78">
        <v>0</v>
      </c>
      <c r="H260" s="91"/>
      <c r="I260" s="1">
        <f t="shared" si="127"/>
        <v>0</v>
      </c>
      <c r="K260" s="81">
        <f t="shared" si="128"/>
        <v>0</v>
      </c>
      <c r="M260" s="83" t="e">
        <f t="shared" si="129"/>
        <v>#DIV/0!</v>
      </c>
      <c r="N260" s="81">
        <f t="shared" si="142"/>
        <v>0</v>
      </c>
      <c r="P260" s="81">
        <f t="shared" si="130"/>
        <v>0</v>
      </c>
      <c r="R260" s="83" t="e">
        <f t="shared" si="131"/>
        <v>#DIV/0!</v>
      </c>
      <c r="S260" s="81">
        <f t="shared" si="143"/>
        <v>0</v>
      </c>
      <c r="T260" s="85"/>
      <c r="U260" s="81">
        <v>30.5</v>
      </c>
      <c r="W260" s="11">
        <f t="shared" si="124"/>
        <v>1</v>
      </c>
      <c r="X260" s="81" t="e">
        <f>#N/A</f>
        <v>#N/A</v>
      </c>
      <c r="Y260" s="85"/>
      <c r="Z260" s="81">
        <f t="shared" si="132"/>
        <v>0</v>
      </c>
      <c r="AA260" s="3">
        <f t="shared" si="125"/>
        <v>0</v>
      </c>
      <c r="AC260" s="11" t="e">
        <f t="shared" si="126"/>
        <v>#DIV/0!</v>
      </c>
      <c r="AD260" s="81">
        <f t="shared" si="141"/>
        <v>0</v>
      </c>
      <c r="AE260" s="86"/>
    </row>
    <row r="261" spans="1:31" s="88" customFormat="1" ht="15.75" hidden="1" customHeight="1" x14ac:dyDescent="0.2">
      <c r="A261" s="188"/>
      <c r="B261" s="184"/>
      <c r="C261" s="74">
        <v>121007</v>
      </c>
      <c r="D261" s="87"/>
      <c r="E261" s="76" t="s">
        <v>191</v>
      </c>
      <c r="F261" s="77">
        <v>6</v>
      </c>
      <c r="G261" s="78">
        <v>0</v>
      </c>
      <c r="H261" s="91"/>
      <c r="I261" s="1">
        <f t="shared" si="127"/>
        <v>0</v>
      </c>
      <c r="K261" s="81">
        <f t="shared" si="128"/>
        <v>0</v>
      </c>
      <c r="M261" s="83" t="e">
        <f t="shared" si="129"/>
        <v>#DIV/0!</v>
      </c>
      <c r="N261" s="81">
        <f t="shared" si="142"/>
        <v>0</v>
      </c>
      <c r="P261" s="81">
        <f t="shared" si="130"/>
        <v>0</v>
      </c>
      <c r="R261" s="83" t="e">
        <f t="shared" si="131"/>
        <v>#DIV/0!</v>
      </c>
      <c r="S261" s="81">
        <f t="shared" si="143"/>
        <v>0</v>
      </c>
      <c r="T261" s="85"/>
      <c r="U261" s="81">
        <v>30.5</v>
      </c>
      <c r="W261" s="11">
        <f t="shared" si="124"/>
        <v>1</v>
      </c>
      <c r="X261" s="81" t="e">
        <f>#N/A</f>
        <v>#N/A</v>
      </c>
      <c r="Y261" s="85"/>
      <c r="Z261" s="81">
        <f t="shared" si="132"/>
        <v>0</v>
      </c>
      <c r="AA261" s="3">
        <f t="shared" si="125"/>
        <v>0</v>
      </c>
      <c r="AC261" s="11" t="e">
        <f t="shared" si="126"/>
        <v>#DIV/0!</v>
      </c>
      <c r="AD261" s="81">
        <f t="shared" si="141"/>
        <v>0</v>
      </c>
      <c r="AE261" s="86"/>
    </row>
    <row r="262" spans="1:31" s="88" customFormat="1" ht="15.75" hidden="1" customHeight="1" x14ac:dyDescent="0.2">
      <c r="A262" s="185" t="s">
        <v>206</v>
      </c>
      <c r="B262" s="184" t="s">
        <v>215</v>
      </c>
      <c r="C262" s="74">
        <v>122001</v>
      </c>
      <c r="D262" s="141" t="s">
        <v>274</v>
      </c>
      <c r="E262" s="142" t="s">
        <v>337</v>
      </c>
      <c r="F262" s="77">
        <v>12</v>
      </c>
      <c r="G262" s="78">
        <v>11.2</v>
      </c>
      <c r="H262" s="91"/>
      <c r="I262" s="78">
        <f t="shared" si="127"/>
        <v>0</v>
      </c>
      <c r="K262" s="81">
        <f t="shared" si="128"/>
        <v>17.23076923076923</v>
      </c>
      <c r="M262" s="83">
        <f t="shared" si="129"/>
        <v>0.35</v>
      </c>
      <c r="N262" s="81">
        <f>$G262/0.65</f>
        <v>17.23076923076923</v>
      </c>
      <c r="O262" s="88">
        <v>35</v>
      </c>
      <c r="P262" s="81">
        <f t="shared" si="130"/>
        <v>17.23076923076923</v>
      </c>
      <c r="R262" s="83">
        <f t="shared" si="131"/>
        <v>0.35</v>
      </c>
      <c r="S262" s="81">
        <f>$G262/0.65</f>
        <v>17.23076923076923</v>
      </c>
      <c r="T262" s="85">
        <v>0.35</v>
      </c>
      <c r="U262" s="81">
        <f>K262</f>
        <v>17.23076923076923</v>
      </c>
      <c r="W262" s="83">
        <f t="shared" si="124"/>
        <v>0.35</v>
      </c>
      <c r="X262" s="81">
        <f>$G262/0.7</f>
        <v>16</v>
      </c>
      <c r="Y262" s="85"/>
      <c r="Z262" s="81">
        <f t="shared" si="132"/>
        <v>18.953846153846154</v>
      </c>
      <c r="AA262" s="81">
        <f t="shared" si="125"/>
        <v>22.934153846153844</v>
      </c>
      <c r="AC262" s="83">
        <f t="shared" si="126"/>
        <v>0.40909090909090917</v>
      </c>
      <c r="AD262" s="81">
        <f t="shared" si="141"/>
        <v>18.953846153846154</v>
      </c>
      <c r="AE262" s="86"/>
    </row>
    <row r="263" spans="1:31" s="88" customFormat="1" ht="15.75" hidden="1" customHeight="1" x14ac:dyDescent="0.2">
      <c r="A263" s="186"/>
      <c r="B263" s="184"/>
      <c r="C263" s="74">
        <v>122002</v>
      </c>
      <c r="D263" s="141" t="s">
        <v>275</v>
      </c>
      <c r="E263" s="142" t="s">
        <v>319</v>
      </c>
      <c r="F263" s="77">
        <v>12</v>
      </c>
      <c r="G263" s="78">
        <f>G262</f>
        <v>11.2</v>
      </c>
      <c r="H263" s="91"/>
      <c r="I263" s="78">
        <f t="shared" si="127"/>
        <v>0</v>
      </c>
      <c r="K263" s="81">
        <f t="shared" si="128"/>
        <v>17.23076923076923</v>
      </c>
      <c r="M263" s="83">
        <f t="shared" si="129"/>
        <v>0.35</v>
      </c>
      <c r="N263" s="81">
        <f t="shared" ref="N263:N278" si="144">$G263/0.65</f>
        <v>17.23076923076923</v>
      </c>
      <c r="P263" s="81">
        <f t="shared" si="130"/>
        <v>17.23076923076923</v>
      </c>
      <c r="R263" s="83">
        <f t="shared" si="131"/>
        <v>0.35</v>
      </c>
      <c r="S263" s="81">
        <f t="shared" ref="S263:S278" si="145">$G263/0.65</f>
        <v>17.23076923076923</v>
      </c>
      <c r="T263" s="85"/>
      <c r="U263" s="81">
        <f>U262</f>
        <v>17.23076923076923</v>
      </c>
      <c r="W263" s="83">
        <f t="shared" si="124"/>
        <v>0.35</v>
      </c>
      <c r="X263" s="81">
        <f t="shared" ref="X263:X273" si="146">$G263/0.7</f>
        <v>16</v>
      </c>
      <c r="Y263" s="85"/>
      <c r="Z263" s="81">
        <f t="shared" si="132"/>
        <v>18.953846153846154</v>
      </c>
      <c r="AA263" s="81">
        <f t="shared" si="125"/>
        <v>22.934153846153844</v>
      </c>
      <c r="AC263" s="83">
        <f t="shared" si="126"/>
        <v>0.40909090909090917</v>
      </c>
      <c r="AD263" s="81">
        <f t="shared" si="141"/>
        <v>18.953846153846154</v>
      </c>
      <c r="AE263" s="86"/>
    </row>
    <row r="264" spans="1:31" s="88" customFormat="1" ht="15.75" hidden="1" customHeight="1" x14ac:dyDescent="0.2">
      <c r="A264" s="186"/>
      <c r="B264" s="184"/>
      <c r="C264" s="74">
        <v>122003</v>
      </c>
      <c r="D264" s="141" t="s">
        <v>276</v>
      </c>
      <c r="E264" s="142" t="s">
        <v>338</v>
      </c>
      <c r="F264" s="77">
        <v>12</v>
      </c>
      <c r="G264" s="78">
        <f>G262</f>
        <v>11.2</v>
      </c>
      <c r="H264" s="91"/>
      <c r="I264" s="78">
        <f t="shared" si="127"/>
        <v>0</v>
      </c>
      <c r="K264" s="81">
        <f t="shared" si="128"/>
        <v>17.23076923076923</v>
      </c>
      <c r="M264" s="83">
        <f t="shared" si="129"/>
        <v>0.35</v>
      </c>
      <c r="N264" s="81">
        <f t="shared" si="144"/>
        <v>17.23076923076923</v>
      </c>
      <c r="P264" s="81">
        <f t="shared" si="130"/>
        <v>17.23076923076923</v>
      </c>
      <c r="R264" s="83">
        <f t="shared" si="131"/>
        <v>0.35</v>
      </c>
      <c r="S264" s="81">
        <f t="shared" si="145"/>
        <v>17.23076923076923</v>
      </c>
      <c r="T264" s="85"/>
      <c r="U264" s="81">
        <f>U263</f>
        <v>17.23076923076923</v>
      </c>
      <c r="W264" s="83">
        <f t="shared" si="124"/>
        <v>0.35</v>
      </c>
      <c r="X264" s="81">
        <f t="shared" si="146"/>
        <v>16</v>
      </c>
      <c r="Y264" s="85"/>
      <c r="Z264" s="81">
        <f t="shared" si="132"/>
        <v>18.953846153846154</v>
      </c>
      <c r="AA264" s="81">
        <f t="shared" si="125"/>
        <v>22.934153846153844</v>
      </c>
      <c r="AC264" s="83">
        <f t="shared" si="126"/>
        <v>0.40909090909090917</v>
      </c>
      <c r="AD264" s="81">
        <f t="shared" si="141"/>
        <v>18.953846153846154</v>
      </c>
      <c r="AE264" s="86"/>
    </row>
    <row r="265" spans="1:31" s="88" customFormat="1" ht="15.75" hidden="1" customHeight="1" x14ac:dyDescent="0.2">
      <c r="A265" s="186"/>
      <c r="B265" s="184"/>
      <c r="C265" s="74">
        <v>122004</v>
      </c>
      <c r="D265" s="141" t="s">
        <v>277</v>
      </c>
      <c r="E265" s="142" t="s">
        <v>339</v>
      </c>
      <c r="F265" s="77">
        <v>12</v>
      </c>
      <c r="G265" s="78">
        <f>G262</f>
        <v>11.2</v>
      </c>
      <c r="H265" s="91"/>
      <c r="I265" s="78">
        <f t="shared" si="127"/>
        <v>0</v>
      </c>
      <c r="K265" s="81">
        <f t="shared" si="128"/>
        <v>17.23076923076923</v>
      </c>
      <c r="M265" s="83">
        <f t="shared" si="129"/>
        <v>0.35</v>
      </c>
      <c r="N265" s="81">
        <f t="shared" si="144"/>
        <v>17.23076923076923</v>
      </c>
      <c r="P265" s="81">
        <f t="shared" si="130"/>
        <v>17.23076923076923</v>
      </c>
      <c r="R265" s="83">
        <f t="shared" si="131"/>
        <v>0.35</v>
      </c>
      <c r="S265" s="81">
        <f t="shared" si="145"/>
        <v>17.23076923076923</v>
      </c>
      <c r="T265" s="85"/>
      <c r="U265" s="81">
        <f>U264</f>
        <v>17.23076923076923</v>
      </c>
      <c r="W265" s="83">
        <f t="shared" si="124"/>
        <v>0.35</v>
      </c>
      <c r="X265" s="81">
        <f t="shared" si="146"/>
        <v>16</v>
      </c>
      <c r="Y265" s="85"/>
      <c r="Z265" s="81">
        <f t="shared" si="132"/>
        <v>18.953846153846154</v>
      </c>
      <c r="AA265" s="81">
        <f t="shared" si="125"/>
        <v>22.934153846153844</v>
      </c>
      <c r="AC265" s="83">
        <f t="shared" si="126"/>
        <v>0.40909090909090917</v>
      </c>
      <c r="AD265" s="81">
        <f t="shared" si="141"/>
        <v>18.953846153846154</v>
      </c>
      <c r="AE265" s="86"/>
    </row>
    <row r="266" spans="1:31" s="88" customFormat="1" ht="15.75" hidden="1" customHeight="1" x14ac:dyDescent="0.2">
      <c r="A266" s="186"/>
      <c r="B266" s="184" t="s">
        <v>207</v>
      </c>
      <c r="C266" s="74">
        <v>122005</v>
      </c>
      <c r="D266" s="143" t="s">
        <v>278</v>
      </c>
      <c r="E266" s="142" t="s">
        <v>340</v>
      </c>
      <c r="F266" s="77">
        <v>20</v>
      </c>
      <c r="G266" s="78">
        <v>13</v>
      </c>
      <c r="H266" s="91"/>
      <c r="I266" s="78">
        <f t="shared" si="127"/>
        <v>0</v>
      </c>
      <c r="K266" s="81">
        <f t="shared" si="128"/>
        <v>20</v>
      </c>
      <c r="M266" s="83">
        <f t="shared" si="129"/>
        <v>0.35</v>
      </c>
      <c r="N266" s="81">
        <f t="shared" si="144"/>
        <v>20</v>
      </c>
      <c r="P266" s="81">
        <f t="shared" si="130"/>
        <v>20</v>
      </c>
      <c r="R266" s="83">
        <f t="shared" si="131"/>
        <v>0.35</v>
      </c>
      <c r="S266" s="81">
        <f t="shared" si="145"/>
        <v>20</v>
      </c>
      <c r="T266" s="85"/>
      <c r="U266" s="81">
        <f>K266</f>
        <v>20</v>
      </c>
      <c r="W266" s="83">
        <f t="shared" si="124"/>
        <v>0.35</v>
      </c>
      <c r="X266" s="81">
        <f t="shared" si="146"/>
        <v>18.571428571428573</v>
      </c>
      <c r="Y266" s="85"/>
      <c r="Z266" s="81">
        <f t="shared" si="132"/>
        <v>22</v>
      </c>
      <c r="AA266" s="81">
        <f t="shared" si="125"/>
        <v>26.619999999999997</v>
      </c>
      <c r="AC266" s="83">
        <f t="shared" si="126"/>
        <v>0.40909090909090906</v>
      </c>
      <c r="AD266" s="81">
        <f t="shared" si="141"/>
        <v>22</v>
      </c>
      <c r="AE266" s="86"/>
    </row>
    <row r="267" spans="1:31" s="88" customFormat="1" ht="15.75" hidden="1" customHeight="1" x14ac:dyDescent="0.2">
      <c r="A267" s="186"/>
      <c r="B267" s="184"/>
      <c r="C267" s="74">
        <v>122006</v>
      </c>
      <c r="D267" s="143" t="s">
        <v>281</v>
      </c>
      <c r="E267" s="142" t="s">
        <v>341</v>
      </c>
      <c r="F267" s="77">
        <v>20</v>
      </c>
      <c r="G267" s="78">
        <f>G266</f>
        <v>13</v>
      </c>
      <c r="H267" s="91"/>
      <c r="I267" s="78">
        <f t="shared" si="127"/>
        <v>0</v>
      </c>
      <c r="K267" s="81">
        <f t="shared" si="128"/>
        <v>20</v>
      </c>
      <c r="M267" s="83">
        <f t="shared" si="129"/>
        <v>0.35</v>
      </c>
      <c r="N267" s="81">
        <f t="shared" si="144"/>
        <v>20</v>
      </c>
      <c r="P267" s="81">
        <f t="shared" si="130"/>
        <v>20</v>
      </c>
      <c r="R267" s="83">
        <f t="shared" si="131"/>
        <v>0.35</v>
      </c>
      <c r="S267" s="81">
        <f t="shared" si="145"/>
        <v>20</v>
      </c>
      <c r="T267" s="85"/>
      <c r="U267" s="81">
        <f>U266</f>
        <v>20</v>
      </c>
      <c r="W267" s="83">
        <f t="shared" si="124"/>
        <v>0.35</v>
      </c>
      <c r="X267" s="81">
        <f t="shared" si="146"/>
        <v>18.571428571428573</v>
      </c>
      <c r="Y267" s="85"/>
      <c r="Z267" s="81">
        <f t="shared" si="132"/>
        <v>22</v>
      </c>
      <c r="AA267" s="81">
        <f t="shared" si="125"/>
        <v>26.619999999999997</v>
      </c>
      <c r="AC267" s="83">
        <f t="shared" si="126"/>
        <v>0.40909090909090906</v>
      </c>
      <c r="AD267" s="81">
        <f t="shared" si="141"/>
        <v>22</v>
      </c>
      <c r="AE267" s="86"/>
    </row>
    <row r="268" spans="1:31" s="88" customFormat="1" ht="15.75" hidden="1" customHeight="1" x14ac:dyDescent="0.2">
      <c r="A268" s="186"/>
      <c r="B268" s="184"/>
      <c r="C268" s="74">
        <v>122007</v>
      </c>
      <c r="D268" s="143" t="s">
        <v>279</v>
      </c>
      <c r="E268" s="144" t="s">
        <v>342</v>
      </c>
      <c r="F268" s="77">
        <v>20</v>
      </c>
      <c r="G268" s="78">
        <f>G267</f>
        <v>13</v>
      </c>
      <c r="H268" s="91"/>
      <c r="I268" s="78">
        <f t="shared" si="127"/>
        <v>0</v>
      </c>
      <c r="K268" s="81">
        <f t="shared" si="128"/>
        <v>20</v>
      </c>
      <c r="M268" s="83">
        <f t="shared" si="129"/>
        <v>0.35</v>
      </c>
      <c r="N268" s="81">
        <f t="shared" si="144"/>
        <v>20</v>
      </c>
      <c r="P268" s="81">
        <f t="shared" si="130"/>
        <v>20</v>
      </c>
      <c r="R268" s="83">
        <f t="shared" si="131"/>
        <v>0.35</v>
      </c>
      <c r="S268" s="81">
        <f t="shared" si="145"/>
        <v>20</v>
      </c>
      <c r="T268" s="85"/>
      <c r="U268" s="81">
        <f>U267</f>
        <v>20</v>
      </c>
      <c r="W268" s="83">
        <f t="shared" si="124"/>
        <v>0.35</v>
      </c>
      <c r="X268" s="81">
        <f t="shared" si="146"/>
        <v>18.571428571428573</v>
      </c>
      <c r="Y268" s="85"/>
      <c r="Z268" s="81">
        <f t="shared" si="132"/>
        <v>22</v>
      </c>
      <c r="AA268" s="81">
        <f t="shared" si="125"/>
        <v>26.619999999999997</v>
      </c>
      <c r="AC268" s="83">
        <f t="shared" si="126"/>
        <v>0.40909090909090906</v>
      </c>
      <c r="AD268" s="81">
        <f t="shared" si="141"/>
        <v>22</v>
      </c>
      <c r="AE268" s="86"/>
    </row>
    <row r="269" spans="1:31" s="88" customFormat="1" ht="15.75" hidden="1" customHeight="1" x14ac:dyDescent="0.2">
      <c r="A269" s="186"/>
      <c r="B269" s="184"/>
      <c r="C269" s="145">
        <v>122008</v>
      </c>
      <c r="D269" s="143" t="s">
        <v>280</v>
      </c>
      <c r="E269" s="146" t="s">
        <v>320</v>
      </c>
      <c r="F269" s="147">
        <v>20</v>
      </c>
      <c r="G269" s="148">
        <f>G268</f>
        <v>13</v>
      </c>
      <c r="H269" s="149"/>
      <c r="I269" s="78">
        <f t="shared" si="127"/>
        <v>0</v>
      </c>
      <c r="K269" s="81">
        <f t="shared" si="128"/>
        <v>20</v>
      </c>
      <c r="M269" s="83">
        <f t="shared" si="129"/>
        <v>0.35</v>
      </c>
      <c r="N269" s="81">
        <f t="shared" si="144"/>
        <v>20</v>
      </c>
      <c r="P269" s="81">
        <f t="shared" si="130"/>
        <v>20</v>
      </c>
      <c r="R269" s="83">
        <f t="shared" si="131"/>
        <v>0.35</v>
      </c>
      <c r="S269" s="81">
        <f t="shared" si="145"/>
        <v>20</v>
      </c>
      <c r="T269" s="85"/>
      <c r="U269" s="81">
        <f>K269</f>
        <v>20</v>
      </c>
      <c r="W269" s="83">
        <f t="shared" si="124"/>
        <v>0.35</v>
      </c>
      <c r="X269" s="81">
        <f t="shared" si="146"/>
        <v>18.571428571428573</v>
      </c>
      <c r="Y269" s="85"/>
      <c r="Z269" s="81">
        <f t="shared" si="132"/>
        <v>22</v>
      </c>
      <c r="AA269" s="81">
        <f t="shared" si="125"/>
        <v>26.619999999999997</v>
      </c>
      <c r="AC269" s="83">
        <f t="shared" si="126"/>
        <v>0.40909090909090906</v>
      </c>
      <c r="AD269" s="81">
        <f t="shared" si="141"/>
        <v>22</v>
      </c>
      <c r="AE269" s="86"/>
    </row>
    <row r="270" spans="1:31" s="82" customFormat="1" ht="15.75" hidden="1" customHeight="1" x14ac:dyDescent="0.2">
      <c r="A270" s="186"/>
      <c r="B270" s="189" t="s">
        <v>301</v>
      </c>
      <c r="C270" s="74">
        <v>122009</v>
      </c>
      <c r="D270" s="111" t="s">
        <v>294</v>
      </c>
      <c r="E270" s="150" t="s">
        <v>293</v>
      </c>
      <c r="F270" s="77">
        <v>10</v>
      </c>
      <c r="G270" s="78">
        <v>28.5</v>
      </c>
      <c r="H270" s="91"/>
      <c r="I270" s="78">
        <f t="shared" si="127"/>
        <v>0</v>
      </c>
      <c r="J270" s="88"/>
      <c r="K270" s="81">
        <f t="shared" si="128"/>
        <v>43.846153846153847</v>
      </c>
      <c r="L270" s="88"/>
      <c r="M270" s="83">
        <f t="shared" si="129"/>
        <v>0.35</v>
      </c>
      <c r="N270" s="81">
        <f t="shared" si="144"/>
        <v>43.846153846153847</v>
      </c>
      <c r="O270" s="88"/>
      <c r="P270" s="81">
        <f t="shared" si="130"/>
        <v>43.846153846153847</v>
      </c>
      <c r="Q270" s="88"/>
      <c r="R270" s="83">
        <f t="shared" si="131"/>
        <v>0.35</v>
      </c>
      <c r="S270" s="81">
        <f t="shared" si="145"/>
        <v>43.846153846153847</v>
      </c>
      <c r="T270" s="85"/>
      <c r="U270" s="81">
        <f>P270</f>
        <v>43.846153846153847</v>
      </c>
      <c r="V270" s="88"/>
      <c r="W270" s="83">
        <f t="shared" si="124"/>
        <v>0.35</v>
      </c>
      <c r="X270" s="81">
        <f t="shared" si="146"/>
        <v>40.714285714285715</v>
      </c>
      <c r="Y270" s="85"/>
      <c r="Z270" s="81">
        <f t="shared" si="132"/>
        <v>48.230769230769234</v>
      </c>
      <c r="AA270" s="81">
        <f t="shared" si="125"/>
        <v>58.35923076923077</v>
      </c>
      <c r="AB270" s="88"/>
      <c r="AC270" s="83">
        <f t="shared" si="126"/>
        <v>0.40909090909090917</v>
      </c>
      <c r="AD270" s="81">
        <f t="shared" si="141"/>
        <v>48.230769230769234</v>
      </c>
      <c r="AE270" s="81"/>
    </row>
    <row r="271" spans="1:31" s="82" customFormat="1" ht="15.75" hidden="1" customHeight="1" x14ac:dyDescent="0.2">
      <c r="A271" s="186"/>
      <c r="B271" s="191"/>
      <c r="C271" s="74">
        <v>122010</v>
      </c>
      <c r="D271" s="111" t="s">
        <v>295</v>
      </c>
      <c r="E271" s="112" t="s">
        <v>291</v>
      </c>
      <c r="F271" s="77">
        <v>10</v>
      </c>
      <c r="G271" s="78">
        <f>G270</f>
        <v>28.5</v>
      </c>
      <c r="H271" s="91"/>
      <c r="I271" s="78">
        <f t="shared" si="127"/>
        <v>0</v>
      </c>
      <c r="J271" s="88"/>
      <c r="K271" s="81">
        <f t="shared" si="128"/>
        <v>43.846153846153847</v>
      </c>
      <c r="L271" s="88"/>
      <c r="M271" s="83">
        <f t="shared" si="129"/>
        <v>0.35</v>
      </c>
      <c r="N271" s="81">
        <f t="shared" si="144"/>
        <v>43.846153846153847</v>
      </c>
      <c r="O271" s="88"/>
      <c r="P271" s="81">
        <f t="shared" si="130"/>
        <v>43.846153846153847</v>
      </c>
      <c r="Q271" s="88"/>
      <c r="R271" s="83">
        <f t="shared" si="131"/>
        <v>0.35</v>
      </c>
      <c r="S271" s="81">
        <f t="shared" si="145"/>
        <v>43.846153846153847</v>
      </c>
      <c r="T271" s="85"/>
      <c r="U271" s="81">
        <f>U270</f>
        <v>43.846153846153847</v>
      </c>
      <c r="V271" s="88"/>
      <c r="W271" s="83">
        <f t="shared" si="124"/>
        <v>0.35</v>
      </c>
      <c r="X271" s="81">
        <f t="shared" si="146"/>
        <v>40.714285714285715</v>
      </c>
      <c r="Y271" s="85"/>
      <c r="Z271" s="81">
        <f t="shared" si="132"/>
        <v>48.230769230769234</v>
      </c>
      <c r="AA271" s="81">
        <f t="shared" si="125"/>
        <v>58.35923076923077</v>
      </c>
      <c r="AB271" s="88"/>
      <c r="AC271" s="83">
        <f t="shared" si="126"/>
        <v>0.40909090909090917</v>
      </c>
      <c r="AD271" s="81">
        <f t="shared" si="141"/>
        <v>48.230769230769234</v>
      </c>
      <c r="AE271" s="81"/>
    </row>
    <row r="272" spans="1:31" s="82" customFormat="1" ht="15.75" hidden="1" customHeight="1" x14ac:dyDescent="0.2">
      <c r="A272" s="186"/>
      <c r="B272" s="191"/>
      <c r="C272" s="74">
        <v>122011</v>
      </c>
      <c r="D272" s="111" t="s">
        <v>296</v>
      </c>
      <c r="E272" s="112" t="s">
        <v>292</v>
      </c>
      <c r="F272" s="77">
        <v>28</v>
      </c>
      <c r="G272" s="78">
        <f>G271</f>
        <v>28.5</v>
      </c>
      <c r="H272" s="91"/>
      <c r="I272" s="78">
        <f t="shared" si="127"/>
        <v>0</v>
      </c>
      <c r="J272" s="88"/>
      <c r="K272" s="81">
        <f t="shared" si="128"/>
        <v>43.846153846153847</v>
      </c>
      <c r="L272" s="88"/>
      <c r="M272" s="83">
        <f t="shared" si="129"/>
        <v>0.35</v>
      </c>
      <c r="N272" s="81">
        <f t="shared" si="144"/>
        <v>43.846153846153847</v>
      </c>
      <c r="O272" s="88"/>
      <c r="P272" s="81">
        <f t="shared" si="130"/>
        <v>43.846153846153847</v>
      </c>
      <c r="Q272" s="88"/>
      <c r="R272" s="83">
        <f t="shared" si="131"/>
        <v>0.35</v>
      </c>
      <c r="S272" s="81">
        <f t="shared" si="145"/>
        <v>43.846153846153847</v>
      </c>
      <c r="T272" s="85"/>
      <c r="U272" s="81">
        <f>U271</f>
        <v>43.846153846153847</v>
      </c>
      <c r="V272" s="88"/>
      <c r="W272" s="83">
        <f t="shared" si="124"/>
        <v>0.35</v>
      </c>
      <c r="X272" s="81">
        <f t="shared" si="146"/>
        <v>40.714285714285715</v>
      </c>
      <c r="Y272" s="85"/>
      <c r="Z272" s="81">
        <f t="shared" si="132"/>
        <v>48.230769230769234</v>
      </c>
      <c r="AA272" s="81">
        <f t="shared" si="125"/>
        <v>58.35923076923077</v>
      </c>
      <c r="AB272" s="88"/>
      <c r="AC272" s="83">
        <f t="shared" si="126"/>
        <v>0.40909090909090917</v>
      </c>
      <c r="AD272" s="81">
        <f t="shared" si="141"/>
        <v>48.230769230769234</v>
      </c>
      <c r="AE272" s="81"/>
    </row>
    <row r="273" spans="1:31" s="82" customFormat="1" ht="15.75" hidden="1" customHeight="1" x14ac:dyDescent="0.2">
      <c r="A273" s="186"/>
      <c r="B273" s="191"/>
      <c r="C273" s="74">
        <v>122012</v>
      </c>
      <c r="D273" s="111" t="s">
        <v>297</v>
      </c>
      <c r="E273" s="112" t="s">
        <v>299</v>
      </c>
      <c r="F273" s="77">
        <v>28</v>
      </c>
      <c r="G273" s="78">
        <f>85*0.92</f>
        <v>78.2</v>
      </c>
      <c r="H273" s="91"/>
      <c r="I273" s="78">
        <f t="shared" si="127"/>
        <v>0</v>
      </c>
      <c r="J273" s="88"/>
      <c r="K273" s="81">
        <f t="shared" si="128"/>
        <v>120.30769230769231</v>
      </c>
      <c r="L273" s="88"/>
      <c r="M273" s="83">
        <f t="shared" si="129"/>
        <v>0.35</v>
      </c>
      <c r="N273" s="81">
        <f t="shared" si="144"/>
        <v>120.30769230769231</v>
      </c>
      <c r="O273" s="88"/>
      <c r="P273" s="81">
        <f t="shared" si="130"/>
        <v>120.30769230769231</v>
      </c>
      <c r="Q273" s="88"/>
      <c r="R273" s="83">
        <f t="shared" si="131"/>
        <v>0.35</v>
      </c>
      <c r="S273" s="81">
        <f t="shared" si="145"/>
        <v>120.30769230769231</v>
      </c>
      <c r="T273" s="85"/>
      <c r="U273" s="81">
        <f>K273</f>
        <v>120.30769230769231</v>
      </c>
      <c r="V273" s="88"/>
      <c r="W273" s="83">
        <f t="shared" si="124"/>
        <v>0.35</v>
      </c>
      <c r="X273" s="81">
        <f t="shared" si="146"/>
        <v>111.71428571428572</v>
      </c>
      <c r="Y273" s="85"/>
      <c r="Z273" s="81">
        <f t="shared" si="132"/>
        <v>132.33846153846156</v>
      </c>
      <c r="AA273" s="81">
        <f t="shared" si="125"/>
        <v>160.12953846153849</v>
      </c>
      <c r="AB273" s="88"/>
      <c r="AC273" s="83">
        <f t="shared" si="126"/>
        <v>0.40909090909090917</v>
      </c>
      <c r="AD273" s="81">
        <f t="shared" si="141"/>
        <v>132.33846153846156</v>
      </c>
      <c r="AE273" s="81"/>
    </row>
    <row r="274" spans="1:31" s="82" customFormat="1" ht="15.75" hidden="1" customHeight="1" x14ac:dyDescent="0.2">
      <c r="A274" s="186"/>
      <c r="B274" s="191"/>
      <c r="C274" s="74">
        <v>122013</v>
      </c>
      <c r="D274" s="111" t="s">
        <v>298</v>
      </c>
      <c r="E274" s="112" t="s">
        <v>300</v>
      </c>
      <c r="F274" s="77">
        <v>28</v>
      </c>
      <c r="G274" s="78">
        <f>G273</f>
        <v>78.2</v>
      </c>
      <c r="H274" s="91"/>
      <c r="I274" s="78">
        <f t="shared" si="127"/>
        <v>0</v>
      </c>
      <c r="J274" s="88"/>
      <c r="K274" s="81">
        <f t="shared" si="128"/>
        <v>120.30769230769231</v>
      </c>
      <c r="L274" s="88"/>
      <c r="M274" s="83">
        <f t="shared" si="129"/>
        <v>0.35</v>
      </c>
      <c r="N274" s="81">
        <f t="shared" si="144"/>
        <v>120.30769230769231</v>
      </c>
      <c r="O274" s="88"/>
      <c r="P274" s="81">
        <f t="shared" si="130"/>
        <v>120.30769230769231</v>
      </c>
      <c r="Q274" s="88"/>
      <c r="R274" s="83">
        <f t="shared" si="131"/>
        <v>0.35</v>
      </c>
      <c r="S274" s="81">
        <f t="shared" si="145"/>
        <v>120.30769230769231</v>
      </c>
      <c r="T274" s="85"/>
      <c r="U274" s="81">
        <f>U273</f>
        <v>120.30769230769231</v>
      </c>
      <c r="V274" s="88"/>
      <c r="W274" s="83">
        <f t="shared" si="124"/>
        <v>0.35</v>
      </c>
      <c r="X274" s="81">
        <f>$G274/0.7</f>
        <v>111.71428571428572</v>
      </c>
      <c r="Y274" s="85"/>
      <c r="Z274" s="81">
        <f t="shared" si="132"/>
        <v>132.33846153846156</v>
      </c>
      <c r="AA274" s="81">
        <f t="shared" si="125"/>
        <v>160.12953846153849</v>
      </c>
      <c r="AB274" s="88"/>
      <c r="AC274" s="83">
        <f t="shared" si="126"/>
        <v>0.40909090909090917</v>
      </c>
      <c r="AD274" s="81">
        <f t="shared" si="141"/>
        <v>132.33846153846156</v>
      </c>
      <c r="AE274" s="81"/>
    </row>
    <row r="275" spans="1:31" s="82" customFormat="1" ht="15.75" hidden="1" customHeight="1" x14ac:dyDescent="0.2">
      <c r="A275" s="186"/>
      <c r="B275" s="191" t="s">
        <v>388</v>
      </c>
      <c r="C275" s="74">
        <v>122014</v>
      </c>
      <c r="D275" s="111"/>
      <c r="E275" s="113" t="s">
        <v>389</v>
      </c>
      <c r="F275" s="77">
        <v>12</v>
      </c>
      <c r="G275" s="78">
        <v>11.2</v>
      </c>
      <c r="H275" s="91"/>
      <c r="I275" s="78">
        <f t="shared" si="127"/>
        <v>0</v>
      </c>
      <c r="J275" s="88"/>
      <c r="K275" s="81">
        <f t="shared" si="128"/>
        <v>17.23076923076923</v>
      </c>
      <c r="L275" s="88"/>
      <c r="M275" s="83">
        <f t="shared" si="129"/>
        <v>0.35</v>
      </c>
      <c r="N275" s="81">
        <f t="shared" si="144"/>
        <v>17.23076923076923</v>
      </c>
      <c r="O275" s="88"/>
      <c r="P275" s="81">
        <f t="shared" si="130"/>
        <v>17.23076923076923</v>
      </c>
      <c r="Q275" s="88"/>
      <c r="R275" s="83">
        <f t="shared" si="131"/>
        <v>0.35</v>
      </c>
      <c r="S275" s="81">
        <f t="shared" si="145"/>
        <v>17.23076923076923</v>
      </c>
      <c r="T275" s="85"/>
      <c r="U275" s="81">
        <f>X275</f>
        <v>16</v>
      </c>
      <c r="V275" s="88"/>
      <c r="W275" s="83">
        <f t="shared" si="124"/>
        <v>0.30000000000000004</v>
      </c>
      <c r="X275" s="81">
        <f>$G275/0.7</f>
        <v>16</v>
      </c>
      <c r="Y275" s="85"/>
      <c r="Z275" s="81">
        <f t="shared" si="132"/>
        <v>18.953846153846154</v>
      </c>
      <c r="AA275" s="81">
        <f t="shared" si="125"/>
        <v>22.934153846153844</v>
      </c>
      <c r="AB275" s="88"/>
      <c r="AC275" s="83">
        <f t="shared" si="126"/>
        <v>0.40909090909090917</v>
      </c>
      <c r="AD275" s="81">
        <f t="shared" si="141"/>
        <v>18.953846153846154</v>
      </c>
      <c r="AE275" s="81"/>
    </row>
    <row r="276" spans="1:31" s="82" customFormat="1" ht="15.75" hidden="1" customHeight="1" x14ac:dyDescent="0.2">
      <c r="A276" s="186"/>
      <c r="B276" s="191"/>
      <c r="C276" s="74">
        <v>122015</v>
      </c>
      <c r="D276" s="111"/>
      <c r="E276" s="151" t="s">
        <v>390</v>
      </c>
      <c r="F276" s="77">
        <v>12</v>
      </c>
      <c r="G276" s="78">
        <f>G275</f>
        <v>11.2</v>
      </c>
      <c r="H276" s="91"/>
      <c r="I276" s="78">
        <f t="shared" si="127"/>
        <v>0</v>
      </c>
      <c r="J276" s="88"/>
      <c r="K276" s="81">
        <f t="shared" si="128"/>
        <v>17.23076923076923</v>
      </c>
      <c r="L276" s="88"/>
      <c r="M276" s="83">
        <f t="shared" si="129"/>
        <v>0.35</v>
      </c>
      <c r="N276" s="81">
        <f t="shared" si="144"/>
        <v>17.23076923076923</v>
      </c>
      <c r="O276" s="88"/>
      <c r="P276" s="81">
        <f t="shared" si="130"/>
        <v>17.23076923076923</v>
      </c>
      <c r="Q276" s="88"/>
      <c r="R276" s="83">
        <f t="shared" si="131"/>
        <v>0.35</v>
      </c>
      <c r="S276" s="81">
        <f t="shared" si="145"/>
        <v>17.23076923076923</v>
      </c>
      <c r="T276" s="85"/>
      <c r="U276" s="81">
        <f>X276</f>
        <v>16</v>
      </c>
      <c r="V276" s="88"/>
      <c r="W276" s="83">
        <f t="shared" si="124"/>
        <v>0.30000000000000004</v>
      </c>
      <c r="X276" s="81">
        <f>$G276/0.7</f>
        <v>16</v>
      </c>
      <c r="Y276" s="85"/>
      <c r="Z276" s="81">
        <f t="shared" si="132"/>
        <v>18.953846153846154</v>
      </c>
      <c r="AA276" s="81">
        <f t="shared" si="125"/>
        <v>22.934153846153844</v>
      </c>
      <c r="AB276" s="88"/>
      <c r="AC276" s="83">
        <f t="shared" si="126"/>
        <v>0.40909090909090917</v>
      </c>
      <c r="AD276" s="81">
        <f t="shared" si="141"/>
        <v>18.953846153846154</v>
      </c>
      <c r="AE276" s="81"/>
    </row>
    <row r="277" spans="1:31" s="82" customFormat="1" ht="15.75" hidden="1" customHeight="1" x14ac:dyDescent="0.2">
      <c r="A277" s="186"/>
      <c r="B277" s="191"/>
      <c r="C277" s="152">
        <v>122016</v>
      </c>
      <c r="E277" s="113" t="s">
        <v>391</v>
      </c>
      <c r="F277" s="152">
        <v>12</v>
      </c>
      <c r="G277" s="78">
        <f>G275</f>
        <v>11.2</v>
      </c>
      <c r="H277" s="152"/>
      <c r="I277" s="78">
        <f>G277*H277</f>
        <v>0</v>
      </c>
      <c r="K277" s="81">
        <f>N277</f>
        <v>17.23076923076923</v>
      </c>
      <c r="M277" s="83">
        <f>1-(G277/K277)</f>
        <v>0.35</v>
      </c>
      <c r="N277" s="81">
        <f t="shared" si="144"/>
        <v>17.23076923076923</v>
      </c>
      <c r="P277" s="81">
        <f>S277</f>
        <v>17.23076923076923</v>
      </c>
      <c r="R277" s="83">
        <f>1-(G277/P277)</f>
        <v>0.35</v>
      </c>
      <c r="S277" s="81">
        <f t="shared" si="145"/>
        <v>17.23076923076923</v>
      </c>
      <c r="T277" s="153"/>
      <c r="U277" s="81">
        <f>X277</f>
        <v>16</v>
      </c>
      <c r="W277" s="83">
        <f>1-(G277/U277)</f>
        <v>0.30000000000000004</v>
      </c>
      <c r="X277" s="81">
        <f>$G277/0.7</f>
        <v>16</v>
      </c>
      <c r="Y277" s="153"/>
      <c r="Z277" s="81">
        <f>AD277</f>
        <v>18.953846153846154</v>
      </c>
      <c r="AA277" s="81">
        <f>Z277*1.21</f>
        <v>22.934153846153844</v>
      </c>
      <c r="AB277" s="80"/>
      <c r="AC277" s="83">
        <f>1-(G277/Z277)</f>
        <v>0.40909090909090917</v>
      </c>
      <c r="AD277" s="81">
        <f>K277*1.1</f>
        <v>18.953846153846154</v>
      </c>
    </row>
    <row r="278" spans="1:31" s="82" customFormat="1" ht="15.75" hidden="1" customHeight="1" x14ac:dyDescent="0.2">
      <c r="A278" s="187"/>
      <c r="B278" s="190"/>
      <c r="C278" s="152">
        <v>122018</v>
      </c>
      <c r="E278" s="113" t="s">
        <v>405</v>
      </c>
      <c r="F278" s="152">
        <v>12</v>
      </c>
      <c r="G278" s="78">
        <f>G276</f>
        <v>11.2</v>
      </c>
      <c r="H278" s="152"/>
      <c r="I278" s="78">
        <f t="shared" si="127"/>
        <v>0</v>
      </c>
      <c r="K278" s="81">
        <f t="shared" si="128"/>
        <v>17.23076923076923</v>
      </c>
      <c r="M278" s="83">
        <f t="shared" si="129"/>
        <v>0.35</v>
      </c>
      <c r="N278" s="81">
        <f t="shared" si="144"/>
        <v>17.23076923076923</v>
      </c>
      <c r="P278" s="81">
        <f t="shared" si="130"/>
        <v>17.23076923076923</v>
      </c>
      <c r="R278" s="83">
        <f t="shared" si="131"/>
        <v>0.35</v>
      </c>
      <c r="S278" s="81">
        <f t="shared" si="145"/>
        <v>17.23076923076923</v>
      </c>
      <c r="T278" s="153"/>
      <c r="U278" s="81">
        <f>X278</f>
        <v>16</v>
      </c>
      <c r="W278" s="83">
        <f>1-(G278/U278)</f>
        <v>0.30000000000000004</v>
      </c>
      <c r="X278" s="81">
        <f>$G278/0.7</f>
        <v>16</v>
      </c>
      <c r="Y278" s="153"/>
      <c r="Z278" s="81">
        <f t="shared" si="132"/>
        <v>18.953846153846154</v>
      </c>
      <c r="AA278" s="81">
        <f>Z278*1.21</f>
        <v>22.934153846153844</v>
      </c>
      <c r="AB278" s="80"/>
      <c r="AC278" s="83">
        <f>1-(G278/Z278)</f>
        <v>0.40909090909090917</v>
      </c>
      <c r="AD278" s="81">
        <f t="shared" si="141"/>
        <v>18.953846153846154</v>
      </c>
    </row>
    <row r="279" spans="1:31" s="88" customFormat="1" ht="15.75" customHeight="1" x14ac:dyDescent="0.2">
      <c r="A279" s="185"/>
      <c r="B279" s="189"/>
      <c r="C279" s="74">
        <v>999001</v>
      </c>
      <c r="D279" s="87"/>
      <c r="E279" s="113" t="s">
        <v>374</v>
      </c>
      <c r="F279" s="77">
        <v>1</v>
      </c>
      <c r="G279" s="78"/>
      <c r="H279" s="114"/>
      <c r="I279" s="115"/>
      <c r="K279" s="116"/>
      <c r="M279" s="83" t="e">
        <f t="shared" si="129"/>
        <v>#DIV/0!</v>
      </c>
      <c r="N279" s="116"/>
      <c r="P279" s="116"/>
      <c r="R279" s="117"/>
      <c r="S279" s="116"/>
      <c r="T279" s="85"/>
      <c r="U279" s="116"/>
      <c r="W279" s="117"/>
      <c r="X279" s="116"/>
      <c r="Y279" s="85"/>
      <c r="Z279" s="116"/>
      <c r="AA279" s="86"/>
      <c r="AC279" s="117"/>
      <c r="AD279" s="116"/>
      <c r="AE279" s="86"/>
    </row>
    <row r="280" spans="1:31" s="88" customFormat="1" ht="15.75" customHeight="1" x14ac:dyDescent="0.2">
      <c r="A280" s="187"/>
      <c r="B280" s="190"/>
      <c r="C280" s="74">
        <v>999002</v>
      </c>
      <c r="D280" s="87"/>
      <c r="E280" s="112" t="s">
        <v>375</v>
      </c>
      <c r="F280" s="77">
        <v>1</v>
      </c>
      <c r="G280" s="78"/>
      <c r="H280" s="91"/>
      <c r="I280" s="78"/>
      <c r="K280" s="81"/>
      <c r="M280" s="83" t="e">
        <f t="shared" si="129"/>
        <v>#DIV/0!</v>
      </c>
      <c r="N280" s="81"/>
      <c r="P280" s="81"/>
      <c r="R280" s="83"/>
      <c r="S280" s="81"/>
      <c r="T280" s="85"/>
      <c r="U280" s="81"/>
      <c r="W280" s="83"/>
      <c r="X280" s="81"/>
      <c r="Y280" s="85"/>
      <c r="Z280" s="81"/>
      <c r="AA280" s="86"/>
      <c r="AC280" s="83"/>
      <c r="AD280" s="81"/>
      <c r="AE280" s="86"/>
    </row>
    <row r="281" spans="1:31" s="88" customFormat="1" ht="15.75" customHeight="1" x14ac:dyDescent="0.2">
      <c r="A281" s="136"/>
      <c r="B281" s="137"/>
      <c r="C281" s="74">
        <v>999003</v>
      </c>
      <c r="D281" s="87"/>
      <c r="E281" s="112" t="s">
        <v>411</v>
      </c>
      <c r="F281" s="77">
        <v>1</v>
      </c>
      <c r="G281" s="78"/>
      <c r="H281" s="91"/>
      <c r="I281" s="78"/>
      <c r="K281" s="81"/>
      <c r="M281" s="83" t="e">
        <f>1-(G281/K281)</f>
        <v>#DIV/0!</v>
      </c>
      <c r="N281" s="81"/>
      <c r="P281" s="81"/>
      <c r="R281" s="83"/>
      <c r="S281" s="81"/>
      <c r="T281" s="85"/>
      <c r="U281" s="81"/>
      <c r="W281" s="83"/>
      <c r="X281" s="81"/>
      <c r="Y281" s="85"/>
      <c r="Z281" s="81"/>
      <c r="AA281" s="86"/>
      <c r="AC281" s="83"/>
      <c r="AD281" s="81"/>
      <c r="AE281" s="86"/>
    </row>
    <row r="282" spans="1:31" s="88" customFormat="1" ht="15.75" customHeight="1" x14ac:dyDescent="0.2">
      <c r="A282" s="118"/>
      <c r="B282" s="104"/>
      <c r="C282" s="74">
        <v>888001</v>
      </c>
      <c r="D282" s="87"/>
      <c r="E282" s="112" t="s">
        <v>393</v>
      </c>
      <c r="F282" s="77">
        <v>1</v>
      </c>
      <c r="G282" s="99"/>
      <c r="H282" s="79"/>
      <c r="I282" s="78"/>
      <c r="K282" s="81"/>
      <c r="L282" s="82"/>
      <c r="M282" s="83" t="e">
        <f>1-(G282/K282)</f>
        <v>#DIV/0!</v>
      </c>
      <c r="N282" s="81"/>
      <c r="P282" s="81"/>
      <c r="Q282" s="82"/>
      <c r="R282" s="83"/>
      <c r="S282" s="81"/>
      <c r="T282" s="85"/>
      <c r="U282" s="81"/>
      <c r="V282" s="82"/>
      <c r="W282" s="83"/>
      <c r="X282" s="81"/>
      <c r="Y282" s="85"/>
      <c r="Z282" s="81"/>
      <c r="AA282" s="81"/>
      <c r="AB282" s="82"/>
      <c r="AC282" s="83"/>
      <c r="AD282" s="81"/>
      <c r="AE282" s="86"/>
    </row>
    <row r="283" spans="1:31" s="10" customFormat="1" ht="15.75" customHeight="1" x14ac:dyDescent="0.2">
      <c r="A283" s="118"/>
      <c r="B283" s="104"/>
      <c r="C283" s="74">
        <v>777001</v>
      </c>
      <c r="D283" s="87"/>
      <c r="E283" s="112" t="s">
        <v>406</v>
      </c>
      <c r="F283" s="77">
        <v>1</v>
      </c>
      <c r="G283" s="99"/>
      <c r="H283" s="79"/>
      <c r="I283" s="78"/>
      <c r="J283" s="88"/>
      <c r="K283" s="81"/>
      <c r="L283" s="82"/>
      <c r="M283" s="83" t="e">
        <f>1-(G283/K283)</f>
        <v>#DIV/0!</v>
      </c>
      <c r="N283" s="81"/>
      <c r="O283" s="88"/>
      <c r="P283" s="81"/>
      <c r="Q283" s="82"/>
      <c r="R283" s="83"/>
      <c r="S283" s="81"/>
      <c r="T283" s="85"/>
      <c r="U283" s="81"/>
      <c r="V283" s="82"/>
      <c r="W283" s="83"/>
      <c r="X283" s="81"/>
      <c r="Y283" s="85"/>
      <c r="Z283" s="81"/>
      <c r="AA283" s="81"/>
      <c r="AB283" s="82"/>
      <c r="AC283" s="83"/>
      <c r="AD283" s="81"/>
      <c r="AE283" s="86"/>
    </row>
    <row r="284" spans="1:31" s="10" customFormat="1" ht="15.75" customHeight="1" x14ac:dyDescent="0.2">
      <c r="A284" s="21"/>
      <c r="B284" s="21"/>
      <c r="C284" s="32"/>
      <c r="D284" s="41"/>
      <c r="E284" s="22"/>
      <c r="F284" s="23"/>
      <c r="G284" s="24"/>
      <c r="H284" s="25"/>
      <c r="I284" s="26"/>
      <c r="T284" s="71"/>
      <c r="Y284" s="71"/>
    </row>
    <row r="285" spans="1:31" s="10" customFormat="1" ht="15.75" customHeight="1" x14ac:dyDescent="0.2">
      <c r="A285" s="21"/>
      <c r="B285" s="21"/>
      <c r="C285" s="32"/>
      <c r="D285" s="41"/>
      <c r="E285" s="22"/>
      <c r="F285" s="23"/>
      <c r="G285" s="24"/>
      <c r="H285" s="25"/>
      <c r="I285" s="26"/>
      <c r="T285" s="71"/>
      <c r="Y285" s="71"/>
    </row>
    <row r="286" spans="1:31" s="10" customFormat="1" ht="15.75" customHeight="1" x14ac:dyDescent="0.2">
      <c r="A286" s="21"/>
      <c r="B286" s="21"/>
      <c r="C286" s="32"/>
      <c r="D286" s="41"/>
      <c r="E286" s="22"/>
      <c r="F286" s="23"/>
      <c r="G286" s="24"/>
      <c r="H286" s="25"/>
      <c r="I286" s="26"/>
      <c r="T286" s="71"/>
      <c r="Y286" s="71"/>
    </row>
    <row r="287" spans="1:31" s="10" customFormat="1" ht="15.75" customHeight="1" x14ac:dyDescent="0.2">
      <c r="A287" s="21"/>
      <c r="B287" s="21"/>
      <c r="C287" s="32"/>
      <c r="D287" s="41"/>
      <c r="E287" s="22"/>
      <c r="F287" s="23"/>
      <c r="G287" s="24"/>
      <c r="H287" s="25"/>
      <c r="I287" s="26"/>
      <c r="T287" s="71"/>
      <c r="Y287" s="71"/>
    </row>
    <row r="288" spans="1:31" s="10" customFormat="1" ht="15.75" customHeight="1" x14ac:dyDescent="0.2">
      <c r="B288" s="32"/>
      <c r="C288" s="32"/>
      <c r="D288" s="41"/>
      <c r="F288" s="27"/>
      <c r="G288" s="27"/>
      <c r="H288" s="27" t="s">
        <v>31</v>
      </c>
      <c r="I288" s="1">
        <f>SUM(I8:I282)</f>
        <v>0</v>
      </c>
      <c r="T288" s="71"/>
      <c r="Y288" s="71"/>
    </row>
    <row r="289" spans="1:31" s="10" customFormat="1" ht="15.75" customHeight="1" x14ac:dyDescent="0.2">
      <c r="B289" s="32"/>
      <c r="C289" s="32"/>
      <c r="D289" s="41"/>
      <c r="F289" s="27"/>
      <c r="G289" s="27"/>
      <c r="H289" s="27">
        <v>21</v>
      </c>
      <c r="I289" s="16">
        <f>I288*0.21</f>
        <v>0</v>
      </c>
      <c r="J289" s="28"/>
      <c r="T289" s="71"/>
      <c r="Y289" s="71"/>
    </row>
    <row r="290" spans="1:31" s="10" customFormat="1" ht="15.75" customHeight="1" x14ac:dyDescent="0.2">
      <c r="B290" s="32"/>
      <c r="C290" s="32"/>
      <c r="D290" s="41"/>
      <c r="F290" s="27"/>
      <c r="G290" s="27"/>
      <c r="H290" s="27" t="s">
        <v>74</v>
      </c>
      <c r="I290" s="16">
        <f>I288+I289</f>
        <v>0</v>
      </c>
      <c r="T290" s="71"/>
      <c r="Y290" s="71"/>
    </row>
    <row r="291" spans="1:31" s="10" customFormat="1" ht="15.75" customHeight="1" x14ac:dyDescent="0.2">
      <c r="B291" s="32"/>
      <c r="C291" s="32"/>
      <c r="D291" s="41"/>
      <c r="F291" s="27"/>
      <c r="G291" s="27"/>
      <c r="H291" s="27"/>
      <c r="I291" s="29"/>
      <c r="T291" s="71"/>
      <c r="Y291" s="71"/>
    </row>
    <row r="292" spans="1:31" s="10" customFormat="1" ht="15.75" customHeight="1" x14ac:dyDescent="0.2">
      <c r="B292" s="32"/>
      <c r="C292" s="32"/>
      <c r="D292" s="41"/>
      <c r="F292" s="27"/>
      <c r="G292" s="27"/>
      <c r="H292" s="27"/>
      <c r="I292" s="29"/>
      <c r="T292" s="71"/>
      <c r="Y292" s="71"/>
    </row>
    <row r="293" spans="1:31" s="10" customFormat="1" ht="15" x14ac:dyDescent="0.2">
      <c r="B293" s="32"/>
      <c r="C293" s="32"/>
      <c r="D293" s="41"/>
      <c r="F293" s="27"/>
      <c r="G293" s="27"/>
      <c r="H293" s="27"/>
      <c r="I293" s="29"/>
      <c r="T293" s="71"/>
      <c r="Y293" s="71"/>
    </row>
    <row r="294" spans="1:31" s="10" customFormat="1" ht="15" x14ac:dyDescent="0.2">
      <c r="B294" s="32"/>
      <c r="C294" s="32"/>
      <c r="D294" s="41"/>
      <c r="F294" s="27"/>
      <c r="G294" s="27"/>
      <c r="H294" s="27"/>
      <c r="I294" s="29"/>
      <c r="T294" s="71"/>
      <c r="Y294" s="71"/>
    </row>
    <row r="295" spans="1:31" s="10" customFormat="1" ht="15" x14ac:dyDescent="0.2">
      <c r="B295" s="32"/>
      <c r="C295" s="32"/>
      <c r="D295" s="41"/>
      <c r="F295" s="27"/>
      <c r="G295" s="27"/>
      <c r="I295" s="27"/>
      <c r="T295" s="71"/>
      <c r="Y295" s="71"/>
    </row>
    <row r="296" spans="1:31" s="10" customFormat="1" ht="15" x14ac:dyDescent="0.2">
      <c r="B296" s="32"/>
      <c r="C296" s="32"/>
      <c r="D296" s="41"/>
      <c r="F296" s="27"/>
      <c r="G296" s="27"/>
      <c r="H296" s="27"/>
      <c r="I296" s="29"/>
      <c r="T296" s="71"/>
      <c r="Y296" s="71"/>
    </row>
    <row r="297" spans="1:31" s="10" customFormat="1" ht="15" x14ac:dyDescent="0.2">
      <c r="B297" s="32"/>
      <c r="C297" s="32"/>
      <c r="D297" s="41"/>
      <c r="F297" s="27"/>
      <c r="G297" s="27"/>
      <c r="H297" s="27"/>
      <c r="I297" s="29"/>
      <c r="T297" s="71"/>
      <c r="Y297" s="71"/>
    </row>
    <row r="298" spans="1:31" s="10" customFormat="1" ht="15" x14ac:dyDescent="0.2">
      <c r="B298" s="32"/>
      <c r="C298" s="32"/>
      <c r="D298" s="41"/>
      <c r="F298" s="27"/>
      <c r="G298" s="27"/>
      <c r="H298" s="27"/>
      <c r="I298" s="29"/>
      <c r="T298" s="71"/>
      <c r="Y298" s="71"/>
    </row>
    <row r="299" spans="1:31" s="10" customFormat="1" ht="15" x14ac:dyDescent="0.2">
      <c r="B299" s="32"/>
      <c r="C299" s="32"/>
      <c r="D299" s="41"/>
      <c r="F299" s="27"/>
      <c r="G299" s="27"/>
      <c r="H299" s="27"/>
      <c r="I299" s="29"/>
      <c r="T299" s="71"/>
      <c r="Y299" s="71"/>
    </row>
    <row r="300" spans="1:31" s="10" customFormat="1" ht="15" x14ac:dyDescent="0.2">
      <c r="A300" s="4"/>
      <c r="B300" s="34"/>
      <c r="C300" s="34"/>
      <c r="D300" s="41"/>
      <c r="E300" s="4"/>
      <c r="F300" s="67"/>
      <c r="G300" s="5"/>
      <c r="H300" s="5"/>
      <c r="I300" s="7"/>
      <c r="J300" s="4"/>
      <c r="K300" s="4"/>
      <c r="L300" s="4"/>
      <c r="M300" s="4"/>
      <c r="N300" s="4"/>
      <c r="P300" s="4"/>
      <c r="Q300" s="4"/>
      <c r="R300" s="4"/>
      <c r="S300" s="4"/>
      <c r="T300" s="69"/>
      <c r="U300" s="4"/>
      <c r="V300" s="4"/>
      <c r="W300" s="4"/>
      <c r="X300" s="4"/>
      <c r="Y300" s="69"/>
      <c r="Z300" s="4"/>
      <c r="AA300" s="4"/>
      <c r="AB300" s="4"/>
      <c r="AC300" s="4"/>
      <c r="AD300" s="4"/>
      <c r="AE300" s="4"/>
    </row>
    <row r="301" spans="1:31" s="10" customFormat="1" ht="15" x14ac:dyDescent="0.2">
      <c r="A301" s="4"/>
      <c r="B301" s="34"/>
      <c r="C301" s="34"/>
      <c r="D301" s="41"/>
      <c r="E301" s="4"/>
      <c r="F301" s="67"/>
      <c r="G301" s="5"/>
      <c r="H301" s="5"/>
      <c r="I301" s="7"/>
      <c r="J301" s="4"/>
      <c r="K301" s="4"/>
      <c r="L301" s="4"/>
      <c r="M301" s="4"/>
      <c r="N301" s="4"/>
      <c r="P301" s="4"/>
      <c r="Q301" s="4"/>
      <c r="R301" s="4"/>
      <c r="S301" s="4"/>
      <c r="T301" s="69"/>
      <c r="U301" s="4"/>
      <c r="V301" s="4"/>
      <c r="W301" s="4"/>
      <c r="X301" s="4"/>
      <c r="Y301" s="69"/>
      <c r="Z301" s="4"/>
      <c r="AA301" s="4"/>
      <c r="AB301" s="4"/>
      <c r="AC301" s="4"/>
      <c r="AD301" s="4"/>
      <c r="AE301" s="4"/>
    </row>
    <row r="302" spans="1:31" s="10" customFormat="1" ht="15" x14ac:dyDescent="0.2">
      <c r="A302" s="4"/>
      <c r="B302" s="34"/>
      <c r="C302" s="34"/>
      <c r="D302" s="41"/>
      <c r="E302" s="4"/>
      <c r="F302" s="67"/>
      <c r="G302" s="5"/>
      <c r="H302" s="5"/>
      <c r="I302" s="7"/>
      <c r="J302" s="4"/>
      <c r="K302" s="4"/>
      <c r="L302" s="4"/>
      <c r="M302" s="4"/>
      <c r="N302" s="4"/>
      <c r="P302" s="4"/>
      <c r="Q302" s="4"/>
      <c r="R302" s="4"/>
      <c r="S302" s="4"/>
      <c r="T302" s="69"/>
      <c r="U302" s="4"/>
      <c r="V302" s="4"/>
      <c r="W302" s="4"/>
      <c r="X302" s="4"/>
      <c r="Y302" s="69"/>
      <c r="Z302" s="4"/>
      <c r="AA302" s="4"/>
      <c r="AB302" s="4"/>
      <c r="AC302" s="4"/>
      <c r="AD302" s="4"/>
      <c r="AE302" s="4"/>
    </row>
  </sheetData>
  <sheetProtection selectLockedCells="1" selectUnlockedCells="1"/>
  <autoFilter ref="A7:AE282" xr:uid="{00000000-0009-0000-0000-000000000000}"/>
  <mergeCells count="64">
    <mergeCell ref="Z1:AD1"/>
    <mergeCell ref="K1:N1"/>
    <mergeCell ref="P1:S1"/>
    <mergeCell ref="B141:B148"/>
    <mergeCell ref="B97:B117"/>
    <mergeCell ref="B72:B76"/>
    <mergeCell ref="B69:B71"/>
    <mergeCell ref="U1:X1"/>
    <mergeCell ref="G3:I3"/>
    <mergeCell ref="H5:I5"/>
    <mergeCell ref="E1:I2"/>
    <mergeCell ref="B132:B135"/>
    <mergeCell ref="B90:B96"/>
    <mergeCell ref="H6:I6"/>
    <mergeCell ref="A38:A59"/>
    <mergeCell ref="B38:B59"/>
    <mergeCell ref="B8:B20"/>
    <mergeCell ref="A29:A35"/>
    <mergeCell ref="A36:B37"/>
    <mergeCell ref="A8:A20"/>
    <mergeCell ref="B21:B28"/>
    <mergeCell ref="A21:A28"/>
    <mergeCell ref="B29:B35"/>
    <mergeCell ref="A60:A65"/>
    <mergeCell ref="B149:B154"/>
    <mergeCell ref="A126:A135"/>
    <mergeCell ref="B118:B121"/>
    <mergeCell ref="B126:B131"/>
    <mergeCell ref="A66:A81"/>
    <mergeCell ref="B77:B81"/>
    <mergeCell ref="A83:A96"/>
    <mergeCell ref="B83:B89"/>
    <mergeCell ref="B66:B68"/>
    <mergeCell ref="A97:A125"/>
    <mergeCell ref="B122:B125"/>
    <mergeCell ref="B60:B65"/>
    <mergeCell ref="A174:A186"/>
    <mergeCell ref="A136:B140"/>
    <mergeCell ref="B241:B254"/>
    <mergeCell ref="B234:B240"/>
    <mergeCell ref="A141:A173"/>
    <mergeCell ref="B202:B207"/>
    <mergeCell ref="B174:B183"/>
    <mergeCell ref="B155:B167"/>
    <mergeCell ref="B168:B173"/>
    <mergeCell ref="A222:A233"/>
    <mergeCell ref="B222:B233"/>
    <mergeCell ref="B184:B186"/>
    <mergeCell ref="A188:A221"/>
    <mergeCell ref="A241:A254"/>
    <mergeCell ref="B218:B221"/>
    <mergeCell ref="B208:B217"/>
    <mergeCell ref="A279:A280"/>
    <mergeCell ref="B279:B280"/>
    <mergeCell ref="A234:A240"/>
    <mergeCell ref="B270:B274"/>
    <mergeCell ref="B275:B278"/>
    <mergeCell ref="B188:B194"/>
    <mergeCell ref="B262:B265"/>
    <mergeCell ref="B195:B201"/>
    <mergeCell ref="A262:A278"/>
    <mergeCell ref="B266:B269"/>
    <mergeCell ref="A255:A261"/>
    <mergeCell ref="B255:B261"/>
  </mergeCells>
  <phoneticPr fontId="0" type="noConversion"/>
  <conditionalFormatting sqref="R279:R280 AC282 R282 W282 M168:M228 R168:R228 W8:W148 AC8:AC148 AC230:AC232 W230:W232 R230:R232 M230:M232 AC167:AC228 W167:W228 AC155:AC159 W155:W159 M234:M276 R234:R276 W234:W280 AC234:AC280 M278:M280 W161:W162 AC161:AC162">
    <cfRule type="cellIs" dxfId="90" priority="425" stopIfTrue="1" operator="between">
      <formula>0</formula>
      <formula>0.23</formula>
    </cfRule>
    <cfRule type="cellIs" dxfId="89" priority="426" stopIfTrue="1" operator="between">
      <formula>0.23</formula>
      <formula>0.27</formula>
    </cfRule>
  </conditionalFormatting>
  <conditionalFormatting sqref="E272">
    <cfRule type="expression" dxfId="88" priority="309">
      <formula>#REF!="NO"</formula>
    </cfRule>
  </conditionalFormatting>
  <conditionalFormatting sqref="D271">
    <cfRule type="expression" dxfId="87" priority="263">
      <formula>#REF!="NO"</formula>
    </cfRule>
  </conditionalFormatting>
  <conditionalFormatting sqref="D274">
    <cfRule type="expression" dxfId="86" priority="261">
      <formula>#REF!="NO"</formula>
    </cfRule>
  </conditionalFormatting>
  <conditionalFormatting sqref="M8:M148 M282 M155:M158">
    <cfRule type="cellIs" dxfId="85" priority="213" stopIfTrue="1" operator="between">
      <formula>0</formula>
      <formula>0.23</formula>
    </cfRule>
    <cfRule type="cellIs" dxfId="84" priority="214" stopIfTrue="1" operator="between">
      <formula>0.23</formula>
      <formula>0.27</formula>
    </cfRule>
  </conditionalFormatting>
  <conditionalFormatting sqref="R8:R148 R278 R156:R158">
    <cfRule type="cellIs" dxfId="83" priority="173" stopIfTrue="1" operator="between">
      <formula>0</formula>
      <formula>0.23</formula>
    </cfRule>
    <cfRule type="cellIs" dxfId="82" priority="174" stopIfTrue="1" operator="between">
      <formula>0.23</formula>
      <formula>0.27</formula>
    </cfRule>
  </conditionalFormatting>
  <conditionalFormatting sqref="M159">
    <cfRule type="cellIs" dxfId="81" priority="109" stopIfTrue="1" operator="between">
      <formula>0</formula>
      <formula>0.23</formula>
    </cfRule>
    <cfRule type="cellIs" dxfId="80" priority="110" stopIfTrue="1" operator="between">
      <formula>0.23</formula>
      <formula>0.27</formula>
    </cfRule>
  </conditionalFormatting>
  <conditionalFormatting sqref="R159">
    <cfRule type="cellIs" dxfId="79" priority="107" stopIfTrue="1" operator="between">
      <formula>0</formula>
      <formula>0.23</formula>
    </cfRule>
    <cfRule type="cellIs" dxfId="78" priority="108" stopIfTrue="1" operator="between">
      <formula>0.23</formula>
      <formula>0.27</formula>
    </cfRule>
  </conditionalFormatting>
  <conditionalFormatting sqref="M161">
    <cfRule type="cellIs" dxfId="77" priority="99" stopIfTrue="1" operator="between">
      <formula>0</formula>
      <formula>0.23</formula>
    </cfRule>
    <cfRule type="cellIs" dxfId="76" priority="100" stopIfTrue="1" operator="between">
      <formula>0.23</formula>
      <formula>0.27</formula>
    </cfRule>
  </conditionalFormatting>
  <conditionalFormatting sqref="R161">
    <cfRule type="cellIs" dxfId="75" priority="97" stopIfTrue="1" operator="between">
      <formula>0</formula>
      <formula>0.23</formula>
    </cfRule>
    <cfRule type="cellIs" dxfId="74" priority="98" stopIfTrue="1" operator="between">
      <formula>0.23</formula>
      <formula>0.27</formula>
    </cfRule>
  </conditionalFormatting>
  <conditionalFormatting sqref="M162">
    <cfRule type="cellIs" dxfId="73" priority="89" stopIfTrue="1" operator="between">
      <formula>0</formula>
      <formula>0.23</formula>
    </cfRule>
    <cfRule type="cellIs" dxfId="72" priority="90" stopIfTrue="1" operator="between">
      <formula>0.23</formula>
      <formula>0.27</formula>
    </cfRule>
  </conditionalFormatting>
  <conditionalFormatting sqref="R162">
    <cfRule type="cellIs" dxfId="71" priority="87" stopIfTrue="1" operator="between">
      <formula>0</formula>
      <formula>0.23</formula>
    </cfRule>
    <cfRule type="cellIs" dxfId="70" priority="88" stopIfTrue="1" operator="between">
      <formula>0.23</formula>
      <formula>0.27</formula>
    </cfRule>
  </conditionalFormatting>
  <conditionalFormatting sqref="M167">
    <cfRule type="cellIs" dxfId="69" priority="79" stopIfTrue="1" operator="between">
      <formula>0</formula>
      <formula>0.23</formula>
    </cfRule>
    <cfRule type="cellIs" dxfId="68" priority="80" stopIfTrue="1" operator="between">
      <formula>0.23</formula>
      <formula>0.27</formula>
    </cfRule>
  </conditionalFormatting>
  <conditionalFormatting sqref="R167">
    <cfRule type="cellIs" dxfId="67" priority="77" stopIfTrue="1" operator="between">
      <formula>0</formula>
      <formula>0.23</formula>
    </cfRule>
    <cfRule type="cellIs" dxfId="66" priority="78" stopIfTrue="1" operator="between">
      <formula>0.23</formula>
      <formula>0.27</formula>
    </cfRule>
  </conditionalFormatting>
  <conditionalFormatting sqref="M277">
    <cfRule type="cellIs" dxfId="65" priority="71" stopIfTrue="1" operator="between">
      <formula>0</formula>
      <formula>0.23</formula>
    </cfRule>
    <cfRule type="cellIs" dxfId="64" priority="72" stopIfTrue="1" operator="between">
      <formula>0.23</formula>
      <formula>0.27</formula>
    </cfRule>
  </conditionalFormatting>
  <conditionalFormatting sqref="R277">
    <cfRule type="cellIs" dxfId="63" priority="69" stopIfTrue="1" operator="between">
      <formula>0</formula>
      <formula>0.23</formula>
    </cfRule>
    <cfRule type="cellIs" dxfId="62" priority="70" stopIfTrue="1" operator="between">
      <formula>0.23</formula>
      <formula>0.27</formula>
    </cfRule>
  </conditionalFormatting>
  <conditionalFormatting sqref="W283 R283 AC283">
    <cfRule type="cellIs" dxfId="61" priority="63" stopIfTrue="1" operator="between">
      <formula>0</formula>
      <formula>0.23</formula>
    </cfRule>
    <cfRule type="cellIs" dxfId="60" priority="64" stopIfTrue="1" operator="between">
      <formula>0.23</formula>
      <formula>0.27</formula>
    </cfRule>
  </conditionalFormatting>
  <conditionalFormatting sqref="M283">
    <cfRule type="cellIs" dxfId="59" priority="59" stopIfTrue="1" operator="between">
      <formula>0</formula>
      <formula>0.23</formula>
    </cfRule>
    <cfRule type="cellIs" dxfId="58" priority="60" stopIfTrue="1" operator="between">
      <formula>0.23</formula>
      <formula>0.27</formula>
    </cfRule>
  </conditionalFormatting>
  <conditionalFormatting sqref="W281 R281 AC281">
    <cfRule type="cellIs" dxfId="57" priority="57" stopIfTrue="1" operator="between">
      <formula>0</formula>
      <formula>0.23</formula>
    </cfRule>
    <cfRule type="cellIs" dxfId="56" priority="58" stopIfTrue="1" operator="between">
      <formula>0.23</formula>
      <formula>0.27</formula>
    </cfRule>
  </conditionalFormatting>
  <conditionalFormatting sqref="M281">
    <cfRule type="cellIs" dxfId="55" priority="53" stopIfTrue="1" operator="between">
      <formula>0</formula>
      <formula>0.23</formula>
    </cfRule>
    <cfRule type="cellIs" dxfId="54" priority="54" stopIfTrue="1" operator="between">
      <formula>0.23</formula>
      <formula>0.27</formula>
    </cfRule>
  </conditionalFormatting>
  <conditionalFormatting sqref="M229">
    <cfRule type="cellIs" dxfId="53" priority="51" stopIfTrue="1" operator="between">
      <formula>0</formula>
      <formula>0.23</formula>
    </cfRule>
    <cfRule type="cellIs" dxfId="52" priority="52" stopIfTrue="1" operator="between">
      <formula>0.23</formula>
      <formula>0.27</formula>
    </cfRule>
  </conditionalFormatting>
  <conditionalFormatting sqref="R229">
    <cfRule type="cellIs" dxfId="51" priority="49" stopIfTrue="1" operator="between">
      <formula>0</formula>
      <formula>0.23</formula>
    </cfRule>
    <cfRule type="cellIs" dxfId="50" priority="50" stopIfTrue="1" operator="between">
      <formula>0.23</formula>
      <formula>0.27</formula>
    </cfRule>
  </conditionalFormatting>
  <conditionalFormatting sqref="W229">
    <cfRule type="cellIs" dxfId="49" priority="47" stopIfTrue="1" operator="between">
      <formula>0</formula>
      <formula>0.23</formula>
    </cfRule>
    <cfRule type="cellIs" dxfId="48" priority="48" stopIfTrue="1" operator="between">
      <formula>0.23</formula>
      <formula>0.27</formula>
    </cfRule>
  </conditionalFormatting>
  <conditionalFormatting sqref="AC229">
    <cfRule type="cellIs" dxfId="47" priority="45" stopIfTrue="1" operator="between">
      <formula>0</formula>
      <formula>0.23</formula>
    </cfRule>
    <cfRule type="cellIs" dxfId="46" priority="46" stopIfTrue="1" operator="between">
      <formula>0.23</formula>
      <formula>0.27</formula>
    </cfRule>
  </conditionalFormatting>
  <conditionalFormatting sqref="AC163 W163">
    <cfRule type="cellIs" dxfId="45" priority="41" stopIfTrue="1" operator="between">
      <formula>0</formula>
      <formula>0.23</formula>
    </cfRule>
    <cfRule type="cellIs" dxfId="44" priority="42" stopIfTrue="1" operator="between">
      <formula>0.23</formula>
      <formula>0.27</formula>
    </cfRule>
  </conditionalFormatting>
  <conditionalFormatting sqref="M163">
    <cfRule type="cellIs" dxfId="43" priority="39" stopIfTrue="1" operator="between">
      <formula>0</formula>
      <formula>0.23</formula>
    </cfRule>
    <cfRule type="cellIs" dxfId="42" priority="40" stopIfTrue="1" operator="between">
      <formula>0.23</formula>
      <formula>0.27</formula>
    </cfRule>
  </conditionalFormatting>
  <conditionalFormatting sqref="R163">
    <cfRule type="cellIs" dxfId="41" priority="37" stopIfTrue="1" operator="between">
      <formula>0</formula>
      <formula>0.23</formula>
    </cfRule>
    <cfRule type="cellIs" dxfId="40" priority="38" stopIfTrue="1" operator="between">
      <formula>0.23</formula>
      <formula>0.27</formula>
    </cfRule>
  </conditionalFormatting>
  <conditionalFormatting sqref="AC164 W164">
    <cfRule type="cellIs" dxfId="39" priority="35" stopIfTrue="1" operator="between">
      <formula>0</formula>
      <formula>0.23</formula>
    </cfRule>
    <cfRule type="cellIs" dxfId="38" priority="36" stopIfTrue="1" operator="between">
      <formula>0.23</formula>
      <formula>0.27</formula>
    </cfRule>
  </conditionalFormatting>
  <conditionalFormatting sqref="M164">
    <cfRule type="cellIs" dxfId="37" priority="33" stopIfTrue="1" operator="between">
      <formula>0</formula>
      <formula>0.23</formula>
    </cfRule>
    <cfRule type="cellIs" dxfId="36" priority="34" stopIfTrue="1" operator="between">
      <formula>0.23</formula>
      <formula>0.27</formula>
    </cfRule>
  </conditionalFormatting>
  <conditionalFormatting sqref="R164">
    <cfRule type="cellIs" dxfId="35" priority="31" stopIfTrue="1" operator="between">
      <formula>0</formula>
      <formula>0.23</formula>
    </cfRule>
    <cfRule type="cellIs" dxfId="34" priority="32" stopIfTrue="1" operator="between">
      <formula>0.23</formula>
      <formula>0.27</formula>
    </cfRule>
  </conditionalFormatting>
  <conditionalFormatting sqref="AC165 W165">
    <cfRule type="cellIs" dxfId="33" priority="29" stopIfTrue="1" operator="between">
      <formula>0</formula>
      <formula>0.23</formula>
    </cfRule>
    <cfRule type="cellIs" dxfId="32" priority="30" stopIfTrue="1" operator="between">
      <formula>0.23</formula>
      <formula>0.27</formula>
    </cfRule>
  </conditionalFormatting>
  <conditionalFormatting sqref="M165">
    <cfRule type="cellIs" dxfId="31" priority="27" stopIfTrue="1" operator="between">
      <formula>0</formula>
      <formula>0.23</formula>
    </cfRule>
    <cfRule type="cellIs" dxfId="30" priority="28" stopIfTrue="1" operator="between">
      <formula>0.23</formula>
      <formula>0.27</formula>
    </cfRule>
  </conditionalFormatting>
  <conditionalFormatting sqref="R165">
    <cfRule type="cellIs" dxfId="29" priority="25" stopIfTrue="1" operator="between">
      <formula>0</formula>
      <formula>0.23</formula>
    </cfRule>
    <cfRule type="cellIs" dxfId="28" priority="26" stopIfTrue="1" operator="between">
      <formula>0.23</formula>
      <formula>0.27</formula>
    </cfRule>
  </conditionalFormatting>
  <conditionalFormatting sqref="W149:W154 AC149:AC154">
    <cfRule type="cellIs" dxfId="27" priority="23" stopIfTrue="1" operator="between">
      <formula>0</formula>
      <formula>0.23</formula>
    </cfRule>
    <cfRule type="cellIs" dxfId="26" priority="24" stopIfTrue="1" operator="between">
      <formula>0.23</formula>
      <formula>0.27</formula>
    </cfRule>
  </conditionalFormatting>
  <conditionalFormatting sqref="M149:M154">
    <cfRule type="cellIs" dxfId="25" priority="21" stopIfTrue="1" operator="between">
      <formula>0</formula>
      <formula>0.23</formula>
    </cfRule>
    <cfRule type="cellIs" dxfId="24" priority="22" stopIfTrue="1" operator="between">
      <formula>0.23</formula>
      <formula>0.27</formula>
    </cfRule>
  </conditionalFormatting>
  <conditionalFormatting sqref="R149:R155">
    <cfRule type="cellIs" dxfId="23" priority="19" stopIfTrue="1" operator="between">
      <formula>0</formula>
      <formula>0.23</formula>
    </cfRule>
    <cfRule type="cellIs" dxfId="22" priority="20" stopIfTrue="1" operator="between">
      <formula>0.23</formula>
      <formula>0.27</formula>
    </cfRule>
  </conditionalFormatting>
  <conditionalFormatting sqref="AC233 W233 R233 M233">
    <cfRule type="cellIs" dxfId="21" priority="15" stopIfTrue="1" operator="between">
      <formula>0</formula>
      <formula>0.23</formula>
    </cfRule>
    <cfRule type="cellIs" dxfId="20" priority="16" stopIfTrue="1" operator="between">
      <formula>0.23</formula>
      <formula>0.27</formula>
    </cfRule>
  </conditionalFormatting>
  <conditionalFormatting sqref="AC166 W166">
    <cfRule type="cellIs" dxfId="19" priority="11" stopIfTrue="1" operator="between">
      <formula>0</formula>
      <formula>0.23</formula>
    </cfRule>
    <cfRule type="cellIs" dxfId="18" priority="12" stopIfTrue="1" operator="between">
      <formula>0.23</formula>
      <formula>0.27</formula>
    </cfRule>
  </conditionalFormatting>
  <conditionalFormatting sqref="M166">
    <cfRule type="cellIs" dxfId="17" priority="9" stopIfTrue="1" operator="between">
      <formula>0</formula>
      <formula>0.23</formula>
    </cfRule>
    <cfRule type="cellIs" dxfId="16" priority="10" stopIfTrue="1" operator="between">
      <formula>0.23</formula>
      <formula>0.27</formula>
    </cfRule>
  </conditionalFormatting>
  <conditionalFormatting sqref="R166">
    <cfRule type="cellIs" dxfId="15" priority="7" stopIfTrue="1" operator="between">
      <formula>0</formula>
      <formula>0.23</formula>
    </cfRule>
    <cfRule type="cellIs" dxfId="14" priority="8" stopIfTrue="1" operator="between">
      <formula>0.23</formula>
      <formula>0.27</formula>
    </cfRule>
  </conditionalFormatting>
  <conditionalFormatting sqref="AC160 W160">
    <cfRule type="cellIs" dxfId="13" priority="5" stopIfTrue="1" operator="between">
      <formula>0</formula>
      <formula>0.23</formula>
    </cfRule>
    <cfRule type="cellIs" dxfId="12" priority="6" stopIfTrue="1" operator="between">
      <formula>0.23</formula>
      <formula>0.27</formula>
    </cfRule>
  </conditionalFormatting>
  <conditionalFormatting sqref="M160">
    <cfRule type="cellIs" dxfId="11" priority="3" stopIfTrue="1" operator="between">
      <formula>0</formula>
      <formula>0.23</formula>
    </cfRule>
    <cfRule type="cellIs" dxfId="10" priority="4" stopIfTrue="1" operator="between">
      <formula>0.23</formula>
      <formula>0.27</formula>
    </cfRule>
  </conditionalFormatting>
  <conditionalFormatting sqref="R160">
    <cfRule type="cellIs" dxfId="9" priority="1" stopIfTrue="1" operator="between">
      <formula>0</formula>
      <formula>0.23</formula>
    </cfRule>
    <cfRule type="cellIs" dxfId="8" priority="2" stopIfTrue="1" operator="between">
      <formula>0.23</formula>
      <formula>0.27</formula>
    </cfRule>
  </conditionalFormatting>
  <printOptions horizontalCentered="1"/>
  <pageMargins left="0.05" right="0.04" top="0.56999999999999995" bottom="0.45" header="0.22" footer="0.22"/>
  <pageSetup paperSize="9" scale="75" orientation="portrait" horizontalDpi="300" verticalDpi="300" r:id="rId1"/>
  <headerFooter alignWithMargins="0">
    <oddHeader xml:space="preserve">&amp;R
</oddHeader>
  </headerFooter>
  <rowBreaks count="1" manualBreakCount="1">
    <brk id="288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0"/>
  <sheetViews>
    <sheetView workbookViewId="0">
      <selection activeCell="P8" sqref="P8:P233"/>
    </sheetView>
  </sheetViews>
  <sheetFormatPr baseColWidth="10" defaultRowHeight="12.75" x14ac:dyDescent="0.2"/>
  <cols>
    <col min="2" max="2" width="62.7109375" bestFit="1" customWidth="1"/>
    <col min="3" max="7" width="11.42578125" style="55"/>
  </cols>
  <sheetData>
    <row r="1" spans="1:7" x14ac:dyDescent="0.2">
      <c r="A1" t="s">
        <v>282</v>
      </c>
      <c r="B1" t="s">
        <v>283</v>
      </c>
      <c r="C1" s="55" t="s">
        <v>284</v>
      </c>
      <c r="D1" s="55" t="s">
        <v>285</v>
      </c>
      <c r="E1" s="55" t="s">
        <v>286</v>
      </c>
      <c r="F1" s="55" t="s">
        <v>287</v>
      </c>
      <c r="G1" s="56" t="s">
        <v>288</v>
      </c>
    </row>
    <row r="2" spans="1:7" x14ac:dyDescent="0.2">
      <c r="A2" s="37">
        <f>'cod 2018 09 18'!C8</f>
        <v>100001</v>
      </c>
      <c r="B2" s="37" t="str">
        <f>'cod 2018 09 18'!E8</f>
        <v>Ilumine</v>
      </c>
      <c r="C2" s="57">
        <f>'cod 2018 09 18'!K8</f>
        <v>77.876923076923077</v>
      </c>
      <c r="D2" s="57">
        <f>'cod 2018 09 18'!P8</f>
        <v>70.305555555555557</v>
      </c>
      <c r="E2" s="57">
        <f>'cod 2018 09 18'!U8</f>
        <v>79.367777777777775</v>
      </c>
      <c r="F2" s="57">
        <f>'cod 2018 09 18'!Z8</f>
        <v>81.770769230769233</v>
      </c>
      <c r="G2" s="57">
        <f>'cod 2018 09 18'!G8</f>
        <v>50.62</v>
      </c>
    </row>
    <row r="3" spans="1:7" x14ac:dyDescent="0.2">
      <c r="A3" s="37">
        <f>'cod 2018 09 18'!C9</f>
        <v>100002</v>
      </c>
      <c r="B3" s="37" t="str">
        <f>'cod 2018 09 18'!E9</f>
        <v>Patagonia Bee</v>
      </c>
      <c r="C3" s="57">
        <f>'cod 2018 09 18'!K9</f>
        <v>77.876923076923077</v>
      </c>
      <c r="D3" s="57">
        <f>'cod 2018 09 18'!P9</f>
        <v>70.305555555555557</v>
      </c>
      <c r="E3" s="57">
        <f>'cod 2018 09 18'!U9</f>
        <v>79.367777777777775</v>
      </c>
      <c r="F3" s="57">
        <f>'cod 2018 09 18'!Z9</f>
        <v>81.770769230769233</v>
      </c>
      <c r="G3" s="57">
        <f>'cod 2018 09 18'!G9</f>
        <v>50.62</v>
      </c>
    </row>
    <row r="4" spans="1:7" x14ac:dyDescent="0.2">
      <c r="A4" s="37">
        <f>'cod 2018 09 18'!C10</f>
        <v>100003</v>
      </c>
      <c r="B4" s="37" t="str">
        <f>'cod 2018 09 18'!E10</f>
        <v>Silencio Andino</v>
      </c>
      <c r="C4" s="57">
        <f>'cod 2018 09 18'!K10</f>
        <v>77.876923076923077</v>
      </c>
      <c r="D4" s="57">
        <f>'cod 2018 09 18'!P10</f>
        <v>70.305555555555557</v>
      </c>
      <c r="E4" s="57">
        <f>'cod 2018 09 18'!U10</f>
        <v>79.367777777777775</v>
      </c>
      <c r="F4" s="57">
        <f>'cod 2018 09 18'!Z10</f>
        <v>81.770769230769233</v>
      </c>
      <c r="G4" s="57">
        <f>'cod 2018 09 18'!G10</f>
        <v>50.62</v>
      </c>
    </row>
    <row r="5" spans="1:7" x14ac:dyDescent="0.2">
      <c r="A5" s="37">
        <f>'cod 2018 09 18'!C11</f>
        <v>100004</v>
      </c>
      <c r="B5" s="37" t="str">
        <f>'cod 2018 09 18'!E11</f>
        <v>Chaman Chai</v>
      </c>
      <c r="C5" s="57">
        <f>'cod 2018 09 18'!K11</f>
        <v>77.876923076923077</v>
      </c>
      <c r="D5" s="57">
        <f>'cod 2018 09 18'!P11</f>
        <v>70.305555555555557</v>
      </c>
      <c r="E5" s="57">
        <f>'cod 2018 09 18'!U11</f>
        <v>79.367777777777775</v>
      </c>
      <c r="F5" s="57">
        <f>'cod 2018 09 18'!Z11</f>
        <v>81.770769230769233</v>
      </c>
      <c r="G5" s="57">
        <f>'cod 2018 09 18'!G11</f>
        <v>50.62</v>
      </c>
    </row>
    <row r="6" spans="1:7" x14ac:dyDescent="0.2">
      <c r="A6" s="37">
        <f>'cod 2018 09 18'!C12</f>
        <v>100005</v>
      </c>
      <c r="B6" s="37" t="str">
        <f>'cod 2018 09 18'!E12</f>
        <v xml:space="preserve">Inca Rose </v>
      </c>
      <c r="C6" s="57">
        <f>'cod 2018 09 18'!K12</f>
        <v>77.876923076923077</v>
      </c>
      <c r="D6" s="57">
        <f>'cod 2018 09 18'!P12</f>
        <v>70.305555555555557</v>
      </c>
      <c r="E6" s="57">
        <f>'cod 2018 09 18'!U12</f>
        <v>79.367777777777775</v>
      </c>
      <c r="F6" s="57">
        <f>'cod 2018 09 18'!Z12</f>
        <v>81.770769230769233</v>
      </c>
      <c r="G6" s="57">
        <f>'cod 2018 09 18'!G12</f>
        <v>50.62</v>
      </c>
    </row>
    <row r="7" spans="1:7" x14ac:dyDescent="0.2">
      <c r="A7" s="37">
        <f>'cod 2018 09 18'!C13</f>
        <v>100006</v>
      </c>
      <c r="B7" s="37" t="str">
        <f>'cod 2018 09 18'!E13</f>
        <v>Verde Chai</v>
      </c>
      <c r="C7" s="57">
        <f>'cod 2018 09 18'!K13</f>
        <v>77.876923076923077</v>
      </c>
      <c r="D7" s="57">
        <f>'cod 2018 09 18'!P13</f>
        <v>70.305555555555557</v>
      </c>
      <c r="E7" s="57">
        <f>'cod 2018 09 18'!U13</f>
        <v>79.367777777777775</v>
      </c>
      <c r="F7" s="57">
        <f>'cod 2018 09 18'!Z13</f>
        <v>81.770769230769233</v>
      </c>
      <c r="G7" s="57">
        <f>'cod 2018 09 18'!G13</f>
        <v>50.62</v>
      </c>
    </row>
    <row r="8" spans="1:7" x14ac:dyDescent="0.2">
      <c r="A8" s="37">
        <f>'cod 2018 09 18'!C14</f>
        <v>100007</v>
      </c>
      <c r="B8" s="37" t="str">
        <f>'cod 2018 09 18'!E14</f>
        <v xml:space="preserve">Blanco Lychee </v>
      </c>
      <c r="C8" s="57">
        <f>'cod 2018 09 18'!K14</f>
        <v>77.876923076923077</v>
      </c>
      <c r="D8" s="57">
        <f>'cod 2018 09 18'!P14</f>
        <v>70.305555555555557</v>
      </c>
      <c r="E8" s="57">
        <f>'cod 2018 09 18'!U14</f>
        <v>79.367777777777775</v>
      </c>
      <c r="F8" s="57">
        <f>'cod 2018 09 18'!Z14</f>
        <v>81.770769230769233</v>
      </c>
      <c r="G8" s="57">
        <f>'cod 2018 09 18'!G14</f>
        <v>50.62</v>
      </c>
    </row>
    <row r="9" spans="1:7" x14ac:dyDescent="0.2">
      <c r="A9" s="37">
        <f>'cod 2018 09 18'!C15</f>
        <v>100008</v>
      </c>
      <c r="B9" s="37" t="str">
        <f>'cod 2018 09 18'!E15</f>
        <v xml:space="preserve">Inti Grey Clasic  </v>
      </c>
      <c r="C9" s="57">
        <f>'cod 2018 09 18'!K15</f>
        <v>77.876923076923077</v>
      </c>
      <c r="D9" s="57">
        <f>'cod 2018 09 18'!P15</f>
        <v>70.305555555555557</v>
      </c>
      <c r="E9" s="57">
        <f>'cod 2018 09 18'!U15</f>
        <v>79.367777777777775</v>
      </c>
      <c r="F9" s="57">
        <f>'cod 2018 09 18'!Z15</f>
        <v>81.770769230769233</v>
      </c>
      <c r="G9" s="57">
        <f>'cod 2018 09 18'!G15</f>
        <v>50.62</v>
      </c>
    </row>
    <row r="10" spans="1:7" x14ac:dyDescent="0.2">
      <c r="A10" s="37">
        <f>'cod 2018 09 18'!C16</f>
        <v>100009</v>
      </c>
      <c r="B10" s="37" t="str">
        <f>'cod 2018 09 18'!E16</f>
        <v>Amazonia Mango</v>
      </c>
      <c r="C10" s="57">
        <f>'cod 2018 09 18'!K16</f>
        <v>77.876923076923077</v>
      </c>
      <c r="D10" s="57">
        <f>'cod 2018 09 18'!P16</f>
        <v>70.305555555555557</v>
      </c>
      <c r="E10" s="57">
        <f>'cod 2018 09 18'!U16</f>
        <v>79.367777777777775</v>
      </c>
      <c r="F10" s="57">
        <f>'cod 2018 09 18'!Z16</f>
        <v>81.770769230769233</v>
      </c>
      <c r="G10" s="57">
        <f>'cod 2018 09 18'!G16</f>
        <v>50.62</v>
      </c>
    </row>
    <row r="11" spans="1:7" x14ac:dyDescent="0.2">
      <c r="A11" s="37">
        <f>'cod 2018 09 18'!C17</f>
        <v>100010</v>
      </c>
      <c r="B11" s="37" t="str">
        <f>'cod 2018 09 18'!E17</f>
        <v>Don Juan</v>
      </c>
      <c r="C11" s="57">
        <f>'cod 2018 09 18'!K17</f>
        <v>77.876923076923077</v>
      </c>
      <c r="D11" s="57">
        <f>'cod 2018 09 18'!P17</f>
        <v>70.305555555555557</v>
      </c>
      <c r="E11" s="57">
        <f>'cod 2018 09 18'!U17</f>
        <v>79.367777777777775</v>
      </c>
      <c r="F11" s="57">
        <f>'cod 2018 09 18'!Z17</f>
        <v>81.770769230769233</v>
      </c>
      <c r="G11" s="57">
        <f>'cod 2018 09 18'!G17</f>
        <v>50.62</v>
      </c>
    </row>
    <row r="12" spans="1:7" x14ac:dyDescent="0.2">
      <c r="A12" s="37">
        <f>'cod 2018 09 18'!C18</f>
        <v>100011</v>
      </c>
      <c r="B12" s="37" t="str">
        <f>'cod 2018 09 18'!E18</f>
        <v>Pampa Dulce</v>
      </c>
      <c r="C12" s="57">
        <f>'cod 2018 09 18'!K18</f>
        <v>77.876923076923077</v>
      </c>
      <c r="D12" s="57">
        <f>'cod 2018 09 18'!P18</f>
        <v>70.305555555555557</v>
      </c>
      <c r="E12" s="57">
        <f>'cod 2018 09 18'!U18</f>
        <v>79.367777777777775</v>
      </c>
      <c r="F12" s="57">
        <f>'cod 2018 09 18'!Z18</f>
        <v>81.770769230769233</v>
      </c>
      <c r="G12" s="57">
        <f>'cod 2018 09 18'!G18</f>
        <v>50.62</v>
      </c>
    </row>
    <row r="13" spans="1:7" x14ac:dyDescent="0.2">
      <c r="A13" s="37">
        <f>'cod 2018 09 18'!C19</f>
        <v>100012</v>
      </c>
      <c r="B13" s="37" t="str">
        <f>'cod 2018 09 18'!E19</f>
        <v>Mix de 8 variedades en cada estuche</v>
      </c>
      <c r="C13" s="57">
        <f>'cod 2018 09 18'!K19</f>
        <v>77.876923076923077</v>
      </c>
      <c r="D13" s="57">
        <f>'cod 2018 09 18'!P19</f>
        <v>70.305555555555557</v>
      </c>
      <c r="E13" s="57">
        <f>'cod 2018 09 18'!U19</f>
        <v>79.367777777777775</v>
      </c>
      <c r="F13" s="57">
        <f>'cod 2018 09 18'!Z19</f>
        <v>81.770769230769233</v>
      </c>
      <c r="G13" s="57">
        <f>'cod 2018 09 18'!G19</f>
        <v>50.62</v>
      </c>
    </row>
    <row r="14" spans="1:7" x14ac:dyDescent="0.2">
      <c r="A14" s="37">
        <f>'cod 2018 09 18'!C20</f>
        <v>100013</v>
      </c>
      <c r="B14" s="37" t="str">
        <f>'cod 2018 09 18'!E20</f>
        <v>Pack Variedad Intizen</v>
      </c>
      <c r="C14" s="57">
        <f>'cod 2018 09 18'!K20</f>
        <v>77.876923076923077</v>
      </c>
      <c r="D14" s="57">
        <f>'cod 2018 09 18'!P20</f>
        <v>70.305555555555557</v>
      </c>
      <c r="E14" s="57">
        <f>'cod 2018 09 18'!U20</f>
        <v>79.367777777777775</v>
      </c>
      <c r="F14" s="57">
        <f>'cod 2018 09 18'!Z20</f>
        <v>81.770769230769233</v>
      </c>
      <c r="G14" s="57">
        <f>'cod 2018 09 18'!G20</f>
        <v>50.62</v>
      </c>
    </row>
    <row r="15" spans="1:7" x14ac:dyDescent="0.2">
      <c r="A15" s="37">
        <f>'cod 2018 09 18'!C21</f>
        <v>101001</v>
      </c>
      <c r="B15" s="37" t="str">
        <f>'cod 2018 09 18'!E21</f>
        <v>Energy Chamana</v>
      </c>
      <c r="C15" s="57">
        <f>'cod 2018 09 18'!K21</f>
        <v>77.876923076923077</v>
      </c>
      <c r="D15" s="57">
        <f>'cod 2018 09 18'!P21</f>
        <v>70.305555555555557</v>
      </c>
      <c r="E15" s="57">
        <f>'cod 2018 09 18'!U21</f>
        <v>79.367777777777775</v>
      </c>
      <c r="F15" s="57">
        <f>'cod 2018 09 18'!Z21</f>
        <v>81.770769230769233</v>
      </c>
      <c r="G15" s="57">
        <f>'cod 2018 09 18'!G21</f>
        <v>50.62</v>
      </c>
    </row>
    <row r="16" spans="1:7" x14ac:dyDescent="0.2">
      <c r="A16" s="37">
        <f>'cod 2018 09 18'!C22</f>
        <v>101002</v>
      </c>
      <c r="B16" s="37" t="str">
        <f>'cod 2018 09 18'!E22</f>
        <v>Detox Chamana</v>
      </c>
      <c r="C16" s="57">
        <f>'cod 2018 09 18'!K22</f>
        <v>77.876923076923077</v>
      </c>
      <c r="D16" s="57">
        <f>'cod 2018 09 18'!P22</f>
        <v>70.305555555555557</v>
      </c>
      <c r="E16" s="57">
        <f>'cod 2018 09 18'!U22</f>
        <v>79.367777777777775</v>
      </c>
      <c r="F16" s="57">
        <f>'cod 2018 09 18'!Z22</f>
        <v>81.770769230769233</v>
      </c>
      <c r="G16" s="57">
        <f>'cod 2018 09 18'!G22</f>
        <v>50.62</v>
      </c>
    </row>
    <row r="17" spans="1:7" x14ac:dyDescent="0.2">
      <c r="A17" s="37">
        <f>'cod 2018 09 18'!C23</f>
        <v>101003</v>
      </c>
      <c r="B17" s="37" t="str">
        <f>'cod 2018 09 18'!E23</f>
        <v>Abrazo Chamana</v>
      </c>
      <c r="C17" s="57">
        <f>'cod 2018 09 18'!K23</f>
        <v>77.876923076923077</v>
      </c>
      <c r="D17" s="57">
        <f>'cod 2018 09 18'!P23</f>
        <v>70.305555555555557</v>
      </c>
      <c r="E17" s="57">
        <f>'cod 2018 09 18'!U23</f>
        <v>79.367777777777775</v>
      </c>
      <c r="F17" s="57">
        <f>'cod 2018 09 18'!Z23</f>
        <v>81.770769230769233</v>
      </c>
      <c r="G17" s="57">
        <f>'cod 2018 09 18'!G23</f>
        <v>50.62</v>
      </c>
    </row>
    <row r="18" spans="1:7" x14ac:dyDescent="0.2">
      <c r="A18" s="37">
        <f>'cod 2018 09 18'!C24</f>
        <v>101004</v>
      </c>
      <c r="B18" s="37" t="str">
        <f>'cod 2018 09 18'!E24</f>
        <v>Amour Chamana</v>
      </c>
      <c r="C18" s="57">
        <f>'cod 2018 09 18'!K24</f>
        <v>77.876923076923077</v>
      </c>
      <c r="D18" s="57">
        <f>'cod 2018 09 18'!P24</f>
        <v>70.305555555555557</v>
      </c>
      <c r="E18" s="57">
        <f>'cod 2018 09 18'!U24</f>
        <v>79.367777777777775</v>
      </c>
      <c r="F18" s="57">
        <f>'cod 2018 09 18'!Z24</f>
        <v>81.770769230769233</v>
      </c>
      <c r="G18" s="57">
        <f>'cod 2018 09 18'!G24</f>
        <v>50.62</v>
      </c>
    </row>
    <row r="19" spans="1:7" x14ac:dyDescent="0.2">
      <c r="A19" s="37">
        <f>'cod 2018 09 18'!C25</f>
        <v>101005</v>
      </c>
      <c r="B19" s="37" t="str">
        <f>'cod 2018 09 18'!E25</f>
        <v>Relax Chamana</v>
      </c>
      <c r="C19" s="57">
        <f>'cod 2018 09 18'!K25</f>
        <v>77.876923076923077</v>
      </c>
      <c r="D19" s="57">
        <f>'cod 2018 09 18'!P25</f>
        <v>70.305555555555557</v>
      </c>
      <c r="E19" s="57">
        <f>'cod 2018 09 18'!U25</f>
        <v>79.367777777777775</v>
      </c>
      <c r="F19" s="57">
        <f>'cod 2018 09 18'!Z25</f>
        <v>81.770769230769233</v>
      </c>
      <c r="G19" s="57">
        <f>'cod 2018 09 18'!G25</f>
        <v>50.62</v>
      </c>
    </row>
    <row r="20" spans="1:7" x14ac:dyDescent="0.2">
      <c r="A20" s="37">
        <f>'cod 2018 09 18'!C26</f>
        <v>101006</v>
      </c>
      <c r="B20" s="37" t="str">
        <f>'cod 2018 09 18'!E26</f>
        <v>Yogha</v>
      </c>
      <c r="C20" s="57">
        <f>'cod 2018 09 18'!K26</f>
        <v>77.876923076923077</v>
      </c>
      <c r="D20" s="57">
        <f>'cod 2018 09 18'!P26</f>
        <v>70.305555555555557</v>
      </c>
      <c r="E20" s="57">
        <f>'cod 2018 09 18'!U26</f>
        <v>79.367777777777775</v>
      </c>
      <c r="F20" s="57">
        <f>'cod 2018 09 18'!Z26</f>
        <v>81.770769230769233</v>
      </c>
      <c r="G20" s="57">
        <f>'cod 2018 09 18'!G26</f>
        <v>50.62</v>
      </c>
    </row>
    <row r="21" spans="1:7" x14ac:dyDescent="0.2">
      <c r="A21" s="37">
        <f>'cod 2018 09 18'!C27</f>
        <v>101007</v>
      </c>
      <c r="B21" s="37" t="str">
        <f>'cod 2018 09 18'!E27</f>
        <v>Herbal Box (chamana surtidos)</v>
      </c>
      <c r="C21" s="57">
        <f>'cod 2018 09 18'!K27</f>
        <v>77.876923076923077</v>
      </c>
      <c r="D21" s="57">
        <f>'cod 2018 09 18'!P27</f>
        <v>70.305555555555557</v>
      </c>
      <c r="E21" s="57">
        <f>'cod 2018 09 18'!U27</f>
        <v>79.367777777777775</v>
      </c>
      <c r="F21" s="57">
        <f>'cod 2018 09 18'!Z27</f>
        <v>81.770769230769233</v>
      </c>
      <c r="G21" s="57">
        <f>'cod 2018 09 18'!G27</f>
        <v>50.62</v>
      </c>
    </row>
    <row r="22" spans="1:7" x14ac:dyDescent="0.2">
      <c r="A22" s="37">
        <f>'cod 2018 09 18'!C28</f>
        <v>101008</v>
      </c>
      <c r="B22" s="37" t="str">
        <f>'cod 2018 09 18'!E28</f>
        <v>Pack Variedad Chamana</v>
      </c>
      <c r="C22" s="57">
        <f>'cod 2018 09 18'!K28</f>
        <v>77.876923076923077</v>
      </c>
      <c r="D22" s="57">
        <f>'cod 2018 09 18'!P28</f>
        <v>70.305555555555557</v>
      </c>
      <c r="E22" s="57">
        <f>'cod 2018 09 18'!U28</f>
        <v>79.367777777777775</v>
      </c>
      <c r="F22" s="57">
        <f>'cod 2018 09 18'!Z28</f>
        <v>81.770769230769233</v>
      </c>
      <c r="G22" s="57">
        <f>'cod 2018 09 18'!G28</f>
        <v>50.62</v>
      </c>
    </row>
    <row r="23" spans="1:7" x14ac:dyDescent="0.2">
      <c r="A23" s="37">
        <f>'cod 2018 09 18'!C29</f>
        <v>102001</v>
      </c>
      <c r="B23" s="37" t="str">
        <f>'cod 2018 09 18'!E29</f>
        <v>taza + 14 saquitos surtidos</v>
      </c>
      <c r="C23" s="57">
        <f>'cod 2018 09 18'!K29</f>
        <v>230.76923076923077</v>
      </c>
      <c r="D23" s="57">
        <f>'cod 2018 09 18'!P29</f>
        <v>200</v>
      </c>
      <c r="E23" s="57">
        <f>'cod 2018 09 18'!U29</f>
        <v>200</v>
      </c>
      <c r="F23" s="57">
        <f>'cod 2018 09 18'!Z29</f>
        <v>242.30769230769232</v>
      </c>
      <c r="G23" s="57">
        <f>'cod 2018 09 18'!G29</f>
        <v>150</v>
      </c>
    </row>
    <row r="24" spans="1:7" x14ac:dyDescent="0.2">
      <c r="A24" s="37">
        <f>'cod 2018 09 18'!C30</f>
        <v>102002</v>
      </c>
      <c r="B24" s="37" t="str">
        <f>'cod 2018 09 18'!E30</f>
        <v>estuche transparente 30 saquietos</v>
      </c>
      <c r="C24" s="57">
        <f>'cod 2018 09 18'!K30</f>
        <v>261.53846153846155</v>
      </c>
      <c r="D24" s="57">
        <f>'cod 2018 09 18'!P30</f>
        <v>226.66666666666666</v>
      </c>
      <c r="E24" s="57">
        <f>'cod 2018 09 18'!U30</f>
        <v>226.66666666666666</v>
      </c>
      <c r="F24" s="57">
        <f>'cod 2018 09 18'!Z30</f>
        <v>274.61538461538464</v>
      </c>
      <c r="G24" s="57">
        <f>'cod 2018 09 18'!G30</f>
        <v>170</v>
      </c>
    </row>
    <row r="25" spans="1:7" x14ac:dyDescent="0.2">
      <c r="A25" s="37">
        <f>'cod 2018 09 18'!C31</f>
        <v>102003</v>
      </c>
      <c r="B25" s="37" t="str">
        <f>'cod 2018 09 18'!E31</f>
        <v>caja calada 30 saquitos</v>
      </c>
      <c r="C25" s="57">
        <f>'cod 2018 09 18'!K31</f>
        <v>569.23076923076917</v>
      </c>
      <c r="D25" s="57">
        <f>'cod 2018 09 18'!P31</f>
        <v>493.33333333333331</v>
      </c>
      <c r="E25" s="57">
        <f>'cod 2018 09 18'!U31</f>
        <v>493.33333333333331</v>
      </c>
      <c r="F25" s="57">
        <f>'cod 2018 09 18'!Z31</f>
        <v>597.69230769230762</v>
      </c>
      <c r="G25" s="57">
        <f>'cod 2018 09 18'!G31</f>
        <v>370</v>
      </c>
    </row>
    <row r="26" spans="1:7" x14ac:dyDescent="0.2">
      <c r="A26" s="37">
        <f>'cod 2018 09 18'!C32</f>
        <v>102004</v>
      </c>
      <c r="B26" s="37" t="str">
        <f>'cod 2018 09 18'!E32</f>
        <v>caja paraiso natural 60 saquitos</v>
      </c>
      <c r="C26" s="57">
        <f>'cod 2018 09 18'!K32</f>
        <v>846.15384615384608</v>
      </c>
      <c r="D26" s="57">
        <f>'cod 2018 09 18'!P32</f>
        <v>733.33333333333337</v>
      </c>
      <c r="E26" s="57">
        <f>'cod 2018 09 18'!U32</f>
        <v>733.33333333333337</v>
      </c>
      <c r="F26" s="57">
        <f>'cod 2018 09 18'!Z32</f>
        <v>888.46153846153845</v>
      </c>
      <c r="G26" s="57">
        <f>'cod 2018 09 18'!G32</f>
        <v>550</v>
      </c>
    </row>
    <row r="27" spans="1:7" x14ac:dyDescent="0.2">
      <c r="A27" s="37">
        <f>'cod 2018 09 18'!C33</f>
        <v>102005</v>
      </c>
      <c r="B27" s="37" t="str">
        <f>'cod 2018 09 18'!E33</f>
        <v>tetera + 2 cuencos</v>
      </c>
      <c r="C27" s="57">
        <f>'cod 2018 09 18'!K33</f>
        <v>1338.4615384615383</v>
      </c>
      <c r="D27" s="57">
        <f>'cod 2018 09 18'!P33</f>
        <v>1160</v>
      </c>
      <c r="E27" s="57">
        <f>'cod 2018 09 18'!U33</f>
        <v>1160</v>
      </c>
      <c r="F27" s="57">
        <f>'cod 2018 09 18'!Z33</f>
        <v>1405.3846153846152</v>
      </c>
      <c r="G27" s="57">
        <f>'cod 2018 09 18'!G33</f>
        <v>870</v>
      </c>
    </row>
    <row r="28" spans="1:7" x14ac:dyDescent="0.2">
      <c r="A28" s="37">
        <f>'cod 2018 09 18'!C34</f>
        <v>102007</v>
      </c>
      <c r="B28" s="37" t="str">
        <f>'cod 2018 09 18'!E34</f>
        <v>estuche transparente 18 saquitos</v>
      </c>
      <c r="C28" s="57">
        <f>'cod 2018 09 18'!K34</f>
        <v>153.84615384615384</v>
      </c>
      <c r="D28" s="57">
        <f>'cod 2018 09 18'!P34</f>
        <v>133.33333333333334</v>
      </c>
      <c r="E28" s="57">
        <f>'cod 2018 09 18'!U34</f>
        <v>133.33333333333334</v>
      </c>
      <c r="F28" s="57">
        <f>'cod 2018 09 18'!Z34</f>
        <v>161.53846153846155</v>
      </c>
      <c r="G28" s="57">
        <f>'cod 2018 09 18'!G34</f>
        <v>100</v>
      </c>
    </row>
    <row r="29" spans="1:7" x14ac:dyDescent="0.2">
      <c r="A29" s="37">
        <f>'cod 2018 09 18'!C35</f>
        <v>102006</v>
      </c>
      <c r="B29" s="37" t="str">
        <f>'cod 2018 09 18'!E35</f>
        <v>caja exhibidora inti zen chamana</v>
      </c>
      <c r="C29" s="57">
        <f>'cod 2018 09 18'!K35</f>
        <v>1.5384615384615384E-2</v>
      </c>
      <c r="D29" s="57">
        <f>'cod 2018 09 18'!P35</f>
        <v>1.3333333333333334E-2</v>
      </c>
      <c r="E29" s="57">
        <f>'cod 2018 09 18'!U35</f>
        <v>0.01</v>
      </c>
      <c r="F29" s="57">
        <f>'cod 2018 09 18'!Z35</f>
        <v>1.6153846153846154E-2</v>
      </c>
      <c r="G29" s="57">
        <f>'cod 2018 09 18'!G35</f>
        <v>0.01</v>
      </c>
    </row>
    <row r="30" spans="1:7" x14ac:dyDescent="0.2">
      <c r="A30" s="37">
        <f>'cod 2018 09 18'!C36</f>
        <v>103001</v>
      </c>
      <c r="B30" s="37" t="str">
        <f>'cod 2018 09 18'!E36</f>
        <v>Aceto PREMIUM Domenico Ranieri Botella 250 cc</v>
      </c>
      <c r="C30" s="57">
        <f>'cod 2018 09 18'!K36</f>
        <v>118.10205128205128</v>
      </c>
      <c r="D30" s="57">
        <f>'cod 2018 09 18'!P36</f>
        <v>127.94388888888889</v>
      </c>
      <c r="E30" s="57">
        <f>'cod 2018 09 18'!U36</f>
        <v>112.89166666666667</v>
      </c>
      <c r="F30" s="57">
        <f>'cod 2018 09 18'!Z36</f>
        <v>129.91225641025642</v>
      </c>
      <c r="G30" s="57">
        <f>'cod 2018 09 18'!G36</f>
        <v>76.766333333333336</v>
      </c>
    </row>
    <row r="31" spans="1:7" x14ac:dyDescent="0.2">
      <c r="A31" s="37">
        <f>'cod 2018 09 18'!C37</f>
        <v>103002</v>
      </c>
      <c r="B31" s="37" t="str">
        <f>'cod 2018 09 18'!E37</f>
        <v xml:space="preserve">Aceto PREMIUM Domenico Ranieri Bidón 5 LT </v>
      </c>
      <c r="C31" s="57">
        <f>'cod 2018 09 18'!K37</f>
        <v>1168.4707692307691</v>
      </c>
      <c r="D31" s="57">
        <f>'cod 2018 09 18'!P37</f>
        <v>1265.8433333333332</v>
      </c>
      <c r="E31" s="57">
        <f>'cod 2018 09 18'!U37</f>
        <v>1116.920588235294</v>
      </c>
      <c r="F31" s="57">
        <f>'cod 2018 09 18'!Z37</f>
        <v>1285.3178461538462</v>
      </c>
      <c r="G31" s="57">
        <f>'cod 2018 09 18'!G37</f>
        <v>759.50599999999997</v>
      </c>
    </row>
    <row r="32" spans="1:7" x14ac:dyDescent="0.2">
      <c r="A32" s="37">
        <f>'cod 2018 09 18'!C38</f>
        <v>104001</v>
      </c>
      <c r="B32" s="37" t="str">
        <f>'cod 2018 09 18'!E38</f>
        <v>Esparrago Verdes Meridiano 330 gr</v>
      </c>
      <c r="C32" s="57">
        <f>'cod 2018 09 18'!K38</f>
        <v>165.26545454545453</v>
      </c>
      <c r="D32" s="57">
        <f>'cod 2018 09 18'!P38</f>
        <v>165.26545454545453</v>
      </c>
      <c r="E32" s="57">
        <f>'cod 2018 09 18'!U38</f>
        <v>133.6705882352941</v>
      </c>
      <c r="F32" s="57">
        <f>'cod 2018 09 18'!Z38</f>
        <v>181.792</v>
      </c>
      <c r="G32" s="57">
        <f>'cod 2018 09 18'!G38</f>
        <v>90.896000000000001</v>
      </c>
    </row>
    <row r="33" spans="1:7" x14ac:dyDescent="0.2">
      <c r="A33" s="37">
        <f>'cod 2018 09 18'!C39</f>
        <v>104002</v>
      </c>
      <c r="B33" s="37" t="str">
        <f>'cod 2018 09 18'!E39</f>
        <v>Esparrago Verdes Meridiano 800 gr</v>
      </c>
      <c r="C33" s="57">
        <f>'cod 2018 09 18'!K39</f>
        <v>314.47814814814814</v>
      </c>
      <c r="D33" s="57">
        <f>'cod 2018 09 18'!P39</f>
        <v>314.47814814814814</v>
      </c>
      <c r="E33" s="57">
        <f>'cod 2018 09 18'!U39</f>
        <v>208.11053921568626</v>
      </c>
      <c r="F33" s="57">
        <f>'cod 2018 09 18'!Z39</f>
        <v>345.92596296296296</v>
      </c>
      <c r="G33" s="57">
        <f>'cod 2018 09 18'!G39</f>
        <v>141.51516666666666</v>
      </c>
    </row>
    <row r="34" spans="1:7" x14ac:dyDescent="0.2">
      <c r="A34" s="37">
        <f>'cod 2018 09 18'!C40</f>
        <v>104003</v>
      </c>
      <c r="B34" s="37" t="str">
        <f>'cod 2018 09 18'!E40</f>
        <v>Hojas de Parra 800</v>
      </c>
      <c r="C34" s="57">
        <f>'cod 2018 09 18'!K40</f>
        <v>172.41106666666664</v>
      </c>
      <c r="D34" s="57">
        <f>'cod 2018 09 18'!P40</f>
        <v>172.41106666666664</v>
      </c>
      <c r="E34" s="57">
        <f>'cod 2018 09 18'!U40</f>
        <v>126.77284313725488</v>
      </c>
      <c r="F34" s="57">
        <f>'cod 2018 09 18'!Z40</f>
        <v>189.65217333333331</v>
      </c>
      <c r="G34" s="57">
        <f>'cod 2018 09 18'!G40</f>
        <v>86.205533333333321</v>
      </c>
    </row>
    <row r="35" spans="1:7" x14ac:dyDescent="0.2">
      <c r="A35" s="37">
        <f>'cod 2018 09 18'!C41</f>
        <v>104004</v>
      </c>
      <c r="B35" s="37" t="str">
        <f>'cod 2018 09 18'!E41</f>
        <v>Tomate seco en ac de oliva</v>
      </c>
      <c r="C35" s="57">
        <f>'cod 2018 09 18'!K41</f>
        <v>204.57956363636362</v>
      </c>
      <c r="D35" s="57">
        <f>'cod 2018 09 18'!P41</f>
        <v>204.57956363636362</v>
      </c>
      <c r="E35" s="57">
        <f>'cod 2018 09 18'!U41</f>
        <v>165.46876470588234</v>
      </c>
      <c r="F35" s="57">
        <f>'cod 2018 09 18'!Z41</f>
        <v>225.03752</v>
      </c>
      <c r="G35" s="57">
        <f>'cod 2018 09 18'!G41</f>
        <v>112.51876</v>
      </c>
    </row>
    <row r="36" spans="1:7" x14ac:dyDescent="0.2">
      <c r="A36" s="37">
        <f>'cod 2018 09 18'!C42</f>
        <v>104005</v>
      </c>
      <c r="B36" s="37" t="str">
        <f>'cod 2018 09 18'!E42</f>
        <v>Pasta aceituna verde 170 gr</v>
      </c>
      <c r="C36" s="57">
        <f>'cod 2018 09 18'!K42</f>
        <v>92.789666666666676</v>
      </c>
      <c r="D36" s="57">
        <f>'cod 2018 09 18'!P42</f>
        <v>92.789666666666676</v>
      </c>
      <c r="E36" s="57">
        <f>'cod 2018 09 18'!U42</f>
        <v>68.227696078431379</v>
      </c>
      <c r="F36" s="57">
        <f>'cod 2018 09 18'!Z42</f>
        <v>102.06863333333335</v>
      </c>
      <c r="G36" s="57">
        <f>'cod 2018 09 18'!G42</f>
        <v>46.394833333333338</v>
      </c>
    </row>
    <row r="37" spans="1:7" x14ac:dyDescent="0.2">
      <c r="A37" s="37">
        <f>'cod 2018 09 18'!C43</f>
        <v>104006</v>
      </c>
      <c r="B37" s="37" t="str">
        <f>'cod 2018 09 18'!E43</f>
        <v>Pasta aceituna negra 170 gr</v>
      </c>
      <c r="C37" s="57">
        <f>'cod 2018 09 18'!K43</f>
        <v>92.789666666666676</v>
      </c>
      <c r="D37" s="57">
        <f>'cod 2018 09 18'!P43</f>
        <v>92.789666666666676</v>
      </c>
      <c r="E37" s="57">
        <f>'cod 2018 09 18'!U43</f>
        <v>68.227696078431379</v>
      </c>
      <c r="F37" s="57">
        <f>'cod 2018 09 18'!Z43</f>
        <v>102.06863333333335</v>
      </c>
      <c r="G37" s="57">
        <f>'cod 2018 09 18'!G43</f>
        <v>46.394833333333338</v>
      </c>
    </row>
    <row r="38" spans="1:7" x14ac:dyDescent="0.2">
      <c r="A38" s="37">
        <f>'cod 2018 09 18'!C44</f>
        <v>104007</v>
      </c>
      <c r="B38" s="37" t="str">
        <f>'cod 2018 09 18'!E44</f>
        <v>pepinillo pickel 330</v>
      </c>
      <c r="C38" s="57">
        <f>'cod 2018 09 18'!K44</f>
        <v>106.33666666666667</v>
      </c>
      <c r="D38" s="57">
        <f>'cod 2018 09 18'!P44</f>
        <v>106.33666666666667</v>
      </c>
      <c r="E38" s="57">
        <f>'cod 2018 09 18'!U44</f>
        <v>78.188725490196077</v>
      </c>
      <c r="F38" s="57">
        <f>'cod 2018 09 18'!Z44</f>
        <v>116.97033333333334</v>
      </c>
      <c r="G38" s="57">
        <f>'cod 2018 09 18'!G44</f>
        <v>53.168333333333337</v>
      </c>
    </row>
    <row r="39" spans="1:7" x14ac:dyDescent="0.2">
      <c r="A39" s="37">
        <f>'cod 2018 09 18'!C45</f>
        <v>104008</v>
      </c>
      <c r="B39" s="37" t="str">
        <f>'cod 2018 09 18'!E45</f>
        <v>pepino Meridiano 800</v>
      </c>
      <c r="C39" s="57">
        <f>'cod 2018 09 18'!K45</f>
        <v>73.857552083333331</v>
      </c>
      <c r="D39" s="57">
        <f>'cod 2018 09 18'!P45</f>
        <v>73.857552083333331</v>
      </c>
      <c r="E39" s="57">
        <f>'cod 2018 09 18'!U45</f>
        <v>69.51299019607842</v>
      </c>
      <c r="F39" s="57">
        <f>'cod 2018 09 18'!Z45</f>
        <v>81.243307291666667</v>
      </c>
      <c r="G39" s="57">
        <f>'cod 2018 09 18'!G45</f>
        <v>66.05983333333333</v>
      </c>
    </row>
    <row r="40" spans="1:7" x14ac:dyDescent="0.2">
      <c r="A40" s="37">
        <f>'cod 2018 09 18'!C46</f>
        <v>104009</v>
      </c>
      <c r="B40" s="37" t="str">
        <f>'cod 2018 09 18'!E46</f>
        <v>Aceituna verde S/C meridiano 330</v>
      </c>
      <c r="C40" s="57">
        <f>'cod 2018 09 18'!K46</f>
        <v>62.474814814814813</v>
      </c>
      <c r="D40" s="57">
        <f>'cod 2018 09 18'!P46</f>
        <v>62.474814814814813</v>
      </c>
      <c r="E40" s="57">
        <f>'cod 2018 09 18'!U46</f>
        <v>41.343627450980392</v>
      </c>
      <c r="F40" s="57">
        <f>'cod 2018 09 18'!Z46</f>
        <v>68.722296296296307</v>
      </c>
      <c r="G40" s="57">
        <f>'cod 2018 09 18'!G46</f>
        <v>28.113666666666667</v>
      </c>
    </row>
    <row r="41" spans="1:7" x14ac:dyDescent="0.2">
      <c r="A41" s="37">
        <f>'cod 2018 09 18'!C47</f>
        <v>104010</v>
      </c>
      <c r="B41" s="37" t="str">
        <f>'cod 2018 09 18'!E47</f>
        <v>Aceituna verde C/C meridiano 330</v>
      </c>
      <c r="C41" s="57">
        <f>'cod 2018 09 18'!K47</f>
        <v>95.557333333333318</v>
      </c>
      <c r="D41" s="57">
        <f>'cod 2018 09 18'!P47</f>
        <v>95.557333333333318</v>
      </c>
      <c r="E41" s="57">
        <f>'cod 2018 09 18'!U47</f>
        <v>70.262745098039204</v>
      </c>
      <c r="F41" s="57">
        <f>'cod 2018 09 18'!Z47</f>
        <v>105.11306666666665</v>
      </c>
      <c r="G41" s="57">
        <f>'cod 2018 09 18'!G47</f>
        <v>47.778666666666659</v>
      </c>
    </row>
    <row r="42" spans="1:7" x14ac:dyDescent="0.2">
      <c r="A42" s="37">
        <f>'cod 2018 09 18'!C48</f>
        <v>104011</v>
      </c>
      <c r="B42" s="37" t="str">
        <f>'cod 2018 09 18'!E48</f>
        <v>Aceituna verde rodajas  meridiano 330</v>
      </c>
      <c r="C42" s="57">
        <f>'cod 2018 09 18'!K48</f>
        <v>0</v>
      </c>
      <c r="D42" s="57">
        <f>'cod 2018 09 18'!P48</f>
        <v>0</v>
      </c>
      <c r="E42" s="57">
        <f>'cod 2018 09 18'!U48</f>
        <v>0</v>
      </c>
      <c r="F42" s="57">
        <f>'cod 2018 09 18'!Z48</f>
        <v>0</v>
      </c>
      <c r="G42" s="57">
        <f>'cod 2018 09 18'!G48</f>
        <v>0</v>
      </c>
    </row>
    <row r="43" spans="1:7" x14ac:dyDescent="0.2">
      <c r="A43" s="37">
        <f>'cod 2018 09 18'!C49</f>
        <v>104012</v>
      </c>
      <c r="B43" s="37" t="str">
        <f>'cod 2018 09 18'!E49</f>
        <v>Aceituna negra C/C meridiano 330</v>
      </c>
      <c r="C43" s="57">
        <f>'cod 2018 09 18'!K49</f>
        <v>98.907666666666671</v>
      </c>
      <c r="D43" s="57">
        <f>'cod 2018 09 18'!P49</f>
        <v>98.907666666666671</v>
      </c>
      <c r="E43" s="57">
        <f>'cod 2018 09 18'!U49</f>
        <v>72.726225490196072</v>
      </c>
      <c r="F43" s="57">
        <f>'cod 2018 09 18'!Z49</f>
        <v>108.79843333333335</v>
      </c>
      <c r="G43" s="57">
        <f>'cod 2018 09 18'!G49</f>
        <v>49.453833333333336</v>
      </c>
    </row>
    <row r="44" spans="1:7" x14ac:dyDescent="0.2">
      <c r="A44" s="37">
        <f>'cod 2018 09 18'!C50</f>
        <v>104013</v>
      </c>
      <c r="B44" s="37" t="str">
        <f>'cod 2018 09 18'!E50</f>
        <v>Aceituna negra S/C meridiano 330</v>
      </c>
      <c r="C44" s="57">
        <f>'cod 2018 09 18'!K50</f>
        <v>109.89740740740741</v>
      </c>
      <c r="D44" s="57">
        <f>'cod 2018 09 18'!P50</f>
        <v>109.89740740740741</v>
      </c>
      <c r="E44" s="57">
        <f>'cod 2018 09 18'!U50</f>
        <v>72.726225490196072</v>
      </c>
      <c r="F44" s="57">
        <f>'cod 2018 09 18'!Z50</f>
        <v>120.88714814814817</v>
      </c>
      <c r="G44" s="57">
        <f>'cod 2018 09 18'!G50</f>
        <v>49.453833333333336</v>
      </c>
    </row>
    <row r="45" spans="1:7" x14ac:dyDescent="0.2">
      <c r="A45" s="37">
        <f>'cod 2018 09 18'!C51</f>
        <v>104014</v>
      </c>
      <c r="B45" s="37" t="str">
        <f>'cod 2018 09 18'!E51</f>
        <v>Aceituna negras rodajas  meridiano 330</v>
      </c>
      <c r="C45" s="57">
        <f>'cod 2018 09 18'!K51</f>
        <v>0</v>
      </c>
      <c r="D45" s="57">
        <f>'cod 2018 09 18'!P51</f>
        <v>0</v>
      </c>
      <c r="E45" s="57">
        <f>'cod 2018 09 18'!U51</f>
        <v>0</v>
      </c>
      <c r="F45" s="57">
        <f>'cod 2018 09 18'!Z51</f>
        <v>0</v>
      </c>
      <c r="G45" s="57">
        <f>'cod 2018 09 18'!G51</f>
        <v>0</v>
      </c>
    </row>
    <row r="46" spans="1:7" x14ac:dyDescent="0.2">
      <c r="A46" s="37">
        <f>'cod 2018 09 18'!C52</f>
        <v>104015</v>
      </c>
      <c r="B46" s="37" t="str">
        <f>'cod 2018 09 18'!E52</f>
        <v>Aceituna Griega meridiano 330</v>
      </c>
      <c r="C46" s="57">
        <f>'cod 2018 09 18'!K52</f>
        <v>153.96966666666665</v>
      </c>
      <c r="D46" s="57">
        <f>'cod 2018 09 18'!P52</f>
        <v>153.96966666666665</v>
      </c>
      <c r="E46" s="57">
        <f>'cod 2018 09 18'!U52</f>
        <v>113.21299019607841</v>
      </c>
      <c r="F46" s="57">
        <f>'cod 2018 09 18'!Z52</f>
        <v>169.36663333333334</v>
      </c>
      <c r="G46" s="57">
        <f>'cod 2018 09 18'!G52</f>
        <v>76.984833333333327</v>
      </c>
    </row>
    <row r="47" spans="1:7" x14ac:dyDescent="0.2">
      <c r="A47" s="37">
        <f>'cod 2018 09 18'!C53</f>
        <v>104016</v>
      </c>
      <c r="B47" s="37" t="str">
        <f>'cod 2018 09 18'!E53</f>
        <v>Aceituna verde C/C meridiano 1000</v>
      </c>
      <c r="C47" s="57">
        <f>'cod 2018 09 18'!K53</f>
        <v>0</v>
      </c>
      <c r="D47" s="57">
        <f>'cod 2018 09 18'!P53</f>
        <v>0</v>
      </c>
      <c r="E47" s="57">
        <f>'cod 2018 09 18'!U53</f>
        <v>0</v>
      </c>
      <c r="F47" s="57">
        <f>'cod 2018 09 18'!Z53</f>
        <v>0</v>
      </c>
      <c r="G47" s="57">
        <f>'cod 2018 09 18'!G53</f>
        <v>0</v>
      </c>
    </row>
    <row r="48" spans="1:7" x14ac:dyDescent="0.2">
      <c r="A48" s="37">
        <f>'cod 2018 09 18'!C54</f>
        <v>104017</v>
      </c>
      <c r="B48" s="37" t="str">
        <f>'cod 2018 09 18'!E54</f>
        <v>Aceituna negra C/C meridiano 1000</v>
      </c>
      <c r="C48" s="57">
        <f>'cod 2018 09 18'!K54</f>
        <v>0</v>
      </c>
      <c r="D48" s="57">
        <f>'cod 2018 09 18'!P54</f>
        <v>0</v>
      </c>
      <c r="E48" s="57">
        <f>'cod 2018 09 18'!U54</f>
        <v>0</v>
      </c>
      <c r="F48" s="57">
        <f>'cod 2018 09 18'!Z54</f>
        <v>0</v>
      </c>
      <c r="G48" s="57">
        <f>'cod 2018 09 18'!G54</f>
        <v>0</v>
      </c>
    </row>
    <row r="49" spans="1:7" x14ac:dyDescent="0.2">
      <c r="A49" s="37">
        <f>'cod 2018 09 18'!C55</f>
        <v>104018</v>
      </c>
      <c r="B49" s="37" t="str">
        <f>'cod 2018 09 18'!E55</f>
        <v>Ajies  DulcesMeridiano 330</v>
      </c>
      <c r="C49" s="57">
        <f>'cod 2018 09 18'!K55</f>
        <v>116.82466666666666</v>
      </c>
      <c r="D49" s="57">
        <f>'cod 2018 09 18'!P55</f>
        <v>116.82466666666666</v>
      </c>
      <c r="E49" s="57">
        <f>'cod 2018 09 18'!U55</f>
        <v>85.900490196078422</v>
      </c>
      <c r="F49" s="57">
        <f>'cod 2018 09 18'!Z55</f>
        <v>128.50713333333334</v>
      </c>
      <c r="G49" s="57">
        <f>'cod 2018 09 18'!G55</f>
        <v>58.412333333333329</v>
      </c>
    </row>
    <row r="50" spans="1:7" x14ac:dyDescent="0.2">
      <c r="A50" s="37">
        <f>'cod 2018 09 18'!C56</f>
        <v>104019</v>
      </c>
      <c r="B50" s="37" t="str">
        <f>'cod 2018 09 18'!E56</f>
        <v>Berengenas condimenntadas 330</v>
      </c>
      <c r="C50" s="57">
        <f>'cod 2018 09 18'!K56</f>
        <v>125.80303030303031</v>
      </c>
      <c r="D50" s="57">
        <f>'cod 2018 09 18'!P56</f>
        <v>125.80303030303031</v>
      </c>
      <c r="E50" s="57">
        <f>'cod 2018 09 18'!U56</f>
        <v>101.75245098039217</v>
      </c>
      <c r="F50" s="57">
        <f>'cod 2018 09 18'!Z56</f>
        <v>138.38333333333335</v>
      </c>
      <c r="G50" s="57">
        <f>'cod 2018 09 18'!G56</f>
        <v>69.191666666666677</v>
      </c>
    </row>
    <row r="51" spans="1:7" x14ac:dyDescent="0.2">
      <c r="A51" s="37">
        <f>'cod 2018 09 18'!C57</f>
        <v>104020</v>
      </c>
      <c r="B51" s="37" t="str">
        <f>'cod 2018 09 18'!E57</f>
        <v>Pimiento morron 330</v>
      </c>
      <c r="C51" s="57">
        <f>'cod 2018 09 18'!K57</f>
        <v>165.56159420289856</v>
      </c>
      <c r="D51" s="57">
        <f>'cod 2018 09 18'!P57</f>
        <v>165.56159420289856</v>
      </c>
      <c r="E51" s="57">
        <f>'cod 2018 09 18'!U57</f>
        <v>121.7364663256607</v>
      </c>
      <c r="F51" s="57">
        <f>'cod 2018 09 18'!Z57</f>
        <v>182.11775362318843</v>
      </c>
      <c r="G51" s="57">
        <f>'cod 2018 09 18'!G57</f>
        <v>82.780797101449281</v>
      </c>
    </row>
    <row r="52" spans="1:7" x14ac:dyDescent="0.2">
      <c r="A52" s="37">
        <f>'cod 2018 09 18'!C58</f>
        <v>104021</v>
      </c>
      <c r="B52" s="37" t="str">
        <f>'cod 2018 09 18'!E58</f>
        <v xml:space="preserve">Corazon alcaucil 330 </v>
      </c>
      <c r="C52" s="57">
        <f>'cod 2018 09 18'!K58</f>
        <v>186.12962962962965</v>
      </c>
      <c r="D52" s="57">
        <f>'cod 2018 09 18'!P58</f>
        <v>186.12962962962965</v>
      </c>
      <c r="E52" s="57">
        <f>'cod 2018 09 18'!U58</f>
        <v>123.17401960784314</v>
      </c>
      <c r="F52" s="57">
        <f>'cod 2018 09 18'!Z58</f>
        <v>204.74259259259262</v>
      </c>
      <c r="G52" s="57">
        <f>'cod 2018 09 18'!G58</f>
        <v>83.75833333333334</v>
      </c>
    </row>
    <row r="53" spans="1:7" x14ac:dyDescent="0.2">
      <c r="A53" s="37">
        <f>'cod 2018 09 18'!C59</f>
        <v>104023</v>
      </c>
      <c r="B53" s="37" t="str">
        <f>'cod 2018 09 18'!E59</f>
        <v>Chucrut Meridiano 330</v>
      </c>
      <c r="C53" s="57">
        <f>'cod 2018 09 18'!K59</f>
        <v>112.90623333333332</v>
      </c>
      <c r="D53" s="57">
        <f>'cod 2018 09 18'!P59</f>
        <v>112.90623333333332</v>
      </c>
      <c r="E53" s="57">
        <f>'cod 2018 09 18'!U59</f>
        <v>83.019289215686257</v>
      </c>
      <c r="F53" s="57">
        <f>'cod 2018 09 18'!Z59</f>
        <v>124.19685666666666</v>
      </c>
      <c r="G53" s="57">
        <f>'cod 2018 09 18'!G59</f>
        <v>56.453116666666659</v>
      </c>
    </row>
    <row r="54" spans="1:7" x14ac:dyDescent="0.2">
      <c r="A54" s="37">
        <f>'cod 2018 09 18'!C60</f>
        <v>104022</v>
      </c>
      <c r="B54" s="37" t="str">
        <f>'cod 2018 09 18'!E60</f>
        <v>Aceite Yancanello 250 vidrio</v>
      </c>
      <c r="C54" s="57">
        <f>'cod 2018 09 18'!K60</f>
        <v>137.71102564102563</v>
      </c>
      <c r="D54" s="57">
        <f>'cod 2018 09 18'!P60</f>
        <v>137.71102564102563</v>
      </c>
      <c r="E54" s="57">
        <f>'cod 2018 09 18'!U60</f>
        <v>124.3224537037037</v>
      </c>
      <c r="F54" s="57">
        <f>'cod 2018 09 18'!Z60</f>
        <v>151.48212820512819</v>
      </c>
      <c r="G54" s="57">
        <f>'cod 2018 09 18'!G60</f>
        <v>89.512166666666658</v>
      </c>
    </row>
    <row r="55" spans="1:7" x14ac:dyDescent="0.2">
      <c r="A55" s="37">
        <f>'cod 2018 09 18'!C61</f>
        <v>105001</v>
      </c>
      <c r="B55" s="37" t="str">
        <f>'cod 2018 09 18'!E61</f>
        <v>Aceite Yancanello 500 vidrio</v>
      </c>
      <c r="C55" s="57">
        <f>'cod 2018 09 18'!K61</f>
        <v>220.27601282051282</v>
      </c>
      <c r="D55" s="57">
        <f>'cod 2018 09 18'!P61</f>
        <v>220.27601282051282</v>
      </c>
      <c r="E55" s="57">
        <f>'cod 2018 09 18'!U61</f>
        <v>198.86028935185186</v>
      </c>
      <c r="F55" s="57">
        <f>'cod 2018 09 18'!Z61</f>
        <v>242.30361410256413</v>
      </c>
      <c r="G55" s="57">
        <f>'cod 2018 09 18'!G61</f>
        <v>143.17940833333333</v>
      </c>
    </row>
    <row r="56" spans="1:7" x14ac:dyDescent="0.2">
      <c r="A56" s="37">
        <f>'cod 2018 09 18'!C62</f>
        <v>105002</v>
      </c>
      <c r="B56" s="37" t="str">
        <f>'cod 2018 09 18'!E62</f>
        <v>Aceite Yancanello 500 lata Arbequina</v>
      </c>
      <c r="C56" s="57">
        <f>'cod 2018 09 18'!K62</f>
        <v>0</v>
      </c>
      <c r="D56" s="57">
        <f>'cod 2018 09 18'!P62</f>
        <v>0</v>
      </c>
      <c r="E56" s="57">
        <f>'cod 2018 09 18'!U62</f>
        <v>0</v>
      </c>
      <c r="F56" s="57">
        <f>'cod 2018 09 18'!Z62</f>
        <v>0</v>
      </c>
      <c r="G56" s="57">
        <f>'cod 2018 09 18'!G62</f>
        <v>0</v>
      </c>
    </row>
    <row r="57" spans="1:7" x14ac:dyDescent="0.2">
      <c r="A57" s="37">
        <f>'cod 2018 09 18'!C63</f>
        <v>105003</v>
      </c>
      <c r="B57" s="37" t="str">
        <f>'cod 2018 09 18'!E63</f>
        <v>Aceite Yancanello 500 lata</v>
      </c>
      <c r="C57" s="57">
        <f>'cod 2018 09 18'!K63</f>
        <v>194.85717948717948</v>
      </c>
      <c r="D57" s="57">
        <f>'cod 2018 09 18'!P63</f>
        <v>194.85717948717948</v>
      </c>
      <c r="E57" s="57">
        <f>'cod 2018 09 18'!U63</f>
        <v>175.9127314814815</v>
      </c>
      <c r="F57" s="57">
        <f>'cod 2018 09 18'!Z63</f>
        <v>214.34289743589744</v>
      </c>
      <c r="G57" s="57">
        <f>'cod 2018 09 18'!G63</f>
        <v>126.65716666666667</v>
      </c>
    </row>
    <row r="58" spans="1:7" x14ac:dyDescent="0.2">
      <c r="A58" s="37">
        <f>'cod 2018 09 18'!C64</f>
        <v>105004</v>
      </c>
      <c r="B58" s="37" t="str">
        <f>'cod 2018 09 18'!E64</f>
        <v>Aceite Yancanello lt lata</v>
      </c>
      <c r="C58" s="57">
        <f>'cod 2018 09 18'!K64</f>
        <v>330.55128205128204</v>
      </c>
      <c r="D58" s="57">
        <f>'cod 2018 09 18'!P64</f>
        <v>330.55128205128204</v>
      </c>
      <c r="E58" s="57">
        <f>'cod 2018 09 18'!U64</f>
        <v>298.41435185185185</v>
      </c>
      <c r="F58" s="57">
        <f>'cod 2018 09 18'!Z64</f>
        <v>363.6064102564103</v>
      </c>
      <c r="G58" s="57">
        <f>'cod 2018 09 18'!G64</f>
        <v>214.85833333333332</v>
      </c>
    </row>
    <row r="59" spans="1:7" x14ac:dyDescent="0.2">
      <c r="A59" s="37">
        <f>'cod 2018 09 18'!C65</f>
        <v>105005</v>
      </c>
      <c r="B59" s="37" t="str">
        <f>'cod 2018 09 18'!E65</f>
        <v>Aceite Yancanello bidon 5LT</v>
      </c>
      <c r="C59" s="57">
        <f>'cod 2018 09 18'!K65</f>
        <v>1481.7661538461539</v>
      </c>
      <c r="D59" s="57">
        <f>'cod 2018 09 18'!P65</f>
        <v>1481.7661538461539</v>
      </c>
      <c r="E59" s="57">
        <f>'cod 2018 09 18'!U65</f>
        <v>1337.7055555555557</v>
      </c>
      <c r="F59" s="57">
        <f>'cod 2018 09 18'!Z65</f>
        <v>1629.9427692307695</v>
      </c>
      <c r="G59" s="57">
        <f>'cod 2018 09 18'!G65</f>
        <v>963.14800000000002</v>
      </c>
    </row>
    <row r="60" spans="1:7" x14ac:dyDescent="0.2">
      <c r="A60" s="37">
        <f>'cod 2018 09 18'!C66</f>
        <v>106002</v>
      </c>
      <c r="B60" s="37" t="str">
        <f>'cod 2018 09 18'!E66</f>
        <v>Caramelo de Miel y Menta  750 grs.</v>
      </c>
      <c r="C60" s="57">
        <f>'cod 2018 09 18'!K66</f>
        <v>0</v>
      </c>
      <c r="D60" s="57">
        <f>'cod 2018 09 18'!P66</f>
        <v>0</v>
      </c>
      <c r="E60" s="57">
        <f>'cod 2018 09 18'!U66</f>
        <v>0</v>
      </c>
      <c r="F60" s="57">
        <f>'cod 2018 09 18'!Z66</f>
        <v>0</v>
      </c>
      <c r="G60" s="57">
        <f>'cod 2018 09 18'!G66</f>
        <v>0</v>
      </c>
    </row>
    <row r="61" spans="1:7" x14ac:dyDescent="0.2">
      <c r="A61" s="37">
        <f>'cod 2018 09 18'!C67</f>
        <v>106003</v>
      </c>
      <c r="B61" s="37" t="str">
        <f>'cod 2018 09 18'!E67</f>
        <v>Caramelos de Miel  750 grs.</v>
      </c>
      <c r="C61" s="57">
        <f>'cod 2018 09 18'!K67</f>
        <v>0</v>
      </c>
      <c r="D61" s="57">
        <f>'cod 2018 09 18'!P67</f>
        <v>0</v>
      </c>
      <c r="E61" s="57">
        <f>'cod 2018 09 18'!U67</f>
        <v>0</v>
      </c>
      <c r="F61" s="57">
        <f>'cod 2018 09 18'!Z67</f>
        <v>0</v>
      </c>
      <c r="G61" s="57">
        <f>'cod 2018 09 18'!G67</f>
        <v>0</v>
      </c>
    </row>
    <row r="62" spans="1:7" x14ac:dyDescent="0.2">
      <c r="A62" s="37">
        <f>'cod 2018 09 18'!C68</f>
        <v>106004</v>
      </c>
      <c r="B62" s="37" t="str">
        <f>'cod 2018 09 18'!E68</f>
        <v>Caramelos de Propóleo 750 grs.</v>
      </c>
      <c r="C62" s="57">
        <f>'cod 2018 09 18'!K68</f>
        <v>0</v>
      </c>
      <c r="D62" s="57">
        <f>'cod 2018 09 18'!P68</f>
        <v>0</v>
      </c>
      <c r="E62" s="57">
        <f>'cod 2018 09 18'!U68</f>
        <v>116</v>
      </c>
      <c r="F62" s="57">
        <f>'cod 2018 09 18'!Z68</f>
        <v>0</v>
      </c>
      <c r="G62" s="57">
        <f>'cod 2018 09 18'!G68</f>
        <v>0</v>
      </c>
    </row>
    <row r="63" spans="1:7" x14ac:dyDescent="0.2">
      <c r="A63" s="37">
        <f>'cod 2018 09 18'!C69</f>
        <v>107001</v>
      </c>
      <c r="B63" s="37" t="str">
        <f>'cod 2018 09 18'!E69</f>
        <v>Dulce de Leche Frasco de 800 grs.</v>
      </c>
      <c r="C63" s="57">
        <f>'cod 2018 09 18'!K69</f>
        <v>0</v>
      </c>
      <c r="D63" s="57">
        <f>'cod 2018 09 18'!P69</f>
        <v>0</v>
      </c>
      <c r="E63" s="57">
        <f>'cod 2018 09 18'!U69</f>
        <v>0</v>
      </c>
      <c r="F63" s="57">
        <f>'cod 2018 09 18'!Z69</f>
        <v>0</v>
      </c>
      <c r="G63" s="57">
        <f>'cod 2018 09 18'!G69</f>
        <v>0</v>
      </c>
    </row>
    <row r="64" spans="1:7" x14ac:dyDescent="0.2">
      <c r="A64" s="37">
        <f>'cod 2018 09 18'!C70</f>
        <v>107002</v>
      </c>
      <c r="B64" s="37" t="str">
        <f>'cod 2018 09 18'!E70</f>
        <v>Dulce de Leche Frasco de 450 grs.</v>
      </c>
      <c r="C64" s="57">
        <f>'cod 2018 09 18'!K70</f>
        <v>0</v>
      </c>
      <c r="D64" s="57">
        <f>'cod 2018 09 18'!P70</f>
        <v>0</v>
      </c>
      <c r="E64" s="57">
        <f>'cod 2018 09 18'!U70</f>
        <v>44</v>
      </c>
      <c r="F64" s="57">
        <f>'cod 2018 09 18'!Z70</f>
        <v>0</v>
      </c>
      <c r="G64" s="57">
        <f>'cod 2018 09 18'!G70</f>
        <v>0</v>
      </c>
    </row>
    <row r="65" spans="1:7" x14ac:dyDescent="0.2">
      <c r="A65" s="37">
        <f>'cod 2018 09 18'!C71</f>
        <v>107003</v>
      </c>
      <c r="B65" s="37" t="str">
        <f>'cod 2018 09 18'!E71</f>
        <v>Dulce de Leche Frasco de 250 grs.</v>
      </c>
      <c r="C65" s="57">
        <f>'cod 2018 09 18'!K71</f>
        <v>0</v>
      </c>
      <c r="D65" s="57">
        <f>'cod 2018 09 18'!P71</f>
        <v>0</v>
      </c>
      <c r="E65" s="57">
        <f>'cod 2018 09 18'!U71</f>
        <v>0</v>
      </c>
      <c r="F65" s="57">
        <f>'cod 2018 09 18'!Z71</f>
        <v>0</v>
      </c>
      <c r="G65" s="57">
        <f>'cod 2018 09 18'!G71</f>
        <v>0</v>
      </c>
    </row>
    <row r="66" spans="1:7" x14ac:dyDescent="0.2">
      <c r="A66" s="37">
        <f>'cod 2018 09 18'!C72</f>
        <v>108001</v>
      </c>
      <c r="B66" s="37" t="str">
        <f>'cod 2018 09 18'!E72</f>
        <v>Miel en Frasco de vidrio Frasco de 1/2 Kg.</v>
      </c>
      <c r="C66" s="57">
        <f>'cod 2018 09 18'!K72</f>
        <v>0</v>
      </c>
      <c r="D66" s="57">
        <f>'cod 2018 09 18'!P72</f>
        <v>0</v>
      </c>
      <c r="E66" s="57">
        <f>'cod 2018 09 18'!U72</f>
        <v>58</v>
      </c>
      <c r="F66" s="57">
        <f>'cod 2018 09 18'!Z72</f>
        <v>0</v>
      </c>
      <c r="G66" s="57">
        <f>'cod 2018 09 18'!G72</f>
        <v>0</v>
      </c>
    </row>
    <row r="67" spans="1:7" x14ac:dyDescent="0.2">
      <c r="A67" s="37">
        <f>'cod 2018 09 18'!C73</f>
        <v>108002</v>
      </c>
      <c r="B67" s="37" t="str">
        <f>'cod 2018 09 18'!E73</f>
        <v>Jalea Real de 10 gramos Pote de 100 grs.</v>
      </c>
      <c r="C67" s="57">
        <f>'cod 2018 09 18'!K73</f>
        <v>0</v>
      </c>
      <c r="D67" s="57">
        <f>'cod 2018 09 18'!P73</f>
        <v>0</v>
      </c>
      <c r="E67" s="57">
        <f>'cod 2018 09 18'!U73</f>
        <v>0</v>
      </c>
      <c r="F67" s="57">
        <f>'cod 2018 09 18'!Z73</f>
        <v>0</v>
      </c>
      <c r="G67" s="57">
        <f>'cod 2018 09 18'!G73</f>
        <v>0</v>
      </c>
    </row>
    <row r="68" spans="1:7" x14ac:dyDescent="0.2">
      <c r="A68" s="37">
        <f>'cod 2018 09 18'!C74</f>
        <v>108003</v>
      </c>
      <c r="B68" s="37" t="str">
        <f>'cod 2018 09 18'!E74</f>
        <v>Jalea Real con polen Pote de 100 grs.</v>
      </c>
      <c r="C68" s="57">
        <f>'cod 2018 09 18'!K74</f>
        <v>0</v>
      </c>
      <c r="D68" s="57">
        <f>'cod 2018 09 18'!P74</f>
        <v>0</v>
      </c>
      <c r="E68" s="57">
        <f>'cod 2018 09 18'!U74</f>
        <v>0</v>
      </c>
      <c r="F68" s="57">
        <f>'cod 2018 09 18'!Z74</f>
        <v>0</v>
      </c>
      <c r="G68" s="57">
        <f>'cod 2018 09 18'!G74</f>
        <v>0</v>
      </c>
    </row>
    <row r="69" spans="1:7" x14ac:dyDescent="0.2">
      <c r="A69" s="37">
        <f>'cod 2018 09 18'!C75</f>
        <v>108004</v>
      </c>
      <c r="B69" s="37" t="str">
        <f>'cod 2018 09 18'!E75</f>
        <v>Polen de Flores Pote de 125 grs.</v>
      </c>
      <c r="C69" s="57">
        <f>'cod 2018 09 18'!K75</f>
        <v>0</v>
      </c>
      <c r="D69" s="57">
        <f>'cod 2018 09 18'!P75</f>
        <v>0</v>
      </c>
      <c r="E69" s="57">
        <f>'cod 2018 09 18'!U75</f>
        <v>0</v>
      </c>
      <c r="F69" s="57">
        <f>'cod 2018 09 18'!Z75</f>
        <v>0</v>
      </c>
      <c r="G69" s="57">
        <f>'cod 2018 09 18'!G75</f>
        <v>0</v>
      </c>
    </row>
    <row r="70" spans="1:7" x14ac:dyDescent="0.2">
      <c r="A70" s="37">
        <f>'cod 2018 09 18'!C76</f>
        <v>108005</v>
      </c>
      <c r="B70" s="37" t="str">
        <f>'cod 2018 09 18'!E76</f>
        <v>Propoleo Bebible Frasco de 125 cc</v>
      </c>
      <c r="C70" s="57">
        <f>'cod 2018 09 18'!K76</f>
        <v>0</v>
      </c>
      <c r="D70" s="57">
        <f>'cod 2018 09 18'!P76</f>
        <v>0</v>
      </c>
      <c r="E70" s="57">
        <f>'cod 2018 09 18'!U76</f>
        <v>0</v>
      </c>
      <c r="F70" s="57">
        <f>'cod 2018 09 18'!Z76</f>
        <v>0</v>
      </c>
      <c r="G70" s="57">
        <f>'cod 2018 09 18'!G76</f>
        <v>0</v>
      </c>
    </row>
    <row r="71" spans="1:7" x14ac:dyDescent="0.2">
      <c r="A71" s="37">
        <f>'cod 2018 09 18'!C77</f>
        <v>109001</v>
      </c>
      <c r="B71" s="37" t="str">
        <f>'cod 2018 09 18'!E77</f>
        <v>Licor Dulce Botella de 700 cc.</v>
      </c>
      <c r="C71" s="57">
        <f>'cod 2018 09 18'!K77</f>
        <v>0</v>
      </c>
      <c r="D71" s="57">
        <f>'cod 2018 09 18'!P77</f>
        <v>0</v>
      </c>
      <c r="E71" s="57">
        <f>'cod 2018 09 18'!U77</f>
        <v>158</v>
      </c>
      <c r="F71" s="57">
        <f>'cod 2018 09 18'!Z77</f>
        <v>0</v>
      </c>
      <c r="G71" s="57">
        <f>'cod 2018 09 18'!G77</f>
        <v>0</v>
      </c>
    </row>
    <row r="72" spans="1:7" x14ac:dyDescent="0.2">
      <c r="A72" s="37">
        <f>'cod 2018 09 18'!C78</f>
        <v>109002</v>
      </c>
      <c r="B72" s="37" t="str">
        <f>'cod 2018 09 18'!E78</f>
        <v>Licor Seco Botella de 700 cc.</v>
      </c>
      <c r="C72" s="57">
        <f>'cod 2018 09 18'!K78</f>
        <v>0</v>
      </c>
      <c r="D72" s="57">
        <f>'cod 2018 09 18'!P78</f>
        <v>0</v>
      </c>
      <c r="E72" s="57">
        <f>'cod 2018 09 18'!U78</f>
        <v>158</v>
      </c>
      <c r="F72" s="57">
        <f>'cod 2018 09 18'!Z78</f>
        <v>0</v>
      </c>
      <c r="G72" s="57">
        <f>'cod 2018 09 18'!G78</f>
        <v>0</v>
      </c>
    </row>
    <row r="73" spans="1:7" x14ac:dyDescent="0.2">
      <c r="A73" s="37">
        <f>'cod 2018 09 18'!C79</f>
        <v>109003</v>
      </c>
      <c r="B73" s="37" t="str">
        <f>'cod 2018 09 18'!E79</f>
        <v>Licor Naranja Botella de 750 cc.</v>
      </c>
      <c r="C73" s="57">
        <f>'cod 2018 09 18'!K79</f>
        <v>0</v>
      </c>
      <c r="D73" s="57">
        <f>'cod 2018 09 18'!P79</f>
        <v>0</v>
      </c>
      <c r="E73" s="57">
        <f>'cod 2018 09 18'!U79</f>
        <v>117</v>
      </c>
      <c r="F73" s="57">
        <f>'cod 2018 09 18'!Z79</f>
        <v>0</v>
      </c>
      <c r="G73" s="57">
        <f>'cod 2018 09 18'!G79</f>
        <v>0</v>
      </c>
    </row>
    <row r="74" spans="1:7" x14ac:dyDescent="0.2">
      <c r="A74" s="37">
        <f>'cod 2018 09 18'!C80</f>
        <v>109004</v>
      </c>
      <c r="B74" s="37" t="str">
        <f>'cod 2018 09 18'!E80</f>
        <v>Licor Lemonchello Botella de 750 cc.</v>
      </c>
      <c r="C74" s="57">
        <f>'cod 2018 09 18'!K80</f>
        <v>0</v>
      </c>
      <c r="D74" s="57">
        <f>'cod 2018 09 18'!P80</f>
        <v>0</v>
      </c>
      <c r="E74" s="57">
        <f>'cod 2018 09 18'!U80</f>
        <v>133</v>
      </c>
      <c r="F74" s="57">
        <f>'cod 2018 09 18'!Z80</f>
        <v>0</v>
      </c>
      <c r="G74" s="57">
        <f>'cod 2018 09 18'!G80</f>
        <v>0</v>
      </c>
    </row>
    <row r="75" spans="1:7" x14ac:dyDescent="0.2">
      <c r="A75" s="37">
        <f>'cod 2018 09 18'!C81</f>
        <v>109005</v>
      </c>
      <c r="B75" s="37" t="str">
        <f>'cod 2018 09 18'!E81</f>
        <v>Licor de Arandano Botella de 750 cc.</v>
      </c>
      <c r="C75" s="57">
        <f>'cod 2018 09 18'!K81</f>
        <v>0</v>
      </c>
      <c r="D75" s="57">
        <f>'cod 2018 09 18'!P81</f>
        <v>0</v>
      </c>
      <c r="E75" s="57">
        <f>'cod 2018 09 18'!U81</f>
        <v>203</v>
      </c>
      <c r="F75" s="57">
        <f>'cod 2018 09 18'!Z81</f>
        <v>0</v>
      </c>
      <c r="G75" s="57">
        <f>'cod 2018 09 18'!G81</f>
        <v>0</v>
      </c>
    </row>
    <row r="76" spans="1:7" x14ac:dyDescent="0.2">
      <c r="A76" s="37">
        <f>'cod 2018 09 18'!C82</f>
        <v>110001</v>
      </c>
      <c r="B76" s="37" t="str">
        <f>'cod 2018 09 18'!E82</f>
        <v>Choclo en granos lata individual</v>
      </c>
      <c r="C76" s="57">
        <f>'cod 2018 09 18'!K82</f>
        <v>0</v>
      </c>
      <c r="D76" s="57">
        <f>'cod 2018 09 18'!P82</f>
        <v>0</v>
      </c>
      <c r="E76" s="57">
        <f>'cod 2018 09 18'!U82</f>
        <v>0</v>
      </c>
      <c r="F76" s="57">
        <f>'cod 2018 09 18'!Z82</f>
        <v>0</v>
      </c>
      <c r="G76" s="57">
        <f>'cod 2018 09 18'!G82</f>
        <v>0</v>
      </c>
    </row>
    <row r="77" spans="1:7" x14ac:dyDescent="0.2">
      <c r="A77" s="37">
        <f>'cod 2018 09 18'!C83</f>
        <v>110002</v>
      </c>
      <c r="B77" s="37" t="str">
        <f>'cod 2018 09 18'!E83</f>
        <v>Choclo en granos (s/ adic azucar) 300 gr</v>
      </c>
      <c r="C77" s="57">
        <f>'cod 2018 09 18'!K83</f>
        <v>75.239999999999995</v>
      </c>
      <c r="D77" s="57">
        <f>'cod 2018 09 18'!P83</f>
        <v>75.239999999999995</v>
      </c>
      <c r="E77" s="57">
        <f>'cod 2018 09 18'!U83</f>
        <v>75.239999999999995</v>
      </c>
      <c r="F77" s="57">
        <f>'cod 2018 09 18'!Z83</f>
        <v>82.763999999999996</v>
      </c>
      <c r="G77" s="57">
        <f>'cod 2018 09 18'!G83</f>
        <v>45.143999999999998</v>
      </c>
    </row>
    <row r="78" spans="1:7" x14ac:dyDescent="0.2">
      <c r="A78" s="37">
        <f>'cod 2018 09 18'!C84</f>
        <v>110003</v>
      </c>
      <c r="B78" s="37" t="str">
        <f>'cod 2018 09 18'!E84</f>
        <v>choclo grano BRASIL 225 gr 200 gr escurrido</v>
      </c>
      <c r="C78" s="57">
        <f>'cod 2018 09 18'!K84</f>
        <v>30.27333333333333</v>
      </c>
      <c r="D78" s="57">
        <f>'cod 2018 09 18'!P84</f>
        <v>30.27333333333333</v>
      </c>
      <c r="E78" s="57">
        <f>'cod 2018 09 18'!U84</f>
        <v>30.27333333333333</v>
      </c>
      <c r="F78" s="57">
        <f>'cod 2018 09 18'!Z84</f>
        <v>33.300666666666665</v>
      </c>
      <c r="G78" s="57">
        <f>'cod 2018 09 18'!G84</f>
        <v>18.163999999999998</v>
      </c>
    </row>
    <row r="79" spans="1:7" x14ac:dyDescent="0.2">
      <c r="A79" s="37">
        <f>'cod 2018 09 18'!C85</f>
        <v>110004</v>
      </c>
      <c r="B79" s="37" t="str">
        <f>'cod 2018 09 18'!E85</f>
        <v>Arvejas Muy Finas  400 gr 280 gr escurridas</v>
      </c>
      <c r="C79" s="57">
        <f>'cod 2018 09 18'!K85</f>
        <v>71.946666666666673</v>
      </c>
      <c r="D79" s="57">
        <f>'cod 2018 09 18'!P85</f>
        <v>71.946666666666673</v>
      </c>
      <c r="E79" s="57">
        <f>'cod 2018 09 18'!U85</f>
        <v>71.946666666666673</v>
      </c>
      <c r="F79" s="57">
        <f>'cod 2018 09 18'!Z85</f>
        <v>79.14133333333335</v>
      </c>
      <c r="G79" s="57">
        <f>'cod 2018 09 18'!G85</f>
        <v>43.167999999999999</v>
      </c>
    </row>
    <row r="80" spans="1:7" x14ac:dyDescent="0.2">
      <c r="A80" s="37">
        <f>'cod 2018 09 18'!C86</f>
        <v>110005</v>
      </c>
      <c r="B80" s="37" t="str">
        <f>'cod 2018 09 18'!E86</f>
        <v>Chauchas Muy Finas 400 gr 220 gr escurridas</v>
      </c>
      <c r="C80" s="57">
        <f>'cod 2018 09 18'!K86</f>
        <v>76.506666666666661</v>
      </c>
      <c r="D80" s="57">
        <f>'cod 2018 09 18'!P86</f>
        <v>76.506666666666661</v>
      </c>
      <c r="E80" s="57">
        <f>'cod 2018 09 18'!U86</f>
        <v>76.506666666666661</v>
      </c>
      <c r="F80" s="57">
        <f>'cod 2018 09 18'!Z86</f>
        <v>84.157333333333327</v>
      </c>
      <c r="G80" s="57">
        <f>'cod 2018 09 18'!G86</f>
        <v>45.903999999999996</v>
      </c>
    </row>
    <row r="81" spans="1:7" x14ac:dyDescent="0.2">
      <c r="A81" s="37">
        <f>'cod 2018 09 18'!C87</f>
        <v>110006</v>
      </c>
      <c r="B81" s="37" t="str">
        <f>'cod 2018 09 18'!E87</f>
        <v>Espinacas en Hojas 380 gr 265 gr escurridas</v>
      </c>
      <c r="C81" s="57">
        <f>'cod 2018 09 18'!K87</f>
        <v>80.813333333333333</v>
      </c>
      <c r="D81" s="57">
        <f>'cod 2018 09 18'!P87</f>
        <v>80.813333333333333</v>
      </c>
      <c r="E81" s="57">
        <f>'cod 2018 09 18'!U87</f>
        <v>80.813333333333333</v>
      </c>
      <c r="F81" s="57">
        <f>'cod 2018 09 18'!Z87</f>
        <v>88.89466666666668</v>
      </c>
      <c r="G81" s="57">
        <f>'cod 2018 09 18'!G87</f>
        <v>48.488</v>
      </c>
    </row>
    <row r="82" spans="1:7" x14ac:dyDescent="0.2">
      <c r="A82" s="37">
        <f>'cod 2018 09 18'!C88</f>
        <v>110007</v>
      </c>
      <c r="B82" s="37" t="str">
        <f>'cod 2018 09 18'!E88</f>
        <v>Macedonia 400 gr 265 escurridas</v>
      </c>
      <c r="C82" s="57">
        <f>'cod 2018 09 18'!K88</f>
        <v>76.253333333333345</v>
      </c>
      <c r="D82" s="57">
        <f>'cod 2018 09 18'!P88</f>
        <v>76.253333333333345</v>
      </c>
      <c r="E82" s="57">
        <f>'cod 2018 09 18'!U88</f>
        <v>76.253333333333345</v>
      </c>
      <c r="F82" s="57">
        <f>'cod 2018 09 18'!Z88</f>
        <v>83.878666666666689</v>
      </c>
      <c r="G82" s="57">
        <f>'cod 2018 09 18'!G88</f>
        <v>45.752000000000002</v>
      </c>
    </row>
    <row r="83" spans="1:7" x14ac:dyDescent="0.2">
      <c r="A83" s="37">
        <f>'cod 2018 09 18'!C89</f>
        <v>110008</v>
      </c>
      <c r="B83" s="37" t="str">
        <f>'cod 2018 09 18'!E89</f>
        <v>Porotos Rojos 400 gr 250 gr escurridos</v>
      </c>
      <c r="C83" s="57">
        <f>'cod 2018 09 18'!K89</f>
        <v>98.926666666666662</v>
      </c>
      <c r="D83" s="57">
        <f>'cod 2018 09 18'!P89</f>
        <v>98.926666666666662</v>
      </c>
      <c r="E83" s="57">
        <f>'cod 2018 09 18'!U89</f>
        <v>98.926666666666662</v>
      </c>
      <c r="F83" s="57">
        <f>'cod 2018 09 18'!Z89</f>
        <v>108.81933333333333</v>
      </c>
      <c r="G83" s="57">
        <f>'cod 2018 09 18'!G89</f>
        <v>59.355999999999995</v>
      </c>
    </row>
    <row r="84" spans="1:7" x14ac:dyDescent="0.2">
      <c r="A84" s="37">
        <f>'cod 2018 09 18'!C90</f>
        <v>110009</v>
      </c>
      <c r="B84" s="37" t="str">
        <f>'cod 2018 09 18'!E90</f>
        <v xml:space="preserve">Arvejas M.F. y Zanahorias 400 gr 265 gr </v>
      </c>
      <c r="C84" s="57">
        <f>'cod 2018 09 18'!K90</f>
        <v>75.936666666666682</v>
      </c>
      <c r="D84" s="57">
        <f>'cod 2018 09 18'!P90</f>
        <v>75.936666666666682</v>
      </c>
      <c r="E84" s="57">
        <f>'cod 2018 09 18'!U90</f>
        <v>75.936666666666682</v>
      </c>
      <c r="F84" s="57">
        <f>'cod 2018 09 18'!Z90</f>
        <v>83.53033333333336</v>
      </c>
      <c r="G84" s="57">
        <f>'cod 2018 09 18'!G90</f>
        <v>45.562000000000005</v>
      </c>
    </row>
    <row r="85" spans="1:7" x14ac:dyDescent="0.2">
      <c r="A85" s="37">
        <f>'cod 2018 09 18'!C91</f>
        <v>110010</v>
      </c>
      <c r="B85" s="37" t="str">
        <f>'cod 2018 09 18'!E91</f>
        <v>Zanahorias Extra Finas 400 gr 265 gr</v>
      </c>
      <c r="C85" s="57">
        <f>'cod 2018 09 18'!K91</f>
        <v>80.56</v>
      </c>
      <c r="D85" s="57">
        <f>'cod 2018 09 18'!P91</f>
        <v>80.56</v>
      </c>
      <c r="E85" s="57">
        <f>'cod 2018 09 18'!U91</f>
        <v>80.56</v>
      </c>
      <c r="F85" s="57">
        <f>'cod 2018 09 18'!Z91</f>
        <v>88.616000000000014</v>
      </c>
      <c r="G85" s="57">
        <f>'cod 2018 09 18'!G91</f>
        <v>48.335999999999999</v>
      </c>
    </row>
    <row r="86" spans="1:7" x14ac:dyDescent="0.2">
      <c r="A86" s="37">
        <f>'cod 2018 09 18'!C92</f>
        <v>110011</v>
      </c>
      <c r="B86" s="37" t="str">
        <f>'cod 2018 09 18'!E92</f>
        <v>Remolacha en dados 300 gr 265 gr escurridas</v>
      </c>
      <c r="C86" s="57">
        <f>'cod 2018 09 18'!K92</f>
        <v>79.800000000000011</v>
      </c>
      <c r="D86" s="57">
        <f>'cod 2018 09 18'!P92</f>
        <v>79.800000000000011</v>
      </c>
      <c r="E86" s="57">
        <f>'cod 2018 09 18'!U92</f>
        <v>79.800000000000011</v>
      </c>
      <c r="F86" s="57">
        <f>'cod 2018 09 18'!Z92</f>
        <v>87.780000000000015</v>
      </c>
      <c r="G86" s="57">
        <f>'cod 2018 09 18'!G92</f>
        <v>47.88</v>
      </c>
    </row>
    <row r="87" spans="1:7" x14ac:dyDescent="0.2">
      <c r="A87" s="37">
        <f>'cod 2018 09 18'!C93</f>
        <v>110012</v>
      </c>
      <c r="B87" s="37" t="str">
        <f>'cod 2018 09 18'!E93</f>
        <v>Arveja Bonduelle Brasil 300 gr 200 gr escurridas</v>
      </c>
      <c r="C87" s="57">
        <f>'cod 2018 09 18'!K93</f>
        <v>28.436666666666671</v>
      </c>
      <c r="D87" s="57">
        <f>'cod 2018 09 18'!P93</f>
        <v>28.436666666666671</v>
      </c>
      <c r="E87" s="57">
        <f>'cod 2018 09 18'!U93</f>
        <v>28.436666666666671</v>
      </c>
      <c r="F87" s="57">
        <f>'cod 2018 09 18'!Z93</f>
        <v>31.280333333333342</v>
      </c>
      <c r="G87" s="57">
        <f>'cod 2018 09 18'!G93</f>
        <v>17.062000000000001</v>
      </c>
    </row>
    <row r="88" spans="1:7" x14ac:dyDescent="0.2">
      <c r="A88" s="37">
        <f>'cod 2018 09 18'!C94</f>
        <v>110013</v>
      </c>
      <c r="B88" s="37" t="str">
        <f>'cod 2018 09 18'!E94</f>
        <v>Lentejas Cocinadas 400 gr 2265 gr escurridas</v>
      </c>
      <c r="C88" s="57">
        <f>'cod 2018 09 18'!K94</f>
        <v>88.856666666666683</v>
      </c>
      <c r="D88" s="57">
        <f>'cod 2018 09 18'!P94</f>
        <v>88.856666666666683</v>
      </c>
      <c r="E88" s="57">
        <f>'cod 2018 09 18'!U94</f>
        <v>88.856666666666683</v>
      </c>
      <c r="F88" s="57">
        <f>'cod 2018 09 18'!Z94</f>
        <v>97.742333333333363</v>
      </c>
      <c r="G88" s="57">
        <f>'cod 2018 09 18'!G94</f>
        <v>53.314000000000007</v>
      </c>
    </row>
    <row r="89" spans="1:7" x14ac:dyDescent="0.2">
      <c r="A89" s="37">
        <f>'cod 2018 09 18'!C95</f>
        <v>110014</v>
      </c>
      <c r="B89" s="37" t="str">
        <f>'cod 2018 09 18'!E95</f>
        <v>Repollitos de Bruselas 400 gr 265 gr eescurridas</v>
      </c>
      <c r="C89" s="57">
        <f>'cod 2018 09 18'!K95</f>
        <v>75.62</v>
      </c>
      <c r="D89" s="57">
        <f>'cod 2018 09 18'!P95</f>
        <v>75.62</v>
      </c>
      <c r="E89" s="57">
        <f>'cod 2018 09 18'!U95</f>
        <v>75.62</v>
      </c>
      <c r="F89" s="57">
        <f>'cod 2018 09 18'!Z95</f>
        <v>83.182000000000016</v>
      </c>
      <c r="G89" s="57">
        <f>'cod 2018 09 18'!G95</f>
        <v>45.372</v>
      </c>
    </row>
    <row r="90" spans="1:7" x14ac:dyDescent="0.2">
      <c r="A90" s="37">
        <f>'cod 2018 09 18'!C96</f>
        <v>110015</v>
      </c>
      <c r="B90" s="37" t="str">
        <f>'cod 2018 09 18'!E96</f>
        <v>Garbanzos 310 gr 265 escurridas</v>
      </c>
      <c r="C90" s="57">
        <f>'cod 2018 09 18'!K96</f>
        <v>82.27000000000001</v>
      </c>
      <c r="D90" s="57">
        <f>'cod 2018 09 18'!P96</f>
        <v>82.27000000000001</v>
      </c>
      <c r="E90" s="57">
        <f>'cod 2018 09 18'!U96</f>
        <v>82.27000000000001</v>
      </c>
      <c r="F90" s="57">
        <f>'cod 2018 09 18'!Z96</f>
        <v>90.497000000000014</v>
      </c>
      <c r="G90" s="57">
        <f>'cod 2018 09 18'!G96</f>
        <v>49.362000000000002</v>
      </c>
    </row>
    <row r="91" spans="1:7" x14ac:dyDescent="0.2">
      <c r="A91" s="37">
        <f>'cod 2018 09 18'!C97</f>
        <v>111001</v>
      </c>
      <c r="B91" s="37" t="str">
        <f>'cod 2018 09 18'!E97</f>
        <v>Brownies x 170g (6 meses)</v>
      </c>
      <c r="C91" s="57">
        <f>'cod 2018 09 18'!K97</f>
        <v>0</v>
      </c>
      <c r="D91" s="57">
        <f>'cod 2018 09 18'!P97</f>
        <v>0</v>
      </c>
      <c r="E91" s="57">
        <f>'cod 2018 09 18'!U97</f>
        <v>0</v>
      </c>
      <c r="F91" s="57">
        <f>'cod 2018 09 18'!Z97</f>
        <v>0</v>
      </c>
      <c r="G91" s="57">
        <f>'cod 2018 09 18'!G97</f>
        <v>0</v>
      </c>
    </row>
    <row r="92" spans="1:7" x14ac:dyDescent="0.2">
      <c r="A92" s="37">
        <f>'cod 2018 09 18'!C98</f>
        <v>111002</v>
      </c>
      <c r="B92" s="37" t="str">
        <f>'cod 2018 09 18'!E98</f>
        <v>Cookies Chocolate Chip x 180g</v>
      </c>
      <c r="C92" s="57">
        <f>'cod 2018 09 18'!K98</f>
        <v>0</v>
      </c>
      <c r="D92" s="57">
        <f>'cod 2018 09 18'!P98</f>
        <v>0</v>
      </c>
      <c r="E92" s="57">
        <f>'cod 2018 09 18'!U98</f>
        <v>0</v>
      </c>
      <c r="F92" s="57">
        <f>'cod 2018 09 18'!Z98</f>
        <v>0</v>
      </c>
      <c r="G92" s="57">
        <f>'cod 2018 09 18'!G98</f>
        <v>0</v>
      </c>
    </row>
    <row r="93" spans="1:7" x14ac:dyDescent="0.2">
      <c r="A93" s="37">
        <f>'cod 2018 09 18'!C99</f>
        <v>111003</v>
      </c>
      <c r="B93" s="37" t="str">
        <f>'cod 2018 09 18'!E99</f>
        <v>Cookies Passion for Chocolat x 180g</v>
      </c>
      <c r="C93" s="57">
        <f>'cod 2018 09 18'!K99</f>
        <v>0</v>
      </c>
      <c r="D93" s="57">
        <f>'cod 2018 09 18'!P99</f>
        <v>0</v>
      </c>
      <c r="E93" s="57">
        <f>'cod 2018 09 18'!U99</f>
        <v>0</v>
      </c>
      <c r="F93" s="57">
        <f>'cod 2018 09 18'!Z99</f>
        <v>0</v>
      </c>
      <c r="G93" s="57">
        <f>'cod 2018 09 18'!G99</f>
        <v>0</v>
      </c>
    </row>
    <row r="94" spans="1:7" x14ac:dyDescent="0.2">
      <c r="A94" s="37">
        <f>'cod 2018 09 18'!C100</f>
        <v>111004</v>
      </c>
      <c r="B94" s="37" t="str">
        <f>'cod 2018 09 18'!E100</f>
        <v>Biscotti Almendras x 180g</v>
      </c>
      <c r="C94" s="57">
        <f>'cod 2018 09 18'!K100</f>
        <v>0</v>
      </c>
      <c r="D94" s="57">
        <f>'cod 2018 09 18'!P100</f>
        <v>0</v>
      </c>
      <c r="E94" s="57">
        <f>'cod 2018 09 18'!U100</f>
        <v>0</v>
      </c>
      <c r="F94" s="57">
        <f>'cod 2018 09 18'!Z100</f>
        <v>0</v>
      </c>
      <c r="G94" s="57">
        <f>'cod 2018 09 18'!G100</f>
        <v>0</v>
      </c>
    </row>
    <row r="95" spans="1:7" x14ac:dyDescent="0.2">
      <c r="A95" s="37">
        <f>'cod 2018 09 18'!C101</f>
        <v>111024</v>
      </c>
      <c r="B95" s="37" t="str">
        <f>'cod 2018 09 18'!E101</f>
        <v>Cantucci Nochiola x 180g</v>
      </c>
      <c r="C95" s="57">
        <f>'cod 2018 09 18'!K101</f>
        <v>0</v>
      </c>
      <c r="D95" s="57">
        <f>'cod 2018 09 18'!P101</f>
        <v>0</v>
      </c>
      <c r="E95" s="57">
        <f>'cod 2018 09 18'!U101</f>
        <v>0</v>
      </c>
      <c r="F95" s="57">
        <f>'cod 2018 09 18'!Z101</f>
        <v>0</v>
      </c>
      <c r="G95" s="57">
        <f>'cod 2018 09 18'!G101</f>
        <v>0</v>
      </c>
    </row>
    <row r="96" spans="1:7" x14ac:dyDescent="0.2">
      <c r="A96" s="37">
        <f>'cod 2018 09 18'!C102</f>
        <v>112001</v>
      </c>
      <c r="B96" s="37" t="str">
        <f>'cod 2018 09 18'!E102</f>
        <v>Copetin Bastones de Fugazza x 160g</v>
      </c>
      <c r="C96" s="57">
        <f>'cod 2018 09 18'!K102</f>
        <v>0</v>
      </c>
      <c r="D96" s="57">
        <f>'cod 2018 09 18'!P102</f>
        <v>0</v>
      </c>
      <c r="E96" s="57">
        <f>'cod 2018 09 18'!U102</f>
        <v>0</v>
      </c>
      <c r="F96" s="57">
        <f>'cod 2018 09 18'!Z102</f>
        <v>0</v>
      </c>
      <c r="G96" s="57">
        <f>'cod 2018 09 18'!G102</f>
        <v>0</v>
      </c>
    </row>
    <row r="97" spans="1:7" x14ac:dyDescent="0.2">
      <c r="A97" s="37">
        <f>'cod 2018 09 18'!C103</f>
        <v>112002</v>
      </c>
      <c r="B97" s="37" t="str">
        <f>'cod 2018 09 18'!E103</f>
        <v>Copetin Parmesano y Nuez x 160g</v>
      </c>
      <c r="C97" s="57">
        <f>'cod 2018 09 18'!K103</f>
        <v>0</v>
      </c>
      <c r="D97" s="57">
        <f>'cod 2018 09 18'!P103</f>
        <v>0</v>
      </c>
      <c r="E97" s="57">
        <f>'cod 2018 09 18'!U103</f>
        <v>0</v>
      </c>
      <c r="F97" s="57">
        <f>'cod 2018 09 18'!Z103</f>
        <v>0</v>
      </c>
      <c r="G97" s="57">
        <f>'cod 2018 09 18'!G103</f>
        <v>0</v>
      </c>
    </row>
    <row r="98" spans="1:7" x14ac:dyDescent="0.2">
      <c r="A98" s="37">
        <f>'cod 2018 09 18'!C104</f>
        <v>112003</v>
      </c>
      <c r="B98" s="37" t="str">
        <f>'cod 2018 09 18'!E104</f>
        <v>Copetin Rueditas al Pesto</v>
      </c>
      <c r="C98" s="57">
        <f>'cod 2018 09 18'!K104</f>
        <v>0</v>
      </c>
      <c r="D98" s="57">
        <f>'cod 2018 09 18'!P104</f>
        <v>0</v>
      </c>
      <c r="E98" s="57">
        <f>'cod 2018 09 18'!U104</f>
        <v>0</v>
      </c>
      <c r="F98" s="57">
        <f>'cod 2018 09 18'!Z104</f>
        <v>0</v>
      </c>
      <c r="G98" s="57">
        <f>'cod 2018 09 18'!G104</f>
        <v>0</v>
      </c>
    </row>
    <row r="99" spans="1:7" x14ac:dyDescent="0.2">
      <c r="A99" s="37">
        <f>'cod 2018 09 18'!C105</f>
        <v>112004</v>
      </c>
      <c r="B99" s="37" t="str">
        <f>'cod 2018 09 18'!E105</f>
        <v>Copetin tomate y romero</v>
      </c>
      <c r="C99" s="57">
        <f>'cod 2018 09 18'!K105</f>
        <v>0</v>
      </c>
      <c r="D99" s="57">
        <f>'cod 2018 09 18'!P105</f>
        <v>0</v>
      </c>
      <c r="E99" s="57">
        <f>'cod 2018 09 18'!U105</f>
        <v>0</v>
      </c>
      <c r="F99" s="57">
        <f>'cod 2018 09 18'!Z105</f>
        <v>0</v>
      </c>
      <c r="G99" s="57">
        <f>'cod 2018 09 18'!G105</f>
        <v>0</v>
      </c>
    </row>
    <row r="100" spans="1:7" x14ac:dyDescent="0.2">
      <c r="A100" s="37">
        <f>'cod 2018 09 18'!C106</f>
        <v>113001</v>
      </c>
      <c r="B100" s="37" t="str">
        <f>'cod 2018 09 18'!E106</f>
        <v>Copetin pan pizza y Oregano y Queso</v>
      </c>
      <c r="C100" s="57">
        <f>'cod 2018 09 18'!K106</f>
        <v>0</v>
      </c>
      <c r="D100" s="57">
        <f>'cod 2018 09 18'!P106</f>
        <v>0</v>
      </c>
      <c r="E100" s="57">
        <f>'cod 2018 09 18'!U106</f>
        <v>0</v>
      </c>
      <c r="F100" s="57">
        <f>'cod 2018 09 18'!Z106</f>
        <v>0</v>
      </c>
      <c r="G100" s="57">
        <f>'cod 2018 09 18'!G106</f>
        <v>0</v>
      </c>
    </row>
    <row r="101" spans="1:7" x14ac:dyDescent="0.2">
      <c r="A101" s="37">
        <f>'cod 2018 09 18'!C107</f>
        <v>113002</v>
      </c>
      <c r="B101" s="37" t="str">
        <f>'cod 2018 09 18'!E107</f>
        <v>Budin Banana y Nuez x 250g</v>
      </c>
      <c r="C101" s="57">
        <f>'cod 2018 09 18'!K107</f>
        <v>0</v>
      </c>
      <c r="D101" s="57">
        <f>'cod 2018 09 18'!P107</f>
        <v>0</v>
      </c>
      <c r="E101" s="57">
        <f>'cod 2018 09 18'!U107</f>
        <v>0</v>
      </c>
      <c r="F101" s="57">
        <f>'cod 2018 09 18'!Z107</f>
        <v>0</v>
      </c>
      <c r="G101" s="57">
        <f>'cod 2018 09 18'!G107</f>
        <v>0</v>
      </c>
    </row>
    <row r="102" spans="1:7" x14ac:dyDescent="0.2">
      <c r="A102" s="37">
        <f>'cod 2018 09 18'!C108</f>
        <v>113003</v>
      </c>
      <c r="B102" s="37" t="str">
        <f>'cod 2018 09 18'!E108</f>
        <v>Budin Superchocolate x 250g</v>
      </c>
      <c r="C102" s="57">
        <f>'cod 2018 09 18'!K108</f>
        <v>0</v>
      </c>
      <c r="D102" s="57">
        <f>'cod 2018 09 18'!P108</f>
        <v>0</v>
      </c>
      <c r="E102" s="57">
        <f>'cod 2018 09 18'!U108</f>
        <v>0</v>
      </c>
      <c r="F102" s="57">
        <f>'cod 2018 09 18'!Z108</f>
        <v>0</v>
      </c>
      <c r="G102" s="57">
        <f>'cod 2018 09 18'!G108</f>
        <v>0</v>
      </c>
    </row>
    <row r="103" spans="1:7" x14ac:dyDescent="0.2">
      <c r="A103" s="37">
        <f>'cod 2018 09 18'!C109</f>
        <v>113004</v>
      </c>
      <c r="B103" s="37" t="str">
        <f>'cod 2018 09 18'!E109</f>
        <v>Budin Ingles x 250g</v>
      </c>
      <c r="C103" s="57">
        <f>'cod 2018 09 18'!K109</f>
        <v>0</v>
      </c>
      <c r="D103" s="57">
        <f>'cod 2018 09 18'!P109</f>
        <v>0</v>
      </c>
      <c r="E103" s="57">
        <f>'cod 2018 09 18'!U109</f>
        <v>0</v>
      </c>
      <c r="F103" s="57">
        <f>'cod 2018 09 18'!Z109</f>
        <v>0</v>
      </c>
      <c r="G103" s="57">
        <f>'cod 2018 09 18'!G109</f>
        <v>0</v>
      </c>
    </row>
    <row r="104" spans="1:7" x14ac:dyDescent="0.2">
      <c r="A104" s="37">
        <f>'cod 2018 09 18'!C110</f>
        <v>113005</v>
      </c>
      <c r="B104" s="37" t="str">
        <f>'cod 2018 09 18'!E110</f>
        <v>Budn Limon con Amapolas x 250g</v>
      </c>
      <c r="C104" s="57">
        <f>'cod 2018 09 18'!K110</f>
        <v>0</v>
      </c>
      <c r="D104" s="57">
        <f>'cod 2018 09 18'!P110</f>
        <v>0</v>
      </c>
      <c r="E104" s="57">
        <f>'cod 2018 09 18'!U110</f>
        <v>0</v>
      </c>
      <c r="F104" s="57">
        <f>'cod 2018 09 18'!Z110</f>
        <v>0</v>
      </c>
      <c r="G104" s="57">
        <f>'cod 2018 09 18'!G110</f>
        <v>0</v>
      </c>
    </row>
    <row r="105" spans="1:7" x14ac:dyDescent="0.2">
      <c r="A105" s="37">
        <f>'cod 2018 09 18'!C111</f>
        <v>113006</v>
      </c>
      <c r="B105" s="37" t="str">
        <f>'cod 2018 09 18'!E111</f>
        <v>Stollen x 250g</v>
      </c>
      <c r="C105" s="57">
        <f>'cod 2018 09 18'!K111</f>
        <v>0</v>
      </c>
      <c r="D105" s="57">
        <f>'cod 2018 09 18'!P111</f>
        <v>0</v>
      </c>
      <c r="E105" s="57">
        <f>'cod 2018 09 18'!U111</f>
        <v>0</v>
      </c>
      <c r="F105" s="57">
        <f>'cod 2018 09 18'!Z111</f>
        <v>0</v>
      </c>
      <c r="G105" s="57">
        <f>'cod 2018 09 18'!G111</f>
        <v>0</v>
      </c>
    </row>
    <row r="106" spans="1:7" x14ac:dyDescent="0.2">
      <c r="A106" s="37">
        <f>'cod 2018 09 18'!C112</f>
        <v>111005</v>
      </c>
      <c r="B106" s="37" t="str">
        <f>'cod 2018 09 18'!E112</f>
        <v>Gaturro Alcancía</v>
      </c>
      <c r="C106" s="57">
        <f>'cod 2018 09 18'!K112</f>
        <v>0</v>
      </c>
      <c r="D106" s="57">
        <f>'cod 2018 09 18'!P112</f>
        <v>0</v>
      </c>
      <c r="E106" s="57">
        <f>'cod 2018 09 18'!U112</f>
        <v>0</v>
      </c>
      <c r="F106" s="57">
        <f>'cod 2018 09 18'!Z112</f>
        <v>0</v>
      </c>
      <c r="G106" s="57">
        <f>'cod 2018 09 18'!G112</f>
        <v>0</v>
      </c>
    </row>
    <row r="107" spans="1:7" x14ac:dyDescent="0.2">
      <c r="A107" s="37">
        <f>'cod 2018 09 18'!C113</f>
        <v>114001</v>
      </c>
      <c r="B107" s="37">
        <f>'cod 2018 09 18'!E113</f>
        <v>0</v>
      </c>
      <c r="C107" s="57">
        <f>'cod 2018 09 18'!K113</f>
        <v>0</v>
      </c>
      <c r="D107" s="57">
        <f>'cod 2018 09 18'!P113</f>
        <v>0</v>
      </c>
      <c r="E107" s="57">
        <f>'cod 2018 09 18'!U113</f>
        <v>0</v>
      </c>
      <c r="F107" s="57">
        <f>'cod 2018 09 18'!Z113</f>
        <v>0</v>
      </c>
      <c r="G107" s="57">
        <f>'cod 2018 09 18'!G113</f>
        <v>0</v>
      </c>
    </row>
    <row r="108" spans="1:7" x14ac:dyDescent="0.2">
      <c r="A108" s="37">
        <f>'cod 2018 09 18'!C114</f>
        <v>114002</v>
      </c>
      <c r="B108" s="37" t="str">
        <f>'cod 2018 09 18'!E114</f>
        <v>Pan Dulce mini 120 inolvidable</v>
      </c>
      <c r="C108" s="57">
        <f>'cod 2018 09 18'!K114</f>
        <v>0</v>
      </c>
      <c r="D108" s="57">
        <f>'cod 2018 09 18'!P114</f>
        <v>0</v>
      </c>
      <c r="E108" s="57">
        <f>'cod 2018 09 18'!U114</f>
        <v>0</v>
      </c>
      <c r="F108" s="57">
        <f>'cod 2018 09 18'!Z114</f>
        <v>0</v>
      </c>
      <c r="G108" s="57">
        <f>'cod 2018 09 18'!G114</f>
        <v>0</v>
      </c>
    </row>
    <row r="109" spans="1:7" x14ac:dyDescent="0.2">
      <c r="A109" s="37">
        <f>'cod 2018 09 18'!C115</f>
        <v>114003</v>
      </c>
      <c r="B109" s="37" t="str">
        <f>'cod 2018 09 18'!E115</f>
        <v>Pan Dulce  inolvidable 500g Bolsa</v>
      </c>
      <c r="C109" s="57">
        <f>'cod 2018 09 18'!K115</f>
        <v>0</v>
      </c>
      <c r="D109" s="57">
        <f>'cod 2018 09 18'!P115</f>
        <v>0</v>
      </c>
      <c r="E109" s="57">
        <f>'cod 2018 09 18'!U115</f>
        <v>0</v>
      </c>
      <c r="F109" s="57">
        <f>'cod 2018 09 18'!Z115</f>
        <v>0</v>
      </c>
      <c r="G109" s="57">
        <f>'cod 2018 09 18'!G115</f>
        <v>0</v>
      </c>
    </row>
    <row r="110" spans="1:7" x14ac:dyDescent="0.2">
      <c r="A110" s="37">
        <f>'cod 2018 09 18'!C116</f>
        <v>114004</v>
      </c>
      <c r="B110" s="37" t="str">
        <f>'cod 2018 09 18'!E116</f>
        <v>Pan Dulce Inovlidable 700g con Bolsa</v>
      </c>
      <c r="C110" s="57">
        <f>'cod 2018 09 18'!K116</f>
        <v>0</v>
      </c>
      <c r="D110" s="57">
        <f>'cod 2018 09 18'!P116</f>
        <v>0</v>
      </c>
      <c r="E110" s="57">
        <f>'cod 2018 09 18'!U116</f>
        <v>0</v>
      </c>
      <c r="F110" s="57">
        <f>'cod 2018 09 18'!Z116</f>
        <v>0</v>
      </c>
      <c r="G110" s="57">
        <f>'cod 2018 09 18'!G116</f>
        <v>0</v>
      </c>
    </row>
    <row r="111" spans="1:7" x14ac:dyDescent="0.2">
      <c r="A111" s="37">
        <f>'cod 2018 09 18'!C117</f>
        <v>114005</v>
      </c>
      <c r="B111" s="37" t="str">
        <f>'cod 2018 09 18'!E117</f>
        <v>Pan Dulce Inovlidable 700g con Estuche</v>
      </c>
      <c r="C111" s="57">
        <f>'cod 2018 09 18'!K117</f>
        <v>0</v>
      </c>
      <c r="D111" s="57">
        <f>'cod 2018 09 18'!P117</f>
        <v>0</v>
      </c>
      <c r="E111" s="57">
        <f>'cod 2018 09 18'!U117</f>
        <v>0</v>
      </c>
      <c r="F111" s="57">
        <f>'cod 2018 09 18'!Z117</f>
        <v>0</v>
      </c>
      <c r="G111" s="57">
        <f>'cod 2018 09 18'!G117</f>
        <v>0</v>
      </c>
    </row>
    <row r="112" spans="1:7" x14ac:dyDescent="0.2">
      <c r="A112" s="37">
        <f>'cod 2018 09 18'!C118</f>
        <v>111006</v>
      </c>
      <c r="B112" s="37" t="str">
        <f>'cod 2018 09 18'!E118</f>
        <v>Mini Brownies (6 meses)</v>
      </c>
      <c r="C112" s="57">
        <f>'cod 2018 09 18'!K118</f>
        <v>0</v>
      </c>
      <c r="D112" s="57">
        <f>'cod 2018 09 18'!P118</f>
        <v>0</v>
      </c>
      <c r="E112" s="57">
        <f>'cod 2018 09 18'!U118</f>
        <v>0</v>
      </c>
      <c r="F112" s="57">
        <f>'cod 2018 09 18'!Z118</f>
        <v>0</v>
      </c>
      <c r="G112" s="57">
        <f>'cod 2018 09 18'!G118</f>
        <v>0</v>
      </c>
    </row>
    <row r="113" spans="1:7" x14ac:dyDescent="0.2">
      <c r="A113" s="37">
        <f>'cod 2018 09 18'!C119</f>
        <v>111007</v>
      </c>
      <c r="B113" s="37" t="str">
        <f>'cod 2018 09 18'!E119</f>
        <v>Mini Passion x Chocolate x 50g</v>
      </c>
      <c r="C113" s="57">
        <f>'cod 2018 09 18'!K119</f>
        <v>0</v>
      </c>
      <c r="D113" s="57">
        <f>'cod 2018 09 18'!P119</f>
        <v>0</v>
      </c>
      <c r="E113" s="57">
        <f>'cod 2018 09 18'!U119</f>
        <v>0</v>
      </c>
      <c r="F113" s="57">
        <f>'cod 2018 09 18'!Z119</f>
        <v>0</v>
      </c>
      <c r="G113" s="57">
        <f>'cod 2018 09 18'!G119</f>
        <v>0</v>
      </c>
    </row>
    <row r="114" spans="1:7" x14ac:dyDescent="0.2">
      <c r="A114" s="37">
        <f>'cod 2018 09 18'!C120</f>
        <v>111008</v>
      </c>
      <c r="B114" s="37" t="str">
        <f>'cod 2018 09 18'!E120</f>
        <v>Mini Biscotti Mandorle x 50g</v>
      </c>
      <c r="C114" s="57">
        <f>'cod 2018 09 18'!K120</f>
        <v>0</v>
      </c>
      <c r="D114" s="57">
        <f>'cod 2018 09 18'!P120</f>
        <v>0</v>
      </c>
      <c r="E114" s="57">
        <f>'cod 2018 09 18'!U120</f>
        <v>0</v>
      </c>
      <c r="F114" s="57">
        <f>'cod 2018 09 18'!Z120</f>
        <v>0</v>
      </c>
      <c r="G114" s="57">
        <f>'cod 2018 09 18'!G120</f>
        <v>0</v>
      </c>
    </row>
    <row r="115" spans="1:7" x14ac:dyDescent="0.2">
      <c r="A115" s="37">
        <f>'cod 2018 09 18'!C121</f>
        <v>111009</v>
      </c>
      <c r="B115" s="37" t="str">
        <f>'cod 2018 09 18'!E121</f>
        <v>Mini Fugazza x 50g</v>
      </c>
      <c r="C115" s="57">
        <f>'cod 2018 09 18'!K121</f>
        <v>0</v>
      </c>
      <c r="D115" s="57">
        <f>'cod 2018 09 18'!P121</f>
        <v>0</v>
      </c>
      <c r="E115" s="57">
        <f>'cod 2018 09 18'!U121</f>
        <v>0</v>
      </c>
      <c r="F115" s="57">
        <f>'cod 2018 09 18'!Z121</f>
        <v>0</v>
      </c>
      <c r="G115" s="57">
        <f>'cod 2018 09 18'!G121</f>
        <v>0</v>
      </c>
    </row>
    <row r="116" spans="1:7" x14ac:dyDescent="0.2">
      <c r="A116" s="37">
        <f>'cod 2018 09 18'!C122</f>
        <v>111010</v>
      </c>
      <c r="B116" s="37" t="str">
        <f>'cod 2018 09 18'!E122</f>
        <v>Brownies Plancha (30cm x 30cm)</v>
      </c>
      <c r="C116" s="57">
        <f>'cod 2018 09 18'!K122</f>
        <v>0</v>
      </c>
      <c r="D116" s="57">
        <f>'cod 2018 09 18'!P122</f>
        <v>0</v>
      </c>
      <c r="E116" s="57">
        <f>'cod 2018 09 18'!U122</f>
        <v>0</v>
      </c>
      <c r="F116" s="57">
        <f>'cod 2018 09 18'!Z122</f>
        <v>0</v>
      </c>
      <c r="G116" s="57">
        <f>'cod 2018 09 18'!G122</f>
        <v>0</v>
      </c>
    </row>
    <row r="117" spans="1:7" x14ac:dyDescent="0.2">
      <c r="A117" s="37">
        <f>'cod 2018 09 18'!C123</f>
        <v>111011</v>
      </c>
      <c r="B117" s="37" t="str">
        <f>'cod 2018 09 18'!E123</f>
        <v>Cookies Avena x 2 Kg</v>
      </c>
      <c r="C117" s="57">
        <f>'cod 2018 09 18'!K123</f>
        <v>0</v>
      </c>
      <c r="D117" s="57">
        <f>'cod 2018 09 18'!P123</f>
        <v>0</v>
      </c>
      <c r="E117" s="57">
        <f>'cod 2018 09 18'!U123</f>
        <v>0</v>
      </c>
      <c r="F117" s="57">
        <f>'cod 2018 09 18'!Z123</f>
        <v>0</v>
      </c>
      <c r="G117" s="57">
        <f>'cod 2018 09 18'!G123</f>
        <v>0</v>
      </c>
    </row>
    <row r="118" spans="1:7" x14ac:dyDescent="0.2">
      <c r="A118" s="37">
        <f>'cod 2018 09 18'!C124</f>
        <v>111012</v>
      </c>
      <c r="B118" s="37" t="str">
        <f>'cod 2018 09 18'!E124</f>
        <v>Cookies Chocolate Chip Chicas x 2 Kg</v>
      </c>
      <c r="C118" s="57">
        <f>'cod 2018 09 18'!K124</f>
        <v>0</v>
      </c>
      <c r="D118" s="57">
        <f>'cod 2018 09 18'!P124</f>
        <v>0</v>
      </c>
      <c r="E118" s="57">
        <f>'cod 2018 09 18'!U124</f>
        <v>0</v>
      </c>
      <c r="F118" s="57">
        <f>'cod 2018 09 18'!Z124</f>
        <v>0</v>
      </c>
      <c r="G118" s="57">
        <f>'cod 2018 09 18'!G124</f>
        <v>0</v>
      </c>
    </row>
    <row r="119" spans="1:7" x14ac:dyDescent="0.2">
      <c r="A119" s="37">
        <f>'cod 2018 09 18'!C125</f>
        <v>111013</v>
      </c>
      <c r="B119" s="37" t="str">
        <f>'cod 2018 09 18'!E125</f>
        <v>Cookies Passion for Chocolat Chic x 2 Kg</v>
      </c>
      <c r="C119" s="57">
        <f>'cod 2018 09 18'!K125</f>
        <v>0</v>
      </c>
      <c r="D119" s="57">
        <f>'cod 2018 09 18'!P125</f>
        <v>0</v>
      </c>
      <c r="E119" s="57">
        <f>'cod 2018 09 18'!U125</f>
        <v>0</v>
      </c>
      <c r="F119" s="57">
        <f>'cod 2018 09 18'!Z125</f>
        <v>0</v>
      </c>
      <c r="G119" s="57">
        <f>'cod 2018 09 18'!G125</f>
        <v>0</v>
      </c>
    </row>
    <row r="120" spans="1:7" x14ac:dyDescent="0.2">
      <c r="A120" s="37">
        <f>'cod 2018 09 18'!C126</f>
        <v>115001</v>
      </c>
      <c r="B120" s="37" t="str">
        <f>'cod 2018 09 18'!E126</f>
        <v>V8 lata x 163ml</v>
      </c>
      <c r="C120" s="57">
        <f>'cod 2018 09 18'!K126</f>
        <v>0</v>
      </c>
      <c r="D120" s="57">
        <f>'cod 2018 09 18'!P126</f>
        <v>0</v>
      </c>
      <c r="E120" s="57">
        <f>'cod 2018 09 18'!U126</f>
        <v>23.25</v>
      </c>
      <c r="F120" s="57">
        <f>'cod 2018 09 18'!Z126</f>
        <v>0</v>
      </c>
      <c r="G120" s="57">
        <f>'cod 2018 09 18'!G126</f>
        <v>0</v>
      </c>
    </row>
    <row r="121" spans="1:7" x14ac:dyDescent="0.2">
      <c r="A121" s="37">
        <f>'cod 2018 09 18'!C127</f>
        <v>115002</v>
      </c>
      <c r="B121" s="37" t="str">
        <f>'cod 2018 09 18'!E127</f>
        <v>V8 lata x 354ml</v>
      </c>
      <c r="C121" s="57">
        <f>'cod 2018 09 18'!K127</f>
        <v>0</v>
      </c>
      <c r="D121" s="57">
        <f>'cod 2018 09 18'!P127</f>
        <v>0</v>
      </c>
      <c r="E121" s="57">
        <f>'cod 2018 09 18'!U127</f>
        <v>39</v>
      </c>
      <c r="F121" s="57">
        <f>'cod 2018 09 18'!Z127</f>
        <v>0</v>
      </c>
      <c r="G121" s="57">
        <f>'cod 2018 09 18'!G127</f>
        <v>0</v>
      </c>
    </row>
    <row r="122" spans="1:7" x14ac:dyDescent="0.2">
      <c r="A122" s="37">
        <f>'cod 2018 09 18'!C128</f>
        <v>115003</v>
      </c>
      <c r="B122" s="37" t="str">
        <f>'cod 2018 09 18'!E128</f>
        <v>V8 x PET 1,36 lts</v>
      </c>
      <c r="C122" s="57">
        <f>'cod 2018 09 18'!K128</f>
        <v>0</v>
      </c>
      <c r="D122" s="57">
        <f>'cod 2018 09 18'!P128</f>
        <v>0</v>
      </c>
      <c r="E122" s="57">
        <f>'cod 2018 09 18'!U128</f>
        <v>93</v>
      </c>
      <c r="F122" s="57">
        <f>'cod 2018 09 18'!Z128</f>
        <v>0</v>
      </c>
      <c r="G122" s="57">
        <f>'cod 2018 09 18'!G128</f>
        <v>0</v>
      </c>
    </row>
    <row r="123" spans="1:7" x14ac:dyDescent="0.2">
      <c r="A123" s="37">
        <f>'cod 2018 09 18'!C129</f>
        <v>115004</v>
      </c>
      <c r="B123" s="37" t="str">
        <f>'cod 2018 09 18'!E129</f>
        <v>Campbells lata x 163mld</v>
      </c>
      <c r="C123" s="57">
        <f>'cod 2018 09 18'!K129</f>
        <v>0</v>
      </c>
      <c r="D123" s="57">
        <f>'cod 2018 09 18'!P129</f>
        <v>0</v>
      </c>
      <c r="E123" s="57">
        <f>'cod 2018 09 18'!U129</f>
        <v>23.25</v>
      </c>
      <c r="F123" s="57">
        <f>'cod 2018 09 18'!Z129</f>
        <v>0</v>
      </c>
      <c r="G123" s="57">
        <f>'cod 2018 09 18'!G129</f>
        <v>0</v>
      </c>
    </row>
    <row r="124" spans="1:7" x14ac:dyDescent="0.2">
      <c r="A124" s="37">
        <f>'cod 2018 09 18'!C130</f>
        <v>115005</v>
      </c>
      <c r="B124" s="37" t="str">
        <f>'cod 2018 09 18'!E130</f>
        <v>Campbells lata x 340ml</v>
      </c>
      <c r="C124" s="57">
        <f>'cod 2018 09 18'!K130</f>
        <v>0</v>
      </c>
      <c r="D124" s="57">
        <f>'cod 2018 09 18'!P130</f>
        <v>0</v>
      </c>
      <c r="E124" s="57">
        <f>'cod 2018 09 18'!U130</f>
        <v>39</v>
      </c>
      <c r="F124" s="57">
        <f>'cod 2018 09 18'!Z130</f>
        <v>0</v>
      </c>
      <c r="G124" s="57">
        <f>'cod 2018 09 18'!G130</f>
        <v>0</v>
      </c>
    </row>
    <row r="125" spans="1:7" x14ac:dyDescent="0.2">
      <c r="A125" s="37">
        <f>'cod 2018 09 18'!C131</f>
        <v>115006</v>
      </c>
      <c r="B125" s="37" t="str">
        <f>'cod 2018 09 18'!E131</f>
        <v>Campbells x PET 1,36 lts</v>
      </c>
      <c r="C125" s="57">
        <f>'cod 2018 09 18'!K131</f>
        <v>0</v>
      </c>
      <c r="D125" s="57">
        <f>'cod 2018 09 18'!P131</f>
        <v>0</v>
      </c>
      <c r="E125" s="57">
        <f>'cod 2018 09 18'!U131</f>
        <v>99</v>
      </c>
      <c r="F125" s="57">
        <f>'cod 2018 09 18'!Z131</f>
        <v>0</v>
      </c>
      <c r="G125" s="57">
        <f>'cod 2018 09 18'!G131</f>
        <v>0</v>
      </c>
    </row>
    <row r="126" spans="1:7" x14ac:dyDescent="0.2">
      <c r="A126" s="37">
        <f>'cod 2018 09 18'!C132</f>
        <v>110050</v>
      </c>
      <c r="B126" s="37" t="str">
        <f>'cod 2018 09 18'!E132</f>
        <v>Sopa Condensada Tomate x 305g</v>
      </c>
      <c r="C126" s="57">
        <f>'cod 2018 09 18'!K132</f>
        <v>0</v>
      </c>
      <c r="D126" s="57">
        <f>'cod 2018 09 18'!P132</f>
        <v>0</v>
      </c>
      <c r="E126" s="57">
        <f>'cod 2018 09 18'!U132</f>
        <v>38</v>
      </c>
      <c r="F126" s="57">
        <f>'cod 2018 09 18'!Z132</f>
        <v>0</v>
      </c>
      <c r="G126" s="57">
        <f>'cod 2018 09 18'!G132</f>
        <v>0</v>
      </c>
    </row>
    <row r="127" spans="1:7" x14ac:dyDescent="0.2">
      <c r="A127" s="37">
        <f>'cod 2018 09 18'!C133</f>
        <v>110051</v>
      </c>
      <c r="B127" s="37" t="str">
        <f>'cod 2018 09 18'!E133</f>
        <v>Sopa Conds Mushroom (setas) x 305g</v>
      </c>
      <c r="C127" s="57">
        <f>'cod 2018 09 18'!K133</f>
        <v>0</v>
      </c>
      <c r="D127" s="57">
        <f>'cod 2018 09 18'!P133</f>
        <v>0</v>
      </c>
      <c r="E127" s="57">
        <f>'cod 2018 09 18'!U133</f>
        <v>39.700000000000003</v>
      </c>
      <c r="F127" s="57">
        <f>'cod 2018 09 18'!Z133</f>
        <v>0</v>
      </c>
      <c r="G127" s="57">
        <f>'cod 2018 09 18'!G133</f>
        <v>0</v>
      </c>
    </row>
    <row r="128" spans="1:7" x14ac:dyDescent="0.2">
      <c r="A128" s="37">
        <f>'cod 2018 09 18'!C134</f>
        <v>110052</v>
      </c>
      <c r="B128" s="37" t="str">
        <f>'cod 2018 09 18'!E134</f>
        <v>Sopa Crema de Vegetales</v>
      </c>
      <c r="C128" s="57">
        <f>'cod 2018 09 18'!K134</f>
        <v>0</v>
      </c>
      <c r="D128" s="57">
        <f>'cod 2018 09 18'!P134</f>
        <v>0</v>
      </c>
      <c r="E128" s="57">
        <f>'cod 2018 09 18'!U134</f>
        <v>57</v>
      </c>
      <c r="F128" s="57">
        <f>'cod 2018 09 18'!Z134</f>
        <v>0</v>
      </c>
      <c r="G128" s="57">
        <f>'cod 2018 09 18'!G134</f>
        <v>0</v>
      </c>
    </row>
    <row r="129" spans="1:7" x14ac:dyDescent="0.2">
      <c r="A129" s="37">
        <f>'cod 2018 09 18'!C135</f>
        <v>110053</v>
      </c>
      <c r="B129" s="37" t="str">
        <f>'cod 2018 09 18'!E135</f>
        <v>Sopa minestron</v>
      </c>
      <c r="C129" s="57">
        <f>'cod 2018 09 18'!K135</f>
        <v>0</v>
      </c>
      <c r="D129" s="57">
        <f>'cod 2018 09 18'!P135</f>
        <v>0</v>
      </c>
      <c r="E129" s="57">
        <f>'cod 2018 09 18'!U135</f>
        <v>49.2</v>
      </c>
      <c r="F129" s="57">
        <f>'cod 2018 09 18'!Z135</f>
        <v>0</v>
      </c>
      <c r="G129" s="57">
        <f>'cod 2018 09 18'!G135</f>
        <v>0</v>
      </c>
    </row>
    <row r="130" spans="1:7" x14ac:dyDescent="0.2">
      <c r="A130" s="37">
        <f>'cod 2018 09 18'!C136</f>
        <v>116001</v>
      </c>
      <c r="B130" s="37" t="str">
        <f>'cod 2018 09 18'!E136</f>
        <v>Azafran molidoen blister x 2 capsulas</v>
      </c>
      <c r="C130" s="57">
        <f>'cod 2018 09 18'!K136</f>
        <v>87.63333333333334</v>
      </c>
      <c r="D130" s="57">
        <f>'cod 2018 09 18'!P136</f>
        <v>80.892307692307682</v>
      </c>
      <c r="E130" s="57">
        <f>'cod 2018 09 18'!U136</f>
        <v>80.892307692307682</v>
      </c>
      <c r="F130" s="57">
        <f>'cod 2018 09 18'!Z136</f>
        <v>96.396666666666675</v>
      </c>
      <c r="G130" s="57">
        <f>'cod 2018 09 18'!G136</f>
        <v>52.58</v>
      </c>
    </row>
    <row r="131" spans="1:7" x14ac:dyDescent="0.2">
      <c r="A131" s="37">
        <f>'cod 2018 09 18'!C137</f>
        <v>116002</v>
      </c>
      <c r="B131" s="37" t="str">
        <f>'cod 2018 09 18'!E137</f>
        <v xml:space="preserve">Molido: Blister Caja Cristal x 15 Caps. </v>
      </c>
      <c r="C131" s="57">
        <f>'cod 2018 09 18'!K137</f>
        <v>491.66666666666669</v>
      </c>
      <c r="D131" s="57">
        <f>'cod 2018 09 18'!P137</f>
        <v>453.84615384615381</v>
      </c>
      <c r="E131" s="57">
        <f>'cod 2018 09 18'!U137</f>
        <v>453.84615384615381</v>
      </c>
      <c r="F131" s="57">
        <f>'cod 2018 09 18'!Z137</f>
        <v>540.83333333333337</v>
      </c>
      <c r="G131" s="57">
        <f>'cod 2018 09 18'!G137</f>
        <v>295</v>
      </c>
    </row>
    <row r="132" spans="1:7" x14ac:dyDescent="0.2">
      <c r="A132" s="37">
        <f>'cod 2018 09 18'!C138</f>
        <v>116003</v>
      </c>
      <c r="B132" s="37" t="str">
        <f>'cod 2018 09 18'!E138</f>
        <v>Azafran en hebra Blister Caja Cristal</v>
      </c>
      <c r="C132" s="57">
        <f>'cod 2018 09 18'!K138</f>
        <v>103.10000000000001</v>
      </c>
      <c r="D132" s="57">
        <f>'cod 2018 09 18'!P138</f>
        <v>95.169230769230765</v>
      </c>
      <c r="E132" s="57">
        <f>'cod 2018 09 18'!U138</f>
        <v>95.169230769230765</v>
      </c>
      <c r="F132" s="57">
        <f>'cod 2018 09 18'!Z138</f>
        <v>113.41000000000003</v>
      </c>
      <c r="G132" s="57">
        <f>'cod 2018 09 18'!G138</f>
        <v>61.86</v>
      </c>
    </row>
    <row r="133" spans="1:7" x14ac:dyDescent="0.2">
      <c r="A133" s="37">
        <f>'cod 2018 09 18'!C139</f>
        <v>116004</v>
      </c>
      <c r="B133" s="37" t="str">
        <f>'cod 2018 09 18'!E139</f>
        <v>Azafran en hebra Fco Gourmet 1g</v>
      </c>
      <c r="C133" s="57">
        <f>'cod 2018 09 18'!K139</f>
        <v>208.25</v>
      </c>
      <c r="D133" s="57">
        <f>'cod 2018 09 18'!P139</f>
        <v>192.23076923076923</v>
      </c>
      <c r="E133" s="57">
        <f>'cod 2018 09 18'!U139</f>
        <v>192.23076923076923</v>
      </c>
      <c r="F133" s="57">
        <f>'cod 2018 09 18'!Z139</f>
        <v>229.07500000000002</v>
      </c>
      <c r="G133" s="57">
        <f>'cod 2018 09 18'!G139</f>
        <v>124.95</v>
      </c>
    </row>
    <row r="134" spans="1:7" x14ac:dyDescent="0.2">
      <c r="A134" s="37">
        <f>'cod 2018 09 18'!C140</f>
        <v>116005</v>
      </c>
      <c r="B134" s="37" t="str">
        <f>'cod 2018 09 18'!E140</f>
        <v>paellero el ruedo</v>
      </c>
      <c r="C134" s="57">
        <f>'cod 2018 09 18'!K140</f>
        <v>0</v>
      </c>
      <c r="D134" s="57">
        <f>'cod 2018 09 18'!P140</f>
        <v>0</v>
      </c>
      <c r="E134" s="57">
        <f>'cod 2018 09 18'!U140</f>
        <v>0</v>
      </c>
      <c r="F134" s="57">
        <f>'cod 2018 09 18'!Z140</f>
        <v>0</v>
      </c>
      <c r="G134" s="57">
        <f>'cod 2018 09 18'!G140</f>
        <v>0</v>
      </c>
    </row>
    <row r="135" spans="1:7" x14ac:dyDescent="0.2">
      <c r="A135" s="37">
        <f>'cod 2018 09 18'!C141</f>
        <v>117001</v>
      </c>
      <c r="B135" s="37" t="str">
        <f>'cod 2018 09 18'!E141</f>
        <v>Konfitt Almendra</v>
      </c>
      <c r="C135" s="57">
        <f>'cod 2018 09 18'!K141</f>
        <v>20.727272727272727</v>
      </c>
      <c r="D135" s="57">
        <f>'cod 2018 09 18'!P141</f>
        <v>19.655172413793107</v>
      </c>
      <c r="E135" s="57">
        <f>'cod 2018 09 18'!U141</f>
        <v>18.688524590163937</v>
      </c>
      <c r="F135" s="57">
        <f>'cod 2018 09 18'!Z141</f>
        <v>22.8</v>
      </c>
      <c r="G135" s="57">
        <f>'cod 2018 09 18'!G141</f>
        <v>11.4</v>
      </c>
    </row>
    <row r="136" spans="1:7" x14ac:dyDescent="0.2">
      <c r="A136" s="37">
        <f>'cod 2018 09 18'!C142</f>
        <v>117002</v>
      </c>
      <c r="B136" s="37" t="str">
        <f>'cod 2018 09 18'!E142</f>
        <v>Konfitt Avellana</v>
      </c>
      <c r="C136" s="57">
        <f>'cod 2018 09 18'!K142</f>
        <v>20.727272727272727</v>
      </c>
      <c r="D136" s="57">
        <f>'cod 2018 09 18'!P142</f>
        <v>19.655172413793107</v>
      </c>
      <c r="E136" s="57">
        <f>'cod 2018 09 18'!U142</f>
        <v>18.688524590163937</v>
      </c>
      <c r="F136" s="57">
        <f>'cod 2018 09 18'!Z142</f>
        <v>22.8</v>
      </c>
      <c r="G136" s="57">
        <f>'cod 2018 09 18'!G142</f>
        <v>11.4</v>
      </c>
    </row>
    <row r="137" spans="1:7" x14ac:dyDescent="0.2">
      <c r="A137" s="37">
        <f>'cod 2018 09 18'!C143</f>
        <v>117003</v>
      </c>
      <c r="B137" s="37" t="str">
        <f>'cod 2018 09 18'!E143</f>
        <v xml:space="preserve">Konfitt Cafe </v>
      </c>
      <c r="C137" s="57">
        <f>'cod 2018 09 18'!K143</f>
        <v>20.727272727272727</v>
      </c>
      <c r="D137" s="57">
        <f>'cod 2018 09 18'!P143</f>
        <v>19.655172413793107</v>
      </c>
      <c r="E137" s="57">
        <f>'cod 2018 09 18'!U143</f>
        <v>18.688524590163937</v>
      </c>
      <c r="F137" s="57">
        <f>'cod 2018 09 18'!Z143</f>
        <v>22.8</v>
      </c>
      <c r="G137" s="57">
        <f>'cod 2018 09 18'!G143</f>
        <v>11.4</v>
      </c>
    </row>
    <row r="138" spans="1:7" x14ac:dyDescent="0.2">
      <c r="A138" s="37">
        <f>'cod 2018 09 18'!C144</f>
        <v>117004</v>
      </c>
      <c r="B138" s="37" t="str">
        <f>'cod 2018 09 18'!E144</f>
        <v>Konfitt Dulce de Leche</v>
      </c>
      <c r="C138" s="57">
        <f>'cod 2018 09 18'!K144</f>
        <v>20.727272727272727</v>
      </c>
      <c r="D138" s="57">
        <f>'cod 2018 09 18'!P144</f>
        <v>19.655172413793107</v>
      </c>
      <c r="E138" s="57">
        <f>'cod 2018 09 18'!U144</f>
        <v>18.688524590163937</v>
      </c>
      <c r="F138" s="57">
        <f>'cod 2018 09 18'!Z144</f>
        <v>22.8</v>
      </c>
      <c r="G138" s="57">
        <f>'cod 2018 09 18'!G144</f>
        <v>11.4</v>
      </c>
    </row>
    <row r="139" spans="1:7" x14ac:dyDescent="0.2">
      <c r="A139" s="37">
        <f>'cod 2018 09 18'!C145</f>
        <v>117005</v>
      </c>
      <c r="B139" s="37" t="str">
        <f>'cod 2018 09 18'!E145</f>
        <v>Konfitt Almendras x 8 unidades</v>
      </c>
      <c r="C139" s="57">
        <f>'cod 2018 09 18'!K145</f>
        <v>165.81818181818181</v>
      </c>
      <c r="D139" s="57">
        <f>'cod 2018 09 18'!P145</f>
        <v>157.24137931034485</v>
      </c>
      <c r="E139" s="57">
        <f>'cod 2018 09 18'!U145</f>
        <v>149.50819672131149</v>
      </c>
      <c r="F139" s="57">
        <f>'cod 2018 09 18'!Z145</f>
        <v>182.4</v>
      </c>
      <c r="G139" s="57">
        <f>'cod 2018 09 18'!G145</f>
        <v>91.2</v>
      </c>
    </row>
    <row r="140" spans="1:7" x14ac:dyDescent="0.2">
      <c r="A140" s="37">
        <f>'cod 2018 09 18'!C146</f>
        <v>117006</v>
      </c>
      <c r="B140" s="37" t="str">
        <f>'cod 2018 09 18'!E146</f>
        <v>Konfitt Avellanas x 8 unidades</v>
      </c>
      <c r="C140" s="57">
        <f>'cod 2018 09 18'!K146</f>
        <v>165.81818181818181</v>
      </c>
      <c r="D140" s="57">
        <f>'cod 2018 09 18'!P146</f>
        <v>157.24137931034485</v>
      </c>
      <c r="E140" s="57">
        <f>'cod 2018 09 18'!U146</f>
        <v>149.50819672131149</v>
      </c>
      <c r="F140" s="57">
        <f>'cod 2018 09 18'!Z146</f>
        <v>182.4</v>
      </c>
      <c r="G140" s="57">
        <f>'cod 2018 09 18'!G146</f>
        <v>91.2</v>
      </c>
    </row>
    <row r="141" spans="1:7" x14ac:dyDescent="0.2">
      <c r="A141" s="37">
        <f>'cod 2018 09 18'!C147</f>
        <v>117007</v>
      </c>
      <c r="B141" s="37" t="str">
        <f>'cod 2018 09 18'!E147</f>
        <v>Konfitt Cafe x 8 unidades</v>
      </c>
      <c r="C141" s="57">
        <f>'cod 2018 09 18'!K147</f>
        <v>165.81818181818181</v>
      </c>
      <c r="D141" s="57">
        <f>'cod 2018 09 18'!P147</f>
        <v>157.24137931034485</v>
      </c>
      <c r="E141" s="57">
        <f>'cod 2018 09 18'!U147</f>
        <v>149.50819672131149</v>
      </c>
      <c r="F141" s="57">
        <f>'cod 2018 09 18'!Z147</f>
        <v>182.4</v>
      </c>
      <c r="G141" s="57">
        <f>'cod 2018 09 18'!G147</f>
        <v>91.2</v>
      </c>
    </row>
    <row r="142" spans="1:7" x14ac:dyDescent="0.2">
      <c r="A142" s="37">
        <f>'cod 2018 09 18'!C148</f>
        <v>117008</v>
      </c>
      <c r="B142" s="37" t="str">
        <f>'cod 2018 09 18'!E148</f>
        <v>Konfitt Mix x 8 unidades</v>
      </c>
      <c r="C142" s="57">
        <f>'cod 2018 09 18'!K148</f>
        <v>165.81818181818181</v>
      </c>
      <c r="D142" s="57">
        <f>'cod 2018 09 18'!P148</f>
        <v>157.24137931034485</v>
      </c>
      <c r="E142" s="57">
        <f>'cod 2018 09 18'!U148</f>
        <v>149.50819672131149</v>
      </c>
      <c r="F142" s="57">
        <f>'cod 2018 09 18'!Z148</f>
        <v>182.4</v>
      </c>
      <c r="G142" s="57">
        <f>'cod 2018 09 18'!G148</f>
        <v>91.2</v>
      </c>
    </row>
    <row r="143" spans="1:7" x14ac:dyDescent="0.2">
      <c r="A143" s="37">
        <f>'cod 2018 09 18'!C149</f>
        <v>117027</v>
      </c>
      <c r="B143" s="37" t="str">
        <f>'cod 2018 09 18'!E149</f>
        <v>Konfitt Almendra 100 gr</v>
      </c>
      <c r="C143" s="57">
        <f>'cod 2018 09 18'!K149</f>
        <v>63.103030303030295</v>
      </c>
      <c r="D143" s="57">
        <f>'cod 2018 09 18'!P149</f>
        <v>59.839080459770116</v>
      </c>
      <c r="E143" s="57">
        <f>'cod 2018 09 18'!U149</f>
        <v>56.896174863387976</v>
      </c>
      <c r="F143" s="57">
        <f>'cod 2018 09 18'!Z149</f>
        <v>69.413333333333327</v>
      </c>
      <c r="G143" s="57">
        <f>'cod 2018 09 18'!G149</f>
        <v>34.706666666666663</v>
      </c>
    </row>
    <row r="144" spans="1:7" x14ac:dyDescent="0.2">
      <c r="A144" s="37">
        <f>'cod 2018 09 18'!C150</f>
        <v>117028</v>
      </c>
      <c r="B144" s="37" t="str">
        <f>'cod 2018 09 18'!E150</f>
        <v>Konfitt Avellana 100 gr</v>
      </c>
      <c r="C144" s="57">
        <f>'cod 2018 09 18'!K150</f>
        <v>63.103030303030295</v>
      </c>
      <c r="D144" s="57">
        <f>'cod 2018 09 18'!P150</f>
        <v>59.839080459770116</v>
      </c>
      <c r="E144" s="57">
        <f>'cod 2018 09 18'!U150</f>
        <v>56.896174863387976</v>
      </c>
      <c r="F144" s="57">
        <f>'cod 2018 09 18'!Z150</f>
        <v>69.413333333333327</v>
      </c>
      <c r="G144" s="57">
        <f>'cod 2018 09 18'!G150</f>
        <v>34.706666666666663</v>
      </c>
    </row>
    <row r="145" spans="1:7" x14ac:dyDescent="0.2">
      <c r="A145" s="37">
        <f>'cod 2018 09 18'!C151</f>
        <v>117029</v>
      </c>
      <c r="B145" s="37" t="str">
        <f>'cod 2018 09 18'!E151</f>
        <v>Konfitt Lenteja  100 gr</v>
      </c>
      <c r="C145" s="57">
        <f>'cod 2018 09 18'!K151</f>
        <v>41.569696969696963</v>
      </c>
      <c r="D145" s="57">
        <f>'cod 2018 09 18'!P151</f>
        <v>39.419540229885058</v>
      </c>
      <c r="E145" s="57">
        <f>'cod 2018 09 18'!U151</f>
        <v>37.480874316939889</v>
      </c>
      <c r="F145" s="57">
        <f>'cod 2018 09 18'!Z151</f>
        <v>45.726666666666667</v>
      </c>
      <c r="G145" s="57">
        <f>'cod 2018 09 18'!G151</f>
        <v>22.863333333333333</v>
      </c>
    </row>
    <row r="146" spans="1:7" x14ac:dyDescent="0.2">
      <c r="A146" s="37">
        <f>'cod 2018 09 18'!C152</f>
        <v>117030</v>
      </c>
      <c r="B146" s="37" t="str">
        <f>'cod 2018 09 18'!E152</f>
        <v>Konfitt Dulce de Leche 100 gr</v>
      </c>
      <c r="C146" s="57">
        <f>'cod 2018 09 18'!K152</f>
        <v>55.61818181818181</v>
      </c>
      <c r="D146" s="57">
        <f>'cod 2018 09 18'!P152</f>
        <v>52.741379310344833</v>
      </c>
      <c r="E146" s="57">
        <f>'cod 2018 09 18'!U152</f>
        <v>50.147540983606561</v>
      </c>
      <c r="F146" s="57">
        <f>'cod 2018 09 18'!Z152</f>
        <v>61.179999999999993</v>
      </c>
      <c r="G146" s="57">
        <f>'cod 2018 09 18'!G152</f>
        <v>30.59</v>
      </c>
    </row>
    <row r="147" spans="1:7" x14ac:dyDescent="0.2">
      <c r="A147" s="37">
        <f>'cod 2018 09 18'!C153</f>
        <v>117031</v>
      </c>
      <c r="B147" s="37" t="str">
        <f>'cod 2018 09 18'!E153</f>
        <v>Konfitt mani choc semiamargo x 100 gr</v>
      </c>
      <c r="C147" s="57">
        <f>'cod 2018 09 18'!K153</f>
        <v>30.745454545454542</v>
      </c>
      <c r="D147" s="57">
        <f>'cod 2018 09 18'!P153</f>
        <v>29.155172413793107</v>
      </c>
      <c r="E147" s="57">
        <f>'cod 2018 09 18'!U153</f>
        <v>27.721311475409838</v>
      </c>
      <c r="F147" s="57">
        <f>'cod 2018 09 18'!Z153</f>
        <v>33.82</v>
      </c>
      <c r="G147" s="57">
        <f>'cod 2018 09 18'!G153</f>
        <v>16.91</v>
      </c>
    </row>
    <row r="148" spans="1:7" x14ac:dyDescent="0.2">
      <c r="A148" s="37">
        <f>'cod 2018 09 18'!C154</f>
        <v>117032</v>
      </c>
      <c r="B148" s="37" t="str">
        <f>'cod 2018 09 18'!E154</f>
        <v>Konfitt pasas uva  choc leche 100 gr</v>
      </c>
      <c r="C148" s="57">
        <f>'cod 2018 09 18'!K154</f>
        <v>37.424242424242422</v>
      </c>
      <c r="D148" s="57">
        <f>'cod 2018 09 18'!P154</f>
        <v>35.488505747126439</v>
      </c>
      <c r="E148" s="57">
        <f>'cod 2018 09 18'!U154</f>
        <v>33.743169398907099</v>
      </c>
      <c r="F148" s="57">
        <f>'cod 2018 09 18'!Z154</f>
        <v>41.166666666666664</v>
      </c>
      <c r="G148" s="57">
        <f>'cod 2018 09 18'!G154</f>
        <v>20.583333333333332</v>
      </c>
    </row>
    <row r="149" spans="1:7" x14ac:dyDescent="0.2">
      <c r="A149" s="37">
        <f>'cod 2018 09 18'!C155</f>
        <v>117009</v>
      </c>
      <c r="B149" s="37" t="str">
        <f>'cod 2018 09 18'!E155</f>
        <v>Chocolatina personalizada 5 gr</v>
      </c>
      <c r="C149" s="57">
        <f>'cod 2018 09 18'!K155</f>
        <v>3.4896551724137934</v>
      </c>
      <c r="D149" s="57">
        <f>'cod 2018 09 18'!P155</f>
        <v>3.4896551724137934</v>
      </c>
      <c r="E149" s="57">
        <f>'cod 2018 09 18'!U155</f>
        <v>3.5102323968088798</v>
      </c>
      <c r="F149" s="57">
        <f>'cod 2018 09 18'!Z155</f>
        <v>3.8386206896551731</v>
      </c>
      <c r="G149" s="57">
        <f>'cod 2018 09 18'!G155</f>
        <v>2.024</v>
      </c>
    </row>
    <row r="150" spans="1:7" x14ac:dyDescent="0.2">
      <c r="A150" s="37">
        <f>'cod 2018 09 18'!C156</f>
        <v>117010</v>
      </c>
      <c r="B150" s="37" t="str">
        <f>'cod 2018 09 18'!E156</f>
        <v>ChocoSitck 30 gr</v>
      </c>
      <c r="C150" s="57">
        <f>'cod 2018 09 18'!K156</f>
        <v>13.365517241379312</v>
      </c>
      <c r="D150" s="57">
        <f>'cod 2018 09 18'!P156</f>
        <v>13.365517241379312</v>
      </c>
      <c r="E150" s="57">
        <f>'cod 2018 09 18'!U156</f>
        <v>12.708196721311477</v>
      </c>
      <c r="F150" s="57">
        <f>'cod 2018 09 18'!Z156</f>
        <v>14.702068965517244</v>
      </c>
      <c r="G150" s="57">
        <f>'cod 2018 09 18'!G156</f>
        <v>7.7520000000000007</v>
      </c>
    </row>
    <row r="151" spans="1:7" x14ac:dyDescent="0.2">
      <c r="A151" s="37">
        <f>'cod 2018 09 18'!C157</f>
        <v>117011</v>
      </c>
      <c r="B151" s="37" t="str">
        <f>'cod 2018 09 18'!E157</f>
        <v>Chocolate para Submarino x 16 gr</v>
      </c>
      <c r="C151" s="57">
        <f>'cod 2018 09 18'!K157</f>
        <v>7.6000000000000014</v>
      </c>
      <c r="D151" s="57">
        <f>'cod 2018 09 18'!P157</f>
        <v>7.6000000000000014</v>
      </c>
      <c r="E151" s="57">
        <f>'cod 2018 09 18'!U157</f>
        <v>7.2262295081967221</v>
      </c>
      <c r="F151" s="57">
        <f>'cod 2018 09 18'!Z157</f>
        <v>8.360000000000003</v>
      </c>
      <c r="G151" s="57">
        <f>'cod 2018 09 18'!G157</f>
        <v>4.4080000000000004</v>
      </c>
    </row>
    <row r="152" spans="1:7" x14ac:dyDescent="0.2">
      <c r="A152" s="37">
        <f>'cod 2018 09 18'!C158</f>
        <v>117012</v>
      </c>
      <c r="B152" s="37" t="str">
        <f>'cod 2018 09 18'!E158</f>
        <v>Chocolate para taza x 60 und</v>
      </c>
      <c r="C152" s="57">
        <f>'cod 2018 09 18'!K158</f>
        <v>32.431034482758619</v>
      </c>
      <c r="D152" s="57">
        <f>'cod 2018 09 18'!P158</f>
        <v>32.431034482758619</v>
      </c>
      <c r="E152" s="57">
        <f>'cod 2018 09 18'!U158</f>
        <v>30.83606557377049</v>
      </c>
      <c r="F152" s="57">
        <f>'cod 2018 09 18'!Z158</f>
        <v>35.674137931034487</v>
      </c>
      <c r="G152" s="57">
        <f>'cod 2018 09 18'!G158</f>
        <v>18.809999999999999</v>
      </c>
    </row>
    <row r="153" spans="1:7" x14ac:dyDescent="0.2">
      <c r="A153" s="37">
        <f>'cod 2018 09 18'!C159</f>
        <v>117020</v>
      </c>
      <c r="B153" s="37" t="str">
        <f>'cod 2018 09 18'!E159</f>
        <v>Chocolate 55% Cacao s/azcar agregada</v>
      </c>
      <c r="C153" s="57">
        <f>'cod 2018 09 18'!K159</f>
        <v>49.24712643678162</v>
      </c>
      <c r="D153" s="57">
        <f>'cod 2018 09 18'!P159</f>
        <v>49.24712643678162</v>
      </c>
      <c r="E153" s="57">
        <f>'cod 2018 09 18'!U159</f>
        <v>46.825136612021865</v>
      </c>
      <c r="F153" s="57">
        <f>'cod 2018 09 18'!Z159</f>
        <v>54.17183908045979</v>
      </c>
      <c r="G153" s="57">
        <f>'cod 2018 09 18'!G159</f>
        <v>28.563333333333336</v>
      </c>
    </row>
    <row r="154" spans="1:7" x14ac:dyDescent="0.2">
      <c r="A154" s="37">
        <f>'cod 2018 09 18'!C161</f>
        <v>117021</v>
      </c>
      <c r="B154" s="37" t="str">
        <f>'cod 2018 09 18'!E161</f>
        <v>Moldatte Semiamargo 1 Kg</v>
      </c>
      <c r="C154" s="57">
        <f>'cod 2018 09 18'!K161</f>
        <v>179.51724137931038</v>
      </c>
      <c r="D154" s="57">
        <f>'cod 2018 09 18'!P161</f>
        <v>179.51724137931038</v>
      </c>
      <c r="E154" s="57">
        <f>'cod 2018 09 18'!U161</f>
        <v>170.68852459016395</v>
      </c>
      <c r="F154" s="57">
        <f>'cod 2018 09 18'!Z161</f>
        <v>197.46896551724143</v>
      </c>
      <c r="G154" s="57">
        <f>'cod 2018 09 18'!G161</f>
        <v>104.12</v>
      </c>
    </row>
    <row r="155" spans="1:7" x14ac:dyDescent="0.2">
      <c r="A155" s="37">
        <f>'cod 2018 09 18'!C162</f>
        <v>117022</v>
      </c>
      <c r="B155" s="37" t="str">
        <f>'cod 2018 09 18'!E162</f>
        <v>Moldatte  Blanco 1 Kg</v>
      </c>
      <c r="C155" s="57">
        <f>'cod 2018 09 18'!K162</f>
        <v>192.62068965517241</v>
      </c>
      <c r="D155" s="57">
        <f>'cod 2018 09 18'!P162</f>
        <v>192.62068965517241</v>
      </c>
      <c r="E155" s="57">
        <f>'cod 2018 09 18'!U162</f>
        <v>183.14754098360655</v>
      </c>
      <c r="F155" s="57">
        <f>'cod 2018 09 18'!Z162</f>
        <v>211.88275862068969</v>
      </c>
      <c r="G155" s="57">
        <f>'cod 2018 09 18'!G162</f>
        <v>111.72</v>
      </c>
    </row>
    <row r="156" spans="1:7" x14ac:dyDescent="0.2">
      <c r="A156" s="37">
        <f>'cod 2018 09 18'!C163</f>
        <v>117023</v>
      </c>
      <c r="B156" s="37" t="str">
        <f>'cod 2018 09 18'!E163</f>
        <v>Moldatte Leche 1 Kg</v>
      </c>
      <c r="C156" s="57">
        <f>'cod 2018 09 18'!K163</f>
        <v>192.62068965517241</v>
      </c>
      <c r="D156" s="57">
        <f>'cod 2018 09 18'!P163</f>
        <v>192.62068965517241</v>
      </c>
      <c r="E156" s="57">
        <f>'cod 2018 09 18'!U163</f>
        <v>183.14754098360655</v>
      </c>
      <c r="F156" s="57">
        <f>'cod 2018 09 18'!Z163</f>
        <v>211.88275862068969</v>
      </c>
      <c r="G156" s="57">
        <f>'cod 2018 09 18'!G163</f>
        <v>111.72</v>
      </c>
    </row>
    <row r="157" spans="1:7" x14ac:dyDescent="0.2">
      <c r="A157" s="37">
        <f>'cod 2018 09 18'!C164</f>
        <v>117024</v>
      </c>
      <c r="B157" s="37" t="str">
        <f>'cod 2018 09 18'!E164</f>
        <v>Choco Grater x 160 gr</v>
      </c>
      <c r="C157" s="57">
        <f>'cod 2018 09 18'!K164</f>
        <v>13.103448275862069</v>
      </c>
      <c r="D157" s="57">
        <f>'cod 2018 09 18'!P164</f>
        <v>13.103448275862069</v>
      </c>
      <c r="E157" s="57">
        <f>'cod 2018 09 18'!U164</f>
        <v>12.459016393442623</v>
      </c>
      <c r="F157" s="57">
        <f>'cod 2018 09 18'!Z164</f>
        <v>14.413793103448278</v>
      </c>
      <c r="G157" s="57">
        <f>'cod 2018 09 18'!G164</f>
        <v>7.6</v>
      </c>
    </row>
    <row r="158" spans="1:7" x14ac:dyDescent="0.2">
      <c r="A158" s="37">
        <f>'cod 2018 09 18'!C165</f>
        <v>117026</v>
      </c>
      <c r="B158" s="37" t="str">
        <f>'cod 2018 09 18'!E165</f>
        <v>Choco Grater x 160 gr Repuesto</v>
      </c>
      <c r="C158" s="57">
        <f>'cod 2018 09 18'!K165</f>
        <v>81.241379310344826</v>
      </c>
      <c r="D158" s="57">
        <f>'cod 2018 09 18'!P165</f>
        <v>81.241379310344826</v>
      </c>
      <c r="E158" s="57">
        <f>'cod 2018 09 18'!U165</f>
        <v>77.245901639344254</v>
      </c>
      <c r="F158" s="57">
        <f>'cod 2018 09 18'!Z165</f>
        <v>89.365517241379322</v>
      </c>
      <c r="G158" s="57">
        <f>'cod 2018 09 18'!G165</f>
        <v>47.12</v>
      </c>
    </row>
    <row r="159" spans="1:7" x14ac:dyDescent="0.2">
      <c r="A159" s="37">
        <f>'cod 2018 09 18'!C166</f>
        <v>117025</v>
      </c>
      <c r="B159" s="37" t="str">
        <f>'cod 2018 09 18'!E166</f>
        <v>Cobertura Semi tabletas 10 kg</v>
      </c>
      <c r="C159" s="57">
        <f>'cod 2018 09 18'!K166</f>
        <v>0</v>
      </c>
      <c r="D159" s="57">
        <f>'cod 2018 09 18'!P166</f>
        <v>0</v>
      </c>
      <c r="E159" s="57">
        <f>'cod 2018 09 18'!U166</f>
        <v>0</v>
      </c>
      <c r="F159" s="57">
        <f>'cod 2018 09 18'!Z166</f>
        <v>0</v>
      </c>
      <c r="G159" s="57">
        <f>'cod 2018 09 18'!G166</f>
        <v>0</v>
      </c>
    </row>
    <row r="160" spans="1:7" x14ac:dyDescent="0.2">
      <c r="A160" s="37">
        <f>'cod 2018 09 18'!C167</f>
        <v>117033</v>
      </c>
      <c r="B160" s="37" t="str">
        <f>'cod 2018 09 18'!E167</f>
        <v>Baño semiamargo stick 10 kg</v>
      </c>
      <c r="C160" s="57">
        <f>'cod 2018 09 18'!K167</f>
        <v>0</v>
      </c>
      <c r="D160" s="57">
        <f>'cod 2018 09 18'!P167</f>
        <v>0</v>
      </c>
      <c r="E160" s="57">
        <f>'cod 2018 09 18'!U167</f>
        <v>0</v>
      </c>
      <c r="F160" s="57">
        <f>'cod 2018 09 18'!Z167</f>
        <v>0</v>
      </c>
      <c r="G160" s="57">
        <f>'cod 2018 09 18'!G167</f>
        <v>0</v>
      </c>
    </row>
    <row r="161" spans="1:7" x14ac:dyDescent="0.2">
      <c r="A161" s="37">
        <f>'cod 2018 09 18'!C168</f>
        <v>117013</v>
      </c>
      <c r="B161" s="37" t="str">
        <f>'cod 2018 09 18'!E168</f>
        <v>chocolatina leche</v>
      </c>
      <c r="C161" s="57">
        <f>'cod 2018 09 18'!K168</f>
        <v>2.9482758620689657</v>
      </c>
      <c r="D161" s="57">
        <f>'cod 2018 09 18'!P168</f>
        <v>2.9482758620689657</v>
      </c>
      <c r="E161" s="57">
        <f>'cod 2018 09 18'!U168</f>
        <v>2.8032786885245899</v>
      </c>
      <c r="F161" s="57">
        <f>'cod 2018 09 18'!Z168</f>
        <v>3.2431034482758627</v>
      </c>
      <c r="G161" s="57">
        <f>'cod 2018 09 18'!G168</f>
        <v>1.71</v>
      </c>
    </row>
    <row r="162" spans="1:7" x14ac:dyDescent="0.2">
      <c r="A162" s="37">
        <f>'cod 2018 09 18'!C169</f>
        <v>117014</v>
      </c>
      <c r="B162" s="37" t="str">
        <f>'cod 2018 09 18'!E169</f>
        <v>chocolatina semiamargo</v>
      </c>
      <c r="C162" s="57">
        <f>'cod 2018 09 18'!K169</f>
        <v>2.9482758620689657</v>
      </c>
      <c r="D162" s="57">
        <f>'cod 2018 09 18'!P169</f>
        <v>2.9482758620689657</v>
      </c>
      <c r="E162" s="57">
        <f>'cod 2018 09 18'!U169</f>
        <v>2.8032786885245899</v>
      </c>
      <c r="F162" s="57">
        <f>'cod 2018 09 18'!Z169</f>
        <v>3.2431034482758627</v>
      </c>
      <c r="G162" s="57">
        <f>'cod 2018 09 18'!G169</f>
        <v>1.71</v>
      </c>
    </row>
    <row r="163" spans="1:7" x14ac:dyDescent="0.2">
      <c r="A163" s="37">
        <f>'cod 2018 09 18'!C170</f>
        <v>117015</v>
      </c>
      <c r="B163" s="37" t="str">
        <f>'cod 2018 09 18'!E170</f>
        <v>chocolatina Blanca</v>
      </c>
      <c r="C163" s="57">
        <f>'cod 2018 09 18'!K170</f>
        <v>2.9482758620689657</v>
      </c>
      <c r="D163" s="57">
        <f>'cod 2018 09 18'!P170</f>
        <v>2.9482758620689657</v>
      </c>
      <c r="E163" s="57">
        <f>'cod 2018 09 18'!U170</f>
        <v>2.8032786885245899</v>
      </c>
      <c r="F163" s="57">
        <f>'cod 2018 09 18'!Z170</f>
        <v>3.2431034482758627</v>
      </c>
      <c r="G163" s="57">
        <f>'cod 2018 09 18'!G170</f>
        <v>1.71</v>
      </c>
    </row>
    <row r="164" spans="1:7" x14ac:dyDescent="0.2">
      <c r="A164" s="37">
        <f>'cod 2018 09 18'!C171</f>
        <v>117016</v>
      </c>
      <c r="B164" s="37" t="str">
        <f>'cod 2018 09 18'!E171</f>
        <v>chocolatina sin azucar agregada</v>
      </c>
      <c r="C164" s="57">
        <f>'cod 2018 09 18'!K171</f>
        <v>3.9310344827586214</v>
      </c>
      <c r="D164" s="57">
        <f>'cod 2018 09 18'!P171</f>
        <v>3.9310344827586214</v>
      </c>
      <c r="E164" s="57">
        <f>'cod 2018 09 18'!U171</f>
        <v>3.7377049180327875</v>
      </c>
      <c r="F164" s="57">
        <f>'cod 2018 09 18'!Z171</f>
        <v>4.3241379310344836</v>
      </c>
      <c r="G164" s="57">
        <f>'cod 2018 09 18'!G171</f>
        <v>2.2800000000000002</v>
      </c>
    </row>
    <row r="165" spans="1:7" x14ac:dyDescent="0.2">
      <c r="A165" s="37">
        <f>'cod 2018 09 18'!C172</f>
        <v>117018</v>
      </c>
      <c r="B165" s="37" t="str">
        <f>'cod 2018 09 18'!E172</f>
        <v>Estuche chocolatina  x 40 leche</v>
      </c>
      <c r="C165" s="57">
        <f>'cod 2018 09 18'!K172</f>
        <v>146.47272727272727</v>
      </c>
      <c r="D165" s="57">
        <f>'cod 2018 09 18'!P172</f>
        <v>138.89655172413794</v>
      </c>
      <c r="E165" s="57">
        <f>'cod 2018 09 18'!U172</f>
        <v>132.06557377049182</v>
      </c>
      <c r="F165" s="57">
        <f>'cod 2018 09 18'!Z172</f>
        <v>161.12</v>
      </c>
      <c r="G165" s="57">
        <f>'cod 2018 09 18'!G172</f>
        <v>80.56</v>
      </c>
    </row>
    <row r="166" spans="1:7" x14ac:dyDescent="0.2">
      <c r="A166" s="37">
        <f>'cod 2018 09 18'!C173</f>
        <v>117019</v>
      </c>
      <c r="B166" s="37" t="str">
        <f>'cod 2018 09 18'!E173</f>
        <v>Estuche chocolatina  x 40 Semi Amargo</v>
      </c>
      <c r="C166" s="57">
        <f>'cod 2018 09 18'!K173</f>
        <v>146.47272727272727</v>
      </c>
      <c r="D166" s="57">
        <f>'cod 2018 09 18'!P173</f>
        <v>138.89655172413794</v>
      </c>
      <c r="E166" s="57">
        <f>'cod 2018 09 18'!U173</f>
        <v>132.06557377049182</v>
      </c>
      <c r="F166" s="57">
        <f>'cod 2018 09 18'!Z173</f>
        <v>161.12</v>
      </c>
      <c r="G166" s="57">
        <f>'cod 2018 09 18'!G173</f>
        <v>80.56</v>
      </c>
    </row>
    <row r="167" spans="1:7" x14ac:dyDescent="0.2">
      <c r="A167" s="37">
        <f>'cod 2018 09 18'!C174</f>
        <v>111014</v>
      </c>
      <c r="B167" s="37" t="str">
        <f>'cod 2018 09 18'!E174</f>
        <v>Cantuchini Almendra Koo !180 gr</v>
      </c>
      <c r="C167" s="57">
        <f>'cod 2018 09 18'!K174</f>
        <v>61.238461538461536</v>
      </c>
      <c r="D167" s="57">
        <f>'cod 2018 09 18'!P174</f>
        <v>55.284722222222221</v>
      </c>
      <c r="E167" s="57">
        <f>'cod 2018 09 18'!U174</f>
        <v>55.284722222222221</v>
      </c>
      <c r="F167" s="57">
        <f>'cod 2018 09 18'!Z174</f>
        <v>67.362307692307695</v>
      </c>
      <c r="G167" s="57">
        <f>'cod 2018 09 18'!G174</f>
        <v>39.805</v>
      </c>
    </row>
    <row r="168" spans="1:7" x14ac:dyDescent="0.2">
      <c r="A168" s="37">
        <f>'cod 2018 09 18'!C175</f>
        <v>111015</v>
      </c>
      <c r="B168" s="37" t="str">
        <f>'cod 2018 09 18'!E175</f>
        <v>Cantuchini Chocolate Koo!180 gr</v>
      </c>
      <c r="C168" s="57">
        <f>'cod 2018 09 18'!K175</f>
        <v>48.615384615384613</v>
      </c>
      <c r="D168" s="57">
        <f>'cod 2018 09 18'!P175</f>
        <v>43.888888888888886</v>
      </c>
      <c r="E168" s="57">
        <f>'cod 2018 09 18'!U175</f>
        <v>43.888888888888886</v>
      </c>
      <c r="F168" s="57">
        <f>'cod 2018 09 18'!Z175</f>
        <v>53.476923076923079</v>
      </c>
      <c r="G168" s="57">
        <f>'cod 2018 09 18'!G175</f>
        <v>31.599999999999998</v>
      </c>
    </row>
    <row r="169" spans="1:7" x14ac:dyDescent="0.2">
      <c r="A169" s="37">
        <f>'cod 2018 09 18'!C176</f>
        <v>111016</v>
      </c>
      <c r="B169" s="37" t="str">
        <f>'cod 2018 09 18'!E176</f>
        <v>Lemon &amp; Ginger Koo! 180 gr</v>
      </c>
      <c r="C169" s="57">
        <f>'cod 2018 09 18'!K176</f>
        <v>48.615384615384613</v>
      </c>
      <c r="D169" s="57">
        <f>'cod 2018 09 18'!P176</f>
        <v>43.888888888888886</v>
      </c>
      <c r="E169" s="57">
        <f>'cod 2018 09 18'!U176</f>
        <v>43.888888888888886</v>
      </c>
      <c r="F169" s="57">
        <f>'cod 2018 09 18'!Z176</f>
        <v>53.476923076923079</v>
      </c>
      <c r="G169" s="57">
        <f>'cod 2018 09 18'!G176</f>
        <v>31.599999999999998</v>
      </c>
    </row>
    <row r="170" spans="1:7" x14ac:dyDescent="0.2">
      <c r="A170" s="37">
        <f>'cod 2018 09 18'!C177</f>
        <v>111017</v>
      </c>
      <c r="B170" s="37" t="str">
        <f>'cod 2018 09 18'!E177</f>
        <v>Coco &amp; Coco Koo! 180 gr</v>
      </c>
      <c r="C170" s="57">
        <f>'cod 2018 09 18'!K177</f>
        <v>48.615384615384613</v>
      </c>
      <c r="D170" s="57">
        <f>'cod 2018 09 18'!P177</f>
        <v>43.888888888888886</v>
      </c>
      <c r="E170" s="57">
        <f>'cod 2018 09 18'!U177</f>
        <v>43.888888888888886</v>
      </c>
      <c r="F170" s="57">
        <f>'cod 2018 09 18'!Z177</f>
        <v>53.476923076923079</v>
      </c>
      <c r="G170" s="57">
        <f>'cod 2018 09 18'!G177</f>
        <v>31.599999999999998</v>
      </c>
    </row>
    <row r="171" spans="1:7" x14ac:dyDescent="0.2">
      <c r="A171" s="37">
        <f>'cod 2018 09 18'!C178</f>
        <v>111018</v>
      </c>
      <c r="B171" s="37" t="str">
        <f>'cod 2018 09 18'!E178</f>
        <v>Sweet &amp; Salty Koo! 180 gr</v>
      </c>
      <c r="C171" s="57">
        <f>'cod 2018 09 18'!K178</f>
        <v>48.615384615384613</v>
      </c>
      <c r="D171" s="57">
        <f>'cod 2018 09 18'!P178</f>
        <v>43.888888888888886</v>
      </c>
      <c r="E171" s="57">
        <f>'cod 2018 09 18'!U178</f>
        <v>43.888888888888886</v>
      </c>
      <c r="F171" s="57">
        <f>'cod 2018 09 18'!Z178</f>
        <v>53.476923076923079</v>
      </c>
      <c r="G171" s="57">
        <f>'cod 2018 09 18'!G178</f>
        <v>31.599999999999998</v>
      </c>
    </row>
    <row r="172" spans="1:7" x14ac:dyDescent="0.2">
      <c r="A172" s="37">
        <f>'cod 2018 09 18'!C179</f>
        <v>111019</v>
      </c>
      <c r="B172" s="37" t="str">
        <f>'cod 2018 09 18'!E179</f>
        <v>Chai Cookie Koo! 180 gr</v>
      </c>
      <c r="C172" s="57">
        <f>'cod 2018 09 18'!K179</f>
        <v>48.615384615384613</v>
      </c>
      <c r="D172" s="57">
        <f>'cod 2018 09 18'!P179</f>
        <v>43.888888888888886</v>
      </c>
      <c r="E172" s="57">
        <f>'cod 2018 09 18'!U179</f>
        <v>43.888888888888886</v>
      </c>
      <c r="F172" s="57">
        <f>'cod 2018 09 18'!Z179</f>
        <v>53.476923076923079</v>
      </c>
      <c r="G172" s="57">
        <f>'cod 2018 09 18'!G179</f>
        <v>31.599999999999998</v>
      </c>
    </row>
    <row r="173" spans="1:7" x14ac:dyDescent="0.2">
      <c r="A173" s="37">
        <f>'cod 2018 09 18'!C180</f>
        <v>111023</v>
      </c>
      <c r="B173" s="37" t="str">
        <f>'cod 2018 09 18'!E180</f>
        <v>Mango &amp; Maracuya Koo! 180 gr</v>
      </c>
      <c r="C173" s="57">
        <f>'cod 2018 09 18'!K180</f>
        <v>0</v>
      </c>
      <c r="D173" s="57">
        <f>'cod 2018 09 18'!P180</f>
        <v>0</v>
      </c>
      <c r="E173" s="57">
        <f>'cod 2018 09 18'!U180</f>
        <v>0</v>
      </c>
      <c r="F173" s="57">
        <f>'cod 2018 09 18'!Z180</f>
        <v>0</v>
      </c>
      <c r="G173" s="57">
        <f>'cod 2018 09 18'!G180</f>
        <v>0</v>
      </c>
    </row>
    <row r="174" spans="1:7" x14ac:dyDescent="0.2">
      <c r="A174" s="37">
        <f>'cod 2018 09 18'!C181</f>
        <v>111025</v>
      </c>
      <c r="B174" s="37" t="str">
        <f>'cod 2018 09 18'!E181</f>
        <v>Chai Lovers Cookies&amp;Tea</v>
      </c>
      <c r="C174" s="57">
        <f>'cod 2018 09 18'!K181</f>
        <v>0</v>
      </c>
      <c r="D174" s="57">
        <f>'cod 2018 09 18'!P181</f>
        <v>0</v>
      </c>
      <c r="E174" s="57">
        <f>'cod 2018 09 18'!U181</f>
        <v>0</v>
      </c>
      <c r="F174" s="57">
        <f>'cod 2018 09 18'!Z181</f>
        <v>0</v>
      </c>
      <c r="G174" s="57">
        <f>'cod 2018 09 18'!G181</f>
        <v>0</v>
      </c>
    </row>
    <row r="175" spans="1:7" x14ac:dyDescent="0.2">
      <c r="A175" s="37">
        <f>'cod 2018 09 18'!C182</f>
        <v>111026</v>
      </c>
      <c r="B175" s="37" t="str">
        <f>'cod 2018 09 18'!E182</f>
        <v>Citric Lovers Cookies&amp;Tea</v>
      </c>
      <c r="C175" s="57">
        <f>'cod 2018 09 18'!K182</f>
        <v>0</v>
      </c>
      <c r="D175" s="57">
        <f>'cod 2018 09 18'!P182</f>
        <v>0</v>
      </c>
      <c r="E175" s="57">
        <f>'cod 2018 09 18'!U182</f>
        <v>0</v>
      </c>
      <c r="F175" s="57">
        <f>'cod 2018 09 18'!Z182</f>
        <v>0</v>
      </c>
      <c r="G175" s="57">
        <f>'cod 2018 09 18'!G182</f>
        <v>0</v>
      </c>
    </row>
    <row r="176" spans="1:7" x14ac:dyDescent="0.2">
      <c r="A176" s="37">
        <f>'cod 2018 09 18'!C183</f>
        <v>111027</v>
      </c>
      <c r="B176" s="37" t="str">
        <f>'cod 2018 09 18'!E183</f>
        <v>Chocolate Lovers Cookies&amp;Tea</v>
      </c>
      <c r="C176" s="57">
        <f>'cod 2018 09 18'!K183</f>
        <v>0</v>
      </c>
      <c r="D176" s="57">
        <f>'cod 2018 09 18'!P183</f>
        <v>0</v>
      </c>
      <c r="E176" s="57">
        <f>'cod 2018 09 18'!U183</f>
        <v>0</v>
      </c>
      <c r="F176" s="57">
        <f>'cod 2018 09 18'!Z183</f>
        <v>0</v>
      </c>
      <c r="G176" s="57">
        <f>'cod 2018 09 18'!G183</f>
        <v>0</v>
      </c>
    </row>
    <row r="177" spans="1:7" x14ac:dyDescent="0.2">
      <c r="A177" s="37">
        <f>'cod 2018 09 18'!C184</f>
        <v>111020</v>
      </c>
      <c r="B177" s="37" t="str">
        <f>'cod 2018 09 18'!E184</f>
        <v>Coco &amp; Coco Koo! 210 gr</v>
      </c>
      <c r="C177" s="57">
        <f>'cod 2018 09 18'!K184</f>
        <v>130.33846153846153</v>
      </c>
      <c r="D177" s="57">
        <f>'cod 2018 09 18'!P184</f>
        <v>117.66666666666667</v>
      </c>
      <c r="E177" s="57">
        <f>'cod 2018 09 18'!U184</f>
        <v>117.66666666666667</v>
      </c>
      <c r="F177" s="57">
        <f>'cod 2018 09 18'!Z184</f>
        <v>143.37230769230769</v>
      </c>
      <c r="G177" s="57">
        <f>'cod 2018 09 18'!G184</f>
        <v>84.72</v>
      </c>
    </row>
    <row r="178" spans="1:7" x14ac:dyDescent="0.2">
      <c r="A178" s="37">
        <f>'cod 2018 09 18'!C185</f>
        <v>111021</v>
      </c>
      <c r="B178" s="37" t="str">
        <f>'cod 2018 09 18'!E185</f>
        <v>Lemon &amp; Ginger Koo! 210 gr</v>
      </c>
      <c r="C178" s="57">
        <f>'cod 2018 09 18'!K185</f>
        <v>130.33846153846153</v>
      </c>
      <c r="D178" s="57">
        <f>'cod 2018 09 18'!P185</f>
        <v>117.66666666666667</v>
      </c>
      <c r="E178" s="57">
        <f>'cod 2018 09 18'!U185</f>
        <v>117.66666666666667</v>
      </c>
      <c r="F178" s="57">
        <f>'cod 2018 09 18'!Z185</f>
        <v>143.37230769230769</v>
      </c>
      <c r="G178" s="57">
        <f>'cod 2018 09 18'!G185</f>
        <v>84.72</v>
      </c>
    </row>
    <row r="179" spans="1:7" x14ac:dyDescent="0.2">
      <c r="A179" s="37">
        <f>'cod 2018 09 18'!C186</f>
        <v>111022</v>
      </c>
      <c r="B179" s="37" t="str">
        <f>'cod 2018 09 18'!E186</f>
        <v>French Vainilla Koo! 210 gr</v>
      </c>
      <c r="C179" s="57">
        <f>'cod 2018 09 18'!K186</f>
        <v>130.33846153846153</v>
      </c>
      <c r="D179" s="57">
        <f>'cod 2018 09 18'!P186</f>
        <v>117.66666666666667</v>
      </c>
      <c r="E179" s="57">
        <f>'cod 2018 09 18'!U186</f>
        <v>117.66666666666667</v>
      </c>
      <c r="F179" s="57">
        <f>'cod 2018 09 18'!Z186</f>
        <v>143.37230769230769</v>
      </c>
      <c r="G179" s="57">
        <f>'cod 2018 09 18'!G186</f>
        <v>84.72</v>
      </c>
    </row>
    <row r="180" spans="1:7" x14ac:dyDescent="0.2">
      <c r="A180" s="37">
        <f>'cod 2018 09 18'!C187</f>
        <v>118001</v>
      </c>
      <c r="B180" s="37" t="str">
        <f>'cod 2018 09 18'!E187</f>
        <v>estuche x 3 surtido</v>
      </c>
      <c r="C180" s="57">
        <f>'cod 2018 09 18'!K187</f>
        <v>62.1</v>
      </c>
      <c r="D180" s="57">
        <f>'cod 2018 09 18'!P187</f>
        <v>66.535714285714292</v>
      </c>
      <c r="E180" s="57">
        <f>'cod 2018 09 18'!U187</f>
        <v>66.535714285714292</v>
      </c>
      <c r="F180" s="57">
        <f>'cod 2018 09 18'!Z187</f>
        <v>68.31</v>
      </c>
      <c r="G180" s="57">
        <f>'cod 2018 09 18'!G187</f>
        <v>46.575000000000003</v>
      </c>
    </row>
    <row r="181" spans="1:7" x14ac:dyDescent="0.2">
      <c r="A181" s="37">
        <f>'cod 2018 09 18'!C188</f>
        <v>118002</v>
      </c>
      <c r="B181" s="37" t="str">
        <f>'cod 2018 09 18'!E188</f>
        <v>Arándano Light 260g</v>
      </c>
      <c r="C181" s="57">
        <f>'cod 2018 09 18'!K188</f>
        <v>92.544117647058812</v>
      </c>
      <c r="D181" s="57">
        <f>'cod 2018 09 18'!P188</f>
        <v>89.9</v>
      </c>
      <c r="E181" s="57">
        <f>'cod 2018 09 18'!U188</f>
        <v>89.9</v>
      </c>
      <c r="F181" s="57">
        <f>'cod 2018 09 18'!Z188</f>
        <v>101.7985294117647</v>
      </c>
      <c r="G181" s="57">
        <f>'cod 2018 09 18'!G188</f>
        <v>62.93</v>
      </c>
    </row>
    <row r="182" spans="1:7" x14ac:dyDescent="0.2">
      <c r="A182" s="37">
        <f>'cod 2018 09 18'!C189</f>
        <v>118003</v>
      </c>
      <c r="B182" s="37" t="str">
        <f>'cod 2018 09 18'!E189</f>
        <v>Frutos del Bosque Light 260g</v>
      </c>
      <c r="C182" s="57">
        <f>'cod 2018 09 18'!K189</f>
        <v>92.544117647058812</v>
      </c>
      <c r="D182" s="57">
        <f>'cod 2018 09 18'!P189</f>
        <v>89.9</v>
      </c>
      <c r="E182" s="57">
        <f>'cod 2018 09 18'!U189</f>
        <v>89.9</v>
      </c>
      <c r="F182" s="57">
        <f>'cod 2018 09 18'!Z189</f>
        <v>101.7985294117647</v>
      </c>
      <c r="G182" s="57">
        <f>'cod 2018 09 18'!G189</f>
        <v>62.93</v>
      </c>
    </row>
    <row r="183" spans="1:7" x14ac:dyDescent="0.2">
      <c r="A183" s="37">
        <f>'cod 2018 09 18'!C190</f>
        <v>118004</v>
      </c>
      <c r="B183" s="37" t="str">
        <f>'cod 2018 09 18'!E190</f>
        <v>Frambuesa Light 260g</v>
      </c>
      <c r="C183" s="57">
        <f>'cod 2018 09 18'!K190</f>
        <v>100.22857142857143</v>
      </c>
      <c r="D183" s="57">
        <f>'cod 2018 09 18'!P190</f>
        <v>100.22857142857143</v>
      </c>
      <c r="E183" s="57">
        <f>'cod 2018 09 18'!U190</f>
        <v>100.22857142857143</v>
      </c>
      <c r="F183" s="57">
        <f>'cod 2018 09 18'!Z190</f>
        <v>110.25142857142858</v>
      </c>
      <c r="G183" s="57">
        <f>'cod 2018 09 18'!G190</f>
        <v>70.16</v>
      </c>
    </row>
    <row r="184" spans="1:7" x14ac:dyDescent="0.2">
      <c r="A184" s="37">
        <f>'cod 2018 09 18'!C191</f>
        <v>118005</v>
      </c>
      <c r="B184" s="37" t="str">
        <f>'cod 2018 09 18'!E191</f>
        <v>Frutilla Light 260g</v>
      </c>
      <c r="C184" s="57">
        <f>'cod 2018 09 18'!K191</f>
        <v>95.348484848484844</v>
      </c>
      <c r="D184" s="57">
        <f>'cod 2018 09 18'!P191</f>
        <v>89.9</v>
      </c>
      <c r="E184" s="57">
        <f>'cod 2018 09 18'!U191</f>
        <v>89.9</v>
      </c>
      <c r="F184" s="57">
        <f>'cod 2018 09 18'!Z191</f>
        <v>104.88333333333334</v>
      </c>
      <c r="G184" s="57">
        <f>'cod 2018 09 18'!G191</f>
        <v>62.93</v>
      </c>
    </row>
    <row r="185" spans="1:7" x14ac:dyDescent="0.2">
      <c r="A185" s="37">
        <f>'cod 2018 09 18'!C192</f>
        <v>118006</v>
      </c>
      <c r="B185" s="37" t="str">
        <f>'cod 2018 09 18'!E192</f>
        <v>Mosqueta Light 260g</v>
      </c>
      <c r="C185" s="57">
        <f>'cod 2018 09 18'!K192</f>
        <v>95.348484848484844</v>
      </c>
      <c r="D185" s="57">
        <f>'cod 2018 09 18'!P192</f>
        <v>89.9</v>
      </c>
      <c r="E185" s="57">
        <f>'cod 2018 09 18'!U192</f>
        <v>89.9</v>
      </c>
      <c r="F185" s="57">
        <f>'cod 2018 09 18'!Z192</f>
        <v>104.88333333333334</v>
      </c>
      <c r="G185" s="57">
        <f>'cod 2018 09 18'!G192</f>
        <v>62.93</v>
      </c>
    </row>
    <row r="186" spans="1:7" x14ac:dyDescent="0.2">
      <c r="A186" s="37">
        <f>'cod 2018 09 18'!C193</f>
        <v>118007</v>
      </c>
      <c r="B186" s="37" t="str">
        <f>'cod 2018 09 18'!E193</f>
        <v>Zarzamora Light 260g</v>
      </c>
      <c r="C186" s="57">
        <f>'cod 2018 09 18'!K193</f>
        <v>89.9</v>
      </c>
      <c r="D186" s="57">
        <f>'cod 2018 09 18'!P193</f>
        <v>89.9</v>
      </c>
      <c r="E186" s="57">
        <f>'cod 2018 09 18'!U193</f>
        <v>89.9</v>
      </c>
      <c r="F186" s="57">
        <f>'cod 2018 09 18'!Z193</f>
        <v>98.890000000000015</v>
      </c>
      <c r="G186" s="57">
        <f>'cod 2018 09 18'!G193</f>
        <v>62.93</v>
      </c>
    </row>
    <row r="187" spans="1:7" x14ac:dyDescent="0.2">
      <c r="A187" s="37">
        <f>'cod 2018 09 18'!C194</f>
        <v>118034</v>
      </c>
      <c r="B187" s="37">
        <f>'cod 2018 09 18'!E194</f>
        <v>0</v>
      </c>
      <c r="C187" s="57">
        <f>'cod 2018 09 18'!K194</f>
        <v>0</v>
      </c>
      <c r="D187" s="57">
        <f>'cod 2018 09 18'!P194</f>
        <v>0</v>
      </c>
      <c r="E187" s="57">
        <f>'cod 2018 09 18'!U194</f>
        <v>0</v>
      </c>
      <c r="F187" s="57">
        <f>'cod 2018 09 18'!Z194</f>
        <v>0</v>
      </c>
      <c r="G187" s="57">
        <f>'cod 2018 09 18'!G194</f>
        <v>0</v>
      </c>
    </row>
    <row r="188" spans="1:7" x14ac:dyDescent="0.2">
      <c r="A188" s="37">
        <f>'cod 2018 09 18'!C195</f>
        <v>118008</v>
      </c>
      <c r="B188" s="37" t="str">
        <f>'cod 2018 09 18'!E195</f>
        <v>Arandano 212g</v>
      </c>
      <c r="C188" s="57">
        <f>'cod 2018 09 18'!K195</f>
        <v>70.400000000000006</v>
      </c>
      <c r="D188" s="57">
        <f>'cod 2018 09 18'!P195</f>
        <v>70.400000000000006</v>
      </c>
      <c r="E188" s="57">
        <f>'cod 2018 09 18'!U195</f>
        <v>67.506849315068493</v>
      </c>
      <c r="F188" s="57">
        <f>'cod 2018 09 18'!Z195</f>
        <v>77.440000000000012</v>
      </c>
      <c r="G188" s="57">
        <f>'cod 2018 09 18'!G195</f>
        <v>49.28</v>
      </c>
    </row>
    <row r="189" spans="1:7" x14ac:dyDescent="0.2">
      <c r="A189" s="37">
        <f>'cod 2018 09 18'!C196</f>
        <v>118009</v>
      </c>
      <c r="B189" s="37" t="str">
        <f>'cod 2018 09 18'!E196</f>
        <v>Cereza Negra 212g</v>
      </c>
      <c r="C189" s="57">
        <f>'cod 2018 09 18'!K196</f>
        <v>64.8</v>
      </c>
      <c r="D189" s="57">
        <f>'cod 2018 09 18'!P196</f>
        <v>69.784615384615378</v>
      </c>
      <c r="E189" s="57">
        <f>'cod 2018 09 18'!U196</f>
        <v>62.136986301369866</v>
      </c>
      <c r="F189" s="57">
        <f>'cod 2018 09 18'!Z196</f>
        <v>71.28</v>
      </c>
      <c r="G189" s="57">
        <f>'cod 2018 09 18'!G196</f>
        <v>45.36</v>
      </c>
    </row>
    <row r="190" spans="1:7" x14ac:dyDescent="0.2">
      <c r="A190" s="37">
        <f>'cod 2018 09 18'!C197</f>
        <v>118010</v>
      </c>
      <c r="B190" s="37" t="str">
        <f>'cod 2018 09 18'!E197</f>
        <v>Frutos del Bosque 212g</v>
      </c>
      <c r="C190" s="57">
        <f>'cod 2018 09 18'!K197</f>
        <v>70.400000000000006</v>
      </c>
      <c r="D190" s="57">
        <f>'cod 2018 09 18'!P197</f>
        <v>75.815384615384616</v>
      </c>
      <c r="E190" s="57">
        <f>'cod 2018 09 18'!U197</f>
        <v>67.506849315068493</v>
      </c>
      <c r="F190" s="57">
        <f>'cod 2018 09 18'!Z197</f>
        <v>77.440000000000012</v>
      </c>
      <c r="G190" s="57">
        <f>'cod 2018 09 18'!G197</f>
        <v>49.28</v>
      </c>
    </row>
    <row r="191" spans="1:7" x14ac:dyDescent="0.2">
      <c r="A191" s="37">
        <f>'cod 2018 09 18'!C198</f>
        <v>118011</v>
      </c>
      <c r="B191" s="37" t="str">
        <f>'cod 2018 09 18'!E198</f>
        <v>Frambuesa 212g</v>
      </c>
      <c r="C191" s="57">
        <f>'cod 2018 09 18'!K198</f>
        <v>76.914285714285725</v>
      </c>
      <c r="D191" s="57">
        <f>'cod 2018 09 18'!P198</f>
        <v>76.914285714285725</v>
      </c>
      <c r="E191" s="57">
        <f>'cod 2018 09 18'!U198</f>
        <v>73.753424657534254</v>
      </c>
      <c r="F191" s="57">
        <f>'cod 2018 09 18'!Z198</f>
        <v>84.605714285714299</v>
      </c>
      <c r="G191" s="57">
        <f>'cod 2018 09 18'!G198</f>
        <v>53.84</v>
      </c>
    </row>
    <row r="192" spans="1:7" x14ac:dyDescent="0.2">
      <c r="A192" s="37">
        <f>'cod 2018 09 18'!C199</f>
        <v>118012</v>
      </c>
      <c r="B192" s="37" t="str">
        <f>'cod 2018 09 18'!E199</f>
        <v>Frutilla 212g</v>
      </c>
      <c r="C192" s="57">
        <f>'cod 2018 09 18'!K199</f>
        <v>70.400000000000006</v>
      </c>
      <c r="D192" s="57">
        <f>'cod 2018 09 18'!P199</f>
        <v>75.815384615384616</v>
      </c>
      <c r="E192" s="57">
        <f>'cod 2018 09 18'!U199</f>
        <v>67.506849315068493</v>
      </c>
      <c r="F192" s="57">
        <f>'cod 2018 09 18'!Z199</f>
        <v>77.440000000000012</v>
      </c>
      <c r="G192" s="57">
        <f>'cod 2018 09 18'!G199</f>
        <v>49.28</v>
      </c>
    </row>
    <row r="193" spans="1:7" x14ac:dyDescent="0.2">
      <c r="A193" s="37">
        <f>'cod 2018 09 18'!C200</f>
        <v>118013</v>
      </c>
      <c r="B193" s="37" t="str">
        <f>'cod 2018 09 18'!E200</f>
        <v>Mosqueta 212g</v>
      </c>
      <c r="C193" s="57">
        <f>'cod 2018 09 18'!K200</f>
        <v>64.8</v>
      </c>
      <c r="D193" s="57">
        <f>'cod 2018 09 18'!P200</f>
        <v>69.784615384615378</v>
      </c>
      <c r="E193" s="57">
        <f>'cod 2018 09 18'!U200</f>
        <v>62.136986301369866</v>
      </c>
      <c r="F193" s="57">
        <f>'cod 2018 09 18'!Z200</f>
        <v>71.28</v>
      </c>
      <c r="G193" s="57">
        <f>'cod 2018 09 18'!G200</f>
        <v>45.36</v>
      </c>
    </row>
    <row r="194" spans="1:7" x14ac:dyDescent="0.2">
      <c r="A194" s="37">
        <f>'cod 2018 09 18'!C201</f>
        <v>118014</v>
      </c>
      <c r="B194" s="37" t="str">
        <f>'cod 2018 09 18'!E201</f>
        <v>Sauco 212g</v>
      </c>
      <c r="C194" s="57">
        <f>'cod 2018 09 18'!K201</f>
        <v>64.8</v>
      </c>
      <c r="D194" s="57">
        <f>'cod 2018 09 18'!P201</f>
        <v>69.784615384615378</v>
      </c>
      <c r="E194" s="57">
        <f>'cod 2018 09 18'!U201</f>
        <v>62.136986301369866</v>
      </c>
      <c r="F194" s="57">
        <f>'cod 2018 09 18'!Z201</f>
        <v>71.28</v>
      </c>
      <c r="G194" s="57">
        <f>'cod 2018 09 18'!G201</f>
        <v>45.36</v>
      </c>
    </row>
    <row r="195" spans="1:7" x14ac:dyDescent="0.2">
      <c r="A195" s="37">
        <f>'cod 2018 09 18'!C202</f>
        <v>118015</v>
      </c>
      <c r="B195" s="37" t="str">
        <f>'cod 2018 09 18'!E202</f>
        <v>Arandano y Membrillo</v>
      </c>
      <c r="C195" s="57">
        <f>'cod 2018 09 18'!K202</f>
        <v>64.125000000000014</v>
      </c>
      <c r="D195" s="57">
        <f>'cod 2018 09 18'!P202</f>
        <v>64.125000000000014</v>
      </c>
      <c r="E195" s="57">
        <f>'cod 2018 09 18'!U202</f>
        <v>61.489726027397268</v>
      </c>
      <c r="F195" s="57">
        <f>'cod 2018 09 18'!Z202</f>
        <v>70.537500000000023</v>
      </c>
      <c r="G195" s="57">
        <f>'cod 2018 09 18'!G202</f>
        <v>44.887500000000003</v>
      </c>
    </row>
    <row r="196" spans="1:7" x14ac:dyDescent="0.2">
      <c r="A196" s="37">
        <f>'cod 2018 09 18'!C203</f>
        <v>118016</v>
      </c>
      <c r="B196" s="37" t="str">
        <f>'cod 2018 09 18'!E203</f>
        <v>Durazno y Corinto</v>
      </c>
      <c r="C196" s="57">
        <f>'cod 2018 09 18'!K203</f>
        <v>64.125000000000014</v>
      </c>
      <c r="D196" s="57">
        <f>'cod 2018 09 18'!P203</f>
        <v>64.125000000000014</v>
      </c>
      <c r="E196" s="57">
        <f>'cod 2018 09 18'!U203</f>
        <v>61.489726027397268</v>
      </c>
      <c r="F196" s="57">
        <f>'cod 2018 09 18'!Z203</f>
        <v>70.537500000000023</v>
      </c>
      <c r="G196" s="57">
        <f>'cod 2018 09 18'!G203</f>
        <v>44.887500000000003</v>
      </c>
    </row>
    <row r="197" spans="1:7" x14ac:dyDescent="0.2">
      <c r="A197" s="37">
        <f>'cod 2018 09 18'!C204</f>
        <v>118017</v>
      </c>
      <c r="B197" s="37" t="str">
        <f>'cod 2018 09 18'!E204</f>
        <v>Durazno y Naranja</v>
      </c>
      <c r="C197" s="57">
        <f>'cod 2018 09 18'!K204</f>
        <v>64.125000000000014</v>
      </c>
      <c r="D197" s="57">
        <f>'cod 2018 09 18'!P204</f>
        <v>64.125000000000014</v>
      </c>
      <c r="E197" s="57">
        <f>'cod 2018 09 18'!U204</f>
        <v>61.489726027397268</v>
      </c>
      <c r="F197" s="57">
        <f>'cod 2018 09 18'!Z204</f>
        <v>70.537500000000023</v>
      </c>
      <c r="G197" s="57">
        <f>'cod 2018 09 18'!G204</f>
        <v>44.887500000000003</v>
      </c>
    </row>
    <row r="198" spans="1:7" x14ac:dyDescent="0.2">
      <c r="A198" s="37">
        <f>'cod 2018 09 18'!C205</f>
        <v>118018</v>
      </c>
      <c r="B198" s="37" t="str">
        <f>'cod 2018 09 18'!E205</f>
        <v>Frambuesa y Tomate</v>
      </c>
      <c r="C198" s="57">
        <f>'cod 2018 09 18'!K205</f>
        <v>67.178571428571445</v>
      </c>
      <c r="D198" s="57">
        <f>'cod 2018 09 18'!P205</f>
        <v>67.178571428571445</v>
      </c>
      <c r="E198" s="57">
        <f>'cod 2018 09 18'!U205</f>
        <v>64.417808219178085</v>
      </c>
      <c r="F198" s="57">
        <f>'cod 2018 09 18'!Z205</f>
        <v>73.896428571428601</v>
      </c>
      <c r="G198" s="57">
        <f>'cod 2018 09 18'!G205</f>
        <v>47.025000000000006</v>
      </c>
    </row>
    <row r="199" spans="1:7" x14ac:dyDescent="0.2">
      <c r="A199" s="37">
        <f>'cod 2018 09 18'!C206</f>
        <v>118019</v>
      </c>
      <c r="B199" s="37" t="str">
        <f>'cod 2018 09 18'!E206</f>
        <v>Frutilla y Aceto</v>
      </c>
      <c r="C199" s="57">
        <f>'cod 2018 09 18'!K206</f>
        <v>67.178571428571445</v>
      </c>
      <c r="D199" s="57">
        <f>'cod 2018 09 18'!P206</f>
        <v>67.178571428571445</v>
      </c>
      <c r="E199" s="57">
        <f>'cod 2018 09 18'!U206</f>
        <v>64.417808219178085</v>
      </c>
      <c r="F199" s="57">
        <f>'cod 2018 09 18'!Z206</f>
        <v>73.896428571428601</v>
      </c>
      <c r="G199" s="57">
        <f>'cod 2018 09 18'!G206</f>
        <v>47.025000000000006</v>
      </c>
    </row>
    <row r="200" spans="1:7" x14ac:dyDescent="0.2">
      <c r="A200" s="37">
        <f>'cod 2018 09 18'!C207</f>
        <v>118020</v>
      </c>
      <c r="B200" s="37" t="str">
        <f>'cod 2018 09 18'!E207</f>
        <v>Manzana y Canela</v>
      </c>
      <c r="C200" s="57">
        <f>'cod 2018 09 18'!K207</f>
        <v>64.125000000000014</v>
      </c>
      <c r="D200" s="57">
        <f>'cod 2018 09 18'!P207</f>
        <v>64.125000000000014</v>
      </c>
      <c r="E200" s="57">
        <f>'cod 2018 09 18'!U207</f>
        <v>61.489726027397268</v>
      </c>
      <c r="F200" s="57">
        <f>'cod 2018 09 18'!Z207</f>
        <v>70.537500000000023</v>
      </c>
      <c r="G200" s="57">
        <f>'cod 2018 09 18'!G207</f>
        <v>44.887500000000003</v>
      </c>
    </row>
    <row r="201" spans="1:7" x14ac:dyDescent="0.2">
      <c r="A201" s="37">
        <f>'cod 2018 09 18'!C208</f>
        <v>118021</v>
      </c>
      <c r="B201" s="37" t="str">
        <f>'cod 2018 09 18'!E208</f>
        <v>Arandano 450g</v>
      </c>
      <c r="C201" s="57">
        <f>'cod 2018 09 18'!K208</f>
        <v>109.74999999999999</v>
      </c>
      <c r="D201" s="57">
        <f>'cod 2018 09 18'!P208</f>
        <v>106.61428571428571</v>
      </c>
      <c r="E201" s="57">
        <f>'cod 2018 09 18'!U208</f>
        <v>106.61428571428571</v>
      </c>
      <c r="F201" s="57">
        <f>'cod 2018 09 18'!Z208</f>
        <v>120.72499999999999</v>
      </c>
      <c r="G201" s="57">
        <f>'cod 2018 09 18'!G208</f>
        <v>74.63</v>
      </c>
    </row>
    <row r="202" spans="1:7" x14ac:dyDescent="0.2">
      <c r="A202" s="37">
        <f>'cod 2018 09 18'!C209</f>
        <v>118022</v>
      </c>
      <c r="B202" s="37" t="str">
        <f>'cod 2018 09 18'!E209</f>
        <v>Cereza Negra 450g</v>
      </c>
      <c r="C202" s="57">
        <f>'cod 2018 09 18'!K209</f>
        <v>109.74999999999999</v>
      </c>
      <c r="D202" s="57">
        <f>'cod 2018 09 18'!P209</f>
        <v>106.61428571428571</v>
      </c>
      <c r="E202" s="57">
        <f>'cod 2018 09 18'!U209</f>
        <v>106.61428571428571</v>
      </c>
      <c r="F202" s="57">
        <f>'cod 2018 09 18'!Z209</f>
        <v>120.72499999999999</v>
      </c>
      <c r="G202" s="57">
        <f>'cod 2018 09 18'!G209</f>
        <v>74.63</v>
      </c>
    </row>
    <row r="203" spans="1:7" x14ac:dyDescent="0.2">
      <c r="A203" s="37">
        <f>'cod 2018 09 18'!C210</f>
        <v>118023</v>
      </c>
      <c r="B203" s="37" t="str">
        <f>'cod 2018 09 18'!E210</f>
        <v>Frutos del Bosque 450g</v>
      </c>
      <c r="C203" s="57">
        <f>'cod 2018 09 18'!K210</f>
        <v>109.74999999999999</v>
      </c>
      <c r="D203" s="57">
        <f>'cod 2018 09 18'!P210</f>
        <v>106.61428571428571</v>
      </c>
      <c r="E203" s="57">
        <f>'cod 2018 09 18'!U210</f>
        <v>106.61428571428571</v>
      </c>
      <c r="F203" s="57">
        <f>'cod 2018 09 18'!Z210</f>
        <v>120.72499999999999</v>
      </c>
      <c r="G203" s="57">
        <f>'cod 2018 09 18'!G210</f>
        <v>74.63</v>
      </c>
    </row>
    <row r="204" spans="1:7" x14ac:dyDescent="0.2">
      <c r="A204" s="37">
        <f>'cod 2018 09 18'!C211</f>
        <v>118024</v>
      </c>
      <c r="B204" s="37" t="str">
        <f>'cod 2018 09 18'!E211</f>
        <v>Frambuesa 450g</v>
      </c>
      <c r="C204" s="57">
        <f>'cod 2018 09 18'!K211</f>
        <v>118.14285714285715</v>
      </c>
      <c r="D204" s="57">
        <f>'cod 2018 09 18'!P211</f>
        <v>118.14285714285715</v>
      </c>
      <c r="E204" s="57">
        <f>'cod 2018 09 18'!U211</f>
        <v>118.14285714285715</v>
      </c>
      <c r="F204" s="57">
        <f>'cod 2018 09 18'!Z211</f>
        <v>129.95714285714288</v>
      </c>
      <c r="G204" s="57">
        <f>'cod 2018 09 18'!G211</f>
        <v>82.7</v>
      </c>
    </row>
    <row r="205" spans="1:7" x14ac:dyDescent="0.2">
      <c r="A205" s="37">
        <f>'cod 2018 09 18'!C212</f>
        <v>118025</v>
      </c>
      <c r="B205" s="37" t="str">
        <f>'cod 2018 09 18'!E212</f>
        <v>Frutilla 450g</v>
      </c>
      <c r="C205" s="57">
        <f>'cod 2018 09 18'!K212</f>
        <v>106.61428571428571</v>
      </c>
      <c r="D205" s="57">
        <f>'cod 2018 09 18'!P212</f>
        <v>106.61428571428571</v>
      </c>
      <c r="E205" s="57">
        <f>'cod 2018 09 18'!U212</f>
        <v>106.61428571428571</v>
      </c>
      <c r="F205" s="57">
        <f>'cod 2018 09 18'!Z212</f>
        <v>117.2757142857143</v>
      </c>
      <c r="G205" s="57">
        <f>'cod 2018 09 18'!G212</f>
        <v>74.63</v>
      </c>
    </row>
    <row r="206" spans="1:7" x14ac:dyDescent="0.2">
      <c r="A206" s="37">
        <f>'cod 2018 09 18'!C213</f>
        <v>118026</v>
      </c>
      <c r="B206" s="37" t="str">
        <f>'cod 2018 09 18'!E213</f>
        <v>Guinda 450g</v>
      </c>
      <c r="C206" s="57">
        <f>'cod 2018 09 18'!K213</f>
        <v>106.61428571428571</v>
      </c>
      <c r="D206" s="57">
        <f>'cod 2018 09 18'!P213</f>
        <v>106.61428571428571</v>
      </c>
      <c r="E206" s="57">
        <f>'cod 2018 09 18'!U213</f>
        <v>106.61428571428571</v>
      </c>
      <c r="F206" s="57">
        <f>'cod 2018 09 18'!Z213</f>
        <v>117.2757142857143</v>
      </c>
      <c r="G206" s="57">
        <f>'cod 2018 09 18'!G213</f>
        <v>74.63</v>
      </c>
    </row>
    <row r="207" spans="1:7" x14ac:dyDescent="0.2">
      <c r="A207" s="37">
        <f>'cod 2018 09 18'!C214</f>
        <v>118027</v>
      </c>
      <c r="B207" s="37" t="str">
        <f>'cod 2018 09 18'!E214</f>
        <v>Mosqueta 450g</v>
      </c>
      <c r="C207" s="57">
        <f>'cod 2018 09 18'!K214</f>
        <v>101.03030303030303</v>
      </c>
      <c r="D207" s="57">
        <f>'cod 2018 09 18'!P214</f>
        <v>102.58461538461539</v>
      </c>
      <c r="E207" s="57">
        <f>'cod 2018 09 18'!U214</f>
        <v>95.257142857142867</v>
      </c>
      <c r="F207" s="57">
        <f>'cod 2018 09 18'!Z214</f>
        <v>111.13333333333334</v>
      </c>
      <c r="G207" s="57">
        <f>'cod 2018 09 18'!G214</f>
        <v>66.680000000000007</v>
      </c>
    </row>
    <row r="208" spans="1:7" x14ac:dyDescent="0.2">
      <c r="A208" s="37">
        <f>'cod 2018 09 18'!C215</f>
        <v>118028</v>
      </c>
      <c r="B208" s="37" t="str">
        <f>'cod 2018 09 18'!E215</f>
        <v>Sauco 450g</v>
      </c>
      <c r="C208" s="57">
        <f>'cod 2018 09 18'!K215</f>
        <v>106.61428571428571</v>
      </c>
      <c r="D208" s="57">
        <f>'cod 2018 09 18'!P215</f>
        <v>106.61428571428571</v>
      </c>
      <c r="E208" s="57">
        <f>'cod 2018 09 18'!U215</f>
        <v>106.61428571428571</v>
      </c>
      <c r="F208" s="57">
        <f>'cod 2018 09 18'!Z215</f>
        <v>117.2757142857143</v>
      </c>
      <c r="G208" s="57">
        <f>'cod 2018 09 18'!G215</f>
        <v>74.63</v>
      </c>
    </row>
    <row r="209" spans="1:7" x14ac:dyDescent="0.2">
      <c r="A209" s="37">
        <f>'cod 2018 09 18'!C216</f>
        <v>118029</v>
      </c>
      <c r="B209" s="37" t="str">
        <f>'cod 2018 09 18'!E216</f>
        <v>Zarzamora 450g</v>
      </c>
      <c r="C209" s="57">
        <f>'cod 2018 09 18'!K216</f>
        <v>106.61428571428571</v>
      </c>
      <c r="D209" s="57">
        <f>'cod 2018 09 18'!P216</f>
        <v>106.61428571428571</v>
      </c>
      <c r="E209" s="57">
        <f>'cod 2018 09 18'!U216</f>
        <v>106.61428571428571</v>
      </c>
      <c r="F209" s="57">
        <f>'cod 2018 09 18'!Z216</f>
        <v>117.2757142857143</v>
      </c>
      <c r="G209" s="57">
        <f>'cod 2018 09 18'!G216</f>
        <v>74.63</v>
      </c>
    </row>
    <row r="210" spans="1:7" x14ac:dyDescent="0.2">
      <c r="A210" s="37">
        <f>'cod 2018 09 18'!C217</f>
        <v>118035</v>
      </c>
      <c r="B210" s="37" t="str">
        <f>'cod 2018 09 18'!E217</f>
        <v>Cassis Masseube 450g</v>
      </c>
      <c r="C210" s="57">
        <f>'cod 2018 09 18'!K217</f>
        <v>106.61428571428571</v>
      </c>
      <c r="D210" s="57">
        <f>'cod 2018 09 18'!P217</f>
        <v>114.8153846153846</v>
      </c>
      <c r="E210" s="57">
        <f>'cod 2018 09 18'!U217</f>
        <v>106.61428571428571</v>
      </c>
      <c r="F210" s="57">
        <f>'cod 2018 09 18'!Z217</f>
        <v>117.2757142857143</v>
      </c>
      <c r="G210" s="57">
        <f>'cod 2018 09 18'!G217</f>
        <v>74.63</v>
      </c>
    </row>
    <row r="211" spans="1:7" x14ac:dyDescent="0.2">
      <c r="A211" s="37">
        <f>'cod 2018 09 18'!C218</f>
        <v>118030</v>
      </c>
      <c r="B211" s="37" t="str">
        <f>'cod 2018 09 18'!E218</f>
        <v>Arandano en almíbar 700g</v>
      </c>
      <c r="C211" s="57">
        <f>'cod 2018 09 18'!K218</f>
        <v>161.35714285714286</v>
      </c>
      <c r="D211" s="57">
        <f>'cod 2018 09 18'!P218</f>
        <v>161.35714285714286</v>
      </c>
      <c r="E211" s="57">
        <f>'cod 2018 09 18'!U218</f>
        <v>161.35714285714286</v>
      </c>
      <c r="F211" s="57">
        <f>'cod 2018 09 18'!Z218</f>
        <v>177.49285714285716</v>
      </c>
      <c r="G211" s="57">
        <f>'cod 2018 09 18'!G218</f>
        <v>112.95</v>
      </c>
    </row>
    <row r="212" spans="1:7" x14ac:dyDescent="0.2">
      <c r="A212" s="37">
        <f>'cod 2018 09 18'!C219</f>
        <v>118031</v>
      </c>
      <c r="B212" s="37" t="str">
        <f>'cod 2018 09 18'!E219</f>
        <v>Frambuesa en almíbar 700g</v>
      </c>
      <c r="C212" s="57">
        <f>'cod 2018 09 18'!K219</f>
        <v>186.8</v>
      </c>
      <c r="D212" s="57">
        <f>'cod 2018 09 18'!P219</f>
        <v>186.8</v>
      </c>
      <c r="E212" s="57">
        <f>'cod 2018 09 18'!U219</f>
        <v>186.8</v>
      </c>
      <c r="F212" s="57">
        <f>'cod 2018 09 18'!Z219</f>
        <v>205.48000000000002</v>
      </c>
      <c r="G212" s="57">
        <f>'cod 2018 09 18'!G219</f>
        <v>130.76</v>
      </c>
    </row>
    <row r="213" spans="1:7" x14ac:dyDescent="0.2">
      <c r="A213" s="37">
        <f>'cod 2018 09 18'!C220</f>
        <v>118032</v>
      </c>
      <c r="B213" s="37" t="str">
        <f>'cod 2018 09 18'!E220</f>
        <v>Frutos del Bosque en almìbar 700g</v>
      </c>
      <c r="C213" s="57">
        <f>'cod 2018 09 18'!K220</f>
        <v>173.76923076923077</v>
      </c>
      <c r="D213" s="57">
        <f>'cod 2018 09 18'!P220</f>
        <v>161.35714285714286</v>
      </c>
      <c r="E213" s="57">
        <f>'cod 2018 09 18'!U220</f>
        <v>161.35714285714286</v>
      </c>
      <c r="F213" s="57">
        <f>'cod 2018 09 18'!Z220</f>
        <v>191.14615384615388</v>
      </c>
      <c r="G213" s="57">
        <f>'cod 2018 09 18'!G220</f>
        <v>112.95</v>
      </c>
    </row>
    <row r="214" spans="1:7" x14ac:dyDescent="0.2">
      <c r="A214" s="37">
        <f>'cod 2018 09 18'!C221</f>
        <v>118033</v>
      </c>
      <c r="B214" s="37" t="str">
        <f>'cod 2018 09 18'!E221</f>
        <v>Cereza Negra en almíbar 700g</v>
      </c>
      <c r="C214" s="57">
        <f>'cod 2018 09 18'!K221</f>
        <v>161.35714285714286</v>
      </c>
      <c r="D214" s="57">
        <f>'cod 2018 09 18'!P221</f>
        <v>161.35714285714286</v>
      </c>
      <c r="E214" s="57">
        <f>'cod 2018 09 18'!U221</f>
        <v>161.35714285714286</v>
      </c>
      <c r="F214" s="57">
        <f>'cod 2018 09 18'!Z221</f>
        <v>177.49285714285716</v>
      </c>
      <c r="G214" s="57">
        <f>'cod 2018 09 18'!G221</f>
        <v>112.95</v>
      </c>
    </row>
    <row r="215" spans="1:7" x14ac:dyDescent="0.2">
      <c r="A215" s="37">
        <f>'cod 2018 09 18'!C222</f>
        <v>119001</v>
      </c>
      <c r="B215" s="37" t="str">
        <f>'cod 2018 09 18'!E222</f>
        <v>Azucar int Mascabo Bolss eco 500 grs</v>
      </c>
      <c r="C215" s="57">
        <f>'cod 2018 09 18'!K222</f>
        <v>74.285714285714292</v>
      </c>
      <c r="D215" s="57">
        <f>'cod 2018 09 18'!P222</f>
        <v>74.285714285714292</v>
      </c>
      <c r="E215" s="57">
        <f>'cod 2018 09 18'!U222</f>
        <v>74.285714285714292</v>
      </c>
      <c r="F215" s="57">
        <f>'cod 2018 09 18'!Z222</f>
        <v>81.714285714285722</v>
      </c>
      <c r="G215" s="57">
        <f>'cod 2018 09 18'!G222</f>
        <v>52</v>
      </c>
    </row>
    <row r="216" spans="1:7" x14ac:dyDescent="0.2">
      <c r="A216" s="37">
        <f>'cod 2018 09 18'!C223</f>
        <v>119002</v>
      </c>
      <c r="B216" s="37" t="str">
        <f>'cod 2018 09 18'!E223</f>
        <v>Azucar Mascabo  Bee Gourmet 250 gr</v>
      </c>
      <c r="C216" s="57">
        <f>'cod 2018 09 18'!K223</f>
        <v>65.142857142857153</v>
      </c>
      <c r="D216" s="57">
        <f>'cod 2018 09 18'!P223</f>
        <v>65.142857142857153</v>
      </c>
      <c r="E216" s="57">
        <f>'cod 2018 09 18'!U223</f>
        <v>65.142857142857153</v>
      </c>
      <c r="F216" s="57">
        <f>'cod 2018 09 18'!Z223</f>
        <v>71.657142857142873</v>
      </c>
      <c r="G216" s="57">
        <f>'cod 2018 09 18'!G223</f>
        <v>45.6</v>
      </c>
    </row>
    <row r="217" spans="1:7" x14ac:dyDescent="0.2">
      <c r="A217" s="37">
        <f>'cod 2018 09 18'!C224</f>
        <v>119003</v>
      </c>
      <c r="B217" s="37" t="str">
        <f>'cod 2018 09 18'!E224</f>
        <v>Azucar Organica Bee Pure Frasco 330 gr</v>
      </c>
      <c r="C217" s="57">
        <f>'cod 2018 09 18'!K224</f>
        <v>48.000000000000007</v>
      </c>
      <c r="D217" s="57">
        <f>'cod 2018 09 18'!P224</f>
        <v>48.000000000000007</v>
      </c>
      <c r="E217" s="57">
        <f>'cod 2018 09 18'!U224</f>
        <v>48.000000000000007</v>
      </c>
      <c r="F217" s="57">
        <f>'cod 2018 09 18'!Z224</f>
        <v>52.800000000000011</v>
      </c>
      <c r="G217" s="57">
        <f>'cod 2018 09 18'!G224</f>
        <v>33.6</v>
      </c>
    </row>
    <row r="218" spans="1:7" x14ac:dyDescent="0.2">
      <c r="A218" s="37">
        <f>'cod 2018 09 18'!C225</f>
        <v>108006</v>
      </c>
      <c r="B218" s="37" t="str">
        <f>'cod 2018 09 18'!E225</f>
        <v>Miel Bee Pure Cremosa 900g</v>
      </c>
      <c r="C218" s="57">
        <f>'cod 2018 09 18'!K225</f>
        <v>155.42857142857144</v>
      </c>
      <c r="D218" s="57">
        <f>'cod 2018 09 18'!P225</f>
        <v>155.42857142857144</v>
      </c>
      <c r="E218" s="57">
        <f>'cod 2018 09 18'!U225</f>
        <v>155.42857142857144</v>
      </c>
      <c r="F218" s="57">
        <f>'cod 2018 09 18'!Z225</f>
        <v>170.97142857142859</v>
      </c>
      <c r="G218" s="57">
        <f>'cod 2018 09 18'!G225</f>
        <v>108.80000000000001</v>
      </c>
    </row>
    <row r="219" spans="1:7" x14ac:dyDescent="0.2">
      <c r="A219" s="37">
        <f>'cod 2018 09 18'!C226</f>
        <v>108007</v>
      </c>
      <c r="B219" s="37" t="str">
        <f>'cod 2018 09 18'!E226</f>
        <v>Miel Bee Pure Liquida 900g</v>
      </c>
      <c r="C219" s="57">
        <f>'cod 2018 09 18'!K226</f>
        <v>155.42857142857144</v>
      </c>
      <c r="D219" s="57">
        <f>'cod 2018 09 18'!P226</f>
        <v>155.42857142857144</v>
      </c>
      <c r="E219" s="57">
        <f>'cod 2018 09 18'!U226</f>
        <v>155.42857142857144</v>
      </c>
      <c r="F219" s="57">
        <f>'cod 2018 09 18'!Z226</f>
        <v>170.97142857142859</v>
      </c>
      <c r="G219" s="57">
        <f>'cod 2018 09 18'!G226</f>
        <v>108.80000000000001</v>
      </c>
    </row>
    <row r="220" spans="1:7" x14ac:dyDescent="0.2">
      <c r="A220" s="37">
        <f>'cod 2018 09 18'!C227</f>
        <v>108008</v>
      </c>
      <c r="B220" s="37" t="str">
        <f>'cod 2018 09 18'!E227</f>
        <v>Miel Bee Pure Cremosa 500g</v>
      </c>
      <c r="C220" s="57">
        <f>'cod 2018 09 18'!K227</f>
        <v>92.571428571428569</v>
      </c>
      <c r="D220" s="57">
        <f>'cod 2018 09 18'!P227</f>
        <v>92.571428571428569</v>
      </c>
      <c r="E220" s="57">
        <f>'cod 2018 09 18'!U227</f>
        <v>92.571428571428569</v>
      </c>
      <c r="F220" s="57">
        <f>'cod 2018 09 18'!Z227</f>
        <v>101.82857142857144</v>
      </c>
      <c r="G220" s="57">
        <f>'cod 2018 09 18'!G227</f>
        <v>64.8</v>
      </c>
    </row>
    <row r="221" spans="1:7" x14ac:dyDescent="0.2">
      <c r="A221" s="37">
        <f>'cod 2018 09 18'!C228</f>
        <v>108009</v>
      </c>
      <c r="B221" s="37" t="str">
        <f>'cod 2018 09 18'!E228</f>
        <v>Miel Bee Pure Liquida 500g</v>
      </c>
      <c r="C221" s="57">
        <f>'cod 2018 09 18'!K228</f>
        <v>92.571428571428569</v>
      </c>
      <c r="D221" s="57">
        <f>'cod 2018 09 18'!P228</f>
        <v>92.571428571428569</v>
      </c>
      <c r="E221" s="57">
        <f>'cod 2018 09 18'!U228</f>
        <v>92.571428571428569</v>
      </c>
      <c r="F221" s="57">
        <f>'cod 2018 09 18'!Z228</f>
        <v>101.82857142857144</v>
      </c>
      <c r="G221" s="57">
        <f>'cod 2018 09 18'!G228</f>
        <v>64.8</v>
      </c>
    </row>
    <row r="222" spans="1:7" x14ac:dyDescent="0.2">
      <c r="A222" s="37">
        <f>'cod 2018 09 18'!C229</f>
        <v>108016</v>
      </c>
      <c r="B222" s="37" t="str">
        <f>'cod 2018 09 18'!E229</f>
        <v>Meloso 480g - Syrup a base de miel pura</v>
      </c>
      <c r="C222" s="57">
        <f>'cod 2018 09 18'!K229</f>
        <v>0</v>
      </c>
      <c r="D222" s="57">
        <f>'cod 2018 09 18'!P229</f>
        <v>0</v>
      </c>
      <c r="E222" s="57">
        <f>'cod 2018 09 18'!U229</f>
        <v>28.5</v>
      </c>
      <c r="F222" s="57">
        <f>'cod 2018 09 18'!Z229</f>
        <v>0</v>
      </c>
      <c r="G222" s="57">
        <f>'cod 2018 09 18'!G229</f>
        <v>0</v>
      </c>
    </row>
    <row r="223" spans="1:7" x14ac:dyDescent="0.2">
      <c r="A223" s="37">
        <f>'cod 2018 09 18'!C230</f>
        <v>107004</v>
      </c>
      <c r="B223" s="37" t="str">
        <f>'cod 2018 09 18'!E230</f>
        <v xml:space="preserve">Dulce de Leche clasico Bee Pure 450 gr </v>
      </c>
      <c r="C223" s="57">
        <f>'cod 2018 09 18'!K230</f>
        <v>112.91428571428573</v>
      </c>
      <c r="D223" s="57">
        <f>'cod 2018 09 18'!P230</f>
        <v>112.91428571428573</v>
      </c>
      <c r="E223" s="57">
        <f>'cod 2018 09 18'!U230</f>
        <v>112.91428571428573</v>
      </c>
      <c r="F223" s="57">
        <f>'cod 2018 09 18'!Z230</f>
        <v>124.20571428571431</v>
      </c>
      <c r="G223" s="57">
        <f>'cod 2018 09 18'!G230</f>
        <v>79.040000000000006</v>
      </c>
    </row>
    <row r="224" spans="1:7" x14ac:dyDescent="0.2">
      <c r="A224" s="37">
        <f>'cod 2018 09 18'!C231</f>
        <v>107005</v>
      </c>
      <c r="B224" s="37" t="str">
        <f>'cod 2018 09 18'!E231</f>
        <v>Dulce de Leche sin azucar Bee Pure 450 gr</v>
      </c>
      <c r="C224" s="57">
        <f>'cod 2018 09 18'!K231</f>
        <v>155.42857142857144</v>
      </c>
      <c r="D224" s="57">
        <f>'cod 2018 09 18'!P231</f>
        <v>155.42857142857144</v>
      </c>
      <c r="E224" s="57">
        <f>'cod 2018 09 18'!U231</f>
        <v>155.42857142857144</v>
      </c>
      <c r="F224" s="57">
        <f>'cod 2018 09 18'!Z231</f>
        <v>170.97142857142859</v>
      </c>
      <c r="G224" s="57">
        <f>'cod 2018 09 18'!G231</f>
        <v>108.80000000000001</v>
      </c>
    </row>
    <row r="225" spans="1:7" x14ac:dyDescent="0.2">
      <c r="A225" s="37">
        <f>'cod 2018 09 18'!C232</f>
        <v>122017</v>
      </c>
      <c r="B225" s="37" t="str">
        <f>'cod 2018 09 18'!E232</f>
        <v>Granola Bee Pure Frasco 330 gr</v>
      </c>
      <c r="C225" s="57">
        <f>'cod 2018 09 18'!K232</f>
        <v>134.85714285714286</v>
      </c>
      <c r="D225" s="57">
        <f>'cod 2018 09 18'!P232</f>
        <v>134.85714285714286</v>
      </c>
      <c r="E225" s="57">
        <f>'cod 2018 09 18'!U232</f>
        <v>134.85714285714286</v>
      </c>
      <c r="F225" s="57">
        <f>'cod 2018 09 18'!Z232</f>
        <v>148.34285714285716</v>
      </c>
      <c r="G225" s="57">
        <f>'cod 2018 09 18'!G232</f>
        <v>94.4</v>
      </c>
    </row>
    <row r="226" spans="1:7" x14ac:dyDescent="0.2">
      <c r="A226" s="37">
        <f>'cod 2018 09 18'!C233</f>
        <v>122019</v>
      </c>
      <c r="B226" s="37" t="str">
        <f>'cod 2018 09 18'!E233</f>
        <v>Granola chocolate Bee Pure Frasco 330 gr</v>
      </c>
      <c r="C226" s="57">
        <f>'cod 2018 09 18'!K233</f>
        <v>134.85714285714286</v>
      </c>
      <c r="D226" s="57">
        <f>'cod 2018 09 18'!P233</f>
        <v>134.85714285714286</v>
      </c>
      <c r="E226" s="57">
        <f>'cod 2018 09 18'!U233</f>
        <v>134.85714285714286</v>
      </c>
      <c r="F226" s="57">
        <f>'cod 2018 09 18'!Z233</f>
        <v>148.34285714285716</v>
      </c>
      <c r="G226" s="57">
        <f>'cod 2018 09 18'!G233</f>
        <v>88</v>
      </c>
    </row>
    <row r="227" spans="1:7" x14ac:dyDescent="0.2">
      <c r="A227" s="37">
        <f>'cod 2018 09 18'!C234</f>
        <v>120001</v>
      </c>
      <c r="B227" s="37" t="str">
        <f>'cod 2018 09 18'!E234</f>
        <v>Mani Tostado - Sal Marina Ahumada (65g)</v>
      </c>
      <c r="C227" s="57">
        <f>'cod 2018 09 18'!K234</f>
        <v>13</v>
      </c>
      <c r="D227" s="57">
        <f>'cod 2018 09 18'!P234</f>
        <v>12.465753424657533</v>
      </c>
      <c r="E227" s="57">
        <f>'cod 2018 09 18'!U234</f>
        <v>12.465753424657533</v>
      </c>
      <c r="F227" s="57">
        <f>'cod 2018 09 18'!Z234</f>
        <v>14.3</v>
      </c>
      <c r="G227" s="57">
        <f>'cod 2018 09 18'!G234</f>
        <v>9.1</v>
      </c>
    </row>
    <row r="228" spans="1:7" x14ac:dyDescent="0.2">
      <c r="A228" s="37">
        <f>'cod 2018 09 18'!C235</f>
        <v>120002</v>
      </c>
      <c r="B228" s="37" t="str">
        <f>'cod 2018 09 18'!E235</f>
        <v>Mani Tostado - Texas Barbecue (65g)</v>
      </c>
      <c r="C228" s="57">
        <f>'cod 2018 09 18'!K235</f>
        <v>13</v>
      </c>
      <c r="D228" s="57">
        <f>'cod 2018 09 18'!P235</f>
        <v>12.465753424657533</v>
      </c>
      <c r="E228" s="57">
        <f>'cod 2018 09 18'!U235</f>
        <v>12.465753424657533</v>
      </c>
      <c r="F228" s="57">
        <f>'cod 2018 09 18'!Z235</f>
        <v>14.3</v>
      </c>
      <c r="G228" s="57">
        <f>'cod 2018 09 18'!G235</f>
        <v>9.1</v>
      </c>
    </row>
    <row r="229" spans="1:7" x14ac:dyDescent="0.2">
      <c r="A229" s="37">
        <f>'cod 2018 09 18'!C236</f>
        <v>120003</v>
      </c>
      <c r="B229" s="37" t="str">
        <f>'cod 2018 09 18'!E236</f>
        <v>Mani Tostado - Wasabi Salsa de Soja (65g)</v>
      </c>
      <c r="C229" s="57">
        <f>'cod 2018 09 18'!K236</f>
        <v>13</v>
      </c>
      <c r="D229" s="57">
        <f>'cod 2018 09 18'!P236</f>
        <v>12.465753424657533</v>
      </c>
      <c r="E229" s="57">
        <f>'cod 2018 09 18'!U236</f>
        <v>12.465753424657533</v>
      </c>
      <c r="F229" s="57">
        <f>'cod 2018 09 18'!Z236</f>
        <v>14.3</v>
      </c>
      <c r="G229" s="57">
        <f>'cod 2018 09 18'!G236</f>
        <v>9.1</v>
      </c>
    </row>
    <row r="230" spans="1:7" x14ac:dyDescent="0.2">
      <c r="A230" s="37">
        <f>'cod 2018 09 18'!C237</f>
        <v>120004</v>
      </c>
      <c r="B230" s="37" t="str">
        <f>'cod 2018 09 18'!E237</f>
        <v>Mani Tostado - Thai Sweet Chilli (65g)</v>
      </c>
      <c r="C230" s="57">
        <f>'cod 2018 09 18'!K237</f>
        <v>13</v>
      </c>
      <c r="D230" s="57">
        <f>'cod 2018 09 18'!P237</f>
        <v>12.465753424657533</v>
      </c>
      <c r="E230" s="57">
        <f>'cod 2018 09 18'!U237</f>
        <v>12.465753424657533</v>
      </c>
      <c r="F230" s="57">
        <f>'cod 2018 09 18'!Z237</f>
        <v>14.3</v>
      </c>
      <c r="G230" s="57">
        <f>'cod 2018 09 18'!G237</f>
        <v>9.1</v>
      </c>
    </row>
    <row r="231" spans="1:7" x14ac:dyDescent="0.2">
      <c r="A231" s="37">
        <f>'cod 2018 09 18'!C238</f>
        <v>120005</v>
      </c>
      <c r="B231" s="37" t="str">
        <f>'cod 2018 09 18'!E238</f>
        <v>pasta Mani</v>
      </c>
      <c r="C231" s="57">
        <f>'cod 2018 09 18'!K238</f>
        <v>21.428571428571431</v>
      </c>
      <c r="D231" s="57">
        <f>'cod 2018 09 18'!P238</f>
        <v>20.547945205479454</v>
      </c>
      <c r="E231" s="57">
        <f>'cod 2018 09 18'!U238</f>
        <v>20.547945205479454</v>
      </c>
      <c r="F231" s="57">
        <f>'cod 2018 09 18'!Z238</f>
        <v>23.571428571428577</v>
      </c>
      <c r="G231" s="57">
        <f>'cod 2018 09 18'!G238</f>
        <v>15</v>
      </c>
    </row>
    <row r="232" spans="1:7" x14ac:dyDescent="0.2">
      <c r="A232" s="37">
        <f>'cod 2018 09 18'!C239</f>
        <v>120006</v>
      </c>
      <c r="B232" s="37" t="str">
        <f>'cod 2018 09 18'!E239</f>
        <v>Papas Fritas Kettle Sal Marina Ahumada (65g)</v>
      </c>
      <c r="C232" s="57">
        <f>'cod 2018 09 18'!K239</f>
        <v>17.785714285714285</v>
      </c>
      <c r="D232" s="57">
        <f>'cod 2018 09 18'!P239</f>
        <v>17.054794520547944</v>
      </c>
      <c r="E232" s="57">
        <f>'cod 2018 09 18'!U239</f>
        <v>17.054794520547944</v>
      </c>
      <c r="F232" s="57">
        <f>'cod 2018 09 18'!Z239</f>
        <v>19.564285714285713</v>
      </c>
      <c r="G232" s="57">
        <f>'cod 2018 09 18'!G239</f>
        <v>12.45</v>
      </c>
    </row>
    <row r="233" spans="1:7" x14ac:dyDescent="0.2">
      <c r="A233" s="37">
        <f>'cod 2018 09 18'!C240</f>
        <v>120007</v>
      </c>
      <c r="B233" s="37" t="str">
        <f>'cod 2018 09 18'!E240</f>
        <v>Papas Fritas Kettle Wasabi Salsa de Soja (65g)</v>
      </c>
      <c r="C233" s="57">
        <f>'cod 2018 09 18'!K240</f>
        <v>17.785714285714285</v>
      </c>
      <c r="D233" s="57">
        <f>'cod 2018 09 18'!P240</f>
        <v>17.054794520547944</v>
      </c>
      <c r="E233" s="57">
        <f>'cod 2018 09 18'!U240</f>
        <v>17.054794520547944</v>
      </c>
      <c r="F233" s="57">
        <f>'cod 2018 09 18'!Z240</f>
        <v>19.564285714285713</v>
      </c>
      <c r="G233" s="57">
        <f>'cod 2018 09 18'!G240</f>
        <v>12.45</v>
      </c>
    </row>
    <row r="234" spans="1:7" x14ac:dyDescent="0.2">
      <c r="A234" s="37">
        <f>'cod 2018 09 18'!C241</f>
        <v>116020</v>
      </c>
      <c r="B234" s="37" t="str">
        <f>'cod 2018 09 18'!E241</f>
        <v>Molinillo Indo Ajillo 45 gr</v>
      </c>
      <c r="C234" s="57">
        <f>'cod 2018 09 18'!K241</f>
        <v>72.857142857142861</v>
      </c>
      <c r="D234" s="57">
        <f>'cod 2018 09 18'!P241</f>
        <v>68</v>
      </c>
      <c r="E234" s="57">
        <f>'cod 2018 09 18'!U241</f>
        <v>68</v>
      </c>
      <c r="F234" s="57">
        <f>'cod 2018 09 18'!Z241</f>
        <v>80.142857142857153</v>
      </c>
      <c r="G234" s="57">
        <f>'cod 2018 09 18'!G241</f>
        <v>51</v>
      </c>
    </row>
    <row r="235" spans="1:7" x14ac:dyDescent="0.2">
      <c r="A235" s="37">
        <f>'cod 2018 09 18'!C242</f>
        <v>116021</v>
      </c>
      <c r="B235" s="37" t="str">
        <f>'cod 2018 09 18'!E242</f>
        <v>Molinillo Indo Asador 65 gr</v>
      </c>
      <c r="C235" s="57">
        <f>'cod 2018 09 18'!K242</f>
        <v>72.857142857142861</v>
      </c>
      <c r="D235" s="57">
        <f>'cod 2018 09 18'!P242</f>
        <v>68</v>
      </c>
      <c r="E235" s="57">
        <f>'cod 2018 09 18'!U242</f>
        <v>68</v>
      </c>
      <c r="F235" s="57">
        <f>'cod 2018 09 18'!Z242</f>
        <v>80.142857142857153</v>
      </c>
      <c r="G235" s="57">
        <f>'cod 2018 09 18'!G242</f>
        <v>51</v>
      </c>
    </row>
    <row r="236" spans="1:7" x14ac:dyDescent="0.2">
      <c r="A236" s="37">
        <f>'cod 2018 09 18'!C243</f>
        <v>116022</v>
      </c>
      <c r="B236" s="37" t="str">
        <f>'cod 2018 09 18'!E243</f>
        <v>Molinillo Indo Caprese 55 gr</v>
      </c>
      <c r="C236" s="57">
        <f>'cod 2018 09 18'!K243</f>
        <v>72.857142857142861</v>
      </c>
      <c r="D236" s="57">
        <f>'cod 2018 09 18'!P243</f>
        <v>68</v>
      </c>
      <c r="E236" s="57">
        <f>'cod 2018 09 18'!U243</f>
        <v>68</v>
      </c>
      <c r="F236" s="57">
        <f>'cod 2018 09 18'!Z243</f>
        <v>80.142857142857153</v>
      </c>
      <c r="G236" s="57">
        <f>'cod 2018 09 18'!G243</f>
        <v>51</v>
      </c>
    </row>
    <row r="237" spans="1:7" x14ac:dyDescent="0.2">
      <c r="A237" s="37">
        <f>'cod 2018 09 18'!C244</f>
        <v>116023</v>
      </c>
      <c r="B237" s="37" t="str">
        <f>'cod 2018 09 18'!E244</f>
        <v>Molinillo Indo Finas Hierbas 30 gr</v>
      </c>
      <c r="C237" s="57">
        <f>'cod 2018 09 18'!K244</f>
        <v>72.857142857142861</v>
      </c>
      <c r="D237" s="57">
        <f>'cod 2018 09 18'!P244</f>
        <v>68</v>
      </c>
      <c r="E237" s="57">
        <f>'cod 2018 09 18'!U244</f>
        <v>68</v>
      </c>
      <c r="F237" s="57">
        <f>'cod 2018 09 18'!Z244</f>
        <v>80.142857142857153</v>
      </c>
      <c r="G237" s="57">
        <f>'cod 2018 09 18'!G244</f>
        <v>51</v>
      </c>
    </row>
    <row r="238" spans="1:7" x14ac:dyDescent="0.2">
      <c r="A238" s="37">
        <f>'cod 2018 09 18'!C245</f>
        <v>116024</v>
      </c>
      <c r="B238" s="37" t="str">
        <f>'cod 2018 09 18'!E245</f>
        <v>Molinillo Indo Mix Ptas 45 gr</v>
      </c>
      <c r="C238" s="57">
        <f>'cod 2018 09 18'!K245</f>
        <v>72.857142857142861</v>
      </c>
      <c r="D238" s="57">
        <f>'cod 2018 09 18'!P245</f>
        <v>68</v>
      </c>
      <c r="E238" s="57">
        <f>'cod 2018 09 18'!U245</f>
        <v>68</v>
      </c>
      <c r="F238" s="57">
        <f>'cod 2018 09 18'!Z245</f>
        <v>80.142857142857153</v>
      </c>
      <c r="G238" s="57">
        <f>'cod 2018 09 18'!G245</f>
        <v>51</v>
      </c>
    </row>
    <row r="239" spans="1:7" x14ac:dyDescent="0.2">
      <c r="A239" s="37">
        <f>'cod 2018 09 18'!C246</f>
        <v>116025</v>
      </c>
      <c r="B239" s="37" t="str">
        <f>'cod 2018 09 18'!E246</f>
        <v>Molinillo Indo Ptas Negra 50 gr</v>
      </c>
      <c r="C239" s="57">
        <f>'cod 2018 09 18'!K246</f>
        <v>72.857142857142861</v>
      </c>
      <c r="D239" s="57">
        <f>'cod 2018 09 18'!P246</f>
        <v>68</v>
      </c>
      <c r="E239" s="57">
        <f>'cod 2018 09 18'!U246</f>
        <v>68</v>
      </c>
      <c r="F239" s="57">
        <f>'cod 2018 09 18'!Z246</f>
        <v>80.142857142857153</v>
      </c>
      <c r="G239" s="57">
        <f>'cod 2018 09 18'!G246</f>
        <v>51</v>
      </c>
    </row>
    <row r="240" spans="1:7" x14ac:dyDescent="0.2">
      <c r="A240" s="37">
        <f>'cod 2018 09 18'!C247</f>
        <v>116026</v>
      </c>
      <c r="B240" s="37" t="str">
        <f>'cod 2018 09 18'!E247</f>
        <v>Molinillo Indo Pescado Sin Sal 30 gr</v>
      </c>
      <c r="C240" s="57">
        <f>'cod 2018 09 18'!K247</f>
        <v>72.857142857142861</v>
      </c>
      <c r="D240" s="57">
        <f>'cod 2018 09 18'!P247</f>
        <v>68</v>
      </c>
      <c r="E240" s="57">
        <f>'cod 2018 09 18'!U247</f>
        <v>68</v>
      </c>
      <c r="F240" s="57">
        <f>'cod 2018 09 18'!Z247</f>
        <v>80.142857142857153</v>
      </c>
      <c r="G240" s="57">
        <f>'cod 2018 09 18'!G247</f>
        <v>51</v>
      </c>
    </row>
    <row r="241" spans="1:7" x14ac:dyDescent="0.2">
      <c r="A241" s="37">
        <f>'cod 2018 09 18'!C248</f>
        <v>116027</v>
      </c>
      <c r="B241" s="37" t="str">
        <f>'cod 2018 09 18'!E248</f>
        <v>Molinillo Indo  Pizza Party 50 gr</v>
      </c>
      <c r="C241" s="57">
        <f>'cod 2018 09 18'!K248</f>
        <v>72.857142857142861</v>
      </c>
      <c r="D241" s="57">
        <f>'cod 2018 09 18'!P248</f>
        <v>68</v>
      </c>
      <c r="E241" s="57">
        <f>'cod 2018 09 18'!U248</f>
        <v>68</v>
      </c>
      <c r="F241" s="57">
        <f>'cod 2018 09 18'!Z248</f>
        <v>80.142857142857153</v>
      </c>
      <c r="G241" s="57">
        <f>'cod 2018 09 18'!G248</f>
        <v>51</v>
      </c>
    </row>
    <row r="242" spans="1:7" x14ac:dyDescent="0.2">
      <c r="A242" s="37">
        <f>'cod 2018 09 18'!C249</f>
        <v>116028</v>
      </c>
      <c r="B242" s="37" t="str">
        <f>'cod 2018 09 18'!E249</f>
        <v>Molinillo Indo Pollito  Sin Sal 30 gr</v>
      </c>
      <c r="C242" s="57">
        <f>'cod 2018 09 18'!K249</f>
        <v>72.857142857142861</v>
      </c>
      <c r="D242" s="57">
        <f>'cod 2018 09 18'!P249</f>
        <v>68</v>
      </c>
      <c r="E242" s="57">
        <f>'cod 2018 09 18'!U249</f>
        <v>68</v>
      </c>
      <c r="F242" s="57">
        <f>'cod 2018 09 18'!Z249</f>
        <v>80.142857142857153</v>
      </c>
      <c r="G242" s="57">
        <f>'cod 2018 09 18'!G249</f>
        <v>51</v>
      </c>
    </row>
    <row r="243" spans="1:7" x14ac:dyDescent="0.2">
      <c r="A243" s="37">
        <f>'cod 2018 09 18'!C250</f>
        <v>116029</v>
      </c>
      <c r="B243" s="37" t="str">
        <f>'cod 2018 09 18'!E250</f>
        <v>Molinillo Indo  Al Romero 50 gr</v>
      </c>
      <c r="C243" s="57">
        <f>'cod 2018 09 18'!K250</f>
        <v>72.857142857142861</v>
      </c>
      <c r="D243" s="57">
        <f>'cod 2018 09 18'!P250</f>
        <v>68</v>
      </c>
      <c r="E243" s="57">
        <f>'cod 2018 09 18'!U250</f>
        <v>68</v>
      </c>
      <c r="F243" s="57">
        <f>'cod 2018 09 18'!Z250</f>
        <v>80.142857142857153</v>
      </c>
      <c r="G243" s="57">
        <f>'cod 2018 09 18'!G250</f>
        <v>51</v>
      </c>
    </row>
    <row r="244" spans="1:7" x14ac:dyDescent="0.2">
      <c r="A244" s="37">
        <f>'cod 2018 09 18'!C251</f>
        <v>116030</v>
      </c>
      <c r="B244" s="37" t="str">
        <f>'cod 2018 09 18'!E251</f>
        <v>Molinillo Indo  Sal Marina 100 gr</v>
      </c>
      <c r="C244" s="57">
        <f>'cod 2018 09 18'!K251</f>
        <v>72.857142857142861</v>
      </c>
      <c r="D244" s="57">
        <f>'cod 2018 09 18'!P251</f>
        <v>68</v>
      </c>
      <c r="E244" s="57">
        <f>'cod 2018 09 18'!U251</f>
        <v>68</v>
      </c>
      <c r="F244" s="57">
        <f>'cod 2018 09 18'!Z251</f>
        <v>80.142857142857153</v>
      </c>
      <c r="G244" s="57">
        <f>'cod 2018 09 18'!G251</f>
        <v>51</v>
      </c>
    </row>
    <row r="245" spans="1:7" x14ac:dyDescent="0.2">
      <c r="A245" s="37">
        <f>'cod 2018 09 18'!C252</f>
        <v>116031</v>
      </c>
      <c r="B245" s="37" t="str">
        <f>'cod 2018 09 18'!E252</f>
        <v>Molinillo Indo Salad Bar 45 gr</v>
      </c>
      <c r="C245" s="57">
        <f>'cod 2018 09 18'!K252</f>
        <v>72.857142857142861</v>
      </c>
      <c r="D245" s="57">
        <f>'cod 2018 09 18'!P252</f>
        <v>68</v>
      </c>
      <c r="E245" s="57">
        <f>'cod 2018 09 18'!U252</f>
        <v>68</v>
      </c>
      <c r="F245" s="57">
        <f>'cod 2018 09 18'!Z252</f>
        <v>80.142857142857153</v>
      </c>
      <c r="G245" s="57">
        <f>'cod 2018 09 18'!G252</f>
        <v>51</v>
      </c>
    </row>
    <row r="246" spans="1:7" x14ac:dyDescent="0.2">
      <c r="A246" s="37">
        <f>'cod 2018 09 18'!C253</f>
        <v>116032</v>
      </c>
      <c r="B246" s="37" t="str">
        <f>'cod 2018 09 18'!E253</f>
        <v>Molinillo Indo Pta Vede 35 gr</v>
      </c>
      <c r="C246" s="57">
        <f>'cod 2018 09 18'!K253</f>
        <v>72.857142857142861</v>
      </c>
      <c r="D246" s="57">
        <f>'cod 2018 09 18'!P253</f>
        <v>68</v>
      </c>
      <c r="E246" s="57">
        <f>'cod 2018 09 18'!U253</f>
        <v>68</v>
      </c>
      <c r="F246" s="57">
        <f>'cod 2018 09 18'!Z253</f>
        <v>80.142857142857153</v>
      </c>
      <c r="G246" s="57">
        <f>'cod 2018 09 18'!G253</f>
        <v>51</v>
      </c>
    </row>
    <row r="247" spans="1:7" x14ac:dyDescent="0.2">
      <c r="A247" s="37">
        <f>'cod 2018 09 18'!C254</f>
        <v>116033</v>
      </c>
      <c r="B247" s="37" t="str">
        <f>'cod 2018 09 18'!E254</f>
        <v>Molinillo Indo  Al Wok 50 gr</v>
      </c>
      <c r="C247" s="57">
        <f>'cod 2018 09 18'!K254</f>
        <v>72.857142857142861</v>
      </c>
      <c r="D247" s="57">
        <f>'cod 2018 09 18'!P254</f>
        <v>68</v>
      </c>
      <c r="E247" s="57">
        <f>'cod 2018 09 18'!U254</f>
        <v>68</v>
      </c>
      <c r="F247" s="57">
        <f>'cod 2018 09 18'!Z254</f>
        <v>80.142857142857153</v>
      </c>
      <c r="G247" s="57">
        <f>'cod 2018 09 18'!G254</f>
        <v>51</v>
      </c>
    </row>
    <row r="248" spans="1:7" x14ac:dyDescent="0.2">
      <c r="A248" s="37">
        <f>'cod 2018 09 18'!C255</f>
        <v>121001</v>
      </c>
      <c r="B248" s="37" t="str">
        <f>'cod 2018 09 18'!E255</f>
        <v>Las Brisas Limonada c/Menta 250 cc</v>
      </c>
      <c r="C248" s="57">
        <f>'cod 2018 09 18'!K255</f>
        <v>0</v>
      </c>
      <c r="D248" s="57">
        <f>'cod 2018 09 18'!P255</f>
        <v>0</v>
      </c>
      <c r="E248" s="57">
        <f>'cod 2018 09 18'!U255</f>
        <v>23.5</v>
      </c>
      <c r="F248" s="57">
        <f>'cod 2018 09 18'!Z255</f>
        <v>0</v>
      </c>
      <c r="G248" s="57">
        <f>'cod 2018 09 18'!G255</f>
        <v>0</v>
      </c>
    </row>
    <row r="249" spans="1:7" x14ac:dyDescent="0.2">
      <c r="A249" s="37">
        <f>'cod 2018 09 18'!C256</f>
        <v>121002</v>
      </c>
      <c r="B249" s="37" t="str">
        <f>'cod 2018 09 18'!E256</f>
        <v>Las Brisas Manzana 250 cc</v>
      </c>
      <c r="C249" s="57">
        <f>'cod 2018 09 18'!K256</f>
        <v>0</v>
      </c>
      <c r="D249" s="57">
        <f>'cod 2018 09 18'!P256</f>
        <v>0</v>
      </c>
      <c r="E249" s="57">
        <f>'cod 2018 09 18'!U256</f>
        <v>23.5</v>
      </c>
      <c r="F249" s="57">
        <f>'cod 2018 09 18'!Z256</f>
        <v>0</v>
      </c>
      <c r="G249" s="57">
        <f>'cod 2018 09 18'!G256</f>
        <v>0</v>
      </c>
    </row>
    <row r="250" spans="1:7" x14ac:dyDescent="0.2">
      <c r="A250" s="37">
        <f>'cod 2018 09 18'!C257</f>
        <v>121003</v>
      </c>
      <c r="B250" s="37" t="str">
        <f>'cod 2018 09 18'!E257</f>
        <v>Las Brisas Arandanos 250 cc</v>
      </c>
      <c r="C250" s="57">
        <f>'cod 2018 09 18'!K257</f>
        <v>0</v>
      </c>
      <c r="D250" s="57">
        <f>'cod 2018 09 18'!P257</f>
        <v>0</v>
      </c>
      <c r="E250" s="57">
        <f>'cod 2018 09 18'!U257</f>
        <v>28</v>
      </c>
      <c r="F250" s="57">
        <f>'cod 2018 09 18'!Z257</f>
        <v>0</v>
      </c>
      <c r="G250" s="57">
        <f>'cod 2018 09 18'!G257</f>
        <v>0</v>
      </c>
    </row>
    <row r="251" spans="1:7" x14ac:dyDescent="0.2">
      <c r="A251" s="37">
        <f>'cod 2018 09 18'!C258</f>
        <v>121004</v>
      </c>
      <c r="B251" s="37" t="str">
        <f>'cod 2018 09 18'!E258</f>
        <v>Las Brisas Smoothie Arándano 250 cc</v>
      </c>
      <c r="C251" s="57">
        <f>'cod 2018 09 18'!K258</f>
        <v>0</v>
      </c>
      <c r="D251" s="57">
        <f>'cod 2018 09 18'!P258</f>
        <v>0</v>
      </c>
      <c r="E251" s="57">
        <f>'cod 2018 09 18'!U258</f>
        <v>31.9</v>
      </c>
      <c r="F251" s="57">
        <f>'cod 2018 09 18'!Z258</f>
        <v>0</v>
      </c>
      <c r="G251" s="57">
        <f>'cod 2018 09 18'!G258</f>
        <v>0</v>
      </c>
    </row>
    <row r="252" spans="1:7" x14ac:dyDescent="0.2">
      <c r="A252" s="37">
        <f>'cod 2018 09 18'!C259</f>
        <v>121005</v>
      </c>
      <c r="B252" s="37" t="str">
        <f>'cod 2018 09 18'!E259</f>
        <v>Las Brisas Smoothie Multifruta  250 cc</v>
      </c>
      <c r="C252" s="57">
        <f>'cod 2018 09 18'!K259</f>
        <v>0</v>
      </c>
      <c r="D252" s="57">
        <f>'cod 2018 09 18'!P259</f>
        <v>0</v>
      </c>
      <c r="E252" s="57">
        <f>'cod 2018 09 18'!U259</f>
        <v>31.9</v>
      </c>
      <c r="F252" s="57">
        <f>'cod 2018 09 18'!Z259</f>
        <v>0</v>
      </c>
      <c r="G252" s="57">
        <f>'cod 2018 09 18'!G259</f>
        <v>0</v>
      </c>
    </row>
    <row r="253" spans="1:7" x14ac:dyDescent="0.2">
      <c r="A253" s="37">
        <f>'cod 2018 09 18'!C260</f>
        <v>121006</v>
      </c>
      <c r="B253" s="37" t="str">
        <f>'cod 2018 09 18'!E260</f>
        <v>Las Brisas Smoothie Pera, Manzana 250 cc</v>
      </c>
      <c r="C253" s="57">
        <f>'cod 2018 09 18'!K260</f>
        <v>0</v>
      </c>
      <c r="D253" s="57">
        <f>'cod 2018 09 18'!P260</f>
        <v>0</v>
      </c>
      <c r="E253" s="57">
        <f>'cod 2018 09 18'!U260</f>
        <v>30.5</v>
      </c>
      <c r="F253" s="57">
        <f>'cod 2018 09 18'!Z260</f>
        <v>0</v>
      </c>
      <c r="G253" s="57">
        <f>'cod 2018 09 18'!G260</f>
        <v>0</v>
      </c>
    </row>
    <row r="254" spans="1:7" x14ac:dyDescent="0.2">
      <c r="A254" s="37">
        <f>'cod 2018 09 18'!C261</f>
        <v>121007</v>
      </c>
      <c r="B254" s="37" t="str">
        <f>'cod 2018 09 18'!E261</f>
        <v>Las Brisas  Pera Manzana 1000 cc</v>
      </c>
      <c r="C254" s="57">
        <f>'cod 2018 09 18'!K261</f>
        <v>0</v>
      </c>
      <c r="D254" s="57">
        <f>'cod 2018 09 18'!P261</f>
        <v>0</v>
      </c>
      <c r="E254" s="57">
        <f>'cod 2018 09 18'!U261</f>
        <v>30.5</v>
      </c>
      <c r="F254" s="57">
        <f>'cod 2018 09 18'!Z261</f>
        <v>0</v>
      </c>
      <c r="G254" s="57">
        <f>'cod 2018 09 18'!G261</f>
        <v>0</v>
      </c>
    </row>
    <row r="255" spans="1:7" x14ac:dyDescent="0.2">
      <c r="A255" s="37">
        <f>'cod 2018 09 18'!C262</f>
        <v>122001</v>
      </c>
      <c r="B255" s="37" t="str">
        <f>'cod 2018 09 18'!E262</f>
        <v xml:space="preserve">Aminopiñada </v>
      </c>
      <c r="C255" s="57">
        <f>'cod 2018 09 18'!K262</f>
        <v>17.23076923076923</v>
      </c>
      <c r="D255" s="57">
        <f>'cod 2018 09 18'!P262</f>
        <v>17.23076923076923</v>
      </c>
      <c r="E255" s="57">
        <f>'cod 2018 09 18'!U262</f>
        <v>17.23076923076923</v>
      </c>
      <c r="F255" s="57">
        <f>'cod 2018 09 18'!Z262</f>
        <v>18.953846153846154</v>
      </c>
      <c r="G255" s="57">
        <f>'cod 2018 09 18'!G262</f>
        <v>11.2</v>
      </c>
    </row>
    <row r="256" spans="1:7" x14ac:dyDescent="0.2">
      <c r="A256" s="37">
        <f>'cod 2018 09 18'!C263</f>
        <v>122002</v>
      </c>
      <c r="B256" s="37" t="str">
        <f>'cod 2018 09 18'!E263</f>
        <v>KariCaju</v>
      </c>
      <c r="C256" s="57">
        <f>'cod 2018 09 18'!K263</f>
        <v>17.23076923076923</v>
      </c>
      <c r="D256" s="57">
        <f>'cod 2018 09 18'!P263</f>
        <v>17.23076923076923</v>
      </c>
      <c r="E256" s="57">
        <f>'cod 2018 09 18'!U263</f>
        <v>17.23076923076923</v>
      </c>
      <c r="F256" s="57">
        <f>'cod 2018 09 18'!Z263</f>
        <v>18.953846153846154</v>
      </c>
      <c r="G256" s="57">
        <f>'cod 2018 09 18'!G263</f>
        <v>11.2</v>
      </c>
    </row>
    <row r="257" spans="1:7" x14ac:dyDescent="0.2">
      <c r="A257" s="37">
        <f>'cod 2018 09 18'!C264</f>
        <v>122003</v>
      </c>
      <c r="B257" s="37" t="str">
        <f>'cod 2018 09 18'!E264</f>
        <v xml:space="preserve">Dadou </v>
      </c>
      <c r="C257" s="57">
        <f>'cod 2018 09 18'!K264</f>
        <v>17.23076923076923</v>
      </c>
      <c r="D257" s="57">
        <f>'cod 2018 09 18'!P264</f>
        <v>17.23076923076923</v>
      </c>
      <c r="E257" s="57">
        <f>'cod 2018 09 18'!U264</f>
        <v>17.23076923076923</v>
      </c>
      <c r="F257" s="57">
        <f>'cod 2018 09 18'!Z264</f>
        <v>18.953846153846154</v>
      </c>
      <c r="G257" s="57">
        <f>'cod 2018 09 18'!G264</f>
        <v>11.2</v>
      </c>
    </row>
    <row r="258" spans="1:7" x14ac:dyDescent="0.2">
      <c r="A258" s="37">
        <f>'cod 2018 09 18'!C265</f>
        <v>122004</v>
      </c>
      <c r="B258" s="37" t="str">
        <f>'cod 2018 09 18'!E265</f>
        <v xml:space="preserve">Wazan </v>
      </c>
      <c r="C258" s="57">
        <f>'cod 2018 09 18'!K265</f>
        <v>17.23076923076923</v>
      </c>
      <c r="D258" s="57">
        <f>'cod 2018 09 18'!P265</f>
        <v>17.23076923076923</v>
      </c>
      <c r="E258" s="57">
        <f>'cod 2018 09 18'!U265</f>
        <v>17.23076923076923</v>
      </c>
      <c r="F258" s="57">
        <f>'cod 2018 09 18'!Z265</f>
        <v>18.953846153846154</v>
      </c>
      <c r="G258" s="57">
        <f>'cod 2018 09 18'!G265</f>
        <v>11.2</v>
      </c>
    </row>
    <row r="259" spans="1:7" x14ac:dyDescent="0.2">
      <c r="A259" s="37">
        <f>'cod 2018 09 18'!C266</f>
        <v>122005</v>
      </c>
      <c r="B259" s="37" t="str">
        <f>'cod 2018 09 18'!E266</f>
        <v xml:space="preserve">Chiapaz </v>
      </c>
      <c r="C259" s="57">
        <f>'cod 2018 09 18'!K266</f>
        <v>20</v>
      </c>
      <c r="D259" s="57">
        <f>'cod 2018 09 18'!P266</f>
        <v>20</v>
      </c>
      <c r="E259" s="57">
        <f>'cod 2018 09 18'!U266</f>
        <v>20</v>
      </c>
      <c r="F259" s="57">
        <f>'cod 2018 09 18'!Z266</f>
        <v>22</v>
      </c>
      <c r="G259" s="57">
        <f>'cod 2018 09 18'!G266</f>
        <v>13</v>
      </c>
    </row>
    <row r="260" spans="1:7" x14ac:dyDescent="0.2">
      <c r="A260" s="37">
        <f>'cod 2018 09 18'!C267</f>
        <v>122006</v>
      </c>
      <c r="B260" s="37" t="str">
        <f>'cod 2018 09 18'!E267</f>
        <v xml:space="preserve">Linocco </v>
      </c>
      <c r="C260" s="57">
        <f>'cod 2018 09 18'!K267</f>
        <v>20</v>
      </c>
      <c r="D260" s="57">
        <f>'cod 2018 09 18'!P267</f>
        <v>20</v>
      </c>
      <c r="E260" s="57">
        <f>'cod 2018 09 18'!U267</f>
        <v>20</v>
      </c>
      <c r="F260" s="57">
        <f>'cod 2018 09 18'!Z267</f>
        <v>22</v>
      </c>
      <c r="G260" s="57">
        <f>'cod 2018 09 18'!G267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2:L261"/>
  <sheetViews>
    <sheetView topLeftCell="A223" workbookViewId="0">
      <selection activeCell="F228" sqref="F228"/>
    </sheetView>
  </sheetViews>
  <sheetFormatPr baseColWidth="10" defaultRowHeight="12.75" x14ac:dyDescent="0.2"/>
  <sheetData>
    <row r="2" spans="3:10" ht="24" thickBot="1" x14ac:dyDescent="0.25">
      <c r="C2" s="241"/>
      <c r="D2" s="241"/>
      <c r="E2" s="241"/>
      <c r="F2" s="241"/>
      <c r="G2" s="241"/>
      <c r="H2" s="241"/>
      <c r="I2" s="241"/>
      <c r="J2" s="241"/>
    </row>
    <row r="3" spans="3:10" ht="13.5" thickBot="1" x14ac:dyDescent="0.25">
      <c r="C3" s="58"/>
      <c r="D3" s="59"/>
      <c r="E3" s="59"/>
      <c r="F3" s="59"/>
      <c r="G3" s="59"/>
      <c r="H3" s="59"/>
      <c r="I3" s="59"/>
      <c r="J3" s="59"/>
    </row>
    <row r="4" spans="3:10" x14ac:dyDescent="0.2">
      <c r="C4" s="60"/>
      <c r="D4" s="61"/>
      <c r="E4" s="61"/>
      <c r="F4" s="61"/>
      <c r="G4" s="62"/>
      <c r="H4" s="62"/>
      <c r="I4" s="61"/>
      <c r="J4" s="63"/>
    </row>
    <row r="5" spans="3:10" x14ac:dyDescent="0.2">
      <c r="C5" s="60"/>
      <c r="D5" s="61"/>
      <c r="E5" s="61"/>
      <c r="F5" s="61"/>
      <c r="G5" s="62"/>
      <c r="H5" s="62"/>
      <c r="I5" s="61"/>
      <c r="J5" s="63"/>
    </row>
    <row r="6" spans="3:10" x14ac:dyDescent="0.2">
      <c r="C6" s="60"/>
      <c r="D6" s="61"/>
      <c r="E6" s="61"/>
      <c r="F6" s="61"/>
      <c r="G6" s="62"/>
      <c r="H6" s="62"/>
      <c r="I6" s="61"/>
      <c r="J6" s="63"/>
    </row>
    <row r="7" spans="3:10" x14ac:dyDescent="0.2">
      <c r="C7" s="60"/>
      <c r="D7" s="61"/>
      <c r="E7" s="61"/>
      <c r="F7" s="61"/>
      <c r="G7" s="62"/>
      <c r="H7" s="62"/>
      <c r="I7" s="61"/>
      <c r="J7" s="63"/>
    </row>
    <row r="8" spans="3:10" x14ac:dyDescent="0.2">
      <c r="C8" s="60"/>
      <c r="D8" s="61"/>
      <c r="E8" s="61"/>
      <c r="F8" s="61"/>
      <c r="G8" s="62"/>
      <c r="H8" s="62"/>
      <c r="I8" s="61"/>
      <c r="J8" s="63"/>
    </row>
    <row r="9" spans="3:10" x14ac:dyDescent="0.2">
      <c r="C9" s="60"/>
      <c r="D9" s="61"/>
      <c r="E9" s="61"/>
      <c r="F9" s="61"/>
      <c r="G9" s="62"/>
      <c r="H9" s="62"/>
      <c r="I9" s="61"/>
      <c r="J9" s="63"/>
    </row>
    <row r="10" spans="3:10" x14ac:dyDescent="0.2">
      <c r="C10" s="60"/>
      <c r="D10" s="61"/>
      <c r="E10" s="61"/>
      <c r="F10" s="61"/>
      <c r="G10" s="62"/>
      <c r="H10" s="62"/>
      <c r="I10" s="61"/>
      <c r="J10" s="63"/>
    </row>
    <row r="11" spans="3:10" x14ac:dyDescent="0.2">
      <c r="C11" s="60"/>
      <c r="D11" s="61"/>
      <c r="E11" s="61"/>
      <c r="F11" s="61"/>
      <c r="G11" s="62"/>
      <c r="H11" s="62"/>
      <c r="I11" s="61"/>
      <c r="J11" s="63"/>
    </row>
    <row r="12" spans="3:10" x14ac:dyDescent="0.2">
      <c r="C12" s="60"/>
      <c r="D12" s="61"/>
      <c r="E12" s="61"/>
      <c r="F12" s="61"/>
      <c r="G12" s="62"/>
      <c r="H12" s="62"/>
      <c r="I12" s="61"/>
      <c r="J12" s="63"/>
    </row>
    <row r="13" spans="3:10" x14ac:dyDescent="0.2">
      <c r="C13" s="60"/>
      <c r="D13" s="61"/>
      <c r="E13" s="61"/>
      <c r="F13" s="61"/>
      <c r="G13" s="62"/>
      <c r="H13" s="62"/>
      <c r="I13" s="61"/>
      <c r="J13" s="63"/>
    </row>
    <row r="14" spans="3:10" x14ac:dyDescent="0.2">
      <c r="C14" s="60"/>
      <c r="D14" s="61"/>
      <c r="E14" s="61"/>
      <c r="F14" s="61"/>
      <c r="G14" s="62"/>
      <c r="H14" s="62"/>
      <c r="I14" s="61"/>
      <c r="J14" s="63"/>
    </row>
    <row r="15" spans="3:10" x14ac:dyDescent="0.2">
      <c r="C15" s="60"/>
      <c r="D15" s="61"/>
      <c r="E15" s="61"/>
      <c r="F15" s="61"/>
      <c r="G15" s="62"/>
      <c r="H15" s="62"/>
      <c r="I15" s="61"/>
      <c r="J15" s="63"/>
    </row>
    <row r="16" spans="3:10" x14ac:dyDescent="0.2">
      <c r="C16" s="60"/>
      <c r="D16" s="61"/>
      <c r="E16" s="61"/>
      <c r="F16" s="61"/>
      <c r="G16" s="62"/>
      <c r="H16" s="62"/>
      <c r="I16" s="61"/>
      <c r="J16" s="63"/>
    </row>
    <row r="17" spans="3:10" x14ac:dyDescent="0.2">
      <c r="C17" s="60"/>
      <c r="D17" s="61"/>
      <c r="E17" s="61"/>
      <c r="F17" s="61"/>
      <c r="G17" s="62"/>
      <c r="H17" s="62"/>
      <c r="I17" s="61"/>
      <c r="J17" s="63"/>
    </row>
    <row r="18" spans="3:10" x14ac:dyDescent="0.2">
      <c r="C18" s="60"/>
      <c r="D18" s="61"/>
      <c r="E18" s="61"/>
      <c r="F18" s="61"/>
      <c r="G18" s="62"/>
      <c r="H18" s="62"/>
      <c r="I18" s="61"/>
      <c r="J18" s="63"/>
    </row>
    <row r="19" spans="3:10" x14ac:dyDescent="0.2">
      <c r="C19" s="60"/>
      <c r="D19" s="61"/>
      <c r="E19" s="61"/>
      <c r="F19" s="61"/>
      <c r="G19" s="62"/>
      <c r="H19" s="62"/>
      <c r="I19" s="61"/>
      <c r="J19" s="63"/>
    </row>
    <row r="20" spans="3:10" x14ac:dyDescent="0.2">
      <c r="C20" s="60"/>
      <c r="D20" s="61"/>
      <c r="E20" s="61"/>
      <c r="F20" s="61"/>
      <c r="G20" s="62"/>
      <c r="H20" s="62"/>
      <c r="I20" s="61"/>
      <c r="J20" s="63"/>
    </row>
    <row r="21" spans="3:10" x14ac:dyDescent="0.2">
      <c r="C21" s="60"/>
      <c r="D21" s="61"/>
      <c r="E21" s="61"/>
      <c r="F21" s="61"/>
      <c r="G21" s="62"/>
      <c r="H21" s="62"/>
      <c r="I21" s="61"/>
      <c r="J21" s="63"/>
    </row>
    <row r="22" spans="3:10" x14ac:dyDescent="0.2">
      <c r="C22" s="60"/>
      <c r="D22" s="61"/>
      <c r="E22" s="61"/>
      <c r="F22" s="61"/>
      <c r="G22" s="62"/>
      <c r="H22" s="62"/>
      <c r="I22" s="61"/>
      <c r="J22" s="63"/>
    </row>
    <row r="23" spans="3:10" x14ac:dyDescent="0.2">
      <c r="C23" s="60"/>
      <c r="D23" s="61"/>
      <c r="E23" s="61"/>
      <c r="F23" s="61"/>
      <c r="G23" s="62"/>
      <c r="H23" s="62"/>
      <c r="I23" s="61"/>
      <c r="J23" s="63"/>
    </row>
    <row r="24" spans="3:10" x14ac:dyDescent="0.2">
      <c r="C24" s="60"/>
      <c r="D24" s="61"/>
      <c r="E24" s="61"/>
      <c r="F24" s="61"/>
      <c r="G24" s="62"/>
      <c r="H24" s="62"/>
      <c r="I24" s="61"/>
      <c r="J24" s="63"/>
    </row>
    <row r="25" spans="3:10" x14ac:dyDescent="0.2">
      <c r="C25" s="60"/>
      <c r="D25" s="61"/>
      <c r="E25" s="61"/>
      <c r="F25" s="61"/>
      <c r="G25" s="62"/>
      <c r="H25" s="62"/>
      <c r="I25" s="61"/>
      <c r="J25" s="63"/>
    </row>
    <row r="26" spans="3:10" x14ac:dyDescent="0.2">
      <c r="C26" s="60"/>
      <c r="D26" s="61"/>
      <c r="E26" s="61"/>
      <c r="F26" s="61"/>
      <c r="G26" s="62"/>
      <c r="H26" s="62"/>
      <c r="I26" s="61"/>
      <c r="J26" s="63"/>
    </row>
    <row r="27" spans="3:10" x14ac:dyDescent="0.2">
      <c r="C27" s="60"/>
      <c r="D27" s="61"/>
      <c r="E27" s="61"/>
      <c r="F27" s="61"/>
      <c r="G27" s="62"/>
      <c r="H27" s="62"/>
      <c r="I27" s="61"/>
      <c r="J27" s="63"/>
    </row>
    <row r="28" spans="3:10" x14ac:dyDescent="0.2">
      <c r="C28" s="60"/>
      <c r="D28" s="61"/>
      <c r="E28" s="61"/>
      <c r="F28" s="61"/>
      <c r="G28" s="62"/>
      <c r="H28" s="62"/>
      <c r="I28" s="61"/>
      <c r="J28" s="63"/>
    </row>
    <row r="29" spans="3:10" x14ac:dyDescent="0.2">
      <c r="C29" s="60"/>
      <c r="D29" s="61"/>
      <c r="E29" s="61"/>
      <c r="F29" s="61"/>
      <c r="G29" s="62"/>
      <c r="H29" s="62"/>
      <c r="I29" s="61"/>
      <c r="J29" s="63"/>
    </row>
    <row r="30" spans="3:10" x14ac:dyDescent="0.2">
      <c r="C30" s="60"/>
      <c r="D30" s="61"/>
      <c r="E30" s="61"/>
      <c r="F30" s="61"/>
      <c r="G30" s="62"/>
      <c r="H30" s="62"/>
      <c r="I30" s="61"/>
      <c r="J30" s="63"/>
    </row>
    <row r="31" spans="3:10" x14ac:dyDescent="0.2">
      <c r="C31" s="60"/>
      <c r="D31" s="61"/>
      <c r="E31" s="61"/>
      <c r="F31" s="61"/>
      <c r="G31" s="62"/>
      <c r="H31" s="62"/>
      <c r="I31" s="61"/>
      <c r="J31" s="63"/>
    </row>
    <row r="32" spans="3:10" x14ac:dyDescent="0.2">
      <c r="C32" s="60"/>
      <c r="D32" s="61"/>
      <c r="E32" s="61"/>
      <c r="F32" s="61"/>
      <c r="G32" s="62"/>
      <c r="H32" s="62"/>
      <c r="I32" s="61"/>
      <c r="J32" s="63"/>
    </row>
    <row r="33" spans="3:10" x14ac:dyDescent="0.2">
      <c r="C33" s="60"/>
      <c r="D33" s="61"/>
      <c r="E33" s="61"/>
      <c r="F33" s="61"/>
      <c r="G33" s="62"/>
      <c r="H33" s="62"/>
      <c r="I33" s="61"/>
      <c r="J33" s="63"/>
    </row>
    <row r="34" spans="3:10" x14ac:dyDescent="0.2">
      <c r="C34" s="60"/>
      <c r="D34" s="61"/>
      <c r="E34" s="61"/>
      <c r="F34" s="61"/>
      <c r="G34" s="62"/>
      <c r="H34" s="62"/>
      <c r="I34" s="61"/>
      <c r="J34" s="63"/>
    </row>
    <row r="35" spans="3:10" x14ac:dyDescent="0.2">
      <c r="C35" s="60"/>
      <c r="D35" s="61"/>
      <c r="E35" s="61"/>
      <c r="F35" s="61"/>
      <c r="G35" s="62"/>
      <c r="H35" s="62"/>
      <c r="I35" s="61"/>
      <c r="J35" s="63"/>
    </row>
    <row r="36" spans="3:10" x14ac:dyDescent="0.2">
      <c r="C36" s="60"/>
      <c r="D36" s="61"/>
      <c r="E36" s="61"/>
      <c r="F36" s="61"/>
      <c r="G36" s="62"/>
      <c r="H36" s="62"/>
      <c r="I36" s="61"/>
      <c r="J36" s="63"/>
    </row>
    <row r="37" spans="3:10" x14ac:dyDescent="0.2">
      <c r="C37" s="60"/>
      <c r="D37" s="61"/>
      <c r="E37" s="61"/>
      <c r="F37" s="61"/>
      <c r="G37" s="62"/>
      <c r="H37" s="62"/>
      <c r="I37" s="61"/>
      <c r="J37" s="63"/>
    </row>
    <row r="38" spans="3:10" x14ac:dyDescent="0.2">
      <c r="C38" s="60"/>
      <c r="D38" s="61"/>
      <c r="E38" s="61"/>
      <c r="F38" s="61"/>
      <c r="G38" s="62"/>
      <c r="H38" s="62"/>
      <c r="I38" s="61"/>
      <c r="J38" s="63"/>
    </row>
    <row r="39" spans="3:10" x14ac:dyDescent="0.2">
      <c r="C39" s="60"/>
      <c r="D39" s="61"/>
      <c r="E39" s="61"/>
      <c r="F39" s="61"/>
      <c r="G39" s="62"/>
      <c r="H39" s="62"/>
      <c r="I39" s="61"/>
      <c r="J39" s="63"/>
    </row>
    <row r="40" spans="3:10" x14ac:dyDescent="0.2">
      <c r="C40" s="60"/>
      <c r="D40" s="61"/>
      <c r="E40" s="61"/>
      <c r="F40" s="61"/>
      <c r="G40" s="62"/>
      <c r="H40" s="62"/>
      <c r="I40" s="61"/>
      <c r="J40" s="63"/>
    </row>
    <row r="41" spans="3:10" x14ac:dyDescent="0.2">
      <c r="C41" s="60"/>
      <c r="D41" s="61"/>
      <c r="E41" s="61"/>
      <c r="F41" s="61"/>
      <c r="G41" s="62"/>
      <c r="H41" s="62"/>
      <c r="I41" s="61"/>
      <c r="J41" s="63"/>
    </row>
    <row r="42" spans="3:10" x14ac:dyDescent="0.2">
      <c r="C42" s="60"/>
      <c r="D42" s="61"/>
      <c r="E42" s="61"/>
      <c r="F42" s="61"/>
      <c r="G42" s="62"/>
      <c r="H42" s="62"/>
      <c r="I42" s="61"/>
      <c r="J42" s="63"/>
    </row>
    <row r="43" spans="3:10" x14ac:dyDescent="0.2">
      <c r="C43" s="60"/>
      <c r="D43" s="61"/>
      <c r="E43" s="61"/>
      <c r="F43" s="61"/>
      <c r="G43" s="62"/>
      <c r="H43" s="62"/>
      <c r="I43" s="61"/>
      <c r="J43" s="63"/>
    </row>
    <row r="44" spans="3:10" x14ac:dyDescent="0.2">
      <c r="C44" s="60"/>
      <c r="D44" s="61"/>
      <c r="E44" s="61"/>
      <c r="F44" s="61"/>
      <c r="G44" s="62"/>
      <c r="H44" s="62"/>
      <c r="I44" s="61"/>
      <c r="J44" s="63"/>
    </row>
    <row r="45" spans="3:10" x14ac:dyDescent="0.2">
      <c r="C45" s="60"/>
      <c r="D45" s="61"/>
      <c r="E45" s="61"/>
      <c r="F45" s="61"/>
      <c r="G45" s="62"/>
      <c r="H45" s="62"/>
      <c r="I45" s="61"/>
      <c r="J45" s="63"/>
    </row>
    <row r="46" spans="3:10" x14ac:dyDescent="0.2">
      <c r="C46" s="60"/>
      <c r="D46" s="61"/>
      <c r="E46" s="61"/>
      <c r="F46" s="61"/>
      <c r="G46" s="62"/>
      <c r="H46" s="62"/>
      <c r="I46" s="61"/>
      <c r="J46" s="63"/>
    </row>
    <row r="47" spans="3:10" x14ac:dyDescent="0.2">
      <c r="C47" s="60"/>
      <c r="D47" s="61"/>
      <c r="E47" s="61"/>
      <c r="F47" s="61"/>
      <c r="G47" s="62"/>
      <c r="H47" s="62"/>
      <c r="I47" s="61"/>
      <c r="J47" s="63"/>
    </row>
    <row r="48" spans="3:10" x14ac:dyDescent="0.2">
      <c r="C48" s="60"/>
      <c r="D48" s="61"/>
      <c r="E48" s="61"/>
      <c r="F48" s="61"/>
      <c r="G48" s="62"/>
      <c r="H48" s="62"/>
      <c r="I48" s="61"/>
      <c r="J48" s="63"/>
    </row>
    <row r="49" spans="3:10" x14ac:dyDescent="0.2">
      <c r="C49" s="60"/>
      <c r="D49" s="61"/>
      <c r="E49" s="61"/>
      <c r="F49" s="61"/>
      <c r="G49" s="62"/>
      <c r="H49" s="62"/>
      <c r="I49" s="61"/>
      <c r="J49" s="63"/>
    </row>
    <row r="50" spans="3:10" x14ac:dyDescent="0.2">
      <c r="C50" s="60"/>
      <c r="D50" s="61"/>
      <c r="E50" s="61"/>
      <c r="F50" s="61"/>
      <c r="G50" s="62"/>
      <c r="H50" s="62"/>
      <c r="I50" s="61"/>
      <c r="J50" s="63"/>
    </row>
    <row r="51" spans="3:10" x14ac:dyDescent="0.2">
      <c r="C51" s="60"/>
      <c r="D51" s="61"/>
      <c r="E51" s="61"/>
      <c r="F51" s="61"/>
      <c r="G51" s="62"/>
      <c r="H51" s="62"/>
      <c r="I51" s="61"/>
      <c r="J51" s="63"/>
    </row>
    <row r="52" spans="3:10" x14ac:dyDescent="0.2">
      <c r="C52" s="60"/>
      <c r="D52" s="61"/>
      <c r="E52" s="61"/>
      <c r="F52" s="61"/>
      <c r="G52" s="62"/>
      <c r="H52" s="62"/>
      <c r="I52" s="61"/>
      <c r="J52" s="63"/>
    </row>
    <row r="53" spans="3:10" x14ac:dyDescent="0.2">
      <c r="C53" s="60"/>
      <c r="D53" s="61"/>
      <c r="E53" s="61"/>
      <c r="F53" s="61"/>
      <c r="G53" s="62"/>
      <c r="H53" s="62"/>
      <c r="I53" s="61"/>
      <c r="J53" s="63"/>
    </row>
    <row r="54" spans="3:10" x14ac:dyDescent="0.2">
      <c r="C54" s="60"/>
      <c r="D54" s="61"/>
      <c r="E54" s="61"/>
      <c r="F54" s="61"/>
      <c r="G54" s="62"/>
      <c r="H54" s="62"/>
      <c r="I54" s="61"/>
      <c r="J54" s="63"/>
    </row>
    <row r="55" spans="3:10" x14ac:dyDescent="0.2">
      <c r="C55" s="60"/>
      <c r="D55" s="61"/>
      <c r="E55" s="61"/>
      <c r="F55" s="61"/>
      <c r="G55" s="62"/>
      <c r="H55" s="62"/>
      <c r="I55" s="61"/>
      <c r="J55" s="63"/>
    </row>
    <row r="56" spans="3:10" x14ac:dyDescent="0.2">
      <c r="C56" s="60"/>
      <c r="D56" s="61"/>
      <c r="E56" s="61"/>
      <c r="F56" s="61"/>
      <c r="G56" s="62"/>
      <c r="H56" s="62"/>
      <c r="I56" s="61"/>
      <c r="J56" s="63"/>
    </row>
    <row r="57" spans="3:10" x14ac:dyDescent="0.2">
      <c r="C57" s="60"/>
      <c r="D57" s="61"/>
      <c r="E57" s="61"/>
      <c r="F57" s="61"/>
      <c r="G57" s="62"/>
      <c r="H57" s="62"/>
      <c r="I57" s="61"/>
      <c r="J57" s="63"/>
    </row>
    <row r="58" spans="3:10" x14ac:dyDescent="0.2">
      <c r="C58" s="60"/>
      <c r="D58" s="61"/>
      <c r="E58" s="61"/>
      <c r="F58" s="61"/>
      <c r="G58" s="62"/>
      <c r="H58" s="62"/>
      <c r="I58" s="61"/>
      <c r="J58" s="63"/>
    </row>
    <row r="59" spans="3:10" x14ac:dyDescent="0.2">
      <c r="C59" s="60"/>
      <c r="D59" s="61"/>
      <c r="E59" s="61"/>
      <c r="F59" s="61"/>
      <c r="G59" s="62"/>
      <c r="H59" s="62"/>
      <c r="I59" s="61"/>
      <c r="J59" s="63"/>
    </row>
    <row r="60" spans="3:10" x14ac:dyDescent="0.2">
      <c r="C60" s="60"/>
      <c r="D60" s="61"/>
      <c r="E60" s="61"/>
      <c r="F60" s="61"/>
      <c r="G60" s="62"/>
      <c r="H60" s="62"/>
      <c r="I60" s="61"/>
      <c r="J60" s="63"/>
    </row>
    <row r="61" spans="3:10" x14ac:dyDescent="0.2">
      <c r="C61" s="60"/>
      <c r="D61" s="61"/>
      <c r="E61" s="61"/>
      <c r="F61" s="61"/>
      <c r="G61" s="62"/>
      <c r="H61" s="62"/>
      <c r="I61" s="61"/>
      <c r="J61" s="63"/>
    </row>
    <row r="62" spans="3:10" x14ac:dyDescent="0.2">
      <c r="C62" s="60"/>
      <c r="D62" s="64"/>
      <c r="E62" s="64"/>
      <c r="F62" s="64"/>
      <c r="G62" s="65"/>
      <c r="H62" s="65"/>
      <c r="I62" s="64"/>
      <c r="J62" s="66"/>
    </row>
    <row r="63" spans="3:10" x14ac:dyDescent="0.2">
      <c r="C63" s="60"/>
      <c r="D63" s="61"/>
      <c r="E63" s="61"/>
      <c r="F63" s="61"/>
      <c r="G63" s="62"/>
      <c r="H63" s="62"/>
      <c r="I63" s="61"/>
      <c r="J63" s="63"/>
    </row>
    <row r="64" spans="3:10" x14ac:dyDescent="0.2">
      <c r="C64" s="60"/>
      <c r="D64" s="61"/>
      <c r="E64" s="61"/>
      <c r="F64" s="61"/>
      <c r="G64" s="62"/>
      <c r="H64" s="62"/>
      <c r="I64" s="61"/>
      <c r="J64" s="63"/>
    </row>
    <row r="65" spans="3:10" x14ac:dyDescent="0.2">
      <c r="C65" s="60"/>
      <c r="D65" s="61"/>
      <c r="E65" s="61"/>
      <c r="F65" s="61"/>
      <c r="G65" s="62"/>
      <c r="H65" s="62"/>
      <c r="I65" s="61"/>
      <c r="J65" s="63"/>
    </row>
    <row r="66" spans="3:10" x14ac:dyDescent="0.2">
      <c r="C66" s="60"/>
      <c r="D66" s="61"/>
      <c r="E66" s="61"/>
      <c r="F66" s="61"/>
      <c r="G66" s="62"/>
      <c r="H66" s="62"/>
      <c r="I66" s="61"/>
      <c r="J66" s="63"/>
    </row>
    <row r="67" spans="3:10" x14ac:dyDescent="0.2">
      <c r="C67" s="60"/>
      <c r="D67" s="61"/>
      <c r="E67" s="61"/>
      <c r="F67" s="61"/>
      <c r="G67" s="62"/>
      <c r="H67" s="62"/>
      <c r="I67" s="61"/>
      <c r="J67" s="63"/>
    </row>
    <row r="68" spans="3:10" x14ac:dyDescent="0.2">
      <c r="C68" s="60"/>
      <c r="D68" s="61"/>
      <c r="E68" s="61"/>
      <c r="F68" s="61"/>
      <c r="G68" s="62"/>
      <c r="H68" s="62"/>
      <c r="I68" s="61"/>
      <c r="J68" s="63"/>
    </row>
    <row r="69" spans="3:10" x14ac:dyDescent="0.2">
      <c r="C69" s="60"/>
      <c r="D69" s="61"/>
      <c r="E69" s="61"/>
      <c r="F69" s="61"/>
      <c r="G69" s="62"/>
      <c r="H69" s="62"/>
      <c r="I69" s="61"/>
      <c r="J69" s="63"/>
    </row>
    <row r="70" spans="3:10" x14ac:dyDescent="0.2">
      <c r="C70" s="60"/>
      <c r="D70" s="61"/>
      <c r="E70" s="61"/>
      <c r="F70" s="61"/>
      <c r="G70" s="62"/>
      <c r="H70" s="62"/>
      <c r="I70" s="61"/>
      <c r="J70" s="63"/>
    </row>
    <row r="71" spans="3:10" x14ac:dyDescent="0.2">
      <c r="C71" s="60"/>
      <c r="D71" s="61"/>
      <c r="E71" s="61"/>
      <c r="F71" s="61"/>
      <c r="G71" s="62"/>
      <c r="H71" s="62"/>
      <c r="I71" s="61"/>
      <c r="J71" s="63"/>
    </row>
    <row r="72" spans="3:10" x14ac:dyDescent="0.2">
      <c r="C72" s="60"/>
      <c r="D72" s="61"/>
      <c r="E72" s="61"/>
      <c r="F72" s="61"/>
      <c r="G72" s="62"/>
      <c r="H72" s="62"/>
      <c r="I72" s="61"/>
      <c r="J72" s="63"/>
    </row>
    <row r="73" spans="3:10" x14ac:dyDescent="0.2">
      <c r="C73" s="60"/>
      <c r="D73" s="61"/>
      <c r="E73" s="61"/>
      <c r="F73" s="61"/>
      <c r="G73" s="62"/>
      <c r="H73" s="62"/>
      <c r="I73" s="61"/>
      <c r="J73" s="63"/>
    </row>
    <row r="74" spans="3:10" x14ac:dyDescent="0.2">
      <c r="C74" s="60"/>
      <c r="D74" s="61"/>
      <c r="E74" s="61"/>
      <c r="F74" s="61"/>
      <c r="G74" s="62"/>
      <c r="H74" s="62"/>
      <c r="I74" s="61"/>
      <c r="J74" s="63"/>
    </row>
    <row r="75" spans="3:10" x14ac:dyDescent="0.2">
      <c r="C75" s="60"/>
      <c r="D75" s="61"/>
      <c r="E75" s="61"/>
      <c r="F75" s="61"/>
      <c r="G75" s="62"/>
      <c r="H75" s="62"/>
      <c r="I75" s="61"/>
      <c r="J75" s="63"/>
    </row>
    <row r="76" spans="3:10" x14ac:dyDescent="0.2">
      <c r="C76" s="60"/>
      <c r="D76" s="61"/>
      <c r="E76" s="61"/>
      <c r="F76" s="61"/>
      <c r="G76" s="62"/>
      <c r="H76" s="62"/>
      <c r="I76" s="61"/>
      <c r="J76" s="63"/>
    </row>
    <row r="77" spans="3:10" x14ac:dyDescent="0.2">
      <c r="C77" s="60"/>
      <c r="D77" s="61"/>
      <c r="E77" s="61"/>
      <c r="F77" s="61"/>
      <c r="G77" s="62"/>
      <c r="H77" s="62"/>
      <c r="I77" s="61"/>
      <c r="J77" s="63"/>
    </row>
    <row r="78" spans="3:10" x14ac:dyDescent="0.2">
      <c r="C78" s="60"/>
      <c r="D78" s="64"/>
      <c r="E78" s="64"/>
      <c r="F78" s="64"/>
      <c r="G78" s="65"/>
      <c r="H78" s="65"/>
      <c r="I78" s="64"/>
      <c r="J78" s="66"/>
    </row>
    <row r="79" spans="3:10" x14ac:dyDescent="0.2">
      <c r="C79" s="60"/>
      <c r="D79" s="64"/>
      <c r="E79" s="64"/>
      <c r="F79" s="64"/>
      <c r="G79" s="65"/>
      <c r="H79" s="65"/>
      <c r="I79" s="64"/>
      <c r="J79" s="66"/>
    </row>
    <row r="80" spans="3:10" x14ac:dyDescent="0.2">
      <c r="C80" s="60"/>
      <c r="D80" s="64"/>
      <c r="E80" s="64"/>
      <c r="F80" s="64"/>
      <c r="G80" s="65"/>
      <c r="H80" s="65"/>
      <c r="I80" s="64"/>
      <c r="J80" s="66"/>
    </row>
    <row r="81" spans="3:10" x14ac:dyDescent="0.2">
      <c r="C81" s="60"/>
      <c r="D81" s="64"/>
      <c r="E81" s="64"/>
      <c r="F81" s="64"/>
      <c r="G81" s="65"/>
      <c r="H81" s="65"/>
      <c r="I81" s="64"/>
      <c r="J81" s="66"/>
    </row>
    <row r="82" spans="3:10" x14ac:dyDescent="0.2">
      <c r="C82" s="60"/>
      <c r="D82" s="64"/>
      <c r="E82" s="64"/>
      <c r="F82" s="64"/>
      <c r="G82" s="65"/>
      <c r="H82" s="65"/>
      <c r="I82" s="64"/>
      <c r="J82" s="66"/>
    </row>
    <row r="83" spans="3:10" x14ac:dyDescent="0.2">
      <c r="C83" s="60"/>
      <c r="D83" s="64"/>
      <c r="E83" s="64"/>
      <c r="F83" s="64"/>
      <c r="G83" s="65"/>
      <c r="H83" s="65"/>
      <c r="I83" s="64"/>
      <c r="J83" s="66"/>
    </row>
    <row r="84" spans="3:10" x14ac:dyDescent="0.2">
      <c r="C84" s="60"/>
      <c r="D84" s="61"/>
      <c r="E84" s="61"/>
      <c r="F84" s="61"/>
      <c r="G84" s="62"/>
      <c r="H84" s="62"/>
      <c r="I84" s="61"/>
      <c r="J84" s="63"/>
    </row>
    <row r="85" spans="3:10" x14ac:dyDescent="0.2">
      <c r="C85" s="60"/>
      <c r="D85" s="61"/>
      <c r="E85" s="61"/>
      <c r="F85" s="61"/>
      <c r="G85" s="62"/>
      <c r="H85" s="62"/>
      <c r="I85" s="61"/>
      <c r="J85" s="63"/>
    </row>
    <row r="86" spans="3:10" x14ac:dyDescent="0.2">
      <c r="C86" s="60"/>
      <c r="D86" s="61"/>
      <c r="E86" s="61"/>
      <c r="F86" s="61"/>
      <c r="G86" s="62"/>
      <c r="H86" s="62"/>
      <c r="I86" s="61"/>
      <c r="J86" s="63"/>
    </row>
    <row r="87" spans="3:10" x14ac:dyDescent="0.2">
      <c r="C87" s="60"/>
      <c r="D87" s="61"/>
      <c r="E87" s="61"/>
      <c r="F87" s="61"/>
      <c r="G87" s="62"/>
      <c r="H87" s="62"/>
      <c r="I87" s="61"/>
      <c r="J87" s="63"/>
    </row>
    <row r="88" spans="3:10" x14ac:dyDescent="0.2">
      <c r="C88" s="60"/>
      <c r="D88" s="61"/>
      <c r="E88" s="61"/>
      <c r="F88" s="61"/>
      <c r="G88" s="62"/>
      <c r="H88" s="62"/>
      <c r="I88" s="61"/>
      <c r="J88" s="63"/>
    </row>
    <row r="89" spans="3:10" x14ac:dyDescent="0.2">
      <c r="C89" s="60"/>
      <c r="D89" s="61"/>
      <c r="E89" s="61"/>
      <c r="F89" s="61"/>
      <c r="G89" s="62"/>
      <c r="H89" s="62"/>
      <c r="I89" s="61"/>
      <c r="J89" s="63"/>
    </row>
    <row r="90" spans="3:10" x14ac:dyDescent="0.2">
      <c r="C90" s="60"/>
      <c r="D90" s="61"/>
      <c r="E90" s="61"/>
      <c r="F90" s="61"/>
      <c r="G90" s="62"/>
      <c r="H90" s="62"/>
      <c r="I90" s="61"/>
      <c r="J90" s="63"/>
    </row>
    <row r="91" spans="3:10" x14ac:dyDescent="0.2">
      <c r="C91" s="60"/>
      <c r="D91" s="61"/>
      <c r="E91" s="61"/>
      <c r="F91" s="61"/>
      <c r="G91" s="62"/>
      <c r="H91" s="62"/>
      <c r="I91" s="61"/>
      <c r="J91" s="63"/>
    </row>
    <row r="92" spans="3:10" x14ac:dyDescent="0.2">
      <c r="C92" s="60"/>
      <c r="D92" s="61"/>
      <c r="E92" s="61"/>
      <c r="F92" s="61"/>
      <c r="G92" s="62"/>
      <c r="H92" s="62"/>
      <c r="I92" s="61"/>
      <c r="J92" s="63"/>
    </row>
    <row r="93" spans="3:10" x14ac:dyDescent="0.2">
      <c r="C93" s="60"/>
      <c r="D93" s="61"/>
      <c r="E93" s="61"/>
      <c r="F93" s="61"/>
      <c r="G93" s="62"/>
      <c r="H93" s="62"/>
      <c r="I93" s="61"/>
      <c r="J93" s="63"/>
    </row>
    <row r="94" spans="3:10" x14ac:dyDescent="0.2">
      <c r="C94" s="60"/>
      <c r="D94" s="61"/>
      <c r="E94" s="61"/>
      <c r="F94" s="61"/>
      <c r="G94" s="62"/>
      <c r="H94" s="62"/>
      <c r="I94" s="61"/>
      <c r="J94" s="63"/>
    </row>
    <row r="95" spans="3:10" x14ac:dyDescent="0.2">
      <c r="C95" s="60"/>
      <c r="D95" s="61"/>
      <c r="E95" s="61"/>
      <c r="F95" s="61"/>
      <c r="G95" s="62"/>
      <c r="H95" s="62"/>
      <c r="I95" s="61"/>
      <c r="J95" s="63"/>
    </row>
    <row r="96" spans="3:10" x14ac:dyDescent="0.2">
      <c r="C96" s="60"/>
      <c r="D96" s="61"/>
      <c r="E96" s="61"/>
      <c r="F96" s="61"/>
      <c r="G96" s="62"/>
      <c r="H96" s="62"/>
      <c r="I96" s="61"/>
      <c r="J96" s="63"/>
    </row>
    <row r="97" spans="3:10" x14ac:dyDescent="0.2">
      <c r="C97" s="60"/>
      <c r="D97" s="61"/>
      <c r="E97" s="61"/>
      <c r="F97" s="61"/>
      <c r="G97" s="62"/>
      <c r="H97" s="62"/>
      <c r="I97" s="61"/>
      <c r="J97" s="63"/>
    </row>
    <row r="98" spans="3:10" x14ac:dyDescent="0.2">
      <c r="C98" s="60"/>
      <c r="D98" s="61"/>
      <c r="E98" s="61"/>
      <c r="F98" s="61"/>
      <c r="G98" s="62"/>
      <c r="H98" s="62"/>
      <c r="I98" s="61"/>
      <c r="J98" s="63"/>
    </row>
    <row r="99" spans="3:10" x14ac:dyDescent="0.2">
      <c r="C99" s="60"/>
      <c r="D99" s="61"/>
      <c r="E99" s="61"/>
      <c r="F99" s="61"/>
      <c r="G99" s="62"/>
      <c r="H99" s="62"/>
      <c r="I99" s="61"/>
      <c r="J99" s="63"/>
    </row>
    <row r="100" spans="3:10" x14ac:dyDescent="0.2">
      <c r="C100" s="60"/>
      <c r="D100" s="61"/>
      <c r="E100" s="61"/>
      <c r="F100" s="61"/>
      <c r="G100" s="62"/>
      <c r="H100" s="62"/>
      <c r="I100" s="61"/>
      <c r="J100" s="63"/>
    </row>
    <row r="101" spans="3:10" x14ac:dyDescent="0.2">
      <c r="C101" s="60"/>
      <c r="D101" s="61"/>
      <c r="E101" s="61"/>
      <c r="F101" s="61"/>
      <c r="G101" s="62"/>
      <c r="H101" s="62"/>
      <c r="I101" s="61"/>
      <c r="J101" s="63"/>
    </row>
    <row r="102" spans="3:10" x14ac:dyDescent="0.2">
      <c r="C102" s="60"/>
      <c r="D102" s="61"/>
      <c r="E102" s="61"/>
      <c r="F102" s="61"/>
      <c r="G102" s="62"/>
      <c r="H102" s="62"/>
      <c r="I102" s="61"/>
      <c r="J102" s="63"/>
    </row>
    <row r="103" spans="3:10" x14ac:dyDescent="0.2">
      <c r="C103" s="60"/>
      <c r="D103" s="61"/>
      <c r="E103" s="61"/>
      <c r="F103" s="61"/>
      <c r="G103" s="62"/>
      <c r="H103" s="62"/>
      <c r="I103" s="61"/>
      <c r="J103" s="63"/>
    </row>
    <row r="104" spans="3:10" x14ac:dyDescent="0.2">
      <c r="C104" s="60"/>
      <c r="D104" s="61"/>
      <c r="E104" s="61"/>
      <c r="F104" s="61"/>
      <c r="G104" s="62"/>
      <c r="H104" s="62"/>
      <c r="I104" s="61"/>
      <c r="J104" s="63"/>
    </row>
    <row r="105" spans="3:10" x14ac:dyDescent="0.2">
      <c r="C105" s="60"/>
      <c r="D105" s="61"/>
      <c r="E105" s="61"/>
      <c r="F105" s="61"/>
      <c r="G105" s="62"/>
      <c r="H105" s="62"/>
      <c r="I105" s="61"/>
      <c r="J105" s="63"/>
    </row>
    <row r="106" spans="3:10" x14ac:dyDescent="0.2">
      <c r="C106" s="60"/>
      <c r="D106" s="61"/>
      <c r="E106" s="61"/>
      <c r="F106" s="61"/>
      <c r="G106" s="62"/>
      <c r="H106" s="62"/>
      <c r="I106" s="61"/>
      <c r="J106" s="63"/>
    </row>
    <row r="107" spans="3:10" x14ac:dyDescent="0.2">
      <c r="C107" s="60"/>
      <c r="D107" s="61"/>
      <c r="E107" s="61"/>
      <c r="F107" s="61"/>
      <c r="G107" s="62"/>
      <c r="H107" s="62"/>
      <c r="I107" s="61"/>
      <c r="J107" s="63"/>
    </row>
    <row r="108" spans="3:10" x14ac:dyDescent="0.2">
      <c r="C108" s="60"/>
      <c r="D108" s="61"/>
      <c r="E108" s="61"/>
      <c r="F108" s="61"/>
      <c r="G108" s="62"/>
      <c r="H108" s="62"/>
      <c r="I108" s="61"/>
      <c r="J108" s="63"/>
    </row>
    <row r="109" spans="3:10" x14ac:dyDescent="0.2">
      <c r="C109" s="60"/>
      <c r="D109" s="61"/>
      <c r="E109" s="61"/>
      <c r="F109" s="61"/>
      <c r="G109" s="62"/>
      <c r="H109" s="62"/>
      <c r="I109" s="61"/>
      <c r="J109" s="63"/>
    </row>
    <row r="110" spans="3:10" x14ac:dyDescent="0.2">
      <c r="C110" s="60"/>
      <c r="D110" s="61"/>
      <c r="E110" s="61"/>
      <c r="F110" s="61"/>
      <c r="G110" s="62"/>
      <c r="H110" s="62"/>
      <c r="I110" s="61"/>
      <c r="J110" s="63"/>
    </row>
    <row r="111" spans="3:10" x14ac:dyDescent="0.2">
      <c r="C111" s="60"/>
      <c r="D111" s="61"/>
      <c r="E111" s="61"/>
      <c r="F111" s="61"/>
      <c r="G111" s="62"/>
      <c r="H111" s="62"/>
      <c r="I111" s="61"/>
      <c r="J111" s="63"/>
    </row>
    <row r="112" spans="3:10" x14ac:dyDescent="0.2">
      <c r="C112" s="60"/>
      <c r="D112" s="61"/>
      <c r="E112" s="61"/>
      <c r="F112" s="61"/>
      <c r="G112" s="62"/>
      <c r="H112" s="62"/>
      <c r="I112" s="61"/>
      <c r="J112" s="63"/>
    </row>
    <row r="113" spans="3:10" x14ac:dyDescent="0.2">
      <c r="C113" s="60"/>
      <c r="D113" s="61"/>
      <c r="E113" s="61"/>
      <c r="F113" s="61"/>
      <c r="G113" s="62"/>
      <c r="H113" s="62"/>
      <c r="I113" s="61"/>
      <c r="J113" s="63"/>
    </row>
    <row r="114" spans="3:10" x14ac:dyDescent="0.2">
      <c r="C114" s="60"/>
      <c r="D114" s="61"/>
      <c r="E114" s="61"/>
      <c r="F114" s="61"/>
      <c r="G114" s="62"/>
      <c r="H114" s="62"/>
      <c r="I114" s="61"/>
      <c r="J114" s="63"/>
    </row>
    <row r="115" spans="3:10" x14ac:dyDescent="0.2">
      <c r="C115" s="60"/>
      <c r="D115" s="61"/>
      <c r="E115" s="61"/>
      <c r="F115" s="61"/>
      <c r="G115" s="62"/>
      <c r="H115" s="62"/>
      <c r="I115" s="61"/>
      <c r="J115" s="63"/>
    </row>
    <row r="116" spans="3:10" x14ac:dyDescent="0.2">
      <c r="C116" s="60"/>
      <c r="D116" s="61"/>
      <c r="E116" s="61"/>
      <c r="F116" s="61"/>
      <c r="G116" s="62"/>
      <c r="H116" s="62"/>
      <c r="I116" s="61"/>
      <c r="J116" s="63"/>
    </row>
    <row r="117" spans="3:10" x14ac:dyDescent="0.2">
      <c r="C117" s="60"/>
      <c r="D117" s="61"/>
      <c r="E117" s="61"/>
      <c r="F117" s="61"/>
      <c r="G117" s="62"/>
      <c r="H117" s="62"/>
      <c r="I117" s="61"/>
      <c r="J117" s="63"/>
    </row>
    <row r="118" spans="3:10" x14ac:dyDescent="0.2">
      <c r="C118" s="60"/>
      <c r="D118" s="61"/>
      <c r="E118" s="61"/>
      <c r="F118" s="61"/>
      <c r="G118" s="62"/>
      <c r="H118" s="62"/>
      <c r="I118" s="61"/>
      <c r="J118" s="63"/>
    </row>
    <row r="119" spans="3:10" x14ac:dyDescent="0.2">
      <c r="C119" s="60"/>
      <c r="D119" s="61"/>
      <c r="E119" s="61"/>
      <c r="F119" s="61"/>
      <c r="G119" s="62"/>
      <c r="H119" s="62"/>
      <c r="I119" s="61"/>
      <c r="J119" s="63"/>
    </row>
    <row r="120" spans="3:10" x14ac:dyDescent="0.2">
      <c r="C120" s="60"/>
      <c r="D120" s="61"/>
      <c r="E120" s="61"/>
      <c r="F120" s="61"/>
      <c r="G120" s="62"/>
      <c r="H120" s="62"/>
      <c r="I120" s="61"/>
      <c r="J120" s="63"/>
    </row>
    <row r="121" spans="3:10" x14ac:dyDescent="0.2">
      <c r="C121" s="60"/>
      <c r="D121" s="61"/>
      <c r="E121" s="61"/>
      <c r="F121" s="61"/>
      <c r="G121" s="62"/>
      <c r="H121" s="62"/>
      <c r="I121" s="61"/>
      <c r="J121" s="63"/>
    </row>
    <row r="122" spans="3:10" x14ac:dyDescent="0.2">
      <c r="C122" s="60"/>
      <c r="D122" s="61"/>
      <c r="E122" s="61"/>
      <c r="F122" s="61"/>
      <c r="G122" s="62"/>
      <c r="H122" s="62"/>
      <c r="I122" s="61"/>
      <c r="J122" s="63"/>
    </row>
    <row r="123" spans="3:10" x14ac:dyDescent="0.2">
      <c r="C123" s="60"/>
      <c r="D123" s="61"/>
      <c r="E123" s="61"/>
      <c r="F123" s="61"/>
      <c r="G123" s="62"/>
      <c r="H123" s="62"/>
      <c r="I123" s="61"/>
      <c r="J123" s="63"/>
    </row>
    <row r="124" spans="3:10" x14ac:dyDescent="0.2">
      <c r="C124" s="60"/>
      <c r="D124" s="61"/>
      <c r="E124" s="61"/>
      <c r="F124" s="61"/>
      <c r="G124" s="62"/>
      <c r="H124" s="62"/>
      <c r="I124" s="61"/>
      <c r="J124" s="63"/>
    </row>
    <row r="125" spans="3:10" x14ac:dyDescent="0.2">
      <c r="C125" s="60"/>
      <c r="D125" s="61"/>
      <c r="E125" s="61"/>
      <c r="F125" s="61"/>
      <c r="G125" s="62"/>
      <c r="H125" s="62"/>
      <c r="I125" s="61"/>
      <c r="J125" s="63"/>
    </row>
    <row r="126" spans="3:10" x14ac:dyDescent="0.2">
      <c r="C126" s="60"/>
      <c r="D126" s="61"/>
      <c r="E126" s="61"/>
      <c r="F126" s="61"/>
      <c r="G126" s="62"/>
      <c r="H126" s="62"/>
      <c r="I126" s="61"/>
      <c r="J126" s="63"/>
    </row>
    <row r="127" spans="3:10" x14ac:dyDescent="0.2">
      <c r="C127" s="60"/>
      <c r="D127" s="61"/>
      <c r="E127" s="61"/>
      <c r="F127" s="61"/>
      <c r="G127" s="62"/>
      <c r="H127" s="62"/>
      <c r="I127" s="61"/>
      <c r="J127" s="63"/>
    </row>
    <row r="128" spans="3:10" x14ac:dyDescent="0.2">
      <c r="C128" s="60"/>
      <c r="D128" s="61"/>
      <c r="E128" s="61"/>
      <c r="F128" s="61"/>
      <c r="G128" s="62"/>
      <c r="H128" s="62"/>
      <c r="I128" s="61"/>
      <c r="J128" s="63"/>
    </row>
    <row r="129" spans="3:10" x14ac:dyDescent="0.2">
      <c r="C129" s="60"/>
      <c r="D129" s="61"/>
      <c r="E129" s="61"/>
      <c r="F129" s="61"/>
      <c r="G129" s="62"/>
      <c r="H129" s="62"/>
      <c r="I129" s="61"/>
      <c r="J129" s="63"/>
    </row>
    <row r="130" spans="3:10" x14ac:dyDescent="0.2">
      <c r="C130" s="60"/>
      <c r="D130" s="61"/>
      <c r="E130" s="61"/>
      <c r="F130" s="61"/>
      <c r="G130" s="62"/>
      <c r="H130" s="62"/>
      <c r="I130" s="61"/>
      <c r="J130" s="63"/>
    </row>
    <row r="131" spans="3:10" x14ac:dyDescent="0.2">
      <c r="C131" s="60"/>
      <c r="D131" s="61"/>
      <c r="E131" s="61"/>
      <c r="F131" s="61"/>
      <c r="G131" s="62"/>
      <c r="H131" s="62"/>
      <c r="I131" s="61"/>
      <c r="J131" s="63"/>
    </row>
    <row r="132" spans="3:10" x14ac:dyDescent="0.2">
      <c r="C132" s="60"/>
      <c r="D132" s="61"/>
      <c r="E132" s="61"/>
      <c r="F132" s="61"/>
      <c r="G132" s="62"/>
      <c r="H132" s="62"/>
      <c r="I132" s="61"/>
      <c r="J132" s="63"/>
    </row>
    <row r="133" spans="3:10" x14ac:dyDescent="0.2">
      <c r="C133" s="60"/>
      <c r="D133" s="61"/>
      <c r="E133" s="61"/>
      <c r="F133" s="61"/>
      <c r="G133" s="62"/>
      <c r="H133" s="62"/>
      <c r="I133" s="61"/>
      <c r="J133" s="63"/>
    </row>
    <row r="134" spans="3:10" x14ac:dyDescent="0.2">
      <c r="C134" s="60"/>
      <c r="D134" s="61"/>
      <c r="E134" s="61"/>
      <c r="F134" s="61"/>
      <c r="G134" s="62"/>
      <c r="H134" s="62"/>
      <c r="I134" s="61"/>
      <c r="J134" s="63"/>
    </row>
    <row r="135" spans="3:10" x14ac:dyDescent="0.2">
      <c r="C135" s="60"/>
      <c r="D135" s="61"/>
      <c r="E135" s="61"/>
      <c r="F135" s="61"/>
      <c r="G135" s="62"/>
      <c r="H135" s="62"/>
      <c r="I135" s="61"/>
      <c r="J135" s="63"/>
    </row>
    <row r="136" spans="3:10" x14ac:dyDescent="0.2">
      <c r="C136" s="60"/>
      <c r="D136" s="61"/>
      <c r="E136" s="61"/>
      <c r="F136" s="61"/>
      <c r="G136" s="62"/>
      <c r="H136" s="62"/>
      <c r="I136" s="61"/>
      <c r="J136" s="63"/>
    </row>
    <row r="137" spans="3:10" x14ac:dyDescent="0.2">
      <c r="C137" s="60"/>
      <c r="D137" s="61"/>
      <c r="E137" s="61"/>
      <c r="F137" s="61"/>
      <c r="G137" s="62"/>
      <c r="H137" s="62"/>
      <c r="I137" s="61"/>
      <c r="J137" s="63"/>
    </row>
    <row r="138" spans="3:10" x14ac:dyDescent="0.2">
      <c r="C138" s="60"/>
      <c r="D138" s="61"/>
      <c r="E138" s="61"/>
      <c r="F138" s="61"/>
      <c r="G138" s="62"/>
      <c r="H138" s="62"/>
      <c r="I138" s="61"/>
      <c r="J138" s="63"/>
    </row>
    <row r="139" spans="3:10" x14ac:dyDescent="0.2">
      <c r="C139" s="60"/>
      <c r="D139" s="61"/>
      <c r="E139" s="61"/>
      <c r="F139" s="61"/>
      <c r="G139" s="62"/>
      <c r="H139" s="62"/>
      <c r="I139" s="61"/>
      <c r="J139" s="63"/>
    </row>
    <row r="140" spans="3:10" x14ac:dyDescent="0.2">
      <c r="C140" s="60"/>
      <c r="D140" s="61"/>
      <c r="E140" s="61"/>
      <c r="F140" s="61"/>
      <c r="G140" s="62"/>
      <c r="H140" s="62"/>
      <c r="I140" s="61"/>
      <c r="J140" s="63"/>
    </row>
    <row r="141" spans="3:10" x14ac:dyDescent="0.2">
      <c r="C141" s="60"/>
      <c r="D141" s="61"/>
      <c r="E141" s="61"/>
      <c r="F141" s="61"/>
      <c r="G141" s="62"/>
      <c r="H141" s="62"/>
      <c r="I141" s="61"/>
      <c r="J141" s="63"/>
    </row>
    <row r="142" spans="3:10" x14ac:dyDescent="0.2">
      <c r="C142" s="60"/>
      <c r="D142" s="61"/>
      <c r="E142" s="61"/>
      <c r="F142" s="61"/>
      <c r="G142" s="62"/>
      <c r="H142" s="62"/>
      <c r="I142" s="61"/>
      <c r="J142" s="63"/>
    </row>
    <row r="143" spans="3:10" x14ac:dyDescent="0.2">
      <c r="C143" s="60"/>
      <c r="D143" s="61"/>
      <c r="E143" s="61"/>
      <c r="F143" s="61"/>
      <c r="G143" s="62"/>
      <c r="H143" s="62"/>
      <c r="I143" s="61"/>
      <c r="J143" s="63"/>
    </row>
    <row r="144" spans="3:10" x14ac:dyDescent="0.2">
      <c r="C144" s="60"/>
      <c r="D144" s="61"/>
      <c r="E144" s="61"/>
      <c r="F144" s="61"/>
      <c r="G144" s="62"/>
      <c r="H144" s="62"/>
      <c r="I144" s="61"/>
      <c r="J144" s="63"/>
    </row>
    <row r="145" spans="3:10" x14ac:dyDescent="0.2">
      <c r="C145" s="60"/>
      <c r="D145" s="61"/>
      <c r="E145" s="61"/>
      <c r="F145" s="61"/>
      <c r="G145" s="62"/>
      <c r="H145" s="62"/>
      <c r="I145" s="61"/>
      <c r="J145" s="63"/>
    </row>
    <row r="146" spans="3:10" x14ac:dyDescent="0.2">
      <c r="C146" s="60"/>
      <c r="D146" s="61"/>
      <c r="E146" s="61"/>
      <c r="F146" s="61"/>
      <c r="G146" s="62"/>
      <c r="H146" s="62"/>
      <c r="I146" s="61"/>
      <c r="J146" s="63"/>
    </row>
    <row r="147" spans="3:10" x14ac:dyDescent="0.2">
      <c r="C147" s="60"/>
      <c r="D147" s="61"/>
      <c r="E147" s="61"/>
      <c r="F147" s="61"/>
      <c r="G147" s="62"/>
      <c r="H147" s="62"/>
      <c r="I147" s="61"/>
      <c r="J147" s="63"/>
    </row>
    <row r="148" spans="3:10" x14ac:dyDescent="0.2">
      <c r="C148" s="60"/>
      <c r="D148" s="61"/>
      <c r="E148" s="61"/>
      <c r="F148" s="61"/>
      <c r="G148" s="62"/>
      <c r="H148" s="62"/>
      <c r="I148" s="61"/>
      <c r="J148" s="63"/>
    </row>
    <row r="149" spans="3:10" x14ac:dyDescent="0.2">
      <c r="C149" s="60"/>
      <c r="D149" s="61"/>
      <c r="E149" s="61"/>
      <c r="F149" s="61"/>
      <c r="G149" s="62"/>
      <c r="H149" s="62"/>
      <c r="I149" s="61"/>
      <c r="J149" s="63"/>
    </row>
    <row r="150" spans="3:10" x14ac:dyDescent="0.2">
      <c r="C150" s="60"/>
      <c r="D150" s="61"/>
      <c r="E150" s="61"/>
      <c r="F150" s="61"/>
      <c r="G150" s="62"/>
      <c r="H150" s="62"/>
      <c r="I150" s="61"/>
      <c r="J150" s="63"/>
    </row>
    <row r="151" spans="3:10" x14ac:dyDescent="0.2">
      <c r="C151" s="60"/>
      <c r="D151" s="61"/>
      <c r="E151" s="61"/>
      <c r="F151" s="61"/>
      <c r="G151" s="62"/>
      <c r="H151" s="62"/>
      <c r="I151" s="61"/>
      <c r="J151" s="63"/>
    </row>
    <row r="152" spans="3:10" x14ac:dyDescent="0.2">
      <c r="C152" s="60"/>
      <c r="D152" s="61"/>
      <c r="E152" s="61"/>
      <c r="F152" s="61"/>
      <c r="G152" s="62"/>
      <c r="H152" s="62"/>
      <c r="I152" s="61"/>
      <c r="J152" s="63"/>
    </row>
    <row r="153" spans="3:10" x14ac:dyDescent="0.2">
      <c r="C153" s="60"/>
      <c r="D153" s="61"/>
      <c r="E153" s="61"/>
      <c r="F153" s="61"/>
      <c r="G153" s="62"/>
      <c r="H153" s="62"/>
      <c r="I153" s="61"/>
      <c r="J153" s="63"/>
    </row>
    <row r="154" spans="3:10" x14ac:dyDescent="0.2">
      <c r="C154" s="60"/>
      <c r="D154" s="61"/>
      <c r="E154" s="61"/>
      <c r="F154" s="61"/>
      <c r="G154" s="62"/>
      <c r="H154" s="62"/>
      <c r="I154" s="61"/>
      <c r="J154" s="63"/>
    </row>
    <row r="155" spans="3:10" x14ac:dyDescent="0.2">
      <c r="C155" s="60"/>
      <c r="D155" s="61"/>
      <c r="E155" s="61"/>
      <c r="F155" s="61"/>
      <c r="G155" s="62"/>
      <c r="H155" s="62"/>
      <c r="I155" s="61"/>
      <c r="J155" s="63"/>
    </row>
    <row r="156" spans="3:10" x14ac:dyDescent="0.2">
      <c r="C156" s="60"/>
      <c r="D156" s="61"/>
      <c r="E156" s="61"/>
      <c r="F156" s="61"/>
      <c r="G156" s="62"/>
      <c r="H156" s="62"/>
      <c r="I156" s="61"/>
      <c r="J156" s="63"/>
    </row>
    <row r="157" spans="3:10" x14ac:dyDescent="0.2">
      <c r="C157" s="60"/>
      <c r="D157" s="61"/>
      <c r="E157" s="61"/>
      <c r="F157" s="61"/>
      <c r="G157" s="62"/>
      <c r="H157" s="62"/>
      <c r="I157" s="61"/>
      <c r="J157" s="63"/>
    </row>
    <row r="158" spans="3:10" x14ac:dyDescent="0.2">
      <c r="C158" s="60"/>
      <c r="D158" s="61"/>
      <c r="E158" s="61"/>
      <c r="F158" s="61"/>
      <c r="G158" s="62"/>
      <c r="H158" s="62"/>
      <c r="I158" s="61"/>
      <c r="J158" s="63"/>
    </row>
    <row r="159" spans="3:10" x14ac:dyDescent="0.2">
      <c r="C159" s="60"/>
      <c r="D159" s="61"/>
      <c r="E159" s="61"/>
      <c r="F159" s="61"/>
      <c r="G159" s="62"/>
      <c r="H159" s="62"/>
      <c r="I159" s="61"/>
      <c r="J159" s="63"/>
    </row>
    <row r="160" spans="3:10" x14ac:dyDescent="0.2">
      <c r="C160" s="60"/>
      <c r="D160" s="61"/>
      <c r="E160" s="61"/>
      <c r="F160" s="61"/>
      <c r="G160" s="62"/>
      <c r="H160" s="62"/>
      <c r="I160" s="61"/>
      <c r="J160" s="63"/>
    </row>
    <row r="161" spans="3:10" x14ac:dyDescent="0.2">
      <c r="C161" s="60"/>
      <c r="D161" s="61"/>
      <c r="E161" s="61"/>
      <c r="F161" s="61"/>
      <c r="G161" s="62"/>
      <c r="H161" s="62"/>
      <c r="I161" s="61"/>
      <c r="J161" s="63"/>
    </row>
    <row r="162" spans="3:10" x14ac:dyDescent="0.2">
      <c r="C162" s="60"/>
      <c r="D162" s="61"/>
      <c r="E162" s="61"/>
      <c r="F162" s="61"/>
      <c r="G162" s="62"/>
      <c r="H162" s="62"/>
      <c r="I162" s="61"/>
      <c r="J162" s="63"/>
    </row>
    <row r="163" spans="3:10" x14ac:dyDescent="0.2">
      <c r="C163" s="60"/>
      <c r="D163" s="61"/>
      <c r="E163" s="61"/>
      <c r="F163" s="61"/>
      <c r="G163" s="62"/>
      <c r="H163" s="62"/>
      <c r="I163" s="61"/>
      <c r="J163" s="63"/>
    </row>
    <row r="164" spans="3:10" x14ac:dyDescent="0.2">
      <c r="C164" s="60"/>
      <c r="D164" s="61"/>
      <c r="E164" s="61"/>
      <c r="F164" s="61"/>
      <c r="G164" s="62"/>
      <c r="H164" s="62"/>
      <c r="I164" s="61"/>
      <c r="J164" s="63"/>
    </row>
    <row r="165" spans="3:10" x14ac:dyDescent="0.2">
      <c r="C165" s="60"/>
      <c r="D165" s="61"/>
      <c r="E165" s="61"/>
      <c r="F165" s="61"/>
      <c r="G165" s="62"/>
      <c r="H165" s="62"/>
      <c r="I165" s="61"/>
      <c r="J165" s="63"/>
    </row>
    <row r="166" spans="3:10" x14ac:dyDescent="0.2">
      <c r="C166" s="60"/>
      <c r="D166" s="61"/>
      <c r="E166" s="61"/>
      <c r="F166" s="61"/>
      <c r="G166" s="62"/>
      <c r="H166" s="62"/>
      <c r="I166" s="61"/>
      <c r="J166" s="63"/>
    </row>
    <row r="167" spans="3:10" x14ac:dyDescent="0.2">
      <c r="C167" s="60"/>
      <c r="D167" s="61"/>
      <c r="E167" s="61"/>
      <c r="F167" s="61"/>
      <c r="G167" s="62"/>
      <c r="H167" s="62"/>
      <c r="I167" s="61"/>
      <c r="J167" s="63"/>
    </row>
    <row r="168" spans="3:10" x14ac:dyDescent="0.2">
      <c r="C168" s="60"/>
      <c r="D168" s="61"/>
      <c r="E168" s="61"/>
      <c r="F168" s="61"/>
      <c r="G168" s="62"/>
      <c r="H168" s="62"/>
      <c r="I168" s="61"/>
      <c r="J168" s="63"/>
    </row>
    <row r="169" spans="3:10" x14ac:dyDescent="0.2">
      <c r="C169" s="60"/>
      <c r="D169" s="61"/>
      <c r="E169" s="61"/>
      <c r="F169" s="61"/>
      <c r="G169" s="62"/>
      <c r="H169" s="62"/>
      <c r="I169" s="61"/>
      <c r="J169" s="63"/>
    </row>
    <row r="170" spans="3:10" x14ac:dyDescent="0.2">
      <c r="C170" s="60"/>
      <c r="D170" s="61"/>
      <c r="E170" s="61"/>
      <c r="F170" s="61"/>
      <c r="G170" s="62"/>
      <c r="H170" s="62"/>
      <c r="I170" s="61"/>
      <c r="J170" s="63"/>
    </row>
    <row r="171" spans="3:10" x14ac:dyDescent="0.2">
      <c r="C171" s="60"/>
      <c r="D171" s="61"/>
      <c r="E171" s="61"/>
      <c r="F171" s="61"/>
      <c r="G171" s="62"/>
      <c r="H171" s="62"/>
      <c r="I171" s="61"/>
      <c r="J171" s="63"/>
    </row>
    <row r="172" spans="3:10" x14ac:dyDescent="0.2">
      <c r="C172" s="60"/>
      <c r="D172" s="61"/>
      <c r="E172" s="61"/>
      <c r="F172" s="61"/>
      <c r="G172" s="62"/>
      <c r="H172" s="62"/>
      <c r="I172" s="61"/>
      <c r="J172" s="63"/>
    </row>
    <row r="173" spans="3:10" x14ac:dyDescent="0.2">
      <c r="C173" s="60"/>
      <c r="D173" s="61"/>
      <c r="E173" s="61"/>
      <c r="F173" s="61"/>
      <c r="G173" s="62"/>
      <c r="H173" s="62"/>
      <c r="I173" s="61"/>
      <c r="J173" s="63"/>
    </row>
    <row r="174" spans="3:10" x14ac:dyDescent="0.2">
      <c r="C174" s="60"/>
      <c r="D174" s="61"/>
      <c r="E174" s="61"/>
      <c r="F174" s="61"/>
      <c r="G174" s="62"/>
      <c r="H174" s="62"/>
      <c r="I174" s="61"/>
      <c r="J174" s="63"/>
    </row>
    <row r="175" spans="3:10" x14ac:dyDescent="0.2">
      <c r="C175" s="60"/>
      <c r="D175" s="61"/>
      <c r="E175" s="61"/>
      <c r="F175" s="61"/>
      <c r="G175" s="62"/>
      <c r="H175" s="62"/>
      <c r="I175" s="61"/>
      <c r="J175" s="63"/>
    </row>
    <row r="176" spans="3:10" x14ac:dyDescent="0.2">
      <c r="C176" s="60"/>
      <c r="D176" s="61"/>
      <c r="E176" s="61"/>
      <c r="F176" s="61"/>
      <c r="G176" s="62"/>
      <c r="H176" s="62"/>
      <c r="I176" s="61"/>
      <c r="J176" s="63"/>
    </row>
    <row r="177" spans="3:10" x14ac:dyDescent="0.2">
      <c r="C177" s="60"/>
      <c r="D177" s="61"/>
      <c r="E177" s="61"/>
      <c r="F177" s="61"/>
      <c r="G177" s="62"/>
      <c r="H177" s="62"/>
      <c r="I177" s="61"/>
      <c r="J177" s="63"/>
    </row>
    <row r="178" spans="3:10" x14ac:dyDescent="0.2">
      <c r="C178" s="60"/>
      <c r="D178" s="61"/>
      <c r="E178" s="61"/>
      <c r="F178" s="61"/>
      <c r="G178" s="62"/>
      <c r="H178" s="62"/>
      <c r="I178" s="61"/>
      <c r="J178" s="63"/>
    </row>
    <row r="179" spans="3:10" x14ac:dyDescent="0.2">
      <c r="C179" s="60"/>
      <c r="D179" s="61"/>
      <c r="E179" s="61"/>
      <c r="F179" s="61"/>
      <c r="G179" s="62"/>
      <c r="H179" s="62"/>
      <c r="I179" s="61"/>
      <c r="J179" s="63"/>
    </row>
    <row r="180" spans="3:10" x14ac:dyDescent="0.2">
      <c r="C180" s="60"/>
      <c r="D180" s="61"/>
      <c r="E180" s="61"/>
      <c r="F180" s="61"/>
      <c r="G180" s="62"/>
      <c r="H180" s="62"/>
      <c r="I180" s="61"/>
      <c r="J180" s="63"/>
    </row>
    <row r="181" spans="3:10" x14ac:dyDescent="0.2">
      <c r="C181" s="60"/>
      <c r="D181" s="61"/>
      <c r="E181" s="61"/>
      <c r="F181" s="61"/>
      <c r="G181" s="62"/>
      <c r="H181" s="62"/>
      <c r="I181" s="61"/>
      <c r="J181" s="63"/>
    </row>
    <row r="182" spans="3:10" x14ac:dyDescent="0.2">
      <c r="C182" s="60"/>
      <c r="D182" s="61"/>
      <c r="E182" s="61"/>
      <c r="F182" s="61"/>
      <c r="G182" s="62"/>
      <c r="H182" s="62"/>
      <c r="I182" s="61"/>
      <c r="J182" s="63"/>
    </row>
    <row r="183" spans="3:10" x14ac:dyDescent="0.2">
      <c r="C183" s="60"/>
      <c r="D183" s="61"/>
      <c r="E183" s="61"/>
      <c r="F183" s="61"/>
      <c r="G183" s="62"/>
      <c r="H183" s="62"/>
      <c r="I183" s="61"/>
      <c r="J183" s="63"/>
    </row>
    <row r="184" spans="3:10" x14ac:dyDescent="0.2">
      <c r="C184" s="60"/>
      <c r="D184" s="61"/>
      <c r="E184" s="61"/>
      <c r="F184" s="61"/>
      <c r="G184" s="62"/>
      <c r="H184" s="62"/>
      <c r="I184" s="61"/>
      <c r="J184" s="63"/>
    </row>
    <row r="185" spans="3:10" x14ac:dyDescent="0.2">
      <c r="C185" s="60"/>
      <c r="D185" s="61"/>
      <c r="E185" s="61"/>
      <c r="F185" s="61"/>
      <c r="G185" s="62"/>
      <c r="H185" s="62"/>
      <c r="I185" s="61"/>
      <c r="J185" s="63"/>
    </row>
    <row r="186" spans="3:10" x14ac:dyDescent="0.2">
      <c r="C186" s="60"/>
      <c r="D186" s="61"/>
      <c r="E186" s="61"/>
      <c r="F186" s="61"/>
      <c r="G186" s="62"/>
      <c r="H186" s="62"/>
      <c r="I186" s="61"/>
      <c r="J186" s="63"/>
    </row>
    <row r="187" spans="3:10" x14ac:dyDescent="0.2">
      <c r="C187" s="60"/>
      <c r="D187" s="61"/>
      <c r="E187" s="61"/>
      <c r="F187" s="61"/>
      <c r="G187" s="62"/>
      <c r="H187" s="62"/>
      <c r="I187" s="61"/>
      <c r="J187" s="63"/>
    </row>
    <row r="188" spans="3:10" x14ac:dyDescent="0.2">
      <c r="C188" s="60"/>
      <c r="D188" s="61"/>
      <c r="E188" s="61"/>
      <c r="F188" s="61"/>
      <c r="G188" s="62"/>
      <c r="H188" s="62"/>
      <c r="I188" s="61"/>
      <c r="J188" s="63"/>
    </row>
    <row r="189" spans="3:10" x14ac:dyDescent="0.2">
      <c r="C189" s="60"/>
      <c r="D189" s="61"/>
      <c r="E189" s="61"/>
      <c r="F189" s="61"/>
      <c r="G189" s="62"/>
      <c r="H189" s="62"/>
      <c r="I189" s="61"/>
      <c r="J189" s="63"/>
    </row>
    <row r="190" spans="3:10" x14ac:dyDescent="0.2">
      <c r="C190" s="60"/>
      <c r="D190" s="61"/>
      <c r="E190" s="61"/>
      <c r="F190" s="61"/>
      <c r="G190" s="62"/>
      <c r="H190" s="62"/>
      <c r="I190" s="61"/>
      <c r="J190" s="63"/>
    </row>
    <row r="191" spans="3:10" x14ac:dyDescent="0.2">
      <c r="C191" s="60"/>
      <c r="D191" s="61"/>
      <c r="E191" s="61"/>
      <c r="F191" s="61"/>
      <c r="G191" s="62"/>
      <c r="H191" s="62"/>
      <c r="I191" s="61"/>
      <c r="J191" s="63"/>
    </row>
    <row r="192" spans="3:10" x14ac:dyDescent="0.2">
      <c r="C192" s="60"/>
      <c r="D192" s="61"/>
      <c r="E192" s="61"/>
      <c r="F192" s="61"/>
      <c r="G192" s="62"/>
      <c r="H192" s="62"/>
      <c r="I192" s="61"/>
      <c r="J192" s="63"/>
    </row>
    <row r="193" spans="3:10" x14ac:dyDescent="0.2">
      <c r="C193" s="60"/>
      <c r="D193" s="61"/>
      <c r="E193" s="61"/>
      <c r="F193" s="61"/>
      <c r="G193" s="62"/>
      <c r="H193" s="62"/>
      <c r="I193" s="61"/>
      <c r="J193" s="63"/>
    </row>
    <row r="194" spans="3:10" x14ac:dyDescent="0.2">
      <c r="C194" s="60"/>
      <c r="D194" s="61"/>
      <c r="E194" s="61"/>
      <c r="F194" s="61"/>
      <c r="G194" s="62"/>
      <c r="H194" s="62"/>
      <c r="I194" s="61"/>
      <c r="J194" s="63"/>
    </row>
    <row r="195" spans="3:10" x14ac:dyDescent="0.2">
      <c r="C195" s="60"/>
      <c r="D195" s="61"/>
      <c r="E195" s="61"/>
      <c r="F195" s="61"/>
      <c r="G195" s="62"/>
      <c r="H195" s="62"/>
      <c r="I195" s="61"/>
      <c r="J195" s="63"/>
    </row>
    <row r="196" spans="3:10" x14ac:dyDescent="0.2">
      <c r="C196" s="60"/>
      <c r="D196" s="61"/>
      <c r="E196" s="61"/>
      <c r="F196" s="61"/>
      <c r="G196" s="62"/>
      <c r="H196" s="62"/>
      <c r="I196" s="61"/>
      <c r="J196" s="63"/>
    </row>
    <row r="197" spans="3:10" x14ac:dyDescent="0.2">
      <c r="C197" s="60"/>
      <c r="D197" s="61"/>
      <c r="E197" s="61"/>
      <c r="F197" s="61"/>
      <c r="G197" s="62"/>
      <c r="H197" s="62"/>
      <c r="I197" s="61"/>
      <c r="J197" s="63"/>
    </row>
    <row r="198" spans="3:10" x14ac:dyDescent="0.2">
      <c r="C198" s="60"/>
      <c r="D198" s="61"/>
      <c r="E198" s="61"/>
      <c r="F198" s="61"/>
      <c r="G198" s="62"/>
      <c r="H198" s="62"/>
      <c r="I198" s="61"/>
      <c r="J198" s="63"/>
    </row>
    <row r="199" spans="3:10" x14ac:dyDescent="0.2">
      <c r="C199" s="60"/>
      <c r="D199" s="61"/>
      <c r="E199" s="61"/>
      <c r="F199" s="61"/>
      <c r="G199" s="62"/>
      <c r="H199" s="62"/>
      <c r="I199" s="61"/>
      <c r="J199" s="63"/>
    </row>
    <row r="200" spans="3:10" x14ac:dyDescent="0.2">
      <c r="C200" s="60"/>
      <c r="D200" s="61"/>
      <c r="E200" s="61"/>
      <c r="F200" s="61"/>
      <c r="G200" s="62"/>
      <c r="H200" s="62"/>
      <c r="I200" s="61"/>
      <c r="J200" s="63"/>
    </row>
    <row r="201" spans="3:10" x14ac:dyDescent="0.2">
      <c r="C201" s="60"/>
      <c r="D201" s="61"/>
      <c r="E201" s="61"/>
      <c r="F201" s="61"/>
      <c r="G201" s="62"/>
      <c r="H201" s="62"/>
      <c r="I201" s="61"/>
      <c r="J201" s="63"/>
    </row>
    <row r="202" spans="3:10" x14ac:dyDescent="0.2">
      <c r="C202" s="60"/>
      <c r="D202" s="61"/>
      <c r="E202" s="61"/>
      <c r="F202" s="61"/>
      <c r="G202" s="62"/>
      <c r="H202" s="62"/>
      <c r="I202" s="61"/>
      <c r="J202" s="63"/>
    </row>
    <row r="203" spans="3:10" x14ac:dyDescent="0.2">
      <c r="C203" s="60"/>
      <c r="D203" s="61"/>
      <c r="E203" s="61"/>
      <c r="F203" s="61"/>
      <c r="G203" s="62"/>
      <c r="H203" s="62"/>
      <c r="I203" s="61"/>
      <c r="J203" s="63"/>
    </row>
    <row r="204" spans="3:10" x14ac:dyDescent="0.2">
      <c r="C204" s="60"/>
      <c r="D204" s="61"/>
      <c r="E204" s="61"/>
      <c r="F204" s="61"/>
      <c r="G204" s="62"/>
      <c r="H204" s="62"/>
      <c r="I204" s="61"/>
      <c r="J204" s="63"/>
    </row>
    <row r="205" spans="3:10" x14ac:dyDescent="0.2">
      <c r="C205" s="60"/>
      <c r="D205" s="61"/>
      <c r="E205" s="61"/>
      <c r="F205" s="61"/>
      <c r="G205" s="62"/>
      <c r="H205" s="62"/>
      <c r="I205" s="61"/>
      <c r="J205" s="63"/>
    </row>
    <row r="206" spans="3:10" x14ac:dyDescent="0.2">
      <c r="C206" s="60"/>
      <c r="D206" s="61"/>
      <c r="E206" s="61"/>
      <c r="F206" s="61"/>
      <c r="G206" s="62"/>
      <c r="H206" s="62"/>
      <c r="I206" s="61"/>
      <c r="J206" s="63"/>
    </row>
    <row r="207" spans="3:10" x14ac:dyDescent="0.2">
      <c r="C207" s="60"/>
      <c r="D207" s="61"/>
      <c r="E207" s="61"/>
      <c r="F207" s="61"/>
      <c r="G207" s="62"/>
      <c r="H207" s="62"/>
      <c r="I207" s="61"/>
      <c r="J207" s="63"/>
    </row>
    <row r="208" spans="3:10" x14ac:dyDescent="0.2">
      <c r="C208" s="60"/>
      <c r="D208" s="61"/>
      <c r="E208" s="61"/>
      <c r="F208" s="61"/>
      <c r="G208" s="62"/>
      <c r="H208" s="62"/>
      <c r="I208" s="61"/>
      <c r="J208" s="63"/>
    </row>
    <row r="209" spans="1:12" x14ac:dyDescent="0.2">
      <c r="C209" s="60"/>
      <c r="D209" s="61"/>
      <c r="E209" s="61"/>
      <c r="F209" s="61"/>
      <c r="G209" s="62"/>
      <c r="H209" s="62"/>
      <c r="I209" s="61"/>
      <c r="J209" s="63"/>
    </row>
    <row r="210" spans="1:12" x14ac:dyDescent="0.2">
      <c r="C210" s="60"/>
      <c r="D210" s="61"/>
      <c r="E210" s="61"/>
      <c r="F210" s="61"/>
      <c r="G210" s="62"/>
      <c r="H210" s="62"/>
      <c r="I210" s="61"/>
      <c r="J210" s="63"/>
    </row>
    <row r="211" spans="1:12" x14ac:dyDescent="0.2">
      <c r="C211" s="60"/>
      <c r="D211" s="61"/>
      <c r="E211" s="61"/>
      <c r="F211" s="61"/>
      <c r="G211" s="62"/>
      <c r="H211" s="62"/>
      <c r="I211" s="61"/>
      <c r="J211" s="63"/>
    </row>
    <row r="212" spans="1:12" x14ac:dyDescent="0.2">
      <c r="C212" s="60"/>
      <c r="D212" s="61"/>
      <c r="E212" s="61"/>
      <c r="F212" s="61"/>
      <c r="G212" s="62"/>
      <c r="H212" s="62"/>
      <c r="I212" s="61"/>
      <c r="J212" s="63"/>
    </row>
    <row r="213" spans="1:12" x14ac:dyDescent="0.2">
      <c r="C213" s="60"/>
      <c r="D213" s="61"/>
      <c r="E213" s="61"/>
      <c r="F213" s="61"/>
      <c r="G213" s="62"/>
      <c r="H213" s="62"/>
      <c r="I213" s="61"/>
      <c r="J213" s="63"/>
    </row>
    <row r="214" spans="1:12" x14ac:dyDescent="0.2">
      <c r="C214" s="60"/>
      <c r="D214" s="61"/>
      <c r="E214" s="61"/>
      <c r="F214" s="61"/>
      <c r="G214" s="62"/>
      <c r="H214" s="62"/>
      <c r="I214" s="61"/>
      <c r="J214" s="63"/>
    </row>
    <row r="215" spans="1:12" x14ac:dyDescent="0.2">
      <c r="C215" s="60"/>
      <c r="D215" s="61"/>
      <c r="E215" s="61"/>
      <c r="F215" s="61"/>
      <c r="G215" s="62"/>
      <c r="H215" s="62"/>
      <c r="I215" s="61"/>
      <c r="J215" s="63"/>
    </row>
    <row r="216" spans="1:12" x14ac:dyDescent="0.2">
      <c r="C216" s="60"/>
      <c r="D216" s="61"/>
      <c r="E216" s="61"/>
      <c r="F216" s="61"/>
      <c r="G216" s="62"/>
      <c r="H216" s="62"/>
      <c r="I216" s="61"/>
      <c r="J216" s="63"/>
    </row>
    <row r="217" spans="1:12" x14ac:dyDescent="0.2">
      <c r="C217" s="60"/>
      <c r="D217" s="61"/>
      <c r="E217" s="61"/>
      <c r="F217" s="61"/>
      <c r="G217" s="62"/>
      <c r="H217" s="62"/>
      <c r="I217" s="61"/>
      <c r="J217" s="63"/>
    </row>
    <row r="218" spans="1:12" x14ac:dyDescent="0.2">
      <c r="C218" s="60"/>
      <c r="D218" s="61"/>
      <c r="E218" s="61"/>
      <c r="F218" s="61"/>
      <c r="G218" s="62"/>
      <c r="H218" s="62"/>
      <c r="I218" s="61"/>
      <c r="J218" s="63"/>
    </row>
    <row r="219" spans="1:12" x14ac:dyDescent="0.2">
      <c r="C219" s="60"/>
      <c r="D219" s="61"/>
      <c r="E219" s="61"/>
      <c r="F219" s="61"/>
      <c r="G219" s="62"/>
      <c r="H219" s="62"/>
      <c r="I219" s="61"/>
      <c r="J219" s="63"/>
    </row>
    <row r="220" spans="1:12" x14ac:dyDescent="0.2">
      <c r="C220" s="60"/>
      <c r="D220" s="61"/>
      <c r="E220" s="61"/>
      <c r="F220" s="61"/>
      <c r="G220" s="62"/>
      <c r="H220" s="62"/>
      <c r="I220" s="61"/>
      <c r="J220" s="63"/>
    </row>
    <row r="221" spans="1:12" x14ac:dyDescent="0.2">
      <c r="C221" s="60"/>
      <c r="D221" s="61"/>
      <c r="E221" s="61"/>
      <c r="F221" s="61"/>
      <c r="G221" s="62"/>
      <c r="H221" s="62"/>
      <c r="I221" s="61"/>
      <c r="J221" s="63"/>
    </row>
    <row r="222" spans="1:12" x14ac:dyDescent="0.2">
      <c r="C222" s="60"/>
      <c r="D222" s="61"/>
      <c r="E222" s="61"/>
      <c r="F222" s="61"/>
      <c r="G222" s="62"/>
      <c r="H222" s="62"/>
      <c r="I222" s="61"/>
      <c r="J222" s="63"/>
    </row>
    <row r="223" spans="1:12" ht="60" x14ac:dyDescent="0.2">
      <c r="A223" s="2" t="s">
        <v>395</v>
      </c>
      <c r="B223" s="13">
        <v>6</v>
      </c>
      <c r="C223" s="1">
        <f>105*0.8</f>
        <v>84</v>
      </c>
      <c r="D223" s="18"/>
      <c r="E223" s="1">
        <f>C223*D223</f>
        <v>0</v>
      </c>
      <c r="F223" s="10"/>
      <c r="G223" s="3">
        <f ca="1">J223</f>
        <v>120.00000000000001</v>
      </c>
      <c r="H223" s="10"/>
      <c r="I223" s="11">
        <f ca="1">1-(C223/G223)</f>
        <v>0.30000000000000004</v>
      </c>
      <c r="J223" s="3">
        <f ca="1">$G223/0.7</f>
        <v>120.00000000000001</v>
      </c>
      <c r="K223" s="10"/>
      <c r="L223" s="3">
        <f>O223</f>
        <v>0</v>
      </c>
    </row>
    <row r="224" spans="1:12" ht="60" x14ac:dyDescent="0.2">
      <c r="A224" s="2" t="s">
        <v>431</v>
      </c>
      <c r="B224" s="13">
        <v>6</v>
      </c>
      <c r="C224" s="1">
        <f>125*0.8</f>
        <v>100</v>
      </c>
      <c r="D224" s="18"/>
      <c r="E224" s="1">
        <f>C224*D224</f>
        <v>0</v>
      </c>
      <c r="F224" s="10"/>
      <c r="G224" s="3">
        <f ca="1">J224</f>
        <v>142.85714285714286</v>
      </c>
      <c r="H224" s="10"/>
      <c r="I224" s="11">
        <f ca="1">1-(C224/G224)</f>
        <v>0.30000000000000004</v>
      </c>
      <c r="J224" s="3">
        <f ca="1">$G224/0.7</f>
        <v>142.85714285714286</v>
      </c>
      <c r="K224" s="10"/>
      <c r="L224" s="3">
        <f>O224</f>
        <v>0</v>
      </c>
    </row>
    <row r="225" spans="1:12" ht="75" x14ac:dyDescent="0.2">
      <c r="A225" s="2" t="s">
        <v>432</v>
      </c>
      <c r="B225" s="13">
        <v>6</v>
      </c>
      <c r="C225" s="1">
        <f>100*0.8</f>
        <v>80</v>
      </c>
      <c r="D225" s="18"/>
      <c r="E225" s="1">
        <f>C225*D225</f>
        <v>0</v>
      </c>
      <c r="F225" s="10"/>
      <c r="G225" s="3">
        <f ca="1">J225</f>
        <v>114.28571428571429</v>
      </c>
      <c r="H225" s="10"/>
      <c r="I225" s="11">
        <f ca="1">1-(C225/G225)</f>
        <v>0.30000000000000004</v>
      </c>
      <c r="J225" s="3">
        <f ca="1">$G225/0.7</f>
        <v>114.28571428571429</v>
      </c>
      <c r="K225" s="10"/>
      <c r="L225" s="3">
        <f>O225</f>
        <v>0</v>
      </c>
    </row>
    <row r="226" spans="1:12" ht="75" x14ac:dyDescent="0.2">
      <c r="A226" s="2" t="s">
        <v>432</v>
      </c>
      <c r="B226" s="13">
        <v>6</v>
      </c>
      <c r="C226" s="1">
        <f>120*0.8</f>
        <v>96</v>
      </c>
      <c r="D226" s="18"/>
      <c r="E226" s="1">
        <f>C226*D226</f>
        <v>0</v>
      </c>
      <c r="F226" s="10"/>
      <c r="G226" s="3">
        <f ca="1">J226</f>
        <v>137.14285714285714</v>
      </c>
      <c r="H226" s="10"/>
      <c r="I226" s="11">
        <f ca="1">1-(C226/G226)</f>
        <v>0.29999999999999993</v>
      </c>
      <c r="J226" s="3">
        <f ca="1">$G226/0.7</f>
        <v>137.14285714285714</v>
      </c>
      <c r="K226" s="10"/>
      <c r="L226" s="3">
        <f>O226</f>
        <v>0</v>
      </c>
    </row>
    <row r="227" spans="1:12" x14ac:dyDescent="0.2">
      <c r="C227" s="60"/>
      <c r="D227" s="61"/>
      <c r="E227" s="61"/>
      <c r="F227" s="61"/>
      <c r="G227" s="62"/>
      <c r="H227" s="62"/>
      <c r="I227" s="61"/>
      <c r="J227" s="63"/>
    </row>
    <row r="228" spans="1:12" x14ac:dyDescent="0.2">
      <c r="C228" s="60"/>
      <c r="D228" s="61"/>
      <c r="E228" s="61"/>
      <c r="F228" s="61"/>
      <c r="G228" s="62"/>
      <c r="H228" s="62"/>
      <c r="I228" s="61"/>
      <c r="J228" s="63"/>
    </row>
    <row r="229" spans="1:12" x14ac:dyDescent="0.2">
      <c r="C229" s="60"/>
      <c r="D229" s="61"/>
      <c r="E229" s="61"/>
      <c r="F229" s="61"/>
      <c r="G229" s="62"/>
      <c r="H229" s="62"/>
      <c r="I229" s="61"/>
      <c r="J229" s="63"/>
    </row>
    <row r="230" spans="1:12" x14ac:dyDescent="0.2">
      <c r="C230" s="60"/>
      <c r="D230" s="61"/>
      <c r="E230" s="61"/>
      <c r="F230" s="61"/>
      <c r="G230" s="62"/>
      <c r="H230" s="62"/>
      <c r="I230" s="61"/>
      <c r="J230" s="63"/>
    </row>
    <row r="231" spans="1:12" x14ac:dyDescent="0.2">
      <c r="C231" s="60"/>
      <c r="D231" s="61"/>
      <c r="E231" s="61"/>
      <c r="F231" s="61"/>
      <c r="G231" s="62"/>
      <c r="H231" s="62"/>
      <c r="I231" s="61"/>
      <c r="J231" s="63"/>
    </row>
    <row r="232" spans="1:12" x14ac:dyDescent="0.2">
      <c r="C232" s="60"/>
      <c r="D232" s="61"/>
      <c r="E232" s="61"/>
      <c r="F232" s="61"/>
      <c r="G232" s="62"/>
      <c r="H232" s="62"/>
      <c r="I232" s="61"/>
      <c r="J232" s="63"/>
    </row>
    <row r="233" spans="1:12" x14ac:dyDescent="0.2">
      <c r="C233" s="60"/>
      <c r="D233" s="61"/>
      <c r="E233" s="61"/>
      <c r="F233" s="61"/>
      <c r="G233" s="62"/>
      <c r="H233" s="62"/>
      <c r="I233" s="61"/>
      <c r="J233" s="63"/>
    </row>
    <row r="234" spans="1:12" x14ac:dyDescent="0.2">
      <c r="C234" s="60"/>
      <c r="D234" s="61"/>
      <c r="E234" s="61"/>
      <c r="F234" s="61"/>
      <c r="G234" s="62"/>
      <c r="H234" s="62"/>
      <c r="I234" s="61"/>
      <c r="J234" s="63"/>
    </row>
    <row r="235" spans="1:12" x14ac:dyDescent="0.2">
      <c r="C235" s="60"/>
      <c r="D235" s="61"/>
      <c r="E235" s="61"/>
      <c r="F235" s="61"/>
      <c r="G235" s="62"/>
      <c r="H235" s="62"/>
      <c r="I235" s="61"/>
      <c r="J235" s="63"/>
    </row>
    <row r="236" spans="1:12" x14ac:dyDescent="0.2">
      <c r="C236" s="60"/>
      <c r="D236" s="61"/>
      <c r="E236" s="61"/>
      <c r="F236" s="61"/>
      <c r="G236" s="62"/>
      <c r="H236" s="62"/>
      <c r="I236" s="61"/>
      <c r="J236" s="63"/>
    </row>
    <row r="237" spans="1:12" x14ac:dyDescent="0.2">
      <c r="C237" s="60"/>
      <c r="D237" s="61"/>
      <c r="E237" s="61"/>
      <c r="F237" s="61"/>
      <c r="G237" s="62"/>
      <c r="H237" s="62"/>
      <c r="I237" s="61"/>
      <c r="J237" s="63"/>
    </row>
    <row r="238" spans="1:12" x14ac:dyDescent="0.2">
      <c r="C238" s="60"/>
      <c r="D238" s="61"/>
      <c r="E238" s="61"/>
      <c r="F238" s="61"/>
      <c r="G238" s="62"/>
      <c r="H238" s="62"/>
      <c r="I238" s="61"/>
      <c r="J238" s="63"/>
    </row>
    <row r="239" spans="1:12" x14ac:dyDescent="0.2">
      <c r="C239" s="60"/>
      <c r="D239" s="61"/>
      <c r="E239" s="61"/>
      <c r="F239" s="61"/>
      <c r="G239" s="62"/>
      <c r="H239" s="62"/>
      <c r="I239" s="61"/>
      <c r="J239" s="63"/>
    </row>
    <row r="240" spans="1:12" x14ac:dyDescent="0.2">
      <c r="C240" s="60"/>
      <c r="D240" s="61"/>
      <c r="E240" s="61"/>
      <c r="F240" s="61"/>
      <c r="G240" s="62"/>
      <c r="H240" s="62"/>
      <c r="I240" s="61"/>
      <c r="J240" s="63"/>
    </row>
    <row r="241" spans="3:10" x14ac:dyDescent="0.2">
      <c r="C241" s="60"/>
      <c r="D241" s="61"/>
      <c r="E241" s="61"/>
      <c r="F241" s="61"/>
      <c r="G241" s="62"/>
      <c r="H241" s="62"/>
      <c r="I241" s="61"/>
      <c r="J241" s="63"/>
    </row>
    <row r="242" spans="3:10" x14ac:dyDescent="0.2">
      <c r="C242" s="60"/>
      <c r="D242" s="61"/>
      <c r="E242" s="61"/>
      <c r="F242" s="61"/>
      <c r="G242" s="62"/>
      <c r="H242" s="62"/>
      <c r="I242" s="61"/>
      <c r="J242" s="63"/>
    </row>
    <row r="243" spans="3:10" x14ac:dyDescent="0.2">
      <c r="C243" s="60"/>
      <c r="D243" s="61"/>
      <c r="E243" s="61"/>
      <c r="F243" s="61"/>
      <c r="G243" s="62"/>
      <c r="H243" s="62"/>
      <c r="I243" s="61"/>
      <c r="J243" s="63"/>
    </row>
    <row r="244" spans="3:10" x14ac:dyDescent="0.2">
      <c r="C244" s="60"/>
      <c r="D244" s="61"/>
      <c r="E244" s="61"/>
      <c r="F244" s="61"/>
      <c r="G244" s="62"/>
      <c r="H244" s="62"/>
      <c r="I244" s="61"/>
      <c r="J244" s="63"/>
    </row>
    <row r="245" spans="3:10" x14ac:dyDescent="0.2">
      <c r="C245" s="60"/>
      <c r="D245" s="61"/>
      <c r="E245" s="61"/>
      <c r="F245" s="61"/>
      <c r="G245" s="62"/>
      <c r="H245" s="62"/>
      <c r="I245" s="61"/>
      <c r="J245" s="63"/>
    </row>
    <row r="246" spans="3:10" x14ac:dyDescent="0.2">
      <c r="C246" s="60"/>
      <c r="D246" s="61"/>
      <c r="E246" s="61"/>
      <c r="F246" s="61"/>
      <c r="G246" s="62"/>
      <c r="H246" s="62"/>
      <c r="I246" s="61"/>
      <c r="J246" s="63"/>
    </row>
    <row r="247" spans="3:10" x14ac:dyDescent="0.2">
      <c r="C247" s="60"/>
      <c r="D247" s="61"/>
      <c r="E247" s="61"/>
      <c r="F247" s="61"/>
      <c r="G247" s="62"/>
      <c r="H247" s="62"/>
      <c r="I247" s="61"/>
      <c r="J247" s="63"/>
    </row>
    <row r="248" spans="3:10" x14ac:dyDescent="0.2">
      <c r="C248" s="60"/>
      <c r="D248" s="61"/>
      <c r="E248" s="61"/>
      <c r="F248" s="61"/>
      <c r="G248" s="62"/>
      <c r="H248" s="62"/>
      <c r="I248" s="61"/>
      <c r="J248" s="63"/>
    </row>
    <row r="249" spans="3:10" x14ac:dyDescent="0.2">
      <c r="C249" s="60"/>
      <c r="D249" s="61"/>
      <c r="E249" s="61"/>
      <c r="F249" s="61"/>
      <c r="G249" s="62"/>
      <c r="H249" s="62"/>
      <c r="I249" s="61"/>
      <c r="J249" s="63"/>
    </row>
    <row r="250" spans="3:10" x14ac:dyDescent="0.2">
      <c r="C250" s="60"/>
      <c r="D250" s="61"/>
      <c r="E250" s="61"/>
      <c r="F250" s="61"/>
      <c r="G250" s="62"/>
      <c r="H250" s="62"/>
      <c r="I250" s="61"/>
      <c r="J250" s="63"/>
    </row>
    <row r="251" spans="3:10" x14ac:dyDescent="0.2">
      <c r="C251" s="60"/>
      <c r="D251" s="61"/>
      <c r="E251" s="61"/>
      <c r="F251" s="61"/>
      <c r="G251" s="62"/>
      <c r="H251" s="62"/>
      <c r="I251" s="61"/>
      <c r="J251" s="63"/>
    </row>
    <row r="252" spans="3:10" x14ac:dyDescent="0.2">
      <c r="C252" s="60"/>
      <c r="D252" s="61"/>
      <c r="E252" s="61"/>
      <c r="F252" s="61"/>
      <c r="G252" s="62"/>
      <c r="H252" s="62"/>
      <c r="I252" s="61"/>
      <c r="J252" s="63"/>
    </row>
    <row r="253" spans="3:10" x14ac:dyDescent="0.2">
      <c r="C253" s="60"/>
      <c r="D253" s="61"/>
      <c r="E253" s="61"/>
      <c r="F253" s="61"/>
      <c r="G253" s="62"/>
      <c r="H253" s="62"/>
      <c r="I253" s="61"/>
      <c r="J253" s="63"/>
    </row>
    <row r="254" spans="3:10" x14ac:dyDescent="0.2">
      <c r="C254" s="60"/>
      <c r="D254" s="61"/>
      <c r="E254" s="61"/>
      <c r="F254" s="61"/>
      <c r="G254" s="62"/>
      <c r="H254" s="62"/>
      <c r="I254" s="61"/>
      <c r="J254" s="63"/>
    </row>
    <row r="255" spans="3:10" x14ac:dyDescent="0.2">
      <c r="C255" s="60"/>
      <c r="D255" s="61"/>
      <c r="E255" s="61"/>
      <c r="F255" s="61"/>
      <c r="G255" s="62"/>
      <c r="H255" s="62"/>
      <c r="I255" s="61"/>
      <c r="J255" s="63"/>
    </row>
    <row r="256" spans="3:10" x14ac:dyDescent="0.2">
      <c r="C256" s="60"/>
      <c r="D256" s="61"/>
      <c r="E256" s="61"/>
      <c r="F256" s="61"/>
      <c r="G256" s="62"/>
      <c r="H256" s="62"/>
      <c r="I256" s="61"/>
      <c r="J256" s="63"/>
    </row>
    <row r="257" spans="3:10" x14ac:dyDescent="0.2">
      <c r="C257" s="60"/>
      <c r="D257" s="61"/>
      <c r="E257" s="61"/>
      <c r="F257" s="61"/>
      <c r="G257" s="62"/>
      <c r="H257" s="62"/>
      <c r="I257" s="61"/>
      <c r="J257" s="63"/>
    </row>
    <row r="258" spans="3:10" x14ac:dyDescent="0.2">
      <c r="C258" s="60"/>
      <c r="D258" s="61"/>
      <c r="E258" s="61"/>
      <c r="F258" s="61"/>
      <c r="G258" s="62"/>
      <c r="H258" s="62"/>
      <c r="I258" s="61"/>
      <c r="J258" s="63"/>
    </row>
    <row r="259" spans="3:10" x14ac:dyDescent="0.2">
      <c r="C259" s="60"/>
      <c r="D259" s="61"/>
      <c r="E259" s="61"/>
      <c r="F259" s="61"/>
      <c r="G259" s="62"/>
      <c r="H259" s="62"/>
      <c r="I259" s="61"/>
      <c r="J259" s="63"/>
    </row>
    <row r="260" spans="3:10" x14ac:dyDescent="0.2">
      <c r="C260" s="60"/>
      <c r="D260" s="61"/>
      <c r="E260" s="61"/>
      <c r="F260" s="61"/>
      <c r="G260" s="62"/>
      <c r="H260" s="62"/>
      <c r="I260" s="61"/>
      <c r="J260" s="63"/>
    </row>
    <row r="261" spans="3:10" ht="15" x14ac:dyDescent="0.2">
      <c r="C261" s="242"/>
      <c r="D261" s="242"/>
      <c r="E261" s="242"/>
      <c r="F261" s="242"/>
      <c r="G261" s="242"/>
      <c r="H261" s="242"/>
      <c r="I261" s="242"/>
      <c r="J261" s="242"/>
    </row>
  </sheetData>
  <mergeCells count="2">
    <mergeCell ref="C2:J2"/>
    <mergeCell ref="C261:J261"/>
  </mergeCells>
  <conditionalFormatting sqref="I223">
    <cfRule type="cellIs" dxfId="7" priority="7" stopIfTrue="1" operator="between">
      <formula>0</formula>
      <formula>0.23</formula>
    </cfRule>
    <cfRule type="cellIs" dxfId="6" priority="8" stopIfTrue="1" operator="between">
      <formula>0.23</formula>
      <formula>0.27</formula>
    </cfRule>
  </conditionalFormatting>
  <conditionalFormatting sqref="I224">
    <cfRule type="cellIs" dxfId="5" priority="5" stopIfTrue="1" operator="between">
      <formula>0</formula>
      <formula>0.23</formula>
    </cfRule>
    <cfRule type="cellIs" dxfId="4" priority="6" stopIfTrue="1" operator="between">
      <formula>0.23</formula>
      <formula>0.27</formula>
    </cfRule>
  </conditionalFormatting>
  <conditionalFormatting sqref="I225">
    <cfRule type="cellIs" dxfId="3" priority="3" stopIfTrue="1" operator="between">
      <formula>0</formula>
      <formula>0.23</formula>
    </cfRule>
    <cfRule type="cellIs" dxfId="2" priority="4" stopIfTrue="1" operator="between">
      <formula>0.23</formula>
      <formula>0.27</formula>
    </cfRule>
  </conditionalFormatting>
  <conditionalFormatting sqref="I226">
    <cfRule type="cellIs" dxfId="1" priority="1" stopIfTrue="1" operator="between">
      <formula>0</formula>
      <formula>0.23</formula>
    </cfRule>
    <cfRule type="cellIs" dxfId="0" priority="2" stopIfTrue="1" operator="between">
      <formula>0.23</formula>
      <formula>0.27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cod 2018 09 18</vt:lpstr>
      <vt:lpstr>20190110</vt:lpstr>
      <vt:lpstr>Hoja1</vt:lpstr>
      <vt:lpstr>'cod 2018 09 18'!Área_de_impresión</vt:lpstr>
      <vt:lpstr>'cod 2018 09 18'!Títulos_a_imprimir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paretto</dc:creator>
  <cp:lastModifiedBy>Fernando</cp:lastModifiedBy>
  <cp:lastPrinted>2011-06-15T04:12:20Z</cp:lastPrinted>
  <dcterms:created xsi:type="dcterms:W3CDTF">2005-11-24T15:35:20Z</dcterms:created>
  <dcterms:modified xsi:type="dcterms:W3CDTF">2019-04-01T16:22:42Z</dcterms:modified>
</cp:coreProperties>
</file>