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uru\Documents\MP\Data_diffusion\"/>
    </mc:Choice>
  </mc:AlternateContent>
  <xr:revisionPtr revIDLastSave="0" documentId="13_ncr:1_{950E066C-7B6E-46AD-9D69-4F4600D289EB}" xr6:coauthVersionLast="47" xr6:coauthVersionMax="47" xr10:uidLastSave="{00000000-0000-0000-0000-000000000000}"/>
  <bookViews>
    <workbookView xWindow="7485" yWindow="570" windowWidth="20415" windowHeight="13605" tabRatio="804" xr2:uid="{84FAC05A-6ADB-45CC-B1A5-BD69148791AF}"/>
  </bookViews>
  <sheets>
    <sheet name="Models stats" sheetId="3" r:id="rId1"/>
    <sheet name="D vs PNM" sheetId="4" r:id="rId2"/>
    <sheet name="a vs PNM" sheetId="8" r:id="rId3"/>
  </sheets>
  <definedNames>
    <definedName name="_xlchart.v1.0" hidden="1">'D vs PNM'!$C$83:$C$94</definedName>
    <definedName name="_xlchart.v1.1" hidden="1">'D vs PNM'!$B$2</definedName>
    <definedName name="_xlchart.v1.2" hidden="1">'D vs PNM'!$B$3:$B$17</definedName>
    <definedName name="_xlchart.v1.3" hidden="1">'D vs PNM'!$C$2</definedName>
    <definedName name="_xlchart.v1.4" hidden="1">'D vs PNM'!$C$3:$C$17</definedName>
    <definedName name="_xlchart.v1.5" hidden="1">'a vs PNM'!$C$51:$C$62</definedName>
    <definedName name="_xlchart.v1.6" hidden="1">'a vs PNM'!$R$51:$R$62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Q94" i="8"/>
  <c r="AA96" i="8" s="1"/>
  <c r="Y96" i="8"/>
  <c r="Z96" i="8" s="1"/>
  <c r="AB94" i="8"/>
  <c r="AA94" i="8"/>
  <c r="Z94" i="8"/>
  <c r="Y94" i="8"/>
  <c r="Z92" i="8"/>
  <c r="Y92" i="8"/>
  <c r="Z91" i="8"/>
  <c r="Y91" i="8"/>
  <c r="Z90" i="8"/>
  <c r="Y90" i="8"/>
  <c r="Z89" i="8"/>
  <c r="Y89" i="8"/>
  <c r="Z88" i="8"/>
  <c r="Y88" i="8"/>
  <c r="Z87" i="8"/>
  <c r="Y87" i="8"/>
  <c r="Z86" i="8"/>
  <c r="Y86" i="8"/>
  <c r="Z85" i="8"/>
  <c r="Y85" i="8"/>
  <c r="Z84" i="8"/>
  <c r="Y84" i="8"/>
  <c r="Z83" i="8"/>
  <c r="Y83" i="8"/>
  <c r="Z82" i="8"/>
  <c r="Y82" i="8"/>
  <c r="Z81" i="8"/>
  <c r="Y81" i="8"/>
  <c r="X82" i="8"/>
  <c r="X83" i="8"/>
  <c r="X84" i="8"/>
  <c r="X85" i="8"/>
  <c r="X86" i="8"/>
  <c r="X87" i="8"/>
  <c r="X88" i="8"/>
  <c r="X89" i="8"/>
  <c r="X90" i="8"/>
  <c r="X91" i="8"/>
  <c r="X92" i="8"/>
  <c r="X81" i="8"/>
  <c r="V86" i="8"/>
  <c r="U86" i="8"/>
  <c r="V84" i="8"/>
  <c r="U84" i="8"/>
  <c r="V91" i="8"/>
  <c r="U91" i="8"/>
  <c r="V88" i="8"/>
  <c r="U88" i="8"/>
  <c r="V83" i="8"/>
  <c r="U83" i="8"/>
  <c r="V87" i="8"/>
  <c r="U87" i="8"/>
  <c r="V85" i="8"/>
  <c r="U85" i="8"/>
  <c r="V89" i="8"/>
  <c r="U89" i="8"/>
  <c r="V81" i="8"/>
  <c r="U81" i="8"/>
  <c r="V92" i="8"/>
  <c r="U92" i="8"/>
  <c r="V82" i="8"/>
  <c r="U82" i="8"/>
  <c r="V90" i="8"/>
  <c r="U90" i="8"/>
  <c r="T82" i="8"/>
  <c r="T92" i="8"/>
  <c r="T81" i="8"/>
  <c r="T89" i="8"/>
  <c r="T85" i="8"/>
  <c r="T87" i="8"/>
  <c r="T83" i="8"/>
  <c r="T88" i="8"/>
  <c r="T91" i="8"/>
  <c r="T84" i="8"/>
  <c r="T86" i="8"/>
  <c r="T90" i="8"/>
  <c r="AC4" i="8"/>
  <c r="AC5" i="8"/>
  <c r="AC6" i="8"/>
  <c r="AC7" i="8"/>
  <c r="AC9" i="8"/>
  <c r="AC10" i="8"/>
  <c r="AC11" i="8"/>
  <c r="AC12" i="8"/>
  <c r="AC14" i="8"/>
  <c r="AC15" i="8"/>
  <c r="AC16" i="8"/>
  <c r="AC17" i="8"/>
  <c r="AB5" i="8"/>
  <c r="AB6" i="8"/>
  <c r="AB7" i="8"/>
  <c r="AB9" i="8"/>
  <c r="AB10" i="8"/>
  <c r="AB11" i="8"/>
  <c r="AB12" i="8"/>
  <c r="AB14" i="8"/>
  <c r="AB15" i="8"/>
  <c r="AB16" i="8"/>
  <c r="AB17" i="8"/>
  <c r="AB4" i="8"/>
  <c r="R62" i="8"/>
  <c r="R61" i="8"/>
  <c r="R60" i="8"/>
  <c r="R59" i="8"/>
  <c r="R58" i="8"/>
  <c r="R57" i="8"/>
  <c r="R56" i="8"/>
  <c r="R55" i="8"/>
  <c r="R54" i="8"/>
  <c r="R52" i="8"/>
  <c r="Q62" i="8"/>
  <c r="Q61" i="8"/>
  <c r="Q60" i="8"/>
  <c r="Q59" i="8"/>
  <c r="Q58" i="8"/>
  <c r="Q57" i="8"/>
  <c r="Q56" i="8"/>
  <c r="Q55" i="8"/>
  <c r="Q54" i="8"/>
  <c r="Q53" i="8"/>
  <c r="R53" i="8" s="1"/>
  <c r="Q52" i="8"/>
  <c r="Q51" i="8"/>
  <c r="R51" i="8" s="1"/>
  <c r="P52" i="8"/>
  <c r="P53" i="8"/>
  <c r="P54" i="8"/>
  <c r="P55" i="8"/>
  <c r="P56" i="8"/>
  <c r="P57" i="8"/>
  <c r="P58" i="8"/>
  <c r="P59" i="8"/>
  <c r="P60" i="8"/>
  <c r="P61" i="8"/>
  <c r="P62" i="8"/>
  <c r="P51" i="8"/>
  <c r="A94" i="8"/>
  <c r="K96" i="8" s="1"/>
  <c r="F85" i="8"/>
  <c r="E85" i="8"/>
  <c r="H92" i="8" s="1"/>
  <c r="D85" i="8"/>
  <c r="F83" i="8"/>
  <c r="E83" i="8"/>
  <c r="D83" i="8"/>
  <c r="F90" i="8"/>
  <c r="E90" i="8"/>
  <c r="H90" i="8" s="1"/>
  <c r="D90" i="8"/>
  <c r="F87" i="8"/>
  <c r="E87" i="8"/>
  <c r="D87" i="8"/>
  <c r="F81" i="8"/>
  <c r="E81" i="8"/>
  <c r="D81" i="8"/>
  <c r="I87" i="8"/>
  <c r="H87" i="8"/>
  <c r="F88" i="8"/>
  <c r="E88" i="8"/>
  <c r="J87" i="8" s="1"/>
  <c r="D88" i="8"/>
  <c r="F86" i="8"/>
  <c r="E86" i="8"/>
  <c r="H86" i="8" s="1"/>
  <c r="D86" i="8"/>
  <c r="F89" i="8"/>
  <c r="E89" i="8"/>
  <c r="D89" i="8"/>
  <c r="F82" i="8"/>
  <c r="E82" i="8"/>
  <c r="H84" i="8" s="1"/>
  <c r="D82" i="8"/>
  <c r="H83" i="8"/>
  <c r="F92" i="8"/>
  <c r="E92" i="8"/>
  <c r="I92" i="8" s="1"/>
  <c r="D92" i="8"/>
  <c r="F84" i="8"/>
  <c r="E84" i="8"/>
  <c r="D84" i="8"/>
  <c r="I81" i="8"/>
  <c r="H81" i="8"/>
  <c r="F91" i="8"/>
  <c r="E91" i="8"/>
  <c r="J81" i="8" s="1"/>
  <c r="D91" i="8"/>
  <c r="B63" i="8"/>
  <c r="A63" i="8"/>
  <c r="C62" i="8"/>
  <c r="C61" i="8"/>
  <c r="C60" i="8"/>
  <c r="C59" i="8"/>
  <c r="C58" i="8"/>
  <c r="C57" i="8"/>
  <c r="C56" i="8"/>
  <c r="C55" i="8"/>
  <c r="C54" i="8"/>
  <c r="C53" i="8"/>
  <c r="C52" i="8"/>
  <c r="C51" i="8"/>
  <c r="Q28" i="8"/>
  <c r="Q23" i="8"/>
  <c r="Q22" i="8"/>
  <c r="Q27" i="8" s="1"/>
  <c r="Q21" i="8"/>
  <c r="P21" i="8"/>
  <c r="Q20" i="8"/>
  <c r="P20" i="8"/>
  <c r="Q19" i="8"/>
  <c r="P19" i="8"/>
  <c r="C66" i="8" l="1"/>
  <c r="C65" i="8"/>
  <c r="I90" i="8"/>
  <c r="H82" i="8"/>
  <c r="J89" i="8"/>
  <c r="I86" i="8"/>
  <c r="J83" i="8"/>
  <c r="J86" i="8"/>
  <c r="J91" i="8"/>
  <c r="J85" i="8"/>
  <c r="H88" i="8"/>
  <c r="J82" i="8"/>
  <c r="J88" i="8"/>
  <c r="AB98" i="8"/>
  <c r="AB100" i="8" s="1"/>
  <c r="AA98" i="8"/>
  <c r="AA100" i="8" s="1"/>
  <c r="I85" i="8"/>
  <c r="I83" i="8"/>
  <c r="I88" i="8"/>
  <c r="H91" i="8"/>
  <c r="I84" i="8"/>
  <c r="I91" i="8"/>
  <c r="J84" i="8"/>
  <c r="H89" i="8"/>
  <c r="I82" i="8"/>
  <c r="I89" i="8"/>
  <c r="C63" i="8"/>
  <c r="H85" i="8"/>
  <c r="J92" i="8"/>
  <c r="J90" i="8"/>
  <c r="I96" i="8"/>
  <c r="J96" i="8" s="1"/>
  <c r="Q25" i="8"/>
  <c r="Q24" i="8"/>
  <c r="BB34" i="3"/>
  <c r="BC34" i="3"/>
  <c r="BD34" i="3"/>
  <c r="BE34" i="3"/>
  <c r="BB25" i="3"/>
  <c r="BC25" i="3"/>
  <c r="BD25" i="3"/>
  <c r="BE25" i="3"/>
  <c r="BB7" i="3"/>
  <c r="BC7" i="3"/>
  <c r="BD7" i="3"/>
  <c r="BE7" i="3"/>
  <c r="D51" i="8" l="1"/>
  <c r="D52" i="8"/>
  <c r="D54" i="8"/>
  <c r="D55" i="8"/>
  <c r="D56" i="8"/>
  <c r="D60" i="8"/>
  <c r="D61" i="8"/>
  <c r="D62" i="8"/>
  <c r="D57" i="8"/>
  <c r="D58" i="8"/>
  <c r="D59" i="8"/>
  <c r="D53" i="8"/>
  <c r="J94" i="8"/>
  <c r="I94" i="8"/>
  <c r="L94" i="8" s="1"/>
  <c r="L98" i="8" s="1"/>
  <c r="L100" i="8" s="1"/>
  <c r="AW21" i="3"/>
  <c r="AX57" i="3"/>
  <c r="AX56" i="3"/>
  <c r="AW57" i="3"/>
  <c r="AW56" i="3"/>
  <c r="K94" i="8" l="1"/>
  <c r="K98" i="8" s="1"/>
  <c r="K100" i="8" s="1"/>
  <c r="BJ52" i="3"/>
  <c r="BI52" i="3"/>
  <c r="BH52" i="3"/>
  <c r="BG52" i="3"/>
  <c r="BH50" i="3"/>
  <c r="BI50" i="3"/>
  <c r="BJ50" i="3"/>
  <c r="BJ51" i="3"/>
  <c r="BI51" i="3"/>
  <c r="BH51" i="3"/>
  <c r="BG51" i="3"/>
  <c r="BG50" i="3"/>
  <c r="BJ49" i="3"/>
  <c r="BJ48" i="3"/>
  <c r="BJ47" i="3"/>
  <c r="BI49" i="3"/>
  <c r="BI48" i="3"/>
  <c r="BI47" i="3"/>
  <c r="BH49" i="3"/>
  <c r="BH48" i="3"/>
  <c r="BH47" i="3"/>
  <c r="BG49" i="3"/>
  <c r="BG48" i="3"/>
  <c r="BG47" i="3"/>
  <c r="AZ49" i="3"/>
  <c r="AZ48" i="3"/>
  <c r="AZ47" i="3"/>
  <c r="AY49" i="3"/>
  <c r="AY48" i="3"/>
  <c r="AY47" i="3"/>
  <c r="AX49" i="3"/>
  <c r="AX48" i="3"/>
  <c r="AX47" i="3"/>
  <c r="BJ45" i="3"/>
  <c r="BI45" i="3"/>
  <c r="BH45" i="3"/>
  <c r="BG45" i="3"/>
  <c r="BE45" i="3"/>
  <c r="BE49" i="3" s="1"/>
  <c r="BD45" i="3"/>
  <c r="BD49" i="3" s="1"/>
  <c r="BC45" i="3"/>
  <c r="BB45" i="3"/>
  <c r="AZ45" i="3"/>
  <c r="AY45" i="3"/>
  <c r="AX45" i="3"/>
  <c r="AW45" i="3"/>
  <c r="H25" i="3"/>
  <c r="AM38" i="3"/>
  <c r="AK38" i="3"/>
  <c r="AI38" i="3"/>
  <c r="AH38" i="3"/>
  <c r="AG38" i="3"/>
  <c r="Z38" i="3"/>
  <c r="X38" i="3"/>
  <c r="V38" i="3"/>
  <c r="U38" i="3"/>
  <c r="T38" i="3"/>
  <c r="H38" i="3"/>
  <c r="I38" i="3"/>
  <c r="K38" i="3"/>
  <c r="M38" i="3"/>
  <c r="G38" i="3"/>
  <c r="BP20" i="3"/>
  <c r="BP19" i="3"/>
  <c r="AM48" i="3"/>
  <c r="AM43" i="3"/>
  <c r="AM42" i="3"/>
  <c r="AM44" i="3" s="1"/>
  <c r="AM41" i="3"/>
  <c r="AM40" i="3"/>
  <c r="AM39" i="3"/>
  <c r="AL4" i="3"/>
  <c r="AM4" i="3" s="1"/>
  <c r="AL5" i="3"/>
  <c r="AM5" i="3" s="1"/>
  <c r="AL6" i="3"/>
  <c r="AM6" i="3" s="1"/>
  <c r="AL7" i="3"/>
  <c r="AM7" i="3" s="1"/>
  <c r="AL8" i="3"/>
  <c r="AM8" i="3"/>
  <c r="AL9" i="3"/>
  <c r="AM9" i="3" s="1"/>
  <c r="AL13" i="3"/>
  <c r="AM13" i="3" s="1"/>
  <c r="AL14" i="3"/>
  <c r="AM14" i="3" s="1"/>
  <c r="AL15" i="3"/>
  <c r="AM15" i="3" s="1"/>
  <c r="AL17" i="3"/>
  <c r="AM17" i="3" s="1"/>
  <c r="AL22" i="3"/>
  <c r="AM22" i="3" s="1"/>
  <c r="AL23" i="3"/>
  <c r="AM23" i="3" s="1"/>
  <c r="AL24" i="3"/>
  <c r="AM24" i="3" s="1"/>
  <c r="AL25" i="3"/>
  <c r="AM25" i="3" s="1"/>
  <c r="AL26" i="3"/>
  <c r="AM26" i="3"/>
  <c r="AL27" i="3"/>
  <c r="AM27" i="3" s="1"/>
  <c r="AL31" i="3"/>
  <c r="AM31" i="3" s="1"/>
  <c r="AL32" i="3"/>
  <c r="AM32" i="3"/>
  <c r="AL34" i="3"/>
  <c r="AM34" i="3" s="1"/>
  <c r="AL35" i="3"/>
  <c r="AM35" i="3" s="1"/>
  <c r="AL36" i="3"/>
  <c r="AM36" i="3" s="1"/>
  <c r="AM3" i="3"/>
  <c r="AO30" i="3"/>
  <c r="AO31" i="3"/>
  <c r="AO32" i="3"/>
  <c r="AO33" i="3"/>
  <c r="AO34" i="3"/>
  <c r="AO35" i="3"/>
  <c r="AO36" i="3"/>
  <c r="AO38" i="3"/>
  <c r="AO39" i="3" s="1"/>
  <c r="AL3" i="3"/>
  <c r="Y4" i="3"/>
  <c r="Z4" i="3"/>
  <c r="Y5" i="3"/>
  <c r="Z5" i="3" s="1"/>
  <c r="Y6" i="3"/>
  <c r="Z6" i="3" s="1"/>
  <c r="Y7" i="3"/>
  <c r="Z7" i="3" s="1"/>
  <c r="Y8" i="3"/>
  <c r="Z8" i="3"/>
  <c r="Y9" i="3"/>
  <c r="Z9" i="3" s="1"/>
  <c r="Y12" i="3"/>
  <c r="Z12" i="3" s="1"/>
  <c r="Y13" i="3"/>
  <c r="Z13" i="3" s="1"/>
  <c r="Y15" i="3"/>
  <c r="Z15" i="3"/>
  <c r="Y18" i="3"/>
  <c r="Z18" i="3" s="1"/>
  <c r="Y21" i="3"/>
  <c r="Z21" i="3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/>
  <c r="Y30" i="3"/>
  <c r="Z30" i="3" s="1"/>
  <c r="Y31" i="3"/>
  <c r="Z31" i="3" s="1"/>
  <c r="Y33" i="3"/>
  <c r="Z33" i="3" s="1"/>
  <c r="Y34" i="3"/>
  <c r="Z34" i="3" s="1"/>
  <c r="Y35" i="3"/>
  <c r="Z35" i="3"/>
  <c r="Y36" i="3"/>
  <c r="Z36" i="3" s="1"/>
  <c r="Z3" i="3"/>
  <c r="Y3" i="3"/>
  <c r="M3" i="3"/>
  <c r="L36" i="3"/>
  <c r="M36" i="3" s="1"/>
  <c r="L35" i="3"/>
  <c r="M35" i="3" s="1"/>
  <c r="L34" i="3"/>
  <c r="M34" i="3" s="1"/>
  <c r="L32" i="3"/>
  <c r="M32" i="3" s="1"/>
  <c r="L31" i="3"/>
  <c r="M31" i="3" s="1"/>
  <c r="L30" i="3"/>
  <c r="M30" i="3"/>
  <c r="M26" i="3"/>
  <c r="M23" i="3"/>
  <c r="M22" i="3"/>
  <c r="M15" i="3"/>
  <c r="M12" i="3"/>
  <c r="M4" i="3"/>
  <c r="M6" i="3"/>
  <c r="M7" i="3"/>
  <c r="L4" i="3"/>
  <c r="L6" i="3"/>
  <c r="L7" i="3"/>
  <c r="L8" i="3"/>
  <c r="M8" i="3" s="1"/>
  <c r="L9" i="3"/>
  <c r="M9" i="3" s="1"/>
  <c r="L12" i="3"/>
  <c r="L13" i="3"/>
  <c r="M13" i="3" s="1"/>
  <c r="L15" i="3"/>
  <c r="L18" i="3"/>
  <c r="M18" i="3" s="1"/>
  <c r="L21" i="3"/>
  <c r="M21" i="3" s="1"/>
  <c r="L22" i="3"/>
  <c r="L23" i="3"/>
  <c r="L24" i="3"/>
  <c r="M24" i="3" s="1"/>
  <c r="L25" i="3"/>
  <c r="M25" i="3" s="1"/>
  <c r="L26" i="3"/>
  <c r="L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3" i="3"/>
  <c r="C83" i="4"/>
  <c r="C84" i="4"/>
  <c r="C85" i="4"/>
  <c r="C86" i="4"/>
  <c r="C87" i="4"/>
  <c r="C88" i="4"/>
  <c r="C89" i="4"/>
  <c r="C90" i="4"/>
  <c r="C91" i="4"/>
  <c r="C92" i="4"/>
  <c r="C93" i="4"/>
  <c r="C94" i="4"/>
  <c r="BI3" i="3"/>
  <c r="BG40" i="3"/>
  <c r="BG42" i="3" s="1"/>
  <c r="BB40" i="3"/>
  <c r="BC40" i="3" s="1"/>
  <c r="BJ38" i="3"/>
  <c r="BI38" i="3"/>
  <c r="BH38" i="3"/>
  <c r="BG38" i="3"/>
  <c r="BE38" i="3"/>
  <c r="BD38" i="3"/>
  <c r="BC38" i="3"/>
  <c r="BB38" i="3"/>
  <c r="BG4" i="3"/>
  <c r="BH4" i="3"/>
  <c r="BI4" i="3"/>
  <c r="BJ4" i="3"/>
  <c r="BG5" i="3"/>
  <c r="BH5" i="3"/>
  <c r="BI5" i="3"/>
  <c r="BJ5" i="3"/>
  <c r="BG6" i="3"/>
  <c r="BH6" i="3"/>
  <c r="BI6" i="3"/>
  <c r="BJ6" i="3"/>
  <c r="BG7" i="3"/>
  <c r="BH7" i="3"/>
  <c r="BI7" i="3"/>
  <c r="BJ7" i="3"/>
  <c r="BG8" i="3"/>
  <c r="BH8" i="3"/>
  <c r="BI8" i="3"/>
  <c r="BJ8" i="3"/>
  <c r="BG9" i="3"/>
  <c r="BH9" i="3"/>
  <c r="BI9" i="3"/>
  <c r="BJ9" i="3"/>
  <c r="BG10" i="3"/>
  <c r="BH10" i="3"/>
  <c r="BI10" i="3"/>
  <c r="BJ10" i="3"/>
  <c r="BG11" i="3"/>
  <c r="BH11" i="3"/>
  <c r="BI11" i="3"/>
  <c r="BJ11" i="3"/>
  <c r="BG12" i="3"/>
  <c r="BH12" i="3"/>
  <c r="BI12" i="3"/>
  <c r="BJ12" i="3"/>
  <c r="BG13" i="3"/>
  <c r="BH13" i="3"/>
  <c r="BI13" i="3"/>
  <c r="BJ13" i="3"/>
  <c r="BG14" i="3"/>
  <c r="BH14" i="3"/>
  <c r="BI14" i="3"/>
  <c r="BJ14" i="3"/>
  <c r="BG15" i="3"/>
  <c r="BH15" i="3"/>
  <c r="BI15" i="3"/>
  <c r="BJ15" i="3"/>
  <c r="BG16" i="3"/>
  <c r="BH16" i="3"/>
  <c r="BI16" i="3"/>
  <c r="BJ16" i="3"/>
  <c r="BG17" i="3"/>
  <c r="BH17" i="3"/>
  <c r="BI17" i="3"/>
  <c r="BJ17" i="3"/>
  <c r="BG18" i="3"/>
  <c r="BH18" i="3"/>
  <c r="BI18" i="3"/>
  <c r="BJ18" i="3"/>
  <c r="BG19" i="3"/>
  <c r="BH19" i="3"/>
  <c r="BI19" i="3"/>
  <c r="BJ19" i="3"/>
  <c r="BG20" i="3"/>
  <c r="BH20" i="3"/>
  <c r="BI20" i="3"/>
  <c r="BJ20" i="3"/>
  <c r="BG21" i="3"/>
  <c r="BH21" i="3"/>
  <c r="BI21" i="3"/>
  <c r="BJ21" i="3"/>
  <c r="BG22" i="3"/>
  <c r="BH22" i="3"/>
  <c r="BI22" i="3"/>
  <c r="BJ22" i="3"/>
  <c r="BG23" i="3"/>
  <c r="BH23" i="3"/>
  <c r="BI23" i="3"/>
  <c r="BJ23" i="3"/>
  <c r="BG24" i="3"/>
  <c r="BH24" i="3"/>
  <c r="BI24" i="3"/>
  <c r="BJ24" i="3"/>
  <c r="BG25" i="3"/>
  <c r="BH25" i="3"/>
  <c r="BI25" i="3"/>
  <c r="BJ25" i="3"/>
  <c r="BG26" i="3"/>
  <c r="BH26" i="3"/>
  <c r="BI26" i="3"/>
  <c r="BJ26" i="3"/>
  <c r="BG27" i="3"/>
  <c r="BH27" i="3"/>
  <c r="BI27" i="3"/>
  <c r="BJ27" i="3"/>
  <c r="BG28" i="3"/>
  <c r="BH28" i="3"/>
  <c r="BI28" i="3"/>
  <c r="BJ28" i="3"/>
  <c r="BG29" i="3"/>
  <c r="BH29" i="3"/>
  <c r="BI29" i="3"/>
  <c r="BJ29" i="3"/>
  <c r="BG30" i="3"/>
  <c r="BH30" i="3"/>
  <c r="BI30" i="3"/>
  <c r="BJ30" i="3"/>
  <c r="BG31" i="3"/>
  <c r="BH31" i="3"/>
  <c r="BI31" i="3"/>
  <c r="BJ31" i="3"/>
  <c r="BG32" i="3"/>
  <c r="BH32" i="3"/>
  <c r="BI32" i="3"/>
  <c r="BJ32" i="3"/>
  <c r="BG33" i="3"/>
  <c r="BH33" i="3"/>
  <c r="BI33" i="3"/>
  <c r="BJ33" i="3"/>
  <c r="BG34" i="3"/>
  <c r="BH34" i="3"/>
  <c r="BI34" i="3"/>
  <c r="BJ34" i="3"/>
  <c r="BG35" i="3"/>
  <c r="BH35" i="3"/>
  <c r="BI35" i="3"/>
  <c r="BJ35" i="3"/>
  <c r="BG36" i="3"/>
  <c r="BH36" i="3"/>
  <c r="BI36" i="3"/>
  <c r="BJ36" i="3"/>
  <c r="BB4" i="3"/>
  <c r="BC4" i="3"/>
  <c r="BD4" i="3"/>
  <c r="BE4" i="3"/>
  <c r="BB5" i="3"/>
  <c r="BC5" i="3"/>
  <c r="BD5" i="3"/>
  <c r="BE5" i="3"/>
  <c r="BB6" i="3"/>
  <c r="BC6" i="3"/>
  <c r="BD6" i="3"/>
  <c r="BE6" i="3"/>
  <c r="BB8" i="3"/>
  <c r="BC8" i="3"/>
  <c r="BD8" i="3"/>
  <c r="BE8" i="3"/>
  <c r="BB9" i="3"/>
  <c r="BC9" i="3"/>
  <c r="BD9" i="3"/>
  <c r="BE9" i="3"/>
  <c r="BB10" i="3"/>
  <c r="BC10" i="3"/>
  <c r="BD10" i="3"/>
  <c r="BE10" i="3"/>
  <c r="BB11" i="3"/>
  <c r="BC11" i="3"/>
  <c r="BD11" i="3"/>
  <c r="BE11" i="3"/>
  <c r="BB12" i="3"/>
  <c r="BC12" i="3"/>
  <c r="BD12" i="3"/>
  <c r="BE12" i="3"/>
  <c r="BB13" i="3"/>
  <c r="BC13" i="3"/>
  <c r="BD13" i="3"/>
  <c r="BE13" i="3"/>
  <c r="BB14" i="3"/>
  <c r="BC14" i="3"/>
  <c r="BD14" i="3"/>
  <c r="BE14" i="3"/>
  <c r="BB15" i="3"/>
  <c r="BC15" i="3"/>
  <c r="BD15" i="3"/>
  <c r="BE15" i="3"/>
  <c r="BB16" i="3"/>
  <c r="BC16" i="3"/>
  <c r="BD16" i="3"/>
  <c r="BE16" i="3"/>
  <c r="BB17" i="3"/>
  <c r="BC17" i="3"/>
  <c r="BD17" i="3"/>
  <c r="BE17" i="3"/>
  <c r="BB18" i="3"/>
  <c r="BC18" i="3"/>
  <c r="BD18" i="3"/>
  <c r="BE18" i="3"/>
  <c r="BB19" i="3"/>
  <c r="BC19" i="3"/>
  <c r="BD19" i="3"/>
  <c r="BE19" i="3"/>
  <c r="BB20" i="3"/>
  <c r="BC20" i="3"/>
  <c r="BD20" i="3"/>
  <c r="BE20" i="3"/>
  <c r="BB21" i="3"/>
  <c r="BC21" i="3"/>
  <c r="BD21" i="3"/>
  <c r="BE21" i="3"/>
  <c r="BB22" i="3"/>
  <c r="BC22" i="3"/>
  <c r="BD22" i="3"/>
  <c r="BE22" i="3"/>
  <c r="BB23" i="3"/>
  <c r="BC23" i="3"/>
  <c r="BD23" i="3"/>
  <c r="BE23" i="3"/>
  <c r="BB24" i="3"/>
  <c r="BC24" i="3"/>
  <c r="BD24" i="3"/>
  <c r="BE24" i="3"/>
  <c r="BB26" i="3"/>
  <c r="BC26" i="3"/>
  <c r="BD26" i="3"/>
  <c r="BE26" i="3"/>
  <c r="BB27" i="3"/>
  <c r="BC27" i="3"/>
  <c r="BD27" i="3"/>
  <c r="BE27" i="3"/>
  <c r="BB28" i="3"/>
  <c r="BC28" i="3"/>
  <c r="BD28" i="3"/>
  <c r="BE28" i="3"/>
  <c r="BB29" i="3"/>
  <c r="BC29" i="3"/>
  <c r="BD29" i="3"/>
  <c r="BE29" i="3"/>
  <c r="BB30" i="3"/>
  <c r="BC30" i="3"/>
  <c r="BD30" i="3"/>
  <c r="BE30" i="3"/>
  <c r="BB31" i="3"/>
  <c r="BC31" i="3"/>
  <c r="BD31" i="3"/>
  <c r="BE31" i="3"/>
  <c r="BB32" i="3"/>
  <c r="BC32" i="3"/>
  <c r="BD32" i="3"/>
  <c r="BE32" i="3"/>
  <c r="BB33" i="3"/>
  <c r="BC33" i="3"/>
  <c r="BD33" i="3"/>
  <c r="BE33" i="3"/>
  <c r="BB35" i="3"/>
  <c r="BC35" i="3"/>
  <c r="BD35" i="3"/>
  <c r="BE35" i="3"/>
  <c r="BB36" i="3"/>
  <c r="BC36" i="3"/>
  <c r="BD36" i="3"/>
  <c r="BE36" i="3"/>
  <c r="BJ3" i="3"/>
  <c r="BH3" i="3"/>
  <c r="BG3" i="3"/>
  <c r="B39" i="3"/>
  <c r="AX5" i="3"/>
  <c r="AX10" i="3"/>
  <c r="AX11" i="3"/>
  <c r="AX14" i="3"/>
  <c r="AX16" i="3"/>
  <c r="AX17" i="3"/>
  <c r="AX19" i="3"/>
  <c r="AX20" i="3"/>
  <c r="AX27" i="3"/>
  <c r="AX28" i="3"/>
  <c r="AX29" i="3"/>
  <c r="AX33" i="3"/>
  <c r="AZ5" i="3"/>
  <c r="AZ10" i="3"/>
  <c r="AZ11" i="3"/>
  <c r="AZ14" i="3"/>
  <c r="AZ16" i="3"/>
  <c r="AZ17" i="3"/>
  <c r="AZ19" i="3"/>
  <c r="AZ20" i="3"/>
  <c r="AZ27" i="3"/>
  <c r="AZ28" i="3"/>
  <c r="AZ29" i="3"/>
  <c r="AZ33" i="3"/>
  <c r="AY5" i="3"/>
  <c r="AY10" i="3"/>
  <c r="AY11" i="3"/>
  <c r="AY14" i="3"/>
  <c r="AY16" i="3"/>
  <c r="AY17" i="3"/>
  <c r="AY19" i="3"/>
  <c r="AY20" i="3"/>
  <c r="AY27" i="3"/>
  <c r="AY28" i="3"/>
  <c r="AY29" i="3"/>
  <c r="AY33" i="3"/>
  <c r="AW40" i="3"/>
  <c r="AX40" i="3" s="1"/>
  <c r="AY40" i="3" s="1"/>
  <c r="AZ40" i="3" s="1"/>
  <c r="K4" i="3"/>
  <c r="AZ4" i="3" s="1"/>
  <c r="AZ6" i="3"/>
  <c r="K7" i="3"/>
  <c r="AZ7" i="3" s="1"/>
  <c r="K8" i="3"/>
  <c r="AZ8" i="3" s="1"/>
  <c r="K9" i="3"/>
  <c r="AZ9" i="3" s="1"/>
  <c r="K12" i="3"/>
  <c r="AZ12" i="3" s="1"/>
  <c r="K13" i="3"/>
  <c r="AZ13" i="3" s="1"/>
  <c r="K15" i="3"/>
  <c r="AZ15" i="3" s="1"/>
  <c r="K18" i="3"/>
  <c r="AZ18" i="3" s="1"/>
  <c r="K21" i="3"/>
  <c r="AZ21" i="3" s="1"/>
  <c r="K22" i="3"/>
  <c r="AZ22" i="3" s="1"/>
  <c r="K23" i="3"/>
  <c r="AZ23" i="3" s="1"/>
  <c r="K24" i="3"/>
  <c r="AZ24" i="3" s="1"/>
  <c r="K25" i="3"/>
  <c r="AZ25" i="3" s="1"/>
  <c r="K26" i="3"/>
  <c r="AZ26" i="3" s="1"/>
  <c r="K30" i="3"/>
  <c r="AZ30" i="3" s="1"/>
  <c r="K31" i="3"/>
  <c r="AZ31" i="3" s="1"/>
  <c r="K32" i="3"/>
  <c r="AZ32" i="3" s="1"/>
  <c r="K34" i="3"/>
  <c r="AZ34" i="3" s="1"/>
  <c r="K35" i="3"/>
  <c r="AZ35" i="3" s="1"/>
  <c r="K36" i="3"/>
  <c r="AZ36" i="3" s="1"/>
  <c r="K3" i="3"/>
  <c r="AZ3" i="3" s="1"/>
  <c r="AK36" i="3"/>
  <c r="AK35" i="3"/>
  <c r="AK34" i="3"/>
  <c r="AK32" i="3"/>
  <c r="AK31" i="3"/>
  <c r="AK27" i="3"/>
  <c r="AK26" i="3"/>
  <c r="AK25" i="3"/>
  <c r="AK24" i="3"/>
  <c r="AK23" i="3"/>
  <c r="AK22" i="3"/>
  <c r="AK17" i="3"/>
  <c r="AK15" i="3"/>
  <c r="AK14" i="3"/>
  <c r="AK13" i="3"/>
  <c r="AK4" i="3"/>
  <c r="AK5" i="3"/>
  <c r="AK6" i="3"/>
  <c r="AK7" i="3"/>
  <c r="AK8" i="3"/>
  <c r="AK9" i="3"/>
  <c r="AK3" i="3"/>
  <c r="X36" i="3"/>
  <c r="X35" i="3"/>
  <c r="X34" i="3"/>
  <c r="X33" i="3"/>
  <c r="X31" i="3"/>
  <c r="X30" i="3"/>
  <c r="X27" i="3"/>
  <c r="X26" i="3"/>
  <c r="X25" i="3"/>
  <c r="X24" i="3"/>
  <c r="X23" i="3"/>
  <c r="X22" i="3"/>
  <c r="X21" i="3"/>
  <c r="X18" i="3"/>
  <c r="X15" i="3"/>
  <c r="X13" i="3"/>
  <c r="X12" i="3"/>
  <c r="X9" i="3"/>
  <c r="X8" i="3"/>
  <c r="X7" i="3"/>
  <c r="X6" i="3"/>
  <c r="X5" i="3"/>
  <c r="X4" i="3"/>
  <c r="X3" i="3"/>
  <c r="BE3" i="3" s="1"/>
  <c r="BB49" i="3" l="1"/>
  <c r="BC49" i="3"/>
  <c r="BB47" i="3"/>
  <c r="BB48" i="3"/>
  <c r="BC47" i="3"/>
  <c r="BC48" i="3"/>
  <c r="BD47" i="3"/>
  <c r="BD48" i="3"/>
  <c r="BE47" i="3"/>
  <c r="BE48" i="3"/>
  <c r="AM45" i="3"/>
  <c r="AM47" i="3"/>
  <c r="Z48" i="3"/>
  <c r="Z43" i="3"/>
  <c r="Z42" i="3"/>
  <c r="Z47" i="3" s="1"/>
  <c r="AO41" i="3"/>
  <c r="Z39" i="3"/>
  <c r="Z40" i="3"/>
  <c r="Z41" i="3"/>
  <c r="M40" i="3"/>
  <c r="M41" i="3"/>
  <c r="M42" i="3"/>
  <c r="M47" i="3" s="1"/>
  <c r="M43" i="3"/>
  <c r="M48" i="3"/>
  <c r="M39" i="3"/>
  <c r="C95" i="4"/>
  <c r="BH40" i="3"/>
  <c r="BD40" i="3"/>
  <c r="BC42" i="3"/>
  <c r="BB42" i="3"/>
  <c r="AK43" i="3"/>
  <c r="AK39" i="3"/>
  <c r="K42" i="3"/>
  <c r="K47" i="3" s="1"/>
  <c r="AZ38" i="3"/>
  <c r="AZ42" i="3" s="1"/>
  <c r="K41" i="3"/>
  <c r="AK42" i="3"/>
  <c r="AK47" i="3" s="1"/>
  <c r="AK41" i="3"/>
  <c r="AK48" i="3"/>
  <c r="AK40" i="3"/>
  <c r="X42" i="3"/>
  <c r="X47" i="3" s="1"/>
  <c r="X43" i="3"/>
  <c r="X41" i="3"/>
  <c r="X48" i="3"/>
  <c r="X39" i="3"/>
  <c r="X40" i="3"/>
  <c r="K43" i="3"/>
  <c r="K48" i="3"/>
  <c r="K40" i="3"/>
  <c r="K39" i="3"/>
  <c r="BC52" i="3" l="1"/>
  <c r="BE52" i="3"/>
  <c r="BD52" i="3"/>
  <c r="BB51" i="3"/>
  <c r="BB50" i="3"/>
  <c r="BB52" i="3"/>
  <c r="BE51" i="3"/>
  <c r="BE50" i="3"/>
  <c r="BC51" i="3"/>
  <c r="BD51" i="3"/>
  <c r="BD50" i="3"/>
  <c r="BC50" i="3"/>
  <c r="Z45" i="3"/>
  <c r="Z44" i="3"/>
  <c r="M44" i="3"/>
  <c r="M45" i="3"/>
  <c r="BH42" i="3"/>
  <c r="BI40" i="3"/>
  <c r="BE40" i="3"/>
  <c r="BE42" i="3" s="1"/>
  <c r="BD42" i="3"/>
  <c r="BI42" i="3" l="1"/>
  <c r="BJ40" i="3"/>
  <c r="BJ42" i="3" s="1"/>
  <c r="A126" i="4" l="1"/>
  <c r="K128" i="4" s="1"/>
  <c r="F121" i="4"/>
  <c r="F120" i="4"/>
  <c r="F113" i="4"/>
  <c r="F115" i="4"/>
  <c r="F123" i="4"/>
  <c r="F117" i="4"/>
  <c r="F118" i="4"/>
  <c r="F122" i="4"/>
  <c r="F116" i="4"/>
  <c r="F124" i="4"/>
  <c r="F114" i="4"/>
  <c r="F119" i="4"/>
  <c r="E121" i="4"/>
  <c r="E120" i="4"/>
  <c r="E113" i="4"/>
  <c r="E115" i="4"/>
  <c r="E123" i="4"/>
  <c r="E117" i="4"/>
  <c r="E118" i="4"/>
  <c r="E122" i="4"/>
  <c r="E116" i="4"/>
  <c r="E124" i="4"/>
  <c r="E114" i="4"/>
  <c r="E119" i="4"/>
  <c r="D121" i="4"/>
  <c r="D120" i="4"/>
  <c r="D113" i="4"/>
  <c r="D115" i="4"/>
  <c r="D123" i="4"/>
  <c r="D117" i="4"/>
  <c r="D118" i="4"/>
  <c r="D122" i="4"/>
  <c r="D116" i="4"/>
  <c r="D124" i="4"/>
  <c r="D114" i="4"/>
  <c r="D119" i="4"/>
  <c r="H119" i="4" l="1"/>
  <c r="I123" i="4"/>
  <c r="H113" i="4"/>
  <c r="H123" i="4"/>
  <c r="J117" i="4"/>
  <c r="H120" i="4"/>
  <c r="J121" i="4"/>
  <c r="I119" i="4"/>
  <c r="J119" i="4"/>
  <c r="I120" i="4"/>
  <c r="J113" i="4"/>
  <c r="I115" i="4"/>
  <c r="H114" i="4"/>
  <c r="J116" i="4"/>
  <c r="J122" i="4"/>
  <c r="J120" i="4"/>
  <c r="I121" i="4"/>
  <c r="J115" i="4"/>
  <c r="I116" i="4"/>
  <c r="I122" i="4"/>
  <c r="H124" i="4"/>
  <c r="H118" i="4"/>
  <c r="I117" i="4"/>
  <c r="I113" i="4"/>
  <c r="J114" i="4"/>
  <c r="I128" i="4"/>
  <c r="J128" i="4" s="1"/>
  <c r="H121" i="4"/>
  <c r="H117" i="4"/>
  <c r="H122" i="4"/>
  <c r="H116" i="4"/>
  <c r="J123" i="4"/>
  <c r="I114" i="4"/>
  <c r="H115" i="4"/>
  <c r="I118" i="4"/>
  <c r="I124" i="4"/>
  <c r="J118" i="4"/>
  <c r="J124" i="4"/>
  <c r="B95" i="4"/>
  <c r="A95" i="4"/>
  <c r="K66" i="4"/>
  <c r="K61" i="4"/>
  <c r="K60" i="4"/>
  <c r="K59" i="4"/>
  <c r="J59" i="4"/>
  <c r="K58" i="4"/>
  <c r="J58" i="4"/>
  <c r="K57" i="4"/>
  <c r="J57" i="4"/>
  <c r="C55" i="4"/>
  <c r="C50" i="4"/>
  <c r="C49" i="4"/>
  <c r="C54" i="4" s="1"/>
  <c r="C48" i="4"/>
  <c r="B48" i="4"/>
  <c r="C47" i="4"/>
  <c r="B47" i="4"/>
  <c r="B46" i="4"/>
  <c r="C46" i="4"/>
  <c r="C52" i="4" l="1"/>
  <c r="J126" i="4"/>
  <c r="I126" i="4"/>
  <c r="C51" i="4"/>
  <c r="K62" i="4"/>
  <c r="K63" i="4"/>
  <c r="K65" i="4"/>
  <c r="L126" i="4" l="1"/>
  <c r="L130" i="4" s="1"/>
  <c r="L132" i="4" s="1"/>
  <c r="K126" i="4"/>
  <c r="K130" i="4" s="1"/>
  <c r="K132" i="4" s="1"/>
  <c r="S27" i="4"/>
  <c r="S32" i="4" s="1"/>
  <c r="S28" i="4"/>
  <c r="S33" i="4"/>
  <c r="S26" i="4"/>
  <c r="R26" i="4"/>
  <c r="S25" i="4"/>
  <c r="R25" i="4"/>
  <c r="S24" i="4"/>
  <c r="R24" i="4"/>
  <c r="K33" i="4"/>
  <c r="K28" i="4"/>
  <c r="K27" i="4"/>
  <c r="C23" i="4"/>
  <c r="K26" i="4"/>
  <c r="K25" i="4"/>
  <c r="K24" i="4"/>
  <c r="J26" i="4"/>
  <c r="J25" i="4"/>
  <c r="J24" i="4"/>
  <c r="C28" i="4"/>
  <c r="B19" i="4"/>
  <c r="B20" i="4"/>
  <c r="C22" i="4"/>
  <c r="C27" i="4" s="1"/>
  <c r="C21" i="4"/>
  <c r="C20" i="4"/>
  <c r="C19" i="4"/>
  <c r="B21" i="4"/>
  <c r="S29" i="4" l="1"/>
  <c r="S30" i="4"/>
  <c r="K29" i="4"/>
  <c r="K30" i="4"/>
  <c r="C25" i="4"/>
  <c r="K32" i="4" l="1"/>
  <c r="C24" i="4"/>
  <c r="AB40" i="3" l="1"/>
  <c r="AB41" i="3"/>
  <c r="AG31" i="3"/>
  <c r="AH31" i="3"/>
  <c r="AJ31" i="3"/>
  <c r="AI31" i="3" s="1"/>
  <c r="AG32" i="3"/>
  <c r="AH32" i="3"/>
  <c r="AJ32" i="3"/>
  <c r="AI32" i="3" s="1"/>
  <c r="AG34" i="3"/>
  <c r="AH34" i="3"/>
  <c r="AJ34" i="3"/>
  <c r="AI34" i="3" s="1"/>
  <c r="AG35" i="3"/>
  <c r="AH35" i="3"/>
  <c r="AJ35" i="3"/>
  <c r="AI35" i="3" s="1"/>
  <c r="AG36" i="3"/>
  <c r="AH36" i="3"/>
  <c r="AJ36" i="3"/>
  <c r="AI36" i="3" s="1"/>
  <c r="AG13" i="3"/>
  <c r="AH13" i="3"/>
  <c r="AJ13" i="3"/>
  <c r="AI13" i="3" s="1"/>
  <c r="AG14" i="3"/>
  <c r="AH14" i="3"/>
  <c r="AJ14" i="3"/>
  <c r="AI14" i="3" s="1"/>
  <c r="AG15" i="3"/>
  <c r="AH15" i="3"/>
  <c r="AJ15" i="3"/>
  <c r="AI15" i="3" s="1"/>
  <c r="AG17" i="3"/>
  <c r="AH17" i="3"/>
  <c r="AJ17" i="3"/>
  <c r="AI17" i="3" s="1"/>
  <c r="AJ27" i="3"/>
  <c r="AI27" i="3" s="1"/>
  <c r="AH27" i="3"/>
  <c r="AG27" i="3"/>
  <c r="AJ26" i="3"/>
  <c r="AI26" i="3" s="1"/>
  <c r="AH26" i="3"/>
  <c r="AG26" i="3"/>
  <c r="AJ25" i="3"/>
  <c r="AI25" i="3" s="1"/>
  <c r="AH25" i="3"/>
  <c r="AG25" i="3"/>
  <c r="AJ24" i="3"/>
  <c r="AI24" i="3" s="1"/>
  <c r="AH24" i="3"/>
  <c r="AG24" i="3"/>
  <c r="AJ23" i="3"/>
  <c r="AI23" i="3" s="1"/>
  <c r="AH23" i="3"/>
  <c r="AG23" i="3"/>
  <c r="AJ22" i="3"/>
  <c r="AI22" i="3" s="1"/>
  <c r="AH22" i="3"/>
  <c r="AG22" i="3"/>
  <c r="AJ9" i="3"/>
  <c r="AI9" i="3" s="1"/>
  <c r="AH9" i="3"/>
  <c r="AG9" i="3"/>
  <c r="AJ8" i="3"/>
  <c r="AI8" i="3" s="1"/>
  <c r="AH8" i="3"/>
  <c r="AG8" i="3"/>
  <c r="AJ7" i="3"/>
  <c r="AI7" i="3" s="1"/>
  <c r="AH7" i="3"/>
  <c r="AG7" i="3"/>
  <c r="AJ6" i="3"/>
  <c r="AI6" i="3" s="1"/>
  <c r="AH6" i="3"/>
  <c r="AG6" i="3"/>
  <c r="AJ5" i="3"/>
  <c r="AI5" i="3" s="1"/>
  <c r="AH5" i="3"/>
  <c r="AG5" i="3"/>
  <c r="AJ4" i="3"/>
  <c r="AI4" i="3" s="1"/>
  <c r="AH4" i="3"/>
  <c r="AG4" i="3"/>
  <c r="AJ3" i="3"/>
  <c r="AI3" i="3" s="1"/>
  <c r="AH3" i="3"/>
  <c r="AG3" i="3"/>
  <c r="O41" i="3"/>
  <c r="O40" i="3"/>
  <c r="O39" i="3"/>
  <c r="W36" i="3"/>
  <c r="V36" i="3" s="1"/>
  <c r="U36" i="3"/>
  <c r="T36" i="3"/>
  <c r="W35" i="3"/>
  <c r="V35" i="3" s="1"/>
  <c r="U35" i="3"/>
  <c r="T35" i="3"/>
  <c r="W34" i="3"/>
  <c r="V34" i="3" s="1"/>
  <c r="U34" i="3"/>
  <c r="T34" i="3"/>
  <c r="W33" i="3"/>
  <c r="V33" i="3" s="1"/>
  <c r="U33" i="3"/>
  <c r="T33" i="3"/>
  <c r="W31" i="3"/>
  <c r="V31" i="3" s="1"/>
  <c r="U31" i="3"/>
  <c r="T31" i="3"/>
  <c r="W30" i="3"/>
  <c r="V30" i="3" s="1"/>
  <c r="U30" i="3"/>
  <c r="T30" i="3"/>
  <c r="W27" i="3"/>
  <c r="V27" i="3" s="1"/>
  <c r="U27" i="3"/>
  <c r="T27" i="3"/>
  <c r="W26" i="3"/>
  <c r="V26" i="3" s="1"/>
  <c r="U26" i="3"/>
  <c r="T26" i="3"/>
  <c r="W25" i="3"/>
  <c r="V25" i="3" s="1"/>
  <c r="U25" i="3"/>
  <c r="T25" i="3"/>
  <c r="W24" i="3"/>
  <c r="V24" i="3" s="1"/>
  <c r="U24" i="3"/>
  <c r="T24" i="3"/>
  <c r="W23" i="3"/>
  <c r="V23" i="3" s="1"/>
  <c r="U23" i="3"/>
  <c r="T23" i="3"/>
  <c r="W22" i="3"/>
  <c r="V22" i="3" s="1"/>
  <c r="U22" i="3"/>
  <c r="T22" i="3"/>
  <c r="W21" i="3"/>
  <c r="V21" i="3" s="1"/>
  <c r="U21" i="3"/>
  <c r="T21" i="3"/>
  <c r="W18" i="3"/>
  <c r="V18" i="3" s="1"/>
  <c r="U18" i="3"/>
  <c r="T18" i="3"/>
  <c r="W15" i="3"/>
  <c r="V15" i="3" s="1"/>
  <c r="U15" i="3"/>
  <c r="T15" i="3"/>
  <c r="W13" i="3"/>
  <c r="V13" i="3" s="1"/>
  <c r="U13" i="3"/>
  <c r="T13" i="3"/>
  <c r="W12" i="3"/>
  <c r="V12" i="3" s="1"/>
  <c r="U12" i="3"/>
  <c r="T12" i="3"/>
  <c r="T4" i="3"/>
  <c r="U4" i="3"/>
  <c r="W4" i="3"/>
  <c r="V4" i="3" s="1"/>
  <c r="T5" i="3"/>
  <c r="U5" i="3"/>
  <c r="W5" i="3"/>
  <c r="V5" i="3" s="1"/>
  <c r="T6" i="3"/>
  <c r="U6" i="3"/>
  <c r="W6" i="3"/>
  <c r="V6" i="3" s="1"/>
  <c r="T7" i="3"/>
  <c r="U7" i="3"/>
  <c r="W7" i="3"/>
  <c r="V7" i="3" s="1"/>
  <c r="T8" i="3"/>
  <c r="U8" i="3"/>
  <c r="W8" i="3"/>
  <c r="V8" i="3" s="1"/>
  <c r="T9" i="3"/>
  <c r="U9" i="3"/>
  <c r="W9" i="3"/>
  <c r="V9" i="3" s="1"/>
  <c r="W3" i="3"/>
  <c r="V3" i="3" s="1"/>
  <c r="BD3" i="3" s="1"/>
  <c r="U3" i="3"/>
  <c r="BC3" i="3" s="1"/>
  <c r="T3" i="3"/>
  <c r="BB3" i="3" s="1"/>
  <c r="X45" i="3" l="1"/>
  <c r="X44" i="3"/>
  <c r="T41" i="3"/>
  <c r="U41" i="3"/>
  <c r="AG43" i="3"/>
  <c r="AH42" i="3"/>
  <c r="AH47" i="3" s="1"/>
  <c r="T43" i="3"/>
  <c r="AG42" i="3"/>
  <c r="AG47" i="3" s="1"/>
  <c r="AG48" i="3"/>
  <c r="AI40" i="3"/>
  <c r="AI41" i="3"/>
  <c r="AI43" i="3"/>
  <c r="AI42" i="3"/>
  <c r="AI47" i="3" s="1"/>
  <c r="AH48" i="3"/>
  <c r="AH43" i="3"/>
  <c r="AI48" i="3"/>
  <c r="AG39" i="3"/>
  <c r="AH39" i="3"/>
  <c r="AB39" i="3"/>
  <c r="AK44" i="3" s="1"/>
  <c r="AI39" i="3"/>
  <c r="AG40" i="3"/>
  <c r="AH40" i="3"/>
  <c r="AG41" i="3"/>
  <c r="AH41" i="3"/>
  <c r="U43" i="3"/>
  <c r="V42" i="3"/>
  <c r="V39" i="3"/>
  <c r="V43" i="3"/>
  <c r="V41" i="3"/>
  <c r="V48" i="3"/>
  <c r="V40" i="3"/>
  <c r="T40" i="3"/>
  <c r="U42" i="3"/>
  <c r="U40" i="3"/>
  <c r="T48" i="3"/>
  <c r="U48" i="3"/>
  <c r="T39" i="3"/>
  <c r="T42" i="3"/>
  <c r="U39" i="3"/>
  <c r="AK45" i="3" l="1"/>
  <c r="T45" i="3"/>
  <c r="V45" i="3"/>
  <c r="AH44" i="3"/>
  <c r="AG45" i="3"/>
  <c r="AG44" i="3"/>
  <c r="AI44" i="3"/>
  <c r="AH45" i="3"/>
  <c r="AI45" i="3"/>
  <c r="U45" i="3"/>
  <c r="U44" i="3"/>
  <c r="U47" i="3"/>
  <c r="V44" i="3"/>
  <c r="V47" i="3"/>
  <c r="T44" i="3"/>
  <c r="T47" i="3"/>
  <c r="AS32" i="3" l="1"/>
  <c r="AS30" i="3"/>
  <c r="H36" i="3" l="1"/>
  <c r="AX36" i="3" s="1"/>
  <c r="H35" i="3"/>
  <c r="AX35" i="3" s="1"/>
  <c r="H34" i="3"/>
  <c r="AX34" i="3" s="1"/>
  <c r="H32" i="3"/>
  <c r="AX32" i="3" s="1"/>
  <c r="H31" i="3"/>
  <c r="AX31" i="3" s="1"/>
  <c r="H30" i="3"/>
  <c r="AX30" i="3" s="1"/>
  <c r="H26" i="3"/>
  <c r="AX26" i="3" s="1"/>
  <c r="AX25" i="3"/>
  <c r="H24" i="3"/>
  <c r="AX24" i="3" s="1"/>
  <c r="H23" i="3"/>
  <c r="AX23" i="3" s="1"/>
  <c r="H22" i="3"/>
  <c r="AX22" i="3" s="1"/>
  <c r="H21" i="3"/>
  <c r="AX21" i="3" s="1"/>
  <c r="H18" i="3"/>
  <c r="AX18" i="3" s="1"/>
  <c r="H15" i="3"/>
  <c r="AX15" i="3" s="1"/>
  <c r="H13" i="3"/>
  <c r="AX13" i="3" s="1"/>
  <c r="H12" i="3"/>
  <c r="AX12" i="3" s="1"/>
  <c r="H4" i="3"/>
  <c r="AX4" i="3" s="1"/>
  <c r="H6" i="3"/>
  <c r="AX6" i="3" s="1"/>
  <c r="H7" i="3"/>
  <c r="AX7" i="3" s="1"/>
  <c r="H8" i="3"/>
  <c r="AX8" i="3" s="1"/>
  <c r="H9" i="3"/>
  <c r="AX9" i="3" s="1"/>
  <c r="H3" i="3"/>
  <c r="I12" i="3"/>
  <c r="AY12" i="3" s="1"/>
  <c r="J36" i="3"/>
  <c r="I36" i="3" s="1"/>
  <c r="AY36" i="3" s="1"/>
  <c r="J35" i="3"/>
  <c r="I35" i="3" s="1"/>
  <c r="AY35" i="3" s="1"/>
  <c r="J34" i="3"/>
  <c r="I34" i="3" s="1"/>
  <c r="AY34" i="3" s="1"/>
  <c r="J32" i="3"/>
  <c r="I32" i="3" s="1"/>
  <c r="AY32" i="3" s="1"/>
  <c r="J31" i="3"/>
  <c r="I31" i="3" s="1"/>
  <c r="AY31" i="3" s="1"/>
  <c r="J30" i="3"/>
  <c r="I30" i="3" s="1"/>
  <c r="AY30" i="3" s="1"/>
  <c r="J26" i="3"/>
  <c r="I26" i="3" s="1"/>
  <c r="AY26" i="3" s="1"/>
  <c r="J25" i="3"/>
  <c r="I25" i="3" s="1"/>
  <c r="AY25" i="3" s="1"/>
  <c r="J24" i="3"/>
  <c r="I24" i="3" s="1"/>
  <c r="AY24" i="3" s="1"/>
  <c r="J23" i="3"/>
  <c r="I23" i="3" s="1"/>
  <c r="AY23" i="3" s="1"/>
  <c r="J22" i="3"/>
  <c r="I22" i="3" s="1"/>
  <c r="AY22" i="3" s="1"/>
  <c r="J21" i="3"/>
  <c r="I21" i="3" s="1"/>
  <c r="AY21" i="3" s="1"/>
  <c r="J18" i="3"/>
  <c r="I18" i="3" s="1"/>
  <c r="AY18" i="3" s="1"/>
  <c r="J15" i="3"/>
  <c r="I15" i="3" s="1"/>
  <c r="AY15" i="3" s="1"/>
  <c r="J13" i="3"/>
  <c r="I13" i="3" s="1"/>
  <c r="AY13" i="3" s="1"/>
  <c r="J12" i="3"/>
  <c r="J4" i="3"/>
  <c r="I4" i="3" s="1"/>
  <c r="AY4" i="3" s="1"/>
  <c r="J6" i="3"/>
  <c r="I6" i="3" s="1"/>
  <c r="AY6" i="3" s="1"/>
  <c r="J7" i="3"/>
  <c r="I7" i="3" s="1"/>
  <c r="AY7" i="3" s="1"/>
  <c r="J8" i="3"/>
  <c r="I8" i="3" s="1"/>
  <c r="AY8" i="3" s="1"/>
  <c r="J9" i="3"/>
  <c r="I9" i="3" s="1"/>
  <c r="AY9" i="3" s="1"/>
  <c r="J3" i="3"/>
  <c r="I3" i="3" s="1"/>
  <c r="B40" i="3"/>
  <c r="AS34" i="3"/>
  <c r="AS33" i="3"/>
  <c r="AT32" i="3"/>
  <c r="AS31" i="3"/>
  <c r="AT31" i="3"/>
  <c r="AT30" i="3"/>
  <c r="B41" i="3"/>
  <c r="G36" i="3"/>
  <c r="AW36" i="3" s="1"/>
  <c r="G35" i="3"/>
  <c r="AW35" i="3" s="1"/>
  <c r="G34" i="3"/>
  <c r="AW34" i="3" s="1"/>
  <c r="G32" i="3"/>
  <c r="AW32" i="3" s="1"/>
  <c r="G31" i="3"/>
  <c r="AW31" i="3" s="1"/>
  <c r="G30" i="3"/>
  <c r="AW30" i="3" s="1"/>
  <c r="G26" i="3"/>
  <c r="AW26" i="3" s="1"/>
  <c r="G25" i="3"/>
  <c r="AW25" i="3" s="1"/>
  <c r="G24" i="3"/>
  <c r="AW24" i="3" s="1"/>
  <c r="G23" i="3"/>
  <c r="AW23" i="3" s="1"/>
  <c r="G22" i="3"/>
  <c r="AW22" i="3" s="1"/>
  <c r="G21" i="3"/>
  <c r="G18" i="3"/>
  <c r="AW18" i="3" s="1"/>
  <c r="G15" i="3"/>
  <c r="AW15" i="3" s="1"/>
  <c r="G13" i="3"/>
  <c r="AW13" i="3" s="1"/>
  <c r="G12" i="3"/>
  <c r="AW12" i="3" s="1"/>
  <c r="G4" i="3"/>
  <c r="AW4" i="3" s="1"/>
  <c r="G6" i="3"/>
  <c r="AW6" i="3" s="1"/>
  <c r="G7" i="3"/>
  <c r="AW7" i="3" s="1"/>
  <c r="G8" i="3"/>
  <c r="AW8" i="3" s="1"/>
  <c r="G9" i="3"/>
  <c r="AW9" i="3" s="1"/>
  <c r="G3" i="3"/>
  <c r="AP32" i="3"/>
  <c r="AP31" i="3"/>
  <c r="AP30" i="3"/>
  <c r="K45" i="3" l="1"/>
  <c r="AY3" i="3"/>
  <c r="AY38" i="3" s="1"/>
  <c r="AY42" i="3" s="1"/>
  <c r="I48" i="3"/>
  <c r="I39" i="3"/>
  <c r="I43" i="3"/>
  <c r="I42" i="3"/>
  <c r="I41" i="3"/>
  <c r="I40" i="3"/>
  <c r="AX3" i="3"/>
  <c r="AX38" i="3" s="1"/>
  <c r="AX42" i="3" s="1"/>
  <c r="H48" i="3"/>
  <c r="H42" i="3"/>
  <c r="H43" i="3"/>
  <c r="H41" i="3"/>
  <c r="H40" i="3"/>
  <c r="H39" i="3"/>
  <c r="K44" i="3"/>
  <c r="AW3" i="3"/>
  <c r="AW38" i="3" s="1"/>
  <c r="G48" i="3"/>
  <c r="G43" i="3"/>
  <c r="G42" i="3"/>
  <c r="G41" i="3"/>
  <c r="G39" i="3"/>
  <c r="G40" i="3"/>
  <c r="AS35" i="3"/>
  <c r="AS36" i="3"/>
  <c r="AS38" i="3"/>
  <c r="AS39" i="3" s="1"/>
  <c r="AS41" i="3" s="1"/>
  <c r="AW42" i="3" l="1"/>
  <c r="AW49" i="3"/>
  <c r="AW48" i="3"/>
  <c r="AW47" i="3"/>
  <c r="I45" i="3"/>
  <c r="H45" i="3"/>
  <c r="H44" i="3"/>
  <c r="H47" i="3"/>
  <c r="G47" i="3"/>
  <c r="G44" i="3"/>
  <c r="G45" i="3"/>
  <c r="I44" i="3"/>
  <c r="I47" i="3"/>
  <c r="AW50" i="3" l="1"/>
  <c r="AX50" i="3"/>
  <c r="AZ50" i="3"/>
  <c r="AY50" i="3"/>
  <c r="AZ51" i="3"/>
  <c r="AY51" i="3"/>
  <c r="AX51" i="3"/>
  <c r="AW51" i="3"/>
  <c r="AZ52" i="3"/>
  <c r="AY52" i="3"/>
  <c r="AX52" i="3"/>
  <c r="AW52" i="3"/>
</calcChain>
</file>

<file path=xl/sharedStrings.xml><?xml version="1.0" encoding="utf-8"?>
<sst xmlns="http://schemas.openxmlformats.org/spreadsheetml/2006/main" count="296" uniqueCount="113">
  <si>
    <t>0-5 cm</t>
  </si>
  <si>
    <t>20-25 cm</t>
  </si>
  <si>
    <t>40-45 cm</t>
  </si>
  <si>
    <t>MQ</t>
  </si>
  <si>
    <t>meas</t>
  </si>
  <si>
    <t>mean</t>
  </si>
  <si>
    <t>variance</t>
  </si>
  <si>
    <t>stdev</t>
  </si>
  <si>
    <t>corrcoef</t>
  </si>
  <si>
    <t>rho_c</t>
  </si>
  <si>
    <t>beta_1</t>
  </si>
  <si>
    <t>beta_0</t>
  </si>
  <si>
    <t>cov</t>
  </si>
  <si>
    <t>rho_c(cov)</t>
  </si>
  <si>
    <t>D_meas</t>
  </si>
  <si>
    <t>1 kPa</t>
  </si>
  <si>
    <t>3 kPa</t>
  </si>
  <si>
    <t>6 kPa</t>
  </si>
  <si>
    <t>10 kPa</t>
  </si>
  <si>
    <t>R2</t>
  </si>
  <si>
    <t>t test pair. two-s</t>
  </si>
  <si>
    <t>D_pnm</t>
  </si>
  <si>
    <t>D_meas_1</t>
  </si>
  <si>
    <t>afp_1</t>
  </si>
  <si>
    <t>afp_10_kPa_1</t>
  </si>
  <si>
    <t>porosity_1</t>
  </si>
  <si>
    <t>D0_1</t>
  </si>
  <si>
    <t>D_MQ_1</t>
  </si>
  <si>
    <t>D_CC_1</t>
  </si>
  <si>
    <t>D_TPM_1</t>
  </si>
  <si>
    <t>X_1</t>
  </si>
  <si>
    <t>D_meas_2</t>
  </si>
  <si>
    <t>afp_2</t>
  </si>
  <si>
    <t>afp_10_kPa_2</t>
  </si>
  <si>
    <t>porosity_2</t>
  </si>
  <si>
    <t>D0_2</t>
  </si>
  <si>
    <t>D_MQ_2</t>
  </si>
  <si>
    <t>D_CC_2</t>
  </si>
  <si>
    <t>D_TPM_2</t>
  </si>
  <si>
    <t>X_2</t>
  </si>
  <si>
    <t>D_meas_3</t>
  </si>
  <si>
    <t>afp_3</t>
  </si>
  <si>
    <t>afp_10_kPa_3</t>
  </si>
  <si>
    <t>porosity_3</t>
  </si>
  <si>
    <t>D0_3</t>
  </si>
  <si>
    <t>D_MQ_3</t>
  </si>
  <si>
    <t>D_CC_3</t>
  </si>
  <si>
    <t>D_TPM_3</t>
  </si>
  <si>
    <t>X_3</t>
  </si>
  <si>
    <t>Dc 3 kpa vs. Dpnm</t>
  </si>
  <si>
    <t>Paired tests</t>
  </si>
  <si>
    <t>Normality of difference</t>
  </si>
  <si>
    <t>Shapiro p</t>
  </si>
  <si>
    <t>Anderson</t>
  </si>
  <si>
    <t>+</t>
  </si>
  <si>
    <t>No outliers (no z-score &gt; 3)</t>
  </si>
  <si>
    <t>Paired t-test applicable</t>
  </si>
  <si>
    <t>Paired t-test p value</t>
  </si>
  <si>
    <t>t-statistic</t>
  </si>
  <si>
    <t>Difference mean</t>
  </si>
  <si>
    <t>Confid. int.</t>
  </si>
  <si>
    <t>Probplot</t>
  </si>
  <si>
    <t>5 % crit. &gt;0.679</t>
  </si>
  <si>
    <t>crit. 0.927</t>
  </si>
  <si>
    <t>Wilcoxon p</t>
  </si>
  <si>
    <t>Wilcoxon stat.</t>
  </si>
  <si>
    <t>Sign test p</t>
  </si>
  <si>
    <t>W+</t>
  </si>
  <si>
    <t>W-</t>
  </si>
  <si>
    <t>W</t>
  </si>
  <si>
    <t>n</t>
  </si>
  <si>
    <t>mu</t>
  </si>
  <si>
    <t>sigma</t>
  </si>
  <si>
    <t>z (+)</t>
  </si>
  <si>
    <t>z (-)</t>
  </si>
  <si>
    <t>count</t>
  </si>
  <si>
    <t>Wilcoxon calculation</t>
  </si>
  <si>
    <t>MQ2_3</t>
  </si>
  <si>
    <t>MQ2_2</t>
  </si>
  <si>
    <t>MQ2_1</t>
  </si>
  <si>
    <t>SS_res</t>
  </si>
  <si>
    <t>SS_tot</t>
  </si>
  <si>
    <t>TPM sqres</t>
  </si>
  <si>
    <t>MQ2 sqres</t>
  </si>
  <si>
    <t>CC sqres</t>
  </si>
  <si>
    <t>MQ sqres</t>
  </si>
  <si>
    <t>COEFFS OF DETERMIN -&gt;</t>
  </si>
  <si>
    <t>a(-10 kPa)</t>
  </si>
  <si>
    <t>Moldrup</t>
  </si>
  <si>
    <t>D(-10 kPa)</t>
  </si>
  <si>
    <t>D(-10 kPa)/D0</t>
  </si>
  <si>
    <t>X_3_mod</t>
  </si>
  <si>
    <t>D_TPM_3_mod</t>
  </si>
  <si>
    <t>X_2_mod</t>
  </si>
  <si>
    <t>D_TPM_2_mod</t>
  </si>
  <si>
    <t>AIC</t>
  </si>
  <si>
    <t>AIC"2"</t>
  </si>
  <si>
    <t>delta_i</t>
  </si>
  <si>
    <t>AICc</t>
  </si>
  <si>
    <t>MQ61</t>
  </si>
  <si>
    <t>MQ60</t>
  </si>
  <si>
    <t>a_netw</t>
  </si>
  <si>
    <t>a_meas</t>
  </si>
  <si>
    <t>a_meas w/ p.d. 1.4</t>
  </si>
  <si>
    <t>-</t>
  </si>
  <si>
    <t>0.0346, -0.0543</t>
  </si>
  <si>
    <t>z score</t>
  </si>
  <si>
    <t>Paired t-test not applicable</t>
  </si>
  <si>
    <t>a 3 kpa vs. a_pnm</t>
  </si>
  <si>
    <t>log meas</t>
  </si>
  <si>
    <t>log netw</t>
  </si>
  <si>
    <t>a 3 kpa vs. a_pnm log10-values</t>
  </si>
  <si>
    <t>0.00182, -0.00425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</si>
</sst>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1" fontId="3" fillId="0" borderId="0" xfId="0" applyNumberFormat="1" applyFont="1"/>
    <xf numFmtId="11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quotePrefix="1" applyFont="1"/>
    <xf numFmtId="0" fontId="2" fillId="0" borderId="0" xfId="0" quotePrefix="1" applyFont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vertical="center"/>
    </xf>
    <xf numFmtId="0" fontId="5" fillId="0" borderId="0" xfId="0" applyFont="1"/>
    <xf numFmtId="0" fontId="0" fillId="0" borderId="0" xfId="0" applyNumberFormat="1"/>
    <xf numFmtId="0" fontId="6" fillId="0" borderId="0" xfId="0" applyFont="1"/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stats'!$AG$2</c:f>
              <c:strCache>
                <c:ptCount val="1"/>
                <c:pt idx="0">
                  <c:v>D_MQ_1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'Models stats'!$C$3:$C$36</c:f>
              <c:numCache>
                <c:formatCode>General</c:formatCode>
                <c:ptCount val="34"/>
                <c:pt idx="0">
                  <c:v>3.6299317323849167E-2</c:v>
                </c:pt>
                <c:pt idx="1">
                  <c:v>3.9353866243286517E-2</c:v>
                </c:pt>
                <c:pt idx="2">
                  <c:v>1.3946492449818382E-2</c:v>
                </c:pt>
                <c:pt idx="3">
                  <c:v>6.3868788936538801E-2</c:v>
                </c:pt>
                <c:pt idx="4">
                  <c:v>6.7429279445787582E-3</c:v>
                </c:pt>
                <c:pt idx="5">
                  <c:v>8.3170283320544991E-3</c:v>
                </c:pt>
                <c:pt idx="6">
                  <c:v>3.2978660913871471E-2</c:v>
                </c:pt>
                <c:pt idx="9">
                  <c:v>7.3691949088990127E-2</c:v>
                </c:pt>
                <c:pt idx="10">
                  <c:v>0.10443339202032154</c:v>
                </c:pt>
                <c:pt idx="11">
                  <c:v>2.7943187946606218E-2</c:v>
                </c:pt>
                <c:pt idx="12">
                  <c:v>8.6753896902089345E-2</c:v>
                </c:pt>
                <c:pt idx="13">
                  <c:v>3.5042815919835824E-2</c:v>
                </c:pt>
                <c:pt idx="14">
                  <c:v>2.1394232883797715E-2</c:v>
                </c:pt>
                <c:pt idx="15">
                  <c:v>4.7281853392340811E-2</c:v>
                </c:pt>
                <c:pt idx="18">
                  <c:v>0.15276817036281276</c:v>
                </c:pt>
                <c:pt idx="19">
                  <c:v>0.1993452906810208</c:v>
                </c:pt>
                <c:pt idx="20">
                  <c:v>9.4350867310927677E-2</c:v>
                </c:pt>
                <c:pt idx="21">
                  <c:v>0.18299394915007516</c:v>
                </c:pt>
                <c:pt idx="22">
                  <c:v>8.234551675934465E-2</c:v>
                </c:pt>
                <c:pt idx="23">
                  <c:v>9.9857460194257563E-2</c:v>
                </c:pt>
                <c:pt idx="24">
                  <c:v>0.1017361504710842</c:v>
                </c:pt>
                <c:pt idx="27">
                  <c:v>0.16748833350809134</c:v>
                </c:pt>
                <c:pt idx="28">
                  <c:v>0.23984193657292108</c:v>
                </c:pt>
                <c:pt idx="29">
                  <c:v>0.13080833716970208</c:v>
                </c:pt>
                <c:pt idx="30">
                  <c:v>0.22048874657577666</c:v>
                </c:pt>
                <c:pt idx="31">
                  <c:v>0.11376244845810468</c:v>
                </c:pt>
                <c:pt idx="32">
                  <c:v>0.16309800408120356</c:v>
                </c:pt>
                <c:pt idx="33">
                  <c:v>0.11999622176307945</c:v>
                </c:pt>
              </c:numCache>
            </c:numRef>
          </c:xVal>
          <c:yVal>
            <c:numRef>
              <c:f>'Models stats'!$G$3:$G$36</c:f>
              <c:numCache>
                <c:formatCode>General</c:formatCode>
                <c:ptCount val="34"/>
                <c:pt idx="0">
                  <c:v>3.7566992251446732E-6</c:v>
                </c:pt>
                <c:pt idx="1">
                  <c:v>4.8810796297008819E-6</c:v>
                </c:pt>
                <c:pt idx="3">
                  <c:v>2.5042301831374756E-5</c:v>
                </c:pt>
                <c:pt idx="4">
                  <c:v>1.4119342333526986E-8</c:v>
                </c:pt>
                <c:pt idx="5">
                  <c:v>2.8572444604962788E-8</c:v>
                </c:pt>
                <c:pt idx="6">
                  <c:v>2.7617142374698839E-6</c:v>
                </c:pt>
                <c:pt idx="9">
                  <c:v>3.9799569878033153E-5</c:v>
                </c:pt>
                <c:pt idx="10">
                  <c:v>1.2628617891003577E-4</c:v>
                </c:pt>
                <c:pt idx="12">
                  <c:v>6.9503810453664061E-5</c:v>
                </c:pt>
                <c:pt idx="15">
                  <c:v>9.1773435146898858E-6</c:v>
                </c:pt>
                <c:pt idx="18">
                  <c:v>4.521208044181943E-4</c:v>
                </c:pt>
                <c:pt idx="19">
                  <c:v>1.0895432555845981E-3</c:v>
                </c:pt>
                <c:pt idx="20">
                  <c:v>9.2123117291588604E-5</c:v>
                </c:pt>
                <c:pt idx="21">
                  <c:v>8.3656766402940999E-4</c:v>
                </c:pt>
                <c:pt idx="22">
                  <c:v>5.9217845580819007E-5</c:v>
                </c:pt>
                <c:pt idx="23">
                  <c:v>1.1323704195424688E-4</c:v>
                </c:pt>
                <c:pt idx="27">
                  <c:v>6.2098052934011279E-4</c:v>
                </c:pt>
                <c:pt idx="28">
                  <c:v>2.0317075439618753E-3</c:v>
                </c:pt>
                <c:pt idx="29">
                  <c:v>2.7476915936407392E-4</c:v>
                </c:pt>
                <c:pt idx="31">
                  <c:v>1.7460811184123482E-4</c:v>
                </c:pt>
                <c:pt idx="32">
                  <c:v>5.8105282578852922E-4</c:v>
                </c:pt>
                <c:pt idx="33">
                  <c:v>2.0538173927126416E-4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FD9-B73F-6F23BB7101AB}"/>
            </c:ext>
          </c:extLst>
        </c:ser>
        <c:ser>
          <c:idx val="1"/>
          <c:order val="1"/>
          <c:tx>
            <c:strRef>
              <c:f>'Models stats'!$AH$2</c:f>
              <c:strCache>
                <c:ptCount val="1"/>
                <c:pt idx="0">
                  <c:v>D_CC_1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'Models stats'!$C$3:$C$36</c:f>
              <c:numCache>
                <c:formatCode>General</c:formatCode>
                <c:ptCount val="34"/>
                <c:pt idx="0">
                  <c:v>3.6299317323849167E-2</c:v>
                </c:pt>
                <c:pt idx="1">
                  <c:v>3.9353866243286517E-2</c:v>
                </c:pt>
                <c:pt idx="2">
                  <c:v>1.3946492449818382E-2</c:v>
                </c:pt>
                <c:pt idx="3">
                  <c:v>6.3868788936538801E-2</c:v>
                </c:pt>
                <c:pt idx="4">
                  <c:v>6.7429279445787582E-3</c:v>
                </c:pt>
                <c:pt idx="5">
                  <c:v>8.3170283320544991E-3</c:v>
                </c:pt>
                <c:pt idx="6">
                  <c:v>3.2978660913871471E-2</c:v>
                </c:pt>
                <c:pt idx="9">
                  <c:v>7.3691949088990127E-2</c:v>
                </c:pt>
                <c:pt idx="10">
                  <c:v>0.10443339202032154</c:v>
                </c:pt>
                <c:pt idx="11">
                  <c:v>2.7943187946606218E-2</c:v>
                </c:pt>
                <c:pt idx="12">
                  <c:v>8.6753896902089345E-2</c:v>
                </c:pt>
                <c:pt idx="13">
                  <c:v>3.5042815919835824E-2</c:v>
                </c:pt>
                <c:pt idx="14">
                  <c:v>2.1394232883797715E-2</c:v>
                </c:pt>
                <c:pt idx="15">
                  <c:v>4.7281853392340811E-2</c:v>
                </c:pt>
                <c:pt idx="18">
                  <c:v>0.15276817036281276</c:v>
                </c:pt>
                <c:pt idx="19">
                  <c:v>0.1993452906810208</c:v>
                </c:pt>
                <c:pt idx="20">
                  <c:v>9.4350867310927677E-2</c:v>
                </c:pt>
                <c:pt idx="21">
                  <c:v>0.18299394915007516</c:v>
                </c:pt>
                <c:pt idx="22">
                  <c:v>8.234551675934465E-2</c:v>
                </c:pt>
                <c:pt idx="23">
                  <c:v>9.9857460194257563E-2</c:v>
                </c:pt>
                <c:pt idx="24">
                  <c:v>0.1017361504710842</c:v>
                </c:pt>
                <c:pt idx="27">
                  <c:v>0.16748833350809134</c:v>
                </c:pt>
                <c:pt idx="28">
                  <c:v>0.23984193657292108</c:v>
                </c:pt>
                <c:pt idx="29">
                  <c:v>0.13080833716970208</c:v>
                </c:pt>
                <c:pt idx="30">
                  <c:v>0.22048874657577666</c:v>
                </c:pt>
                <c:pt idx="31">
                  <c:v>0.11376244845810468</c:v>
                </c:pt>
                <c:pt idx="32">
                  <c:v>0.16309800408120356</c:v>
                </c:pt>
                <c:pt idx="33">
                  <c:v>0.11999622176307945</c:v>
                </c:pt>
              </c:numCache>
            </c:numRef>
          </c:xVal>
          <c:yVal>
            <c:numRef>
              <c:f>'Models stats'!$M$3:$M$36</c:f>
              <c:numCache>
                <c:formatCode>General</c:formatCode>
                <c:ptCount val="34"/>
                <c:pt idx="0">
                  <c:v>5.585891350449512E-4</c:v>
                </c:pt>
                <c:pt idx="1">
                  <c:v>2.6721962479856691E-4</c:v>
                </c:pt>
                <c:pt idx="3">
                  <c:v>8.8417913680916829E-4</c:v>
                </c:pt>
                <c:pt idx="4">
                  <c:v>7.9650468416678775E-5</c:v>
                </c:pt>
                <c:pt idx="5">
                  <c:v>4.4767101752319237E-5</c:v>
                </c:pt>
                <c:pt idx="6">
                  <c:v>8.6949192152861884E-4</c:v>
                </c:pt>
                <c:pt idx="9">
                  <c:v>1.9574013412256681E-3</c:v>
                </c:pt>
                <c:pt idx="10">
                  <c:v>1.9757179862929372E-3</c:v>
                </c:pt>
                <c:pt idx="12">
                  <c:v>1.6181604892651549E-3</c:v>
                </c:pt>
                <c:pt idx="15">
                  <c:v>1.5397993786598592E-3</c:v>
                </c:pt>
                <c:pt idx="18">
                  <c:v>7.1181460352644282E-3</c:v>
                </c:pt>
                <c:pt idx="19">
                  <c:v>7.4348123201848021E-3</c:v>
                </c:pt>
                <c:pt idx="20">
                  <c:v>4.1807213354180042E-3</c:v>
                </c:pt>
                <c:pt idx="21">
                  <c:v>7.0589461146028298E-3</c:v>
                </c:pt>
                <c:pt idx="22">
                  <c:v>3.9461944168013088E-3</c:v>
                </c:pt>
                <c:pt idx="23">
                  <c:v>3.4830546640040711E-3</c:v>
                </c:pt>
                <c:pt idx="27">
                  <c:v>8.3775493726678564E-3</c:v>
                </c:pt>
                <c:pt idx="28">
                  <c:v>1.0862172101914111E-2</c:v>
                </c:pt>
                <c:pt idx="29">
                  <c:v>7.1179582984075684E-3</c:v>
                </c:pt>
                <c:pt idx="31">
                  <c:v>6.5326024800513175E-3</c:v>
                </c:pt>
                <c:pt idx="32">
                  <c:v>8.2267854601485307E-3</c:v>
                </c:pt>
                <c:pt idx="33">
                  <c:v>6.7466702553441492E-3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8-4FD9-B73F-6F23BB7101AB}"/>
            </c:ext>
          </c:extLst>
        </c:ser>
        <c:ser>
          <c:idx val="2"/>
          <c:order val="2"/>
          <c:tx>
            <c:strRef>
              <c:f>'Models stats'!$AI$2</c:f>
              <c:strCache>
                <c:ptCount val="1"/>
                <c:pt idx="0">
                  <c:v>D_TPM_1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'Models stats'!$C$3:$C$36</c:f>
              <c:numCache>
                <c:formatCode>General</c:formatCode>
                <c:ptCount val="34"/>
                <c:pt idx="0">
                  <c:v>3.6299317323849167E-2</c:v>
                </c:pt>
                <c:pt idx="1">
                  <c:v>3.9353866243286517E-2</c:v>
                </c:pt>
                <c:pt idx="2">
                  <c:v>1.3946492449818382E-2</c:v>
                </c:pt>
                <c:pt idx="3">
                  <c:v>6.3868788936538801E-2</c:v>
                </c:pt>
                <c:pt idx="4">
                  <c:v>6.7429279445787582E-3</c:v>
                </c:pt>
                <c:pt idx="5">
                  <c:v>8.3170283320544991E-3</c:v>
                </c:pt>
                <c:pt idx="6">
                  <c:v>3.2978660913871471E-2</c:v>
                </c:pt>
                <c:pt idx="9">
                  <c:v>7.3691949088990127E-2</c:v>
                </c:pt>
                <c:pt idx="10">
                  <c:v>0.10443339202032154</c:v>
                </c:pt>
                <c:pt idx="11">
                  <c:v>2.7943187946606218E-2</c:v>
                </c:pt>
                <c:pt idx="12">
                  <c:v>8.6753896902089345E-2</c:v>
                </c:pt>
                <c:pt idx="13">
                  <c:v>3.5042815919835824E-2</c:v>
                </c:pt>
                <c:pt idx="14">
                  <c:v>2.1394232883797715E-2</c:v>
                </c:pt>
                <c:pt idx="15">
                  <c:v>4.7281853392340811E-2</c:v>
                </c:pt>
                <c:pt idx="18">
                  <c:v>0.15276817036281276</c:v>
                </c:pt>
                <c:pt idx="19">
                  <c:v>0.1993452906810208</c:v>
                </c:pt>
                <c:pt idx="20">
                  <c:v>9.4350867310927677E-2</c:v>
                </c:pt>
                <c:pt idx="21">
                  <c:v>0.18299394915007516</c:v>
                </c:pt>
                <c:pt idx="22">
                  <c:v>8.234551675934465E-2</c:v>
                </c:pt>
                <c:pt idx="23">
                  <c:v>9.9857460194257563E-2</c:v>
                </c:pt>
                <c:pt idx="24">
                  <c:v>0.1017361504710842</c:v>
                </c:pt>
                <c:pt idx="27">
                  <c:v>0.16748833350809134</c:v>
                </c:pt>
                <c:pt idx="28">
                  <c:v>0.23984193657292108</c:v>
                </c:pt>
                <c:pt idx="29">
                  <c:v>0.13080833716970208</c:v>
                </c:pt>
                <c:pt idx="30">
                  <c:v>0.22048874657577666</c:v>
                </c:pt>
                <c:pt idx="31">
                  <c:v>0.11376244845810468</c:v>
                </c:pt>
                <c:pt idx="32">
                  <c:v>0.16309800408120356</c:v>
                </c:pt>
                <c:pt idx="33">
                  <c:v>0.11999622176307945</c:v>
                </c:pt>
              </c:numCache>
            </c:numRef>
          </c:xVal>
          <c:yVal>
            <c:numRef>
              <c:f>'Models stats'!$I$3:$I$36</c:f>
              <c:numCache>
                <c:formatCode>General</c:formatCode>
                <c:ptCount val="34"/>
                <c:pt idx="0">
                  <c:v>9.2841678036383171E-5</c:v>
                </c:pt>
                <c:pt idx="1">
                  <c:v>1.1283403149905439E-4</c:v>
                </c:pt>
                <c:pt idx="3">
                  <c:v>3.3955141173470102E-4</c:v>
                </c:pt>
                <c:pt idx="4">
                  <c:v>2.5323173822835299E-6</c:v>
                </c:pt>
                <c:pt idx="5">
                  <c:v>3.0265668352326965E-6</c:v>
                </c:pt>
                <c:pt idx="6">
                  <c:v>8.8472307703029251E-5</c:v>
                </c:pt>
                <c:pt idx="9">
                  <c:v>4.8182226988194976E-4</c:v>
                </c:pt>
                <c:pt idx="10">
                  <c:v>1.0889063510014407E-3</c:v>
                </c:pt>
                <c:pt idx="12">
                  <c:v>6.936986021216933E-4</c:v>
                </c:pt>
                <c:pt idx="15">
                  <c:v>2.0068901283820057E-4</c:v>
                </c:pt>
                <c:pt idx="18">
                  <c:v>2.6252612384692941E-3</c:v>
                </c:pt>
                <c:pt idx="19">
                  <c:v>4.8884716141320743E-3</c:v>
                </c:pt>
                <c:pt idx="20">
                  <c:v>9.2772241622015867E-4</c:v>
                </c:pt>
                <c:pt idx="21">
                  <c:v>3.9568347352584151E-3</c:v>
                </c:pt>
                <c:pt idx="22">
                  <c:v>7.2869497492349816E-4</c:v>
                </c:pt>
                <c:pt idx="23">
                  <c:v>9.8092128358669086E-4</c:v>
                </c:pt>
                <c:pt idx="27">
                  <c:v>3.2514754904433268E-3</c:v>
                </c:pt>
                <c:pt idx="28">
                  <c:v>7.511791515752873E-3</c:v>
                </c:pt>
                <c:pt idx="29">
                  <c:v>1.9611795374122483E-3</c:v>
                </c:pt>
                <c:pt idx="31">
                  <c:v>1.5140104406033562E-3</c:v>
                </c:pt>
                <c:pt idx="32">
                  <c:v>3.0706114498076681E-3</c:v>
                </c:pt>
                <c:pt idx="33">
                  <c:v>1.6676155331084993E-3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FD9-B73F-6F23BB71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08712"/>
        <c:axId val="880605432"/>
      </c:scatterChart>
      <c:valAx>
        <c:axId val="88060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0605432"/>
        <c:crosses val="autoZero"/>
        <c:crossBetween val="midCat"/>
      </c:valAx>
      <c:valAx>
        <c:axId val="8806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8060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PNM'!$C$35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497047244094489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PNM'!$B$36:$B$44</c:f>
              <c:numCache>
                <c:formatCode>General</c:formatCode>
                <c:ptCount val="9"/>
                <c:pt idx="1">
                  <c:v>1.1217025686852585E-2</c:v>
                </c:pt>
                <c:pt idx="2">
                  <c:v>1.3074051241337873E-2</c:v>
                </c:pt>
                <c:pt idx="4">
                  <c:v>1.0923085958783685E-2</c:v>
                </c:pt>
                <c:pt idx="6">
                  <c:v>6.641620727028251E-3</c:v>
                </c:pt>
                <c:pt idx="8">
                  <c:v>4.8407196690174528E-3</c:v>
                </c:pt>
              </c:numCache>
            </c:numRef>
          </c:xVal>
          <c:yVal>
            <c:numRef>
              <c:f>'D vs PNM'!$C$36:$C$44</c:f>
              <c:numCache>
                <c:formatCode>General</c:formatCode>
                <c:ptCount val="9"/>
                <c:pt idx="1">
                  <c:v>1.1718795186051612E-2</c:v>
                </c:pt>
                <c:pt idx="2">
                  <c:v>1.3197944261904716E-2</c:v>
                </c:pt>
                <c:pt idx="4">
                  <c:v>8.9033917882208116E-3</c:v>
                </c:pt>
                <c:pt idx="6">
                  <c:v>5.4699627125449598E-3</c:v>
                </c:pt>
                <c:pt idx="8">
                  <c:v>5.4295801280454309E-3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F5E-9670-67D5F4F3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7248"/>
        <c:axId val="497082496"/>
      </c:scatterChart>
      <c:valAx>
        <c:axId val="497077248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7082496"/>
        <c:crosses val="autoZero"/>
        <c:crossBetween val="midCat"/>
      </c:valAx>
      <c:valAx>
        <c:axId val="497082496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70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PNM'!$K$35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14799923667292"/>
                  <c:y val="-0.15488665578733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PNM'!$J$36:$J$55</c:f>
              <c:numCache>
                <c:formatCode>General</c:formatCode>
                <c:ptCount val="20"/>
                <c:pt idx="1">
                  <c:v>1.7163550776464684E-2</c:v>
                </c:pt>
                <c:pt idx="2">
                  <c:v>2.438385545034407E-2</c:v>
                </c:pt>
                <c:pt idx="4">
                  <c:v>6.3595519795839129E-3</c:v>
                </c:pt>
                <c:pt idx="5">
                  <c:v>1.8411699572518404E-2</c:v>
                </c:pt>
                <c:pt idx="6">
                  <c:v>1.5867531162167343E-2</c:v>
                </c:pt>
                <c:pt idx="7">
                  <c:v>9.4400810101028208E-3</c:v>
                </c:pt>
                <c:pt idx="8">
                  <c:v>5.0515898484506565E-3</c:v>
                </c:pt>
                <c:pt idx="9">
                  <c:v>6.291541065174224E-3</c:v>
                </c:pt>
                <c:pt idx="10">
                  <c:v>6.4518216664518676E-3</c:v>
                </c:pt>
                <c:pt idx="12">
                  <c:v>5.37918269121785E-3</c:v>
                </c:pt>
                <c:pt idx="14">
                  <c:v>6.0173190115224056E-3</c:v>
                </c:pt>
                <c:pt idx="16">
                  <c:v>6.7354076969024018E-3</c:v>
                </c:pt>
              </c:numCache>
            </c:numRef>
          </c:xVal>
          <c:yVal>
            <c:numRef>
              <c:f>'D vs PNM'!$K$36:$K$55</c:f>
              <c:numCache>
                <c:formatCode>General</c:formatCode>
                <c:ptCount val="20"/>
                <c:pt idx="1">
                  <c:v>1.1718795186051612E-2</c:v>
                </c:pt>
                <c:pt idx="2">
                  <c:v>1.3197944261904716E-2</c:v>
                </c:pt>
                <c:pt idx="4">
                  <c:v>8.452967612502086E-3</c:v>
                </c:pt>
                <c:pt idx="5">
                  <c:v>8.9033917882208116E-3</c:v>
                </c:pt>
                <c:pt idx="6">
                  <c:v>6.1587037850119007E-3</c:v>
                </c:pt>
                <c:pt idx="7">
                  <c:v>5.4699627125449598E-3</c:v>
                </c:pt>
                <c:pt idx="8">
                  <c:v>7.6827094485930163E-3</c:v>
                </c:pt>
                <c:pt idx="9">
                  <c:v>3.312937340918668E-3</c:v>
                </c:pt>
                <c:pt idx="10">
                  <c:v>5.4295801280454309E-3</c:v>
                </c:pt>
                <c:pt idx="12">
                  <c:v>5.3050164471204206E-3</c:v>
                </c:pt>
                <c:pt idx="14">
                  <c:v>6.7003242596627814E-3</c:v>
                </c:pt>
                <c:pt idx="16">
                  <c:v>4.1504984654021238E-3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9-475E-AB2D-299D2A07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58024"/>
        <c:axId val="797156712"/>
      </c:scatterChart>
      <c:valAx>
        <c:axId val="797158024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97156712"/>
        <c:crosses val="autoZero"/>
        <c:crossBetween val="midCat"/>
      </c:valAx>
      <c:valAx>
        <c:axId val="79715671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971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vs PNM'!$E$2</c:f>
              <c:strCache>
                <c:ptCount val="1"/>
                <c:pt idx="0">
                  <c:v>a_netw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24512053794323"/>
                  <c:y val="1.0898876404494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'a vs PNM'!$D$3:$D$25</c:f>
              <c:numCache>
                <c:formatCode>General</c:formatCode>
                <c:ptCount val="23"/>
                <c:pt idx="0">
                  <c:v>0.63515702689770259</c:v>
                </c:pt>
                <c:pt idx="1">
                  <c:v>0.35751190020026424</c:v>
                </c:pt>
                <c:pt idx="2">
                  <c:v>0.35898329004365659</c:v>
                </c:pt>
                <c:pt idx="3">
                  <c:v>0.30753933820854806</c:v>
                </c:pt>
                <c:pt idx="4">
                  <c:v>0.24221842903082857</c:v>
                </c:pt>
                <c:pt idx="5">
                  <c:v>0.3903969830214763</c:v>
                </c:pt>
                <c:pt idx="6">
                  <c:v>0.19913571485599113</c:v>
                </c:pt>
                <c:pt idx="8">
                  <c:v>0.20246726893642852</c:v>
                </c:pt>
                <c:pt idx="9">
                  <c:v>0.12747706109106227</c:v>
                </c:pt>
                <c:pt idx="10">
                  <c:v>0.13913252831044587</c:v>
                </c:pt>
                <c:pt idx="11">
                  <c:v>0.16849017142470568</c:v>
                </c:pt>
                <c:pt idx="12">
                  <c:v>0.21661087865310247</c:v>
                </c:pt>
                <c:pt idx="13">
                  <c:v>8.777943580279568E-2</c:v>
                </c:pt>
                <c:pt idx="14">
                  <c:v>6.2818525945977033E-2</c:v>
                </c:pt>
                <c:pt idx="16">
                  <c:v>7.3691949088990127E-2</c:v>
                </c:pt>
                <c:pt idx="17">
                  <c:v>0.10443339202032154</c:v>
                </c:pt>
                <c:pt idx="18">
                  <c:v>2.7943187946606218E-2</c:v>
                </c:pt>
                <c:pt idx="19">
                  <c:v>8.6753896902089345E-2</c:v>
                </c:pt>
                <c:pt idx="20">
                  <c:v>3.5042815919835824E-2</c:v>
                </c:pt>
                <c:pt idx="21">
                  <c:v>2.1394232883797715E-2</c:v>
                </c:pt>
                <c:pt idx="22">
                  <c:v>4.7281853392340811E-2</c:v>
                </c:pt>
              </c:numCache>
            </c:numRef>
          </c:xVal>
          <c:yVal>
            <c:numRef>
              <c:f>'a vs PNM'!$E$3:$E$25</c:f>
              <c:numCache>
                <c:formatCode>General</c:formatCode>
                <c:ptCount val="23"/>
                <c:pt idx="0">
                  <c:v>0.47510046634858016</c:v>
                </c:pt>
                <c:pt idx="1">
                  <c:v>0.24632207903337799</c:v>
                </c:pt>
                <c:pt idx="2">
                  <c:v>0.37223164635862283</c:v>
                </c:pt>
                <c:pt idx="3">
                  <c:v>0.52445512249131243</c:v>
                </c:pt>
                <c:pt idx="4">
                  <c:v>0.3758589465326917</c:v>
                </c:pt>
                <c:pt idx="5">
                  <c:v>0.40192240657005224</c:v>
                </c:pt>
                <c:pt idx="6">
                  <c:v>0.19515041619923573</c:v>
                </c:pt>
                <c:pt idx="8">
                  <c:v>0.1467316613206574</c:v>
                </c:pt>
                <c:pt idx="9">
                  <c:v>0.1034628292125131</c:v>
                </c:pt>
                <c:pt idx="10">
                  <c:v>0.12133150966292763</c:v>
                </c:pt>
                <c:pt idx="11">
                  <c:v>0.13117845441545559</c:v>
                </c:pt>
                <c:pt idx="12">
                  <c:v>0.15773410809083166</c:v>
                </c:pt>
                <c:pt idx="13">
                  <c:v>8.4285677449094071E-2</c:v>
                </c:pt>
                <c:pt idx="14">
                  <c:v>5.750727568726674E-2</c:v>
                </c:pt>
                <c:pt idx="16">
                  <c:v>0.10027767944572984</c:v>
                </c:pt>
                <c:pt idx="17">
                  <c:v>0.16154005018330084</c:v>
                </c:pt>
                <c:pt idx="18">
                  <c:v>6.6960720520653341E-2</c:v>
                </c:pt>
                <c:pt idx="19">
                  <c:v>9.9826857425180271E-2</c:v>
                </c:pt>
                <c:pt idx="20">
                  <c:v>5.8479776104293654E-2</c:v>
                </c:pt>
                <c:pt idx="21">
                  <c:v>0.11145036233591105</c:v>
                </c:pt>
                <c:pt idx="22">
                  <c:v>6.0623337463279345E-2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3-4981-AEF2-51B980F8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26136"/>
        <c:axId val="732728432"/>
      </c:scatterChart>
      <c:valAx>
        <c:axId val="7327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2728432"/>
        <c:crosses val="autoZero"/>
        <c:crossBetween val="midCat"/>
      </c:valAx>
      <c:valAx>
        <c:axId val="7327284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272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vs PNM'!$Q$2</c:f>
              <c:strCache>
                <c:ptCount val="1"/>
                <c:pt idx="0">
                  <c:v>a_netw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54527559055118"/>
                  <c:y val="-4.0586176727909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'a vs PNM'!$P$3:$P$17</c:f>
              <c:numCache>
                <c:formatCode>General</c:formatCode>
                <c:ptCount val="15"/>
                <c:pt idx="1">
                  <c:v>0.35751190020026424</c:v>
                </c:pt>
                <c:pt idx="2">
                  <c:v>0.35898329004365659</c:v>
                </c:pt>
                <c:pt idx="3">
                  <c:v>0.30753933820854806</c:v>
                </c:pt>
                <c:pt idx="4">
                  <c:v>0.3903969830214763</c:v>
                </c:pt>
                <c:pt idx="6">
                  <c:v>0.20246726893642852</c:v>
                </c:pt>
                <c:pt idx="7">
                  <c:v>0.12747706109106227</c:v>
                </c:pt>
                <c:pt idx="8">
                  <c:v>0.16849017142470568</c:v>
                </c:pt>
                <c:pt idx="9">
                  <c:v>6.2818525945977033E-2</c:v>
                </c:pt>
                <c:pt idx="11">
                  <c:v>7.3691949088990127E-2</c:v>
                </c:pt>
                <c:pt idx="12">
                  <c:v>0.10443339202032154</c:v>
                </c:pt>
                <c:pt idx="13">
                  <c:v>8.6753896902089345E-2</c:v>
                </c:pt>
                <c:pt idx="14">
                  <c:v>4.7281853392340811E-2</c:v>
                </c:pt>
              </c:numCache>
            </c:numRef>
          </c:xVal>
          <c:yVal>
            <c:numRef>
              <c:f>'a vs PNM'!$Q$3:$Q$17</c:f>
              <c:numCache>
                <c:formatCode>General</c:formatCode>
                <c:ptCount val="15"/>
                <c:pt idx="1">
                  <c:v>0.24632207903337799</c:v>
                </c:pt>
                <c:pt idx="2">
                  <c:v>0.37223164635862283</c:v>
                </c:pt>
                <c:pt idx="3">
                  <c:v>0.52445512249131243</c:v>
                </c:pt>
                <c:pt idx="4">
                  <c:v>0.40192240657005224</c:v>
                </c:pt>
                <c:pt idx="6">
                  <c:v>0.1467316613206574</c:v>
                </c:pt>
                <c:pt idx="7">
                  <c:v>0.1034628292125131</c:v>
                </c:pt>
                <c:pt idx="8">
                  <c:v>0.13117845441545559</c:v>
                </c:pt>
                <c:pt idx="9">
                  <c:v>5.750727568726674E-2</c:v>
                </c:pt>
                <c:pt idx="11">
                  <c:v>0.10027767944572984</c:v>
                </c:pt>
                <c:pt idx="12">
                  <c:v>0.16154005018330084</c:v>
                </c:pt>
                <c:pt idx="13">
                  <c:v>9.9826857425180271E-2</c:v>
                </c:pt>
                <c:pt idx="14">
                  <c:v>6.0623337463279345E-2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7FD-A989-2C48D39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19968"/>
        <c:axId val="736620952"/>
      </c:scatterChart>
      <c:valAx>
        <c:axId val="73661996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6620952"/>
        <c:crosses val="autoZero"/>
        <c:crossBetween val="midCat"/>
      </c:valAx>
      <c:valAx>
        <c:axId val="7366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66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 vs PNM'!$AB$4:$AB$17</c:f>
              <c:numCache>
                <c:formatCode>General</c:formatCode>
                <c:ptCount val="14"/>
                <c:pt idx="0">
                  <c:v>-0.44670949762431955</c:v>
                </c:pt>
                <c:pt idx="1">
                  <c:v>-0.4449257664933538</c:v>
                </c:pt>
                <c:pt idx="2">
                  <c:v>-0.51209932452531426</c:v>
                </c:pt>
                <c:pt idx="3">
                  <c:v>-0.40849354720971998</c:v>
                </c:pt>
                <c:pt idx="5">
                  <c:v>-0.69364517526034086</c:v>
                </c:pt>
                <c:pt idx="6">
                  <c:v>-0.89456795748766116</c:v>
                </c:pt>
                <c:pt idx="7">
                  <c:v>-0.77342542785205171</c:v>
                </c:pt>
                <c:pt idx="8">
                  <c:v>-1.2019122586576521</c:v>
                </c:pt>
                <c:pt idx="10">
                  <c:v>-1.1325799566079084</c:v>
                </c:pt>
                <c:pt idx="11">
                  <c:v>-0.98116061578342828</c:v>
                </c:pt>
                <c:pt idx="12">
                  <c:v>-1.0617110080061056</c:v>
                </c:pt>
                <c:pt idx="13">
                  <c:v>-1.3253055079666849</c:v>
                </c:pt>
              </c:numCache>
            </c:numRef>
          </c:xVal>
          <c:yVal>
            <c:numRef>
              <c:f>'a vs PNM'!$AC$4:$AC$17</c:f>
              <c:numCache>
                <c:formatCode>General</c:formatCode>
                <c:ptCount val="14"/>
                <c:pt idx="0">
                  <c:v>-0.60849665851167334</c:v>
                </c:pt>
                <c:pt idx="1">
                  <c:v>-0.42918670682408738</c:v>
                </c:pt>
                <c:pt idx="2">
                  <c:v>-0.28029166836316044</c:v>
                </c:pt>
                <c:pt idx="3">
                  <c:v>-0.39585778186847442</c:v>
                </c:pt>
                <c:pt idx="5">
                  <c:v>-0.83347616527572743</c:v>
                </c:pt>
                <c:pt idx="6">
                  <c:v>-0.98521564989192045</c:v>
                </c:pt>
                <c:pt idx="7">
                  <c:v>-0.88213749039383516</c:v>
                </c:pt>
                <c:pt idx="8">
                  <c:v>-1.2402772059027372</c:v>
                </c:pt>
                <c:pt idx="10">
                  <c:v>-0.99879572472953049</c:v>
                </c:pt>
                <c:pt idx="11">
                  <c:v>-0.79171978653871133</c:v>
                </c:pt>
                <c:pt idx="12">
                  <c:v>-1.000752600372276</c:v>
                </c:pt>
                <c:pt idx="13">
                  <c:v>-1.2173601583348206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6-41AA-BB51-2FC1A80F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15528"/>
        <c:axId val="816013560"/>
      </c:scatterChart>
      <c:valAx>
        <c:axId val="8160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6013560"/>
        <c:crosses val="autoZero"/>
        <c:crossBetween val="midCat"/>
      </c:valAx>
      <c:valAx>
        <c:axId val="8160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1601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stats'!$AI$2</c:f>
              <c:strCache>
                <c:ptCount val="1"/>
                <c:pt idx="0">
                  <c:v>D_TPM_1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stats'!$B$3:$B$36</c:f>
              <c:numCache>
                <c:formatCode>General</c:formatCode>
                <c:ptCount val="34"/>
                <c:pt idx="0">
                  <c:v>3.0319872516457584E-3</c:v>
                </c:pt>
                <c:pt idx="1">
                  <c:v>3.53187923001722E-3</c:v>
                </c:pt>
                <c:pt idx="3">
                  <c:v>4.2371049729606879E-3</c:v>
                </c:pt>
                <c:pt idx="4">
                  <c:v>1.4618750901520868E-3</c:v>
                </c:pt>
                <c:pt idx="5">
                  <c:v>1.7462797905753757E-3</c:v>
                </c:pt>
                <c:pt idx="6">
                  <c:v>2.9494083603265739E-3</c:v>
                </c:pt>
                <c:pt idx="9">
                  <c:v>3.4567427337100567E-3</c:v>
                </c:pt>
                <c:pt idx="10">
                  <c:v>7.6923956915327255E-3</c:v>
                </c:pt>
                <c:pt idx="12">
                  <c:v>5.3450957339994396E-3</c:v>
                </c:pt>
                <c:pt idx="15">
                  <c:v>2.5156138141965976E-3</c:v>
                </c:pt>
                <c:pt idx="18">
                  <c:v>6.0173190115224056E-3</c:v>
                </c:pt>
                <c:pt idx="19">
                  <c:v>1.3095607731689905E-2</c:v>
                </c:pt>
                <c:pt idx="20">
                  <c:v>6.7354076969024018E-3</c:v>
                </c:pt>
                <c:pt idx="21">
                  <c:v>4.5710929647502525E-3</c:v>
                </c:pt>
                <c:pt idx="22">
                  <c:v>2.0246662698289995E-3</c:v>
                </c:pt>
                <c:pt idx="23">
                  <c:v>1.9090741231193203E-3</c:v>
                </c:pt>
                <c:pt idx="27">
                  <c:v>9.5102467839510221E-3</c:v>
                </c:pt>
                <c:pt idx="28">
                  <c:v>1.5662653986566157E-2</c:v>
                </c:pt>
                <c:pt idx="29">
                  <c:v>9.9405147581785938E-3</c:v>
                </c:pt>
                <c:pt idx="31">
                  <c:v>5.4432895862865562E-3</c:v>
                </c:pt>
                <c:pt idx="32">
                  <c:v>2.6545067409292859E-3</c:v>
                </c:pt>
                <c:pt idx="33">
                  <c:v>6.507995679971585E-3</c:v>
                </c:pt>
              </c:numCache>
            </c:numRef>
          </c:xVal>
          <c:yVal>
            <c:numRef>
              <c:f>'Models stats'!$I$3:$I$36</c:f>
              <c:numCache>
                <c:formatCode>General</c:formatCode>
                <c:ptCount val="34"/>
                <c:pt idx="0">
                  <c:v>9.2841678036383171E-5</c:v>
                </c:pt>
                <c:pt idx="1">
                  <c:v>1.1283403149905439E-4</c:v>
                </c:pt>
                <c:pt idx="3">
                  <c:v>3.3955141173470102E-4</c:v>
                </c:pt>
                <c:pt idx="4">
                  <c:v>2.5323173822835299E-6</c:v>
                </c:pt>
                <c:pt idx="5">
                  <c:v>3.0265668352326965E-6</c:v>
                </c:pt>
                <c:pt idx="6">
                  <c:v>8.8472307703029251E-5</c:v>
                </c:pt>
                <c:pt idx="9">
                  <c:v>4.8182226988194976E-4</c:v>
                </c:pt>
                <c:pt idx="10">
                  <c:v>1.0889063510014407E-3</c:v>
                </c:pt>
                <c:pt idx="12">
                  <c:v>6.936986021216933E-4</c:v>
                </c:pt>
                <c:pt idx="15">
                  <c:v>2.0068901283820057E-4</c:v>
                </c:pt>
                <c:pt idx="18">
                  <c:v>2.6252612384692941E-3</c:v>
                </c:pt>
                <c:pt idx="19">
                  <c:v>4.8884716141320743E-3</c:v>
                </c:pt>
                <c:pt idx="20">
                  <c:v>9.2772241622015867E-4</c:v>
                </c:pt>
                <c:pt idx="21">
                  <c:v>3.9568347352584151E-3</c:v>
                </c:pt>
                <c:pt idx="22">
                  <c:v>7.2869497492349816E-4</c:v>
                </c:pt>
                <c:pt idx="23">
                  <c:v>9.8092128358669086E-4</c:v>
                </c:pt>
                <c:pt idx="27">
                  <c:v>3.2514754904433268E-3</c:v>
                </c:pt>
                <c:pt idx="28">
                  <c:v>7.511791515752873E-3</c:v>
                </c:pt>
                <c:pt idx="29">
                  <c:v>1.9611795374122483E-3</c:v>
                </c:pt>
                <c:pt idx="31">
                  <c:v>1.5140104406033562E-3</c:v>
                </c:pt>
                <c:pt idx="32">
                  <c:v>3.0706114498076681E-3</c:v>
                </c:pt>
                <c:pt idx="33">
                  <c:v>1.6676155331084993E-3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5-4C22-9B2F-5FE5A784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92328"/>
        <c:axId val="694692000"/>
      </c:scatterChart>
      <c:valAx>
        <c:axId val="69469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4692000"/>
        <c:crosses val="autoZero"/>
        <c:crossBetween val="midCat"/>
      </c:valAx>
      <c:valAx>
        <c:axId val="6946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469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stats'!$T$2</c:f>
              <c:strCache>
                <c:ptCount val="1"/>
                <c:pt idx="0">
                  <c:v>D_MQ_2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stats'!$T$3:$T$36</c:f>
              <c:numCache>
                <c:formatCode>General</c:formatCode>
                <c:ptCount val="34"/>
                <c:pt idx="0">
                  <c:v>8.4514422214899379E-4</c:v>
                </c:pt>
                <c:pt idx="1">
                  <c:v>1.4930312409022406E-4</c:v>
                </c:pt>
                <c:pt idx="2">
                  <c:v>1.5218105888776029E-4</c:v>
                </c:pt>
                <c:pt idx="3">
                  <c:v>4.4224881443744019E-4</c:v>
                </c:pt>
                <c:pt idx="4">
                  <c:v>5.946875405093172E-4</c:v>
                </c:pt>
                <c:pt idx="5">
                  <c:v>2.9471564427869754E-5</c:v>
                </c:pt>
                <c:pt idx="6">
                  <c:v>1.885254698942245E-5</c:v>
                </c:pt>
                <c:pt idx="9">
                  <c:v>1.1958897693681973E-3</c:v>
                </c:pt>
                <c:pt idx="10">
                  <c:v>2.5571343159751432E-4</c:v>
                </c:pt>
                <c:pt idx="12">
                  <c:v>6.5305270668044137E-4</c:v>
                </c:pt>
                <c:pt idx="15">
                  <c:v>2.5012253895454882E-5</c:v>
                </c:pt>
                <c:pt idx="18">
                  <c:v>2.7775033199804195E-3</c:v>
                </c:pt>
                <c:pt idx="19">
                  <c:v>5.4966352013906825E-4</c:v>
                </c:pt>
                <c:pt idx="20">
                  <c:v>1.2440078494114673E-3</c:v>
                </c:pt>
                <c:pt idx="21">
                  <c:v>1.8921247532304503E-3</c:v>
                </c:pt>
                <c:pt idx="22">
                  <c:v>4.5883275973288744E-3</c:v>
                </c:pt>
                <c:pt idx="23">
                  <c:v>3.6864246390895018E-4</c:v>
                </c:pt>
                <c:pt idx="24">
                  <c:v>2.28419286354885E-4</c:v>
                </c:pt>
                <c:pt idx="27">
                  <c:v>3.0301361237296018E-3</c:v>
                </c:pt>
                <c:pt idx="28">
                  <c:v>6.1271303858484645E-4</c:v>
                </c:pt>
                <c:pt idx="30">
                  <c:v>2.1002501985499535E-3</c:v>
                </c:pt>
                <c:pt idx="31">
                  <c:v>6.5727363156050118E-3</c:v>
                </c:pt>
                <c:pt idx="32">
                  <c:v>1.6496943243666335E-3</c:v>
                </c:pt>
                <c:pt idx="33">
                  <c:v>7.7124964586000047E-4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8-4E80-8416-FD045D9B0F54}"/>
            </c:ext>
          </c:extLst>
        </c:ser>
        <c:ser>
          <c:idx val="1"/>
          <c:order val="1"/>
          <c:tx>
            <c:strRef>
              <c:f>'Models stats'!$U$2</c:f>
              <c:strCache>
                <c:ptCount val="1"/>
                <c:pt idx="0">
                  <c:v>D_CC_2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stats'!$U$3:$U$36</c:f>
              <c:numCache>
                <c:formatCode>General</c:formatCode>
                <c:ptCount val="34"/>
                <c:pt idx="0">
                  <c:v>3.6323304575388246E-3</c:v>
                </c:pt>
                <c:pt idx="1">
                  <c:v>1.0986141073212274E-3</c:v>
                </c:pt>
                <c:pt idx="2">
                  <c:v>1.1083577630375662E-3</c:v>
                </c:pt>
                <c:pt idx="3">
                  <c:v>2.3115916704829647E-3</c:v>
                </c:pt>
                <c:pt idx="4">
                  <c:v>2.7858491145097038E-3</c:v>
                </c:pt>
                <c:pt idx="5">
                  <c:v>3.4439792038629911E-4</c:v>
                </c:pt>
                <c:pt idx="6">
                  <c:v>2.5732119188998868E-4</c:v>
                </c:pt>
                <c:pt idx="9">
                  <c:v>4.615406695921578E-3</c:v>
                </c:pt>
                <c:pt idx="10">
                  <c:v>1.5925298326494358E-3</c:v>
                </c:pt>
                <c:pt idx="12">
                  <c:v>3.0249304579152455E-3</c:v>
                </c:pt>
                <c:pt idx="15">
                  <c:v>3.1274882302172532E-4</c:v>
                </c:pt>
                <c:pt idx="18">
                  <c:v>8.2551457748196826E-3</c:v>
                </c:pt>
                <c:pt idx="19">
                  <c:v>2.700253297136889E-3</c:v>
                </c:pt>
                <c:pt idx="20">
                  <c:v>4.7236651687411757E-3</c:v>
                </c:pt>
                <c:pt idx="21">
                  <c:v>6.302261986554313E-3</c:v>
                </c:pt>
                <c:pt idx="22">
                  <c:v>1.1408796664875438E-2</c:v>
                </c:pt>
                <c:pt idx="23">
                  <c:v>1.9684755177338969E-3</c:v>
                </c:pt>
                <c:pt idx="24">
                  <c:v>1.4387848091965672E-3</c:v>
                </c:pt>
                <c:pt idx="27">
                  <c:v>8.6874234205797009E-3</c:v>
                </c:pt>
                <c:pt idx="28">
                  <c:v>2.88425468395774E-3</c:v>
                </c:pt>
                <c:pt idx="30">
                  <c:v>6.7095118592764196E-3</c:v>
                </c:pt>
                <c:pt idx="31">
                  <c:v>1.4570255534226506E-2</c:v>
                </c:pt>
                <c:pt idx="32">
                  <c:v>5.5148165787223761E-3</c:v>
                </c:pt>
                <c:pt idx="33">
                  <c:v>3.3314612557917207E-3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8-4E80-8416-FD045D9B0F54}"/>
            </c:ext>
          </c:extLst>
        </c:ser>
        <c:ser>
          <c:idx val="2"/>
          <c:order val="2"/>
          <c:tx>
            <c:strRef>
              <c:f>'Models stats'!$V$2</c:f>
              <c:strCache>
                <c:ptCount val="1"/>
                <c:pt idx="0">
                  <c:v>D_TPM_2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stats'!$V$3:$V$36</c:f>
              <c:numCache>
                <c:formatCode>General</c:formatCode>
                <c:ptCount val="34"/>
                <c:pt idx="0">
                  <c:v>4.0824028750441497E-3</c:v>
                </c:pt>
                <c:pt idx="1">
                  <c:v>1.1860177869948767E-3</c:v>
                </c:pt>
                <c:pt idx="2">
                  <c:v>1.1797298760353719E-3</c:v>
                </c:pt>
                <c:pt idx="3">
                  <c:v>2.5104678669987499E-3</c:v>
                </c:pt>
                <c:pt idx="4">
                  <c:v>3.5289079636859366E-3</c:v>
                </c:pt>
                <c:pt idx="5">
                  <c:v>3.5575337547268733E-4</c:v>
                </c:pt>
                <c:pt idx="6">
                  <c:v>2.6791022245159122E-4</c:v>
                </c:pt>
                <c:pt idx="9">
                  <c:v>5.1932644315138901E-3</c:v>
                </c:pt>
                <c:pt idx="10">
                  <c:v>1.7268128299008604E-3</c:v>
                </c:pt>
                <c:pt idx="12">
                  <c:v>3.2965527588539978E-3</c:v>
                </c:pt>
                <c:pt idx="15">
                  <c:v>3.2662173604148598E-4</c:v>
                </c:pt>
                <c:pt idx="18">
                  <c:v>9.3146988197563858E-3</c:v>
                </c:pt>
                <c:pt idx="19">
                  <c:v>2.9463269140262748E-3</c:v>
                </c:pt>
                <c:pt idx="20">
                  <c:v>5.1383275378742571E-3</c:v>
                </c:pt>
                <c:pt idx="21">
                  <c:v>6.933265768922987E-3</c:v>
                </c:pt>
                <c:pt idx="22">
                  <c:v>1.3956249827039061E-2</c:v>
                </c:pt>
                <c:pt idx="23">
                  <c:v>2.100165192304678E-3</c:v>
                </c:pt>
                <c:pt idx="24">
                  <c:v>1.5391988152302174E-3</c:v>
                </c:pt>
                <c:pt idx="27">
                  <c:v>9.804864419114533E-3</c:v>
                </c:pt>
                <c:pt idx="28">
                  <c:v>3.1495568778646971E-3</c:v>
                </c:pt>
                <c:pt idx="30">
                  <c:v>7.3872331317185709E-3</c:v>
                </c:pt>
                <c:pt idx="31">
                  <c:v>1.7716052617778876E-2</c:v>
                </c:pt>
                <c:pt idx="32">
                  <c:v>5.9972016725352252E-3</c:v>
                </c:pt>
                <c:pt idx="33">
                  <c:v>3.6114567179927649E-3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8-4E80-8416-FD045D9B0F54}"/>
            </c:ext>
          </c:extLst>
        </c:ser>
        <c:ser>
          <c:idx val="3"/>
          <c:order val="3"/>
          <c:tx>
            <c:strRef>
              <c:f>'Models stats'!#REF!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'Models stats'!$P$3:$P$36</c:f>
              <c:numCache>
                <c:formatCode>General</c:formatCode>
                <c:ptCount val="34"/>
                <c:pt idx="0">
                  <c:v>0.1824427994665716</c:v>
                </c:pt>
                <c:pt idx="1">
                  <c:v>0.1084742482268104</c:v>
                </c:pt>
                <c:pt idx="2">
                  <c:v>0.10889149278453958</c:v>
                </c:pt>
                <c:pt idx="3">
                  <c:v>0.14989602120269585</c:v>
                </c:pt>
                <c:pt idx="4">
                  <c:v>0.16256524421660068</c:v>
                </c:pt>
                <c:pt idx="5">
                  <c:v>6.5507321800608143E-2</c:v>
                </c:pt>
                <c:pt idx="6">
                  <c:v>5.7710242917952237E-2</c:v>
                </c:pt>
                <c:pt idx="9">
                  <c:v>0.20246726893642852</c:v>
                </c:pt>
                <c:pt idx="10">
                  <c:v>0.12747706109106227</c:v>
                </c:pt>
                <c:pt idx="11">
                  <c:v>0.13913252831044587</c:v>
                </c:pt>
                <c:pt idx="12">
                  <c:v>0.16849017142470568</c:v>
                </c:pt>
                <c:pt idx="13">
                  <c:v>0.21661087865310247</c:v>
                </c:pt>
                <c:pt idx="14">
                  <c:v>8.777943580279568E-2</c:v>
                </c:pt>
                <c:pt idx="15">
                  <c:v>6.2818525945977033E-2</c:v>
                </c:pt>
                <c:pt idx="18">
                  <c:v>0.26070169545591049</c:v>
                </c:pt>
                <c:pt idx="19">
                  <c:v>0.16037440379154144</c:v>
                </c:pt>
                <c:pt idx="20">
                  <c:v>0.2045185510691625</c:v>
                </c:pt>
                <c:pt idx="21">
                  <c:v>0.23183288097221222</c:v>
                </c:pt>
                <c:pt idx="22">
                  <c:v>0.30008022333102635</c:v>
                </c:pt>
                <c:pt idx="23">
                  <c:v>0.13978175702808737</c:v>
                </c:pt>
                <c:pt idx="24">
                  <c:v>0.12197244341050328</c:v>
                </c:pt>
                <c:pt idx="27">
                  <c:v>0.26655163596748066</c:v>
                </c:pt>
                <c:pt idx="28">
                  <c:v>0.16503744452336877</c:v>
                </c:pt>
                <c:pt idx="29">
                  <c:v>0.22532973018055513</c:v>
                </c:pt>
                <c:pt idx="30">
                  <c:v>0.23823124240219629</c:v>
                </c:pt>
                <c:pt idx="31">
                  <c:v>0.33375145631515701</c:v>
                </c:pt>
                <c:pt idx="32">
                  <c:v>0.2187624068439854</c:v>
                </c:pt>
                <c:pt idx="33">
                  <c:v>0.17571158086532357</c:v>
                </c:pt>
              </c:numCache>
            </c:numRef>
          </c:xVal>
          <c:yVal>
            <c:numRef>
              <c:f>'Models 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8-4E80-8416-FD045D9B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91416"/>
        <c:axId val="758688792"/>
      </c:scatterChart>
      <c:valAx>
        <c:axId val="7586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688792"/>
        <c:crosses val="autoZero"/>
        <c:crossBetween val="midCat"/>
      </c:valAx>
      <c:valAx>
        <c:axId val="7586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69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stats'!$V$2</c:f>
              <c:strCache>
                <c:ptCount val="1"/>
                <c:pt idx="0">
                  <c:v>D_TPM_2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stats'!$O$3:$O$36</c:f>
              <c:numCache>
                <c:formatCode>General</c:formatCode>
                <c:ptCount val="34"/>
                <c:pt idx="0">
                  <c:v>4.286180835971768E-3</c:v>
                </c:pt>
                <c:pt idx="1">
                  <c:v>4.0814758859927785E-3</c:v>
                </c:pt>
                <c:pt idx="2">
                  <c:v>5.3297453510601518E-3</c:v>
                </c:pt>
                <c:pt idx="3">
                  <c:v>4.7904441561643267E-3</c:v>
                </c:pt>
                <c:pt idx="4">
                  <c:v>1.8202559152920971E-3</c:v>
                </c:pt>
                <c:pt idx="5">
                  <c:v>1.9635223695734284E-3</c:v>
                </c:pt>
                <c:pt idx="6">
                  <c:v>3.208905888182019E-3</c:v>
                </c:pt>
                <c:pt idx="9">
                  <c:v>6.641620727028251E-3</c:v>
                </c:pt>
                <c:pt idx="10">
                  <c:v>5.3082345699056168E-3</c:v>
                </c:pt>
                <c:pt idx="12">
                  <c:v>4.8407196690174528E-3</c:v>
                </c:pt>
                <c:pt idx="15">
                  <c:v>4.3550375242183458E-3</c:v>
                </c:pt>
                <c:pt idx="18">
                  <c:v>9.4400810101028208E-3</c:v>
                </c:pt>
                <c:pt idx="19">
                  <c:v>5.0515898484506565E-3</c:v>
                </c:pt>
                <c:pt idx="20">
                  <c:v>6.291541065174224E-3</c:v>
                </c:pt>
                <c:pt idx="21">
                  <c:v>6.4518216664518676E-3</c:v>
                </c:pt>
                <c:pt idx="22">
                  <c:v>2.9391957301985665E-3</c:v>
                </c:pt>
                <c:pt idx="23">
                  <c:v>5.37918269121785E-3</c:v>
                </c:pt>
                <c:pt idx="24">
                  <c:v>3.3616645224090022E-3</c:v>
                </c:pt>
                <c:pt idx="27">
                  <c:v>1.0854071491960856E-2</c:v>
                </c:pt>
                <c:pt idx="28">
                  <c:v>1.2314517492728601E-2</c:v>
                </c:pt>
                <c:pt idx="30">
                  <c:v>1.1784927717019986E-2</c:v>
                </c:pt>
                <c:pt idx="31">
                  <c:v>4.9693116344215055E-3</c:v>
                </c:pt>
                <c:pt idx="32">
                  <c:v>8.3064920224965276E-3</c:v>
                </c:pt>
                <c:pt idx="33">
                  <c:v>3.3812937074082627E-3</c:v>
                </c:pt>
              </c:numCache>
            </c:numRef>
          </c:xVal>
          <c:yVal>
            <c:numRef>
              <c:f>'Models stats'!$V$3:$V$36</c:f>
              <c:numCache>
                <c:formatCode>General</c:formatCode>
                <c:ptCount val="34"/>
                <c:pt idx="0">
                  <c:v>4.0824028750441497E-3</c:v>
                </c:pt>
                <c:pt idx="1">
                  <c:v>1.1860177869948767E-3</c:v>
                </c:pt>
                <c:pt idx="2">
                  <c:v>1.1797298760353719E-3</c:v>
                </c:pt>
                <c:pt idx="3">
                  <c:v>2.5104678669987499E-3</c:v>
                </c:pt>
                <c:pt idx="4">
                  <c:v>3.5289079636859366E-3</c:v>
                </c:pt>
                <c:pt idx="5">
                  <c:v>3.5575337547268733E-4</c:v>
                </c:pt>
                <c:pt idx="6">
                  <c:v>2.6791022245159122E-4</c:v>
                </c:pt>
                <c:pt idx="9">
                  <c:v>5.1932644315138901E-3</c:v>
                </c:pt>
                <c:pt idx="10">
                  <c:v>1.7268128299008604E-3</c:v>
                </c:pt>
                <c:pt idx="12">
                  <c:v>3.2965527588539978E-3</c:v>
                </c:pt>
                <c:pt idx="15">
                  <c:v>3.2662173604148598E-4</c:v>
                </c:pt>
                <c:pt idx="18">
                  <c:v>9.3146988197563858E-3</c:v>
                </c:pt>
                <c:pt idx="19">
                  <c:v>2.9463269140262748E-3</c:v>
                </c:pt>
                <c:pt idx="20">
                  <c:v>5.1383275378742571E-3</c:v>
                </c:pt>
                <c:pt idx="21">
                  <c:v>6.933265768922987E-3</c:v>
                </c:pt>
                <c:pt idx="22">
                  <c:v>1.3956249827039061E-2</c:v>
                </c:pt>
                <c:pt idx="23">
                  <c:v>2.100165192304678E-3</c:v>
                </c:pt>
                <c:pt idx="24">
                  <c:v>1.5391988152302174E-3</c:v>
                </c:pt>
                <c:pt idx="27">
                  <c:v>9.804864419114533E-3</c:v>
                </c:pt>
                <c:pt idx="28">
                  <c:v>3.1495568778646971E-3</c:v>
                </c:pt>
                <c:pt idx="30">
                  <c:v>7.3872331317185709E-3</c:v>
                </c:pt>
                <c:pt idx="31">
                  <c:v>1.7716052617778876E-2</c:v>
                </c:pt>
                <c:pt idx="32">
                  <c:v>5.9972016725352252E-3</c:v>
                </c:pt>
                <c:pt idx="33">
                  <c:v>3.6114567179927649E-3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6-4FBA-B0DD-A7F48A04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80320"/>
        <c:axId val="783776384"/>
      </c:scatterChart>
      <c:valAx>
        <c:axId val="7837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83776384"/>
        <c:crosses val="autoZero"/>
        <c:crossBetween val="midCat"/>
      </c:valAx>
      <c:valAx>
        <c:axId val="783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837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992869641294839"/>
                  <c:y val="-0.27076079031787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stats'!$AB$3:$AB$36</c:f>
              <c:numCache>
                <c:formatCode>General</c:formatCode>
                <c:ptCount val="34"/>
                <c:pt idx="0">
                  <c:v>2.7577014920563778E-2</c:v>
                </c:pt>
                <c:pt idx="1">
                  <c:v>1.2790216407641865E-2</c:v>
                </c:pt>
                <c:pt idx="2">
                  <c:v>1.3092334861918376E-2</c:v>
                </c:pt>
                <c:pt idx="3">
                  <c:v>7.1601741935054843E-3</c:v>
                </c:pt>
                <c:pt idx="4">
                  <c:v>4.4240343246795552E-3</c:v>
                </c:pt>
                <c:pt idx="5">
                  <c:v>8.7833793438758488E-3</c:v>
                </c:pt>
                <c:pt idx="6">
                  <c:v>1.0096672339517464E-2</c:v>
                </c:pt>
                <c:pt idx="10">
                  <c:v>1.1217025686852585E-2</c:v>
                </c:pt>
                <c:pt idx="11">
                  <c:v>1.3074051241337873E-2</c:v>
                </c:pt>
                <c:pt idx="12">
                  <c:v>7.1394226028235943E-3</c:v>
                </c:pt>
                <c:pt idx="14">
                  <c:v>1.0923085958783685E-2</c:v>
                </c:pt>
                <c:pt idx="19">
                  <c:v>1.7163550776464684E-2</c:v>
                </c:pt>
                <c:pt idx="20">
                  <c:v>2.438385545034407E-2</c:v>
                </c:pt>
                <c:pt idx="21">
                  <c:v>1.0928157433809494E-2</c:v>
                </c:pt>
                <c:pt idx="22">
                  <c:v>6.3595519795839129E-3</c:v>
                </c:pt>
                <c:pt idx="23">
                  <c:v>1.8411699572518404E-2</c:v>
                </c:pt>
                <c:pt idx="24">
                  <c:v>1.5867531162167343E-2</c:v>
                </c:pt>
                <c:pt idx="28">
                  <c:v>2.0372114007697891E-2</c:v>
                </c:pt>
                <c:pt idx="29">
                  <c:v>2.3020764092721364E-2</c:v>
                </c:pt>
                <c:pt idx="31">
                  <c:v>1.147647099443091E-2</c:v>
                </c:pt>
                <c:pt idx="32">
                  <c:v>2.1168883485351852E-2</c:v>
                </c:pt>
                <c:pt idx="33">
                  <c:v>1.984787749857455E-2</c:v>
                </c:pt>
              </c:numCache>
            </c:numRef>
          </c:xVal>
          <c:yVal>
            <c:numRef>
              <c:f>'Models 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'Models stats'!#REF!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C8-4475-906B-7766FDD1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68344"/>
        <c:axId val="720367360"/>
      </c:scatterChart>
      <c:valAx>
        <c:axId val="72036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20367360"/>
        <c:crosses val="autoZero"/>
        <c:crossBetween val="midCat"/>
      </c:valAx>
      <c:valAx>
        <c:axId val="720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2036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'Models stats'!$BO$2</c:f>
              <c:strCache>
                <c:ptCount val="1"/>
                <c:pt idx="0">
                  <c:v>D(-10 kPa)/D0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46268441845721"/>
                  <c:y val="-0.21488909319318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'Models stats'!$BM$3:$BM$19</c:f>
              <c:numCache>
                <c:formatCode>General</c:formatCode>
                <c:ptCount val="17"/>
                <c:pt idx="0">
                  <c:v>0.44334593341838785</c:v>
                </c:pt>
                <c:pt idx="1">
                  <c:v>0.47477407243141512</c:v>
                </c:pt>
                <c:pt idx="2">
                  <c:v>0.40210768780800255</c:v>
                </c:pt>
                <c:pt idx="3">
                  <c:v>0.54353585662964909</c:v>
                </c:pt>
                <c:pt idx="4">
                  <c:v>0.24569057062802424</c:v>
                </c:pt>
                <c:pt idx="5">
                  <c:v>0.26655163596748066</c:v>
                </c:pt>
                <c:pt idx="6">
                  <c:v>0.16503744452336877</c:v>
                </c:pt>
                <c:pt idx="7">
                  <c:v>0.23823124240219629</c:v>
                </c:pt>
                <c:pt idx="8">
                  <c:v>0.33375145631515701</c:v>
                </c:pt>
                <c:pt idx="9">
                  <c:v>0.2187624068439854</c:v>
                </c:pt>
                <c:pt idx="10">
                  <c:v>0.17571158086532357</c:v>
                </c:pt>
                <c:pt idx="11">
                  <c:v>0.16748833350809134</c:v>
                </c:pt>
                <c:pt idx="12">
                  <c:v>0.23984193657292108</c:v>
                </c:pt>
                <c:pt idx="13">
                  <c:v>0.13080833716970208</c:v>
                </c:pt>
                <c:pt idx="14">
                  <c:v>0.11376244845810468</c:v>
                </c:pt>
                <c:pt idx="15">
                  <c:v>0.16309800408120356</c:v>
                </c:pt>
                <c:pt idx="16">
                  <c:v>0.11999622176307945</c:v>
                </c:pt>
              </c:numCache>
            </c:numRef>
          </c:xVal>
          <c:yVal>
            <c:numRef>
              <c:f>'Models stats'!$BO$3:$BO$19</c:f>
              <c:numCache>
                <c:formatCode>General</c:formatCode>
                <c:ptCount val="17"/>
                <c:pt idx="0">
                  <c:v>0.10085204954305886</c:v>
                </c:pt>
                <c:pt idx="1">
                  <c:v>0.11396417867683843</c:v>
                </c:pt>
                <c:pt idx="2">
                  <c:v>5.681421284371737E-2</c:v>
                </c:pt>
                <c:pt idx="3">
                  <c:v>0.10479645289778144</c:v>
                </c:pt>
                <c:pt idx="4">
                  <c:v>9.8256819299873996E-2</c:v>
                </c:pt>
                <c:pt idx="5">
                  <c:v>5.3733027187925025E-2</c:v>
                </c:pt>
                <c:pt idx="6">
                  <c:v>6.0962957884795055E-2</c:v>
                </c:pt>
                <c:pt idx="7">
                  <c:v>5.8341226321881115E-2</c:v>
                </c:pt>
                <c:pt idx="8">
                  <c:v>2.4600552645651017E-2</c:v>
                </c:pt>
                <c:pt idx="9">
                  <c:v>4.1121247636121419E-2</c:v>
                </c:pt>
                <c:pt idx="10">
                  <c:v>1.6739077759446844E-2</c:v>
                </c:pt>
                <c:pt idx="11">
                  <c:v>4.7080429623519909E-2</c:v>
                </c:pt>
                <c:pt idx="12">
                  <c:v>7.7537891022604735E-2</c:v>
                </c:pt>
                <c:pt idx="13">
                  <c:v>4.9210469099894023E-2</c:v>
                </c:pt>
                <c:pt idx="14">
                  <c:v>2.6946978149933444E-2</c:v>
                </c:pt>
                <c:pt idx="15">
                  <c:v>1.3141122479847949E-2</c:v>
                </c:pt>
                <c:pt idx="16">
                  <c:v>3.2217800395898936E-2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7-4671-A3F6-8FB1A1A4F1F0}"/>
            </c:ext>
          </c:extLst>
        </c:ser>
        <c:ser>
          <c:idx val="1"/>
          <c:order val="1"/>
          <c:tx>
            <c:strRef>
              <c:f>'Models stats'!$BP$2</c:f>
              <c:strCache>
                <c:ptCount val="1"/>
                <c:pt idx="0">
                  <c:v>Moldrup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'Models stats'!$BM$3:$BM$19</c:f>
              <c:numCache>
                <c:formatCode>General</c:formatCode>
                <c:ptCount val="17"/>
                <c:pt idx="0">
                  <c:v>0.44334593341838785</c:v>
                </c:pt>
                <c:pt idx="1">
                  <c:v>0.47477407243141512</c:v>
                </c:pt>
                <c:pt idx="2">
                  <c:v>0.40210768780800255</c:v>
                </c:pt>
                <c:pt idx="3">
                  <c:v>0.54353585662964909</c:v>
                </c:pt>
                <c:pt idx="4">
                  <c:v>0.24569057062802424</c:v>
                </c:pt>
                <c:pt idx="5">
                  <c:v>0.26655163596748066</c:v>
                </c:pt>
                <c:pt idx="6">
                  <c:v>0.16503744452336877</c:v>
                </c:pt>
                <c:pt idx="7">
                  <c:v>0.23823124240219629</c:v>
                </c:pt>
                <c:pt idx="8">
                  <c:v>0.33375145631515701</c:v>
                </c:pt>
                <c:pt idx="9">
                  <c:v>0.2187624068439854</c:v>
                </c:pt>
                <c:pt idx="10">
                  <c:v>0.17571158086532357</c:v>
                </c:pt>
                <c:pt idx="11">
                  <c:v>0.16748833350809134</c:v>
                </c:pt>
                <c:pt idx="12">
                  <c:v>0.23984193657292108</c:v>
                </c:pt>
                <c:pt idx="13">
                  <c:v>0.13080833716970208</c:v>
                </c:pt>
                <c:pt idx="14">
                  <c:v>0.11376244845810468</c:v>
                </c:pt>
                <c:pt idx="15">
                  <c:v>0.16309800408120356</c:v>
                </c:pt>
                <c:pt idx="16">
                  <c:v>0.11999622176307945</c:v>
                </c:pt>
              </c:numCache>
            </c:numRef>
          </c:xVal>
          <c:yVal>
            <c:numRef>
              <c:f>'Models stats'!$BP$3:$BP$19</c:f>
              <c:numCache>
                <c:formatCode>General</c:formatCode>
                <c:ptCount val="17"/>
                <c:pt idx="0">
                  <c:v>0.19201810402675618</c:v>
                </c:pt>
                <c:pt idx="1">
                  <c:v>0.23302900890152947</c:v>
                </c:pt>
                <c:pt idx="2">
                  <c:v>0.14611836816911794</c:v>
                </c:pt>
                <c:pt idx="3">
                  <c:v>0.34289636483099578</c:v>
                </c:pt>
                <c:pt idx="4">
                  <c:v>3.948928352050797E-2</c:v>
                </c:pt>
                <c:pt idx="5">
                  <c:v>4.8538932767893748E-2</c:v>
                </c:pt>
                <c:pt idx="6">
                  <c:v>1.5591865732003447E-2</c:v>
                </c:pt>
                <c:pt idx="7">
                  <c:v>3.6570461048111728E-2</c:v>
                </c:pt>
                <c:pt idx="8">
                  <c:v>8.7703230781083552E-2</c:v>
                </c:pt>
                <c:pt idx="9">
                  <c:v>2.9689117190768444E-2</c:v>
                </c:pt>
                <c:pt idx="10">
                  <c:v>1.7878498603924577E-2</c:v>
                </c:pt>
                <c:pt idx="11">
                  <c:v>1.6096413319026372E-2</c:v>
                </c:pt>
                <c:pt idx="12">
                  <c:v>3.7187086711647895E-2</c:v>
                </c:pt>
                <c:pt idx="13">
                  <c:v>9.7088095911497443E-3</c:v>
                </c:pt>
                <c:pt idx="14">
                  <c:v>7.4951011911057203E-3</c:v>
                </c:pt>
                <c:pt idx="15">
                  <c:v>1.520104678122608E-2</c:v>
                </c:pt>
                <c:pt idx="16">
                  <c:v>8.2555224411311884E-3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7-4671-A3F6-8FB1A1A4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10528"/>
        <c:axId val="689784280"/>
      </c:scatterChart>
      <c:valAx>
        <c:axId val="6583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9784280"/>
        <c:crosses val="autoZero"/>
        <c:crossBetween val="midCat"/>
      </c:valAx>
      <c:valAx>
        <c:axId val="6897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31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PNM'!$C$2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741661680214902"/>
                  <c:y val="-0.2163468375342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PNM'!$B$3:$B$17</c:f>
              <c:numCache>
                <c:formatCode>General</c:formatCode>
                <c:ptCount val="15"/>
                <c:pt idx="1">
                  <c:v>1.1217025686852585E-2</c:v>
                </c:pt>
                <c:pt idx="2">
                  <c:v>1.3074051241337873E-2</c:v>
                </c:pt>
                <c:pt idx="3">
                  <c:v>7.1394226028235943E-3</c:v>
                </c:pt>
                <c:pt idx="4">
                  <c:v>1.0923085958783685E-2</c:v>
                </c:pt>
                <c:pt idx="6">
                  <c:v>6.641620727028251E-3</c:v>
                </c:pt>
                <c:pt idx="7">
                  <c:v>5.3082345699056168E-3</c:v>
                </c:pt>
                <c:pt idx="8">
                  <c:v>4.8407196690174528E-3</c:v>
                </c:pt>
                <c:pt idx="9">
                  <c:v>4.3550375242183458E-3</c:v>
                </c:pt>
                <c:pt idx="11">
                  <c:v>3.4567427337100567E-3</c:v>
                </c:pt>
                <c:pt idx="12">
                  <c:v>7.6923956915327255E-3</c:v>
                </c:pt>
                <c:pt idx="13">
                  <c:v>5.3450957339994396E-3</c:v>
                </c:pt>
                <c:pt idx="14">
                  <c:v>2.5156138141965976E-3</c:v>
                </c:pt>
              </c:numCache>
            </c:numRef>
          </c:xVal>
          <c:yVal>
            <c:numRef>
              <c:f>'D vs PNM'!$C$3:$C$17</c:f>
              <c:numCache>
                <c:formatCode>General</c:formatCode>
                <c:ptCount val="15"/>
                <c:pt idx="1">
                  <c:v>1.1718795186051612E-2</c:v>
                </c:pt>
                <c:pt idx="2">
                  <c:v>1.3197944261904716E-2</c:v>
                </c:pt>
                <c:pt idx="3">
                  <c:v>2.0253513807046514E-2</c:v>
                </c:pt>
                <c:pt idx="4">
                  <c:v>8.9033917882208116E-3</c:v>
                </c:pt>
                <c:pt idx="6">
                  <c:v>5.4699627125449598E-3</c:v>
                </c:pt>
                <c:pt idx="7">
                  <c:v>7.6827094485930163E-3</c:v>
                </c:pt>
                <c:pt idx="8">
                  <c:v>5.4295801280454309E-3</c:v>
                </c:pt>
                <c:pt idx="9">
                  <c:v>2.6433820408445398E-5</c:v>
                </c:pt>
                <c:pt idx="11">
                  <c:v>6.7003242596627814E-3</c:v>
                </c:pt>
                <c:pt idx="12">
                  <c:v>1.7177385855416009E-2</c:v>
                </c:pt>
                <c:pt idx="13">
                  <c:v>2.0747317348936495E-4</c:v>
                </c:pt>
                <c:pt idx="14">
                  <c:v>2.8907366213757501E-4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280-90B1-1EB6105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72832"/>
        <c:axId val="832278080"/>
      </c:scatterChart>
      <c:valAx>
        <c:axId val="832272832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278080"/>
        <c:crosses val="autoZero"/>
        <c:crossBetween val="midCat"/>
      </c:valAx>
      <c:valAx>
        <c:axId val="832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2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PNM'!$K$2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226559469888705"/>
                  <c:y val="-0.16837737372009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PNM'!$J$3:$J$22</c:f>
              <c:numCache>
                <c:formatCode>General</c:formatCode>
                <c:ptCount val="20"/>
                <c:pt idx="1">
                  <c:v>1.7163550776464684E-2</c:v>
                </c:pt>
                <c:pt idx="2">
                  <c:v>2.438385545034407E-2</c:v>
                </c:pt>
                <c:pt idx="3">
                  <c:v>1.0928157433809494E-2</c:v>
                </c:pt>
                <c:pt idx="4">
                  <c:v>6.3595519795839129E-3</c:v>
                </c:pt>
                <c:pt idx="5">
                  <c:v>1.8411699572518404E-2</c:v>
                </c:pt>
                <c:pt idx="6">
                  <c:v>1.5867531162167343E-2</c:v>
                </c:pt>
                <c:pt idx="7">
                  <c:v>9.4400810101028208E-3</c:v>
                </c:pt>
                <c:pt idx="8">
                  <c:v>5.0515898484506565E-3</c:v>
                </c:pt>
                <c:pt idx="9">
                  <c:v>6.291541065174224E-3</c:v>
                </c:pt>
                <c:pt idx="10">
                  <c:v>6.4518216664518676E-3</c:v>
                </c:pt>
                <c:pt idx="11">
                  <c:v>2.9391957301985665E-3</c:v>
                </c:pt>
                <c:pt idx="12">
                  <c:v>5.37918269121785E-3</c:v>
                </c:pt>
                <c:pt idx="13">
                  <c:v>3.3616645224090022E-3</c:v>
                </c:pt>
                <c:pt idx="14">
                  <c:v>6.0173190115224056E-3</c:v>
                </c:pt>
                <c:pt idx="15">
                  <c:v>1.3095607731689905E-2</c:v>
                </c:pt>
                <c:pt idx="16">
                  <c:v>6.7354076969024018E-3</c:v>
                </c:pt>
                <c:pt idx="17">
                  <c:v>4.5710929647502525E-3</c:v>
                </c:pt>
                <c:pt idx="18">
                  <c:v>2.0246662698289995E-3</c:v>
                </c:pt>
                <c:pt idx="19">
                  <c:v>1.9090741231193203E-3</c:v>
                </c:pt>
              </c:numCache>
            </c:numRef>
          </c:xVal>
          <c:yVal>
            <c:numRef>
              <c:f>'D vs PNM'!$K$3:$K$22</c:f>
              <c:numCache>
                <c:formatCode>General</c:formatCode>
                <c:ptCount val="20"/>
                <c:pt idx="1">
                  <c:v>1.1718795186051612E-2</c:v>
                </c:pt>
                <c:pt idx="2">
                  <c:v>1.3197944261904716E-2</c:v>
                </c:pt>
                <c:pt idx="3">
                  <c:v>2.0253513807046514E-2</c:v>
                </c:pt>
                <c:pt idx="4">
                  <c:v>8.452967612502086E-3</c:v>
                </c:pt>
                <c:pt idx="5">
                  <c:v>8.9033917882208116E-3</c:v>
                </c:pt>
                <c:pt idx="6">
                  <c:v>6.1587037850119007E-3</c:v>
                </c:pt>
                <c:pt idx="7">
                  <c:v>5.4699627125449598E-3</c:v>
                </c:pt>
                <c:pt idx="8">
                  <c:v>7.6827094485930163E-3</c:v>
                </c:pt>
                <c:pt idx="9">
                  <c:v>3.312937340918668E-3</c:v>
                </c:pt>
                <c:pt idx="10">
                  <c:v>5.4295801280454309E-3</c:v>
                </c:pt>
                <c:pt idx="11">
                  <c:v>2.099133655677152E-4</c:v>
                </c:pt>
                <c:pt idx="12">
                  <c:v>5.3050164471204206E-3</c:v>
                </c:pt>
                <c:pt idx="13">
                  <c:v>2.6433820408445398E-5</c:v>
                </c:pt>
                <c:pt idx="14">
                  <c:v>6.7003242596627814E-3</c:v>
                </c:pt>
                <c:pt idx="15">
                  <c:v>1.7177385855416009E-2</c:v>
                </c:pt>
                <c:pt idx="16">
                  <c:v>4.1504984654021238E-3</c:v>
                </c:pt>
                <c:pt idx="17">
                  <c:v>2.0747317348936495E-4</c:v>
                </c:pt>
                <c:pt idx="18">
                  <c:v>2.8844724256686682E-4</c:v>
                </c:pt>
                <c:pt idx="19">
                  <c:v>1.6693704592932944E-4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D-4917-8BE9-EF55ABC7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73288"/>
        <c:axId val="682772632"/>
      </c:scatterChart>
      <c:valAx>
        <c:axId val="682773288"/>
        <c:scaling>
          <c:orientation val="minMax"/>
          <c:max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772632"/>
        <c:crosses val="autoZero"/>
        <c:crossBetween val="midCat"/>
      </c:valAx>
      <c:valAx>
        <c:axId val="6827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7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vs PNM'!$S$2</c:f>
              <c:strCache>
                <c:ptCount val="1"/>
                <c:pt idx="0">
                  <c:v>D_pnm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878333589203807"/>
                  <c:y val="-0.30867730112561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'D vs PNM'!$R$3:$R$20</c:f>
              <c:numCache>
                <c:formatCode>General</c:formatCode>
                <c:ptCount val="18"/>
                <c:pt idx="1">
                  <c:v>2.0372114007697891E-2</c:v>
                </c:pt>
                <c:pt idx="2">
                  <c:v>2.3020764092721364E-2</c:v>
                </c:pt>
                <c:pt idx="3">
                  <c:v>1.147647099443091E-2</c:v>
                </c:pt>
                <c:pt idx="4">
                  <c:v>2.1168883485351852E-2</c:v>
                </c:pt>
                <c:pt idx="5">
                  <c:v>1.984787749857455E-2</c:v>
                </c:pt>
                <c:pt idx="6">
                  <c:v>1.0854071491960856E-2</c:v>
                </c:pt>
                <c:pt idx="7">
                  <c:v>1.2314517492728601E-2</c:v>
                </c:pt>
                <c:pt idx="8">
                  <c:v>1.1784927717019986E-2</c:v>
                </c:pt>
                <c:pt idx="9">
                  <c:v>4.9693116344215055E-3</c:v>
                </c:pt>
                <c:pt idx="10">
                  <c:v>8.3064920224965276E-3</c:v>
                </c:pt>
                <c:pt idx="11">
                  <c:v>3.3812937074082627E-3</c:v>
                </c:pt>
                <c:pt idx="12">
                  <c:v>9.5102467839510221E-3</c:v>
                </c:pt>
                <c:pt idx="13">
                  <c:v>1.5662653986566157E-2</c:v>
                </c:pt>
                <c:pt idx="14">
                  <c:v>9.9405147581785938E-3</c:v>
                </c:pt>
                <c:pt idx="15">
                  <c:v>5.4432895862865562E-3</c:v>
                </c:pt>
                <c:pt idx="16">
                  <c:v>2.6545067409292859E-3</c:v>
                </c:pt>
                <c:pt idx="17">
                  <c:v>6.507995679971585E-3</c:v>
                </c:pt>
              </c:numCache>
            </c:numRef>
          </c:xVal>
          <c:yVal>
            <c:numRef>
              <c:f>'D vs PNM'!$S$3:$S$20</c:f>
              <c:numCache>
                <c:formatCode>General</c:formatCode>
                <c:ptCount val="18"/>
                <c:pt idx="1">
                  <c:v>1.1718795186051612E-2</c:v>
                </c:pt>
                <c:pt idx="2">
                  <c:v>1.3197944261904716E-2</c:v>
                </c:pt>
                <c:pt idx="3">
                  <c:v>8.452967612502086E-3</c:v>
                </c:pt>
                <c:pt idx="4">
                  <c:v>8.9033917882208116E-3</c:v>
                </c:pt>
                <c:pt idx="5">
                  <c:v>6.1587037850119007E-3</c:v>
                </c:pt>
                <c:pt idx="6">
                  <c:v>5.4699627125449598E-3</c:v>
                </c:pt>
                <c:pt idx="7">
                  <c:v>7.6827094485930163E-3</c:v>
                </c:pt>
                <c:pt idx="8">
                  <c:v>5.4295801280454309E-3</c:v>
                </c:pt>
                <c:pt idx="9">
                  <c:v>2.099133655677152E-4</c:v>
                </c:pt>
                <c:pt idx="10">
                  <c:v>5.3050164471204206E-3</c:v>
                </c:pt>
                <c:pt idx="11">
                  <c:v>2.6433820408445398E-5</c:v>
                </c:pt>
                <c:pt idx="12">
                  <c:v>6.7003242596627814E-3</c:v>
                </c:pt>
                <c:pt idx="13">
                  <c:v>1.7177385855416009E-2</c:v>
                </c:pt>
                <c:pt idx="14">
                  <c:v>4.1504984654021238E-3</c:v>
                </c:pt>
                <c:pt idx="15">
                  <c:v>2.8844724256686682E-4</c:v>
                </c:pt>
                <c:pt idx="16">
                  <c:v>1.6693704592932944E-4</c:v>
                </c:pt>
                <c:pt idx="17">
                  <c:v>2.8907366213757501E-4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7-47F7-8B46-7646B36C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16784"/>
        <c:axId val="832318096"/>
      </c:scatterChart>
      <c:valAx>
        <c:axId val="8323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318096"/>
        <c:crosses val="autoZero"/>
        <c:crossBetween val="midCat"/>
      </c:valAx>
      <c:valAx>
        <c:axId val="83231809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23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37C5DF3-907D-400F-9C64-2F412621821D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plotArea>
      <cx:plotAreaRegion>
        <cx:series layoutId="boxWhisker" uniqueId="{B2AF0783-198B-4DDD-8FB4-C9B61D4275D4}">
          <cx:tx>
            <cx:txData>
              <cx:f>_xlchart.v1.1</cx:f>
              <cx:v>D_meas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8088B1-FA34-47A6-B893-3D551937589A}">
          <cx:tx>
            <cx:txData>
              <cx:f>_xlchart.v1.3</cx:f>
              <cx:v>D_pnm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4AABDF4-BA78-4F91-B892-F36C5C4A1FF3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B8126836-8739-4F58-A098-26020021F704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microsoft.com/office/2014/relationships/chartEx" Target="../charts/chartEx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1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4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36740</xdr:rowOff>
    </xdr:from>
    <xdr:to>
      <xdr:col>9</xdr:col>
      <xdr:colOff>0</xdr:colOff>
      <xdr:row>101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8F8C7-ACD5-4289-B9C6-B233608B0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295754</xdr:colOff>
      <xdr:row>58</xdr:row>
      <xdr:rowOff>188900</xdr:rowOff>
    </xdr:from>
    <xdr:to>
      <xdr:col>7</xdr:col>
      <xdr:colOff>697166</xdr:colOff>
      <xdr:row>87</xdr:row>
      <xdr:rowOff>124946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30220-DE50-4C75-9A4D-D562C7D5C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823229</xdr:colOff>
      <xdr:row>77</xdr:row>
      <xdr:rowOff>186416</xdr:rowOff>
    </xdr:from>
    <xdr:to>
      <xdr:col>22</xdr:col>
      <xdr:colOff>231320</xdr:colOff>
      <xdr:row>101</xdr:row>
      <xdr:rowOff>122463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EEAA37-8C5E-4C75-875D-74172DB7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250131</xdr:colOff>
      <xdr:row>62</xdr:row>
      <xdr:rowOff>34338</xdr:rowOff>
    </xdr:from>
    <xdr:to>
      <xdr:col>22</xdr:col>
      <xdr:colOff>188899</xdr:colOff>
      <xdr:row>83</xdr:row>
      <xdr:rowOff>92849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8E22D4-DF7C-4BA9-8D69-DABEF7510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347782</xdr:colOff>
      <xdr:row>60</xdr:row>
      <xdr:rowOff>27933</xdr:rowOff>
    </xdr:from>
    <xdr:to>
      <xdr:col>36</xdr:col>
      <xdr:colOff>123265</xdr:colOff>
      <xdr:row>81</xdr:row>
      <xdr:rowOff>32016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C4AB8F-6084-4258-AF8D-1C4092B9A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240926</xdr:colOff>
      <xdr:row>23</xdr:row>
      <xdr:rowOff>12326</xdr:rowOff>
    </xdr:from>
    <xdr:to>
      <xdr:col>70</xdr:col>
      <xdr:colOff>190500</xdr:colOff>
      <xdr:row>43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01295-DF8C-4BDD-B009-490ABABC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104777</xdr:colOff>
      <xdr:row>2</xdr:row>
      <xdr:rowOff>9524</xdr:rowOff>
    </xdr:from>
    <xdr:to>
      <xdr:col>7</xdr:col>
      <xdr:colOff>520212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42DFE-64E3-4773-B1D0-A6276D576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153132</xdr:colOff>
      <xdr:row>2</xdr:row>
      <xdr:rowOff>10989</xdr:rowOff>
    </xdr:from>
    <xdr:to>
      <xdr:col>15</xdr:col>
      <xdr:colOff>549519</xdr:colOff>
      <xdr:row>22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D13DD-D36B-4D7E-A266-E335B649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239592</xdr:colOff>
      <xdr:row>2</xdr:row>
      <xdr:rowOff>5858</xdr:rowOff>
    </xdr:from>
    <xdr:to>
      <xdr:col>24</xdr:col>
      <xdr:colOff>278423</xdr:colOff>
      <xdr:row>22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CE1CC-9B90-4339-AB4C-33CF468F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151278</xdr:colOff>
      <xdr:row>35</xdr:row>
      <xdr:rowOff>163604</xdr:rowOff>
    </xdr:from>
    <xdr:to>
      <xdr:col>7</xdr:col>
      <xdr:colOff>549088</xdr:colOff>
      <xdr:row>56</xdr:row>
      <xdr:rowOff>78439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1FA23-612F-49FF-B27B-0E27F52B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319367</xdr:colOff>
      <xdr:row>35</xdr:row>
      <xdr:rowOff>29136</xdr:rowOff>
    </xdr:from>
    <xdr:to>
      <xdr:col>15</xdr:col>
      <xdr:colOff>717177</xdr:colOff>
      <xdr:row>55</xdr:row>
      <xdr:rowOff>78442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DDFD9-0C93-471A-A928-2EF8B8B1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375397</xdr:colOff>
      <xdr:row>83</xdr:row>
      <xdr:rowOff>141194</xdr:rowOff>
    </xdr:from>
    <xdr:to>
      <xdr:col>9</xdr:col>
      <xdr:colOff>689161</xdr:colOff>
      <xdr:row>98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74D5AB4-FF35-4379-A0C3-B5CD27D38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6297" y="15952694"/>
              <a:ext cx="45523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257736</xdr:colOff>
      <xdr:row>23</xdr:row>
      <xdr:rowOff>22411</xdr:rowOff>
    </xdr:from>
    <xdr:to>
      <xdr:col>7</xdr:col>
      <xdr:colOff>11206</xdr:colOff>
      <xdr:row>32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A61969D-70FD-4291-99A0-8882B3855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636" y="4403911"/>
              <a:ext cx="2296645" cy="1763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9524</xdr:rowOff>
    </xdr:from>
    <xdr:to>
      <xdr:col>13</xdr:col>
      <xdr:colOff>0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D7939-92D8-493F-BCDB-4F9F4A544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2</xdr:row>
      <xdr:rowOff>95249</xdr:rowOff>
    </xdr:from>
    <xdr:to>
      <xdr:col>24</xdr:col>
      <xdr:colOff>314325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35A1B-0DDF-47B2-BA7D-9C6BA2E53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419101</xdr:colOff>
      <xdr:row>48</xdr:row>
      <xdr:rowOff>95250</xdr:rowOff>
    </xdr:from>
    <xdr:to>
      <xdr:col>12</xdr:col>
      <xdr:colOff>95251</xdr:colOff>
      <xdr:row>62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41AFF0-8919-43DA-807B-99A24B0F6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6" y="9448800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46</xdr:row>
      <xdr:rowOff>114300</xdr:rowOff>
    </xdr:from>
    <xdr:to>
      <xdr:col>27</xdr:col>
      <xdr:colOff>381000</xdr:colOff>
      <xdr:row>61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BB2D822-54A7-44BA-BB34-FE447137B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7900" y="908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342900</xdr:colOff>
      <xdr:row>4</xdr:row>
      <xdr:rowOff>28575</xdr:rowOff>
    </xdr:from>
    <xdr:to>
      <xdr:col>37</xdr:col>
      <xdr:colOff>38100</xdr:colOff>
      <xdr:row>18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1CE001-CF15-4D7E-9B48-CF62CEAE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9848-3256-4270-BD89-E275955E9F95}">
  <dimension ref="A1:BP57"/>
  <sheetViews>
    <sheetView tabSelected="1" topLeftCell="W1" zoomScale="85" zoomScaleNormal="85" workbookViewId="0">
      <pane ySplit="1590"/>
      <selection activeCell="AI4" sqref="AI4"/>
      <selection pane="bottomLeft" activeCell="AG7" sqref="AG7"/>
    </sheetView>
  </sheetViews>
  <sheetFormatPr defaultRowHeight="15" x14ac:dyDescent="0.25"/>
  <cols>
    <col min="1" max="1" width="15.5703125" customWidth="1"/>
    <col min="2" max="45" width="12.7109375" customWidth="1"/>
    <col min="46" max="46" width="12" bestFit="1" customWidth="1"/>
    <col min="47" max="61" width="12.7109375" customWidth="1"/>
    <col min="65" max="69" width="12.7109375" customWidth="1"/>
  </cols>
  <sheetData>
    <row r="1" spans="1:68" x14ac:dyDescent="0.25">
      <c r="A1" s="1" t="s">
        <v>2</v>
      </c>
      <c r="G1" s="19" t="s">
        <v>99</v>
      </c>
      <c r="K1" s="19" t="s">
        <v>100</v>
      </c>
      <c r="N1" s="4" t="s">
        <v>1</v>
      </c>
      <c r="T1" s="19" t="s">
        <v>99</v>
      </c>
      <c r="X1" s="19" t="s">
        <v>100</v>
      </c>
      <c r="AA1" t="s">
        <v>0</v>
      </c>
      <c r="AG1" s="19" t="s">
        <v>99</v>
      </c>
      <c r="AK1" s="19" t="s">
        <v>100</v>
      </c>
      <c r="AU1" s="4" t="s">
        <v>86</v>
      </c>
      <c r="AW1" t="s">
        <v>2</v>
      </c>
      <c r="BB1" t="s">
        <v>1</v>
      </c>
      <c r="BE1" s="19" t="s">
        <v>100</v>
      </c>
      <c r="BG1" t="s">
        <v>0</v>
      </c>
    </row>
    <row r="2" spans="1:68" x14ac:dyDescent="0.2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77</v>
      </c>
      <c r="L2" s="1" t="s">
        <v>91</v>
      </c>
      <c r="M2" s="1" t="s">
        <v>92</v>
      </c>
      <c r="N2" s="4"/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78</v>
      </c>
      <c r="Y2" s="1" t="s">
        <v>93</v>
      </c>
      <c r="Z2" s="1" t="s">
        <v>94</v>
      </c>
      <c r="AA2" s="1"/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27</v>
      </c>
      <c r="AH2" s="1" t="s">
        <v>28</v>
      </c>
      <c r="AI2" s="1" t="s">
        <v>29</v>
      </c>
      <c r="AJ2" s="1" t="s">
        <v>30</v>
      </c>
      <c r="AK2" s="1" t="s">
        <v>79</v>
      </c>
      <c r="AL2" s="1" t="s">
        <v>93</v>
      </c>
      <c r="AM2" s="1" t="s">
        <v>94</v>
      </c>
      <c r="AO2" t="s">
        <v>4</v>
      </c>
      <c r="AP2" t="s">
        <v>3</v>
      </c>
      <c r="AS2" t="s">
        <v>4</v>
      </c>
      <c r="AT2" t="s">
        <v>3</v>
      </c>
      <c r="AW2" t="s">
        <v>85</v>
      </c>
      <c r="AX2" t="s">
        <v>84</v>
      </c>
      <c r="AY2" t="s">
        <v>82</v>
      </c>
      <c r="AZ2" t="s">
        <v>83</v>
      </c>
      <c r="BB2" t="s">
        <v>85</v>
      </c>
      <c r="BC2" t="s">
        <v>84</v>
      </c>
      <c r="BD2" t="s">
        <v>82</v>
      </c>
      <c r="BE2" t="s">
        <v>83</v>
      </c>
      <c r="BG2" t="s">
        <v>85</v>
      </c>
      <c r="BH2" t="s">
        <v>84</v>
      </c>
      <c r="BI2" t="s">
        <v>82</v>
      </c>
      <c r="BJ2" t="s">
        <v>83</v>
      </c>
      <c r="BM2" t="s">
        <v>87</v>
      </c>
      <c r="BN2" t="s">
        <v>89</v>
      </c>
      <c r="BO2" t="s">
        <v>90</v>
      </c>
      <c r="BP2" t="s">
        <v>88</v>
      </c>
    </row>
    <row r="3" spans="1:68" ht="15.75" x14ac:dyDescent="0.25">
      <c r="A3" t="s">
        <v>15</v>
      </c>
      <c r="B3" s="1">
        <v>3.0319872516457584E-3</v>
      </c>
      <c r="C3" s="1">
        <v>3.6299317323849167E-2</v>
      </c>
      <c r="D3" s="1">
        <v>0.16748833350809134</v>
      </c>
      <c r="E3" s="1">
        <v>0.92279075400725974</v>
      </c>
      <c r="F3" s="1">
        <v>0.20200000000000001</v>
      </c>
      <c r="G3" s="1">
        <f>F3*C3^(10/3)/E3^2</f>
        <v>3.7566992251446732E-6</v>
      </c>
      <c r="H3" s="1">
        <f>F3*0.9*C3^2.3</f>
        <v>8.858502884040918E-5</v>
      </c>
      <c r="I3" s="1">
        <f>F3*E3^2*(C3/E3)^J3</f>
        <v>9.2841678036383171E-5</v>
      </c>
      <c r="J3" s="1">
        <f>LOG10((2*D3^3+0.04*D3)/E3^2)/LOG10(D3/E3)</f>
        <v>2.3255079333316098</v>
      </c>
      <c r="K3" s="1">
        <f>F3*C3^2/E3^(2/3)</f>
        <v>2.8081014556162069E-4</v>
      </c>
      <c r="L3" s="1">
        <f>LOG10((0.17*D3+0.013)/E3^2)/LOG10(D3/E3)</f>
        <v>1.7708916129984487</v>
      </c>
      <c r="M3" s="1">
        <f>F3*E3^2*(C3/E3)^L3</f>
        <v>5.585891350449512E-4</v>
      </c>
      <c r="N3" s="4" t="s">
        <v>15</v>
      </c>
      <c r="O3" s="1">
        <v>4.286180835971768E-3</v>
      </c>
      <c r="P3" s="1">
        <v>0.1824427994665716</v>
      </c>
      <c r="Q3" s="1">
        <v>0.26655163596748066</v>
      </c>
      <c r="R3" s="1">
        <v>0.90730816114328017</v>
      </c>
      <c r="S3" s="1">
        <v>0.20200000000000001</v>
      </c>
      <c r="T3" s="1">
        <f>S3*P3^(10/3)/R3^2</f>
        <v>8.4514422214899379E-4</v>
      </c>
      <c r="U3" s="1">
        <f>S3*0.9*P3^2.3</f>
        <v>3.6323304575388246E-3</v>
      </c>
      <c r="V3" s="1">
        <f t="shared" ref="V3:V9" si="0">S3*R3^2*(P3/R3)^W3</f>
        <v>4.0824028750441497E-3</v>
      </c>
      <c r="W3" s="1">
        <f t="shared" ref="W3:W9" si="1">LOG10((2*Q3^3+0.04*Q3)/R3^2)/LOG10(Q3/R3)</f>
        <v>2.3110540138062254</v>
      </c>
      <c r="X3" s="1">
        <f t="shared" ref="X3:X9" si="2">S3*P3^2/R3^(2/3)</f>
        <v>7.1741141024200634E-3</v>
      </c>
      <c r="Y3" s="1">
        <f>LOG10((0.17*Q3+0.013)/R3^2)/LOG10(Q3/R3)</f>
        <v>2.161270308324323</v>
      </c>
      <c r="Z3" s="1">
        <f>S3*R3^2*(P3/R3)^Y3</f>
        <v>5.1911000323486061E-3</v>
      </c>
      <c r="AA3" s="1" t="s">
        <v>15</v>
      </c>
      <c r="AB3" s="1">
        <v>2.7577014920563778E-2</v>
      </c>
      <c r="AC3" s="1">
        <v>0.60205535287610246</v>
      </c>
      <c r="AD3" s="1">
        <v>0.68951946569586231</v>
      </c>
      <c r="AE3" s="2">
        <v>0.93521757196387489</v>
      </c>
      <c r="AF3" s="1">
        <v>0.20200000000000001</v>
      </c>
      <c r="AG3" s="1">
        <f>AF3*AC3^(10/3)/AE3^2</f>
        <v>4.2557959125933374E-2</v>
      </c>
      <c r="AH3" s="1">
        <f>AF3*0.9*AC3^2.3</f>
        <v>5.6592339733981666E-2</v>
      </c>
      <c r="AI3" s="1">
        <f t="shared" ref="AI3:AI9" si="3">AF3*AE3^2*(AC3/AE3)^AJ3</f>
        <v>0.12364591562924032</v>
      </c>
      <c r="AJ3" s="1">
        <f t="shared" ref="AJ3:AJ9" si="4">LOG10((2*AD3^3+0.04*AD3)/AE3^2)/LOG10(AD3/AE3)</f>
        <v>0.81033020138857625</v>
      </c>
      <c r="AK3" s="1">
        <f t="shared" ref="AK3:AK9" si="5">AF3*AC3^2/AE3^(2/3)</f>
        <v>7.656244159128478E-2</v>
      </c>
      <c r="AL3" s="1">
        <f>LOG10((0.17*AD3+0.013)/AE3^2)/LOG10(AD3/AE3)</f>
        <v>6.2489798771554677</v>
      </c>
      <c r="AM3" s="1">
        <f>AF3*AE3^2*(AC3/AE3)^AL3</f>
        <v>1.1269258341477375E-2</v>
      </c>
      <c r="AO3">
        <v>3.0319872516457584E-3</v>
      </c>
      <c r="AP3">
        <v>3.7566992251446732E-6</v>
      </c>
      <c r="AS3" s="1">
        <v>3.0319872516457584E-3</v>
      </c>
      <c r="AT3">
        <v>3.7566992251446732E-6</v>
      </c>
      <c r="AW3">
        <f t="shared" ref="AW3:AW36" si="6">(B3-G3)^2</f>
        <v>9.1701802786136556E-6</v>
      </c>
      <c r="AX3">
        <f t="shared" ref="AX3:AX36" si="7">(B3-H3)^2</f>
        <v>8.6636166452154704E-6</v>
      </c>
      <c r="AY3">
        <f t="shared" ref="AY3:AY36" si="8">(B3-I3)^2</f>
        <v>8.6385767028675821E-6</v>
      </c>
      <c r="AZ3">
        <f t="shared" ref="AZ3:AZ36" si="9">(B3-K3)^2</f>
        <v>7.5689754690414899E-6</v>
      </c>
      <c r="BB3">
        <f>(O3-T3)^2</f>
        <v>1.1840732977668907E-5</v>
      </c>
      <c r="BC3">
        <f>(O3-U3)^2</f>
        <v>4.2752031737690339E-7</v>
      </c>
      <c r="BD3">
        <f>(O3-V3)^2</f>
        <v>4.1525457359817941E-8</v>
      </c>
      <c r="BE3">
        <f>(O3-X3)^2</f>
        <v>8.3401585514587203E-6</v>
      </c>
      <c r="BG3" s="17">
        <f>(AB3-AG3)^2</f>
        <v>2.2442868928439688E-4</v>
      </c>
      <c r="BH3" s="17">
        <f>(AB3-AH3)^2</f>
        <v>8.4188907402814371E-4</v>
      </c>
      <c r="BI3" s="17">
        <f>(AB3-AI3)^2</f>
        <v>9.2292336833735538E-3</v>
      </c>
      <c r="BJ3" s="17">
        <f>(AB3-AK3)^2</f>
        <v>2.3995720261125847E-3</v>
      </c>
      <c r="BM3">
        <v>0.44334593341838785</v>
      </c>
      <c r="BN3">
        <v>2.0372114007697891E-2</v>
      </c>
      <c r="BO3">
        <f>BN3/0.202</f>
        <v>0.10085204954305886</v>
      </c>
      <c r="BP3">
        <f>(2*BM3^3+0.04*BM3)</f>
        <v>0.19201810402675618</v>
      </c>
    </row>
    <row r="4" spans="1:68" ht="15.75" x14ac:dyDescent="0.25">
      <c r="B4" s="1">
        <v>3.53187923001722E-3</v>
      </c>
      <c r="C4" s="1">
        <v>3.9353866243286517E-2</v>
      </c>
      <c r="D4" s="1">
        <v>0.23984193657292108</v>
      </c>
      <c r="E4" s="1">
        <v>0.92625396556893935</v>
      </c>
      <c r="F4" s="1">
        <v>0.20200000000000001</v>
      </c>
      <c r="G4" s="1">
        <f t="shared" ref="G4:G9" si="10">F4*C4^(10/3)/E4^2</f>
        <v>4.8810796297008819E-6</v>
      </c>
      <c r="H4" s="1">
        <f t="shared" ref="H4:H9" si="11">F4*0.9*C4^2.3</f>
        <v>1.0667555495260209E-4</v>
      </c>
      <c r="I4" s="1">
        <f>F4*E4^2*(C4/E4)^J4</f>
        <v>1.1283403149905439E-4</v>
      </c>
      <c r="J4" s="1">
        <f>LOG10((2*D4^3+0.04*D4)/E4^2)/LOG10(D4/E4)</f>
        <v>2.3228638157478643</v>
      </c>
      <c r="K4" s="1">
        <f>F4*C4^2/E4^(2/3)</f>
        <v>3.2923509758985898E-4</v>
      </c>
      <c r="L4" s="1">
        <f t="shared" ref="L4:L26" si="12">LOG10((0.17*D4+0.013)/E4^2)/LOG10(D4/E4)</f>
        <v>2.0499057375825553</v>
      </c>
      <c r="M4" s="1">
        <f t="shared" ref="M4:M9" si="13">F4*E4^2*(C4/E4)^L4</f>
        <v>2.6721962479856691E-4</v>
      </c>
      <c r="N4" s="4"/>
      <c r="O4" s="1">
        <v>4.0814758859927785E-3</v>
      </c>
      <c r="P4" s="1">
        <v>0.1084742482268104</v>
      </c>
      <c r="Q4" s="1">
        <v>0.16503744452336877</v>
      </c>
      <c r="R4" s="1">
        <v>0.90751187947043777</v>
      </c>
      <c r="S4" s="1">
        <v>0.20200000000000001</v>
      </c>
      <c r="T4" s="1">
        <f t="shared" ref="T4:T9" si="14">S4*P4^(10/3)/R4^2</f>
        <v>1.4930312409022406E-4</v>
      </c>
      <c r="U4" s="1">
        <f t="shared" ref="U4:U9" si="15">S4*0.9*P4^2.3</f>
        <v>1.0986141073212274E-3</v>
      </c>
      <c r="V4" s="1">
        <f t="shared" si="0"/>
        <v>1.1860177869948767E-3</v>
      </c>
      <c r="W4" s="1">
        <f t="shared" si="1"/>
        <v>2.3272683622519739</v>
      </c>
      <c r="X4" s="1">
        <f t="shared" si="2"/>
        <v>2.5357306585271043E-3</v>
      </c>
      <c r="Y4" s="1">
        <f t="shared" ref="Y4:Y36" si="16">LOG10((0.17*Q4+0.013)/R4^2)/LOG10(Q4/R4)</f>
        <v>1.7592559979464901</v>
      </c>
      <c r="Z4" s="1">
        <f t="shared" ref="Z4:Z36" si="17">S4*R4^2*(P4/R4)^Y4</f>
        <v>3.9636672573351928E-3</v>
      </c>
      <c r="AA4" s="1"/>
      <c r="AB4" s="1">
        <v>1.2790216407641865E-2</v>
      </c>
      <c r="AC4" s="1">
        <v>0.31644130465494547</v>
      </c>
      <c r="AD4" s="1">
        <v>0.44334593341838785</v>
      </c>
      <c r="AE4" s="2">
        <v>0.91022812383253948</v>
      </c>
      <c r="AF4" s="1">
        <v>0.20200000000000001</v>
      </c>
      <c r="AG4" s="1">
        <f t="shared" ref="AG4:AG9" si="18">AF4*AC4^(10/3)/AE4^2</f>
        <v>5.2645520524228486E-3</v>
      </c>
      <c r="AH4" s="1">
        <f t="shared" ref="AH4:AH9" si="19">AF4*0.9*AC4^2.3</f>
        <v>1.2890452462004891E-2</v>
      </c>
      <c r="AI4" s="1">
        <f t="shared" si="3"/>
        <v>1.9545171277383592E-2</v>
      </c>
      <c r="AJ4" s="1">
        <f t="shared" si="4"/>
        <v>2.0324681086891276</v>
      </c>
      <c r="AK4" s="1">
        <f t="shared" si="5"/>
        <v>2.1536288921674026E-2</v>
      </c>
      <c r="AL4" s="1">
        <f t="shared" ref="AL4:AL36" si="20">LOG10((0.17*AD4+0.013)/AE4^2)/LOG10(AD4/AE4)</f>
        <v>3.1113255451250943</v>
      </c>
      <c r="AM4" s="1">
        <f t="shared" ref="AM4:AM36" si="21">AF4*AE4^2*(AC4/AE4)^AL4</f>
        <v>6.2516996295591621E-3</v>
      </c>
      <c r="AO4">
        <v>3.53187923001722E-3</v>
      </c>
      <c r="AP4">
        <v>4.8810796297008819E-6</v>
      </c>
      <c r="AS4" s="1">
        <v>3.53187923001722E-3</v>
      </c>
      <c r="AT4">
        <v>4.8810796297008819E-6</v>
      </c>
      <c r="AW4">
        <f t="shared" si="6"/>
        <v>1.2439715952836981E-5</v>
      </c>
      <c r="AX4">
        <f t="shared" si="7"/>
        <v>1.1732020215676164E-5</v>
      </c>
      <c r="AY4">
        <f t="shared" si="8"/>
        <v>1.1689870069510123E-5</v>
      </c>
      <c r="AZ4">
        <f t="shared" si="9"/>
        <v>1.0256929438971404E-5</v>
      </c>
      <c r="BB4">
        <f t="shared" ref="BB4:BB36" si="22">(O4-T4)^2</f>
        <v>1.5461982629448363E-5</v>
      </c>
      <c r="BC4">
        <f t="shared" ref="BC4:BC36" si="23">(O4-U4)^2</f>
        <v>8.8974643906596088E-6</v>
      </c>
      <c r="BD4">
        <f t="shared" ref="BD4:BD36" si="24">(O4-V4)^2</f>
        <v>8.3836776030525449E-6</v>
      </c>
      <c r="BE4">
        <f t="shared" ref="BE4:BE36" si="25">(O4-X4)^2</f>
        <v>2.389328308232909E-6</v>
      </c>
      <c r="BG4" s="17">
        <f t="shared" ref="BG4:BG36" si="26">(AB4-AG4)^2</f>
        <v>5.6635623987414049E-5</v>
      </c>
      <c r="BH4" s="17">
        <f t="shared" ref="BH4:BH36" si="27">(AB4-AH4)^2</f>
        <v>1.0047266594267565E-8</v>
      </c>
      <c r="BI4" s="17">
        <f t="shared" ref="BI4:BI36" si="28">(AB4-AI4)^2</f>
        <v>4.562941529224747E-5</v>
      </c>
      <c r="BJ4" s="17">
        <f t="shared" ref="BJ4:BJ36" si="29">(AB4-AK4)^2</f>
        <v>7.649378442070885E-5</v>
      </c>
      <c r="BM4">
        <v>0.47477407243141512</v>
      </c>
      <c r="BN4">
        <v>2.3020764092721364E-2</v>
      </c>
      <c r="BO4">
        <f t="shared" ref="BO4:BO19" si="30">BN4/0.202</f>
        <v>0.11396417867683843</v>
      </c>
      <c r="BP4">
        <f t="shared" ref="BP4:BP18" si="31">(2*BM4^3+0.04*BM4)</f>
        <v>0.23302900890152947</v>
      </c>
    </row>
    <row r="5" spans="1:68" ht="15.75" x14ac:dyDescent="0.25">
      <c r="B5" s="1"/>
      <c r="C5" s="1">
        <v>1.3946492449818382E-2</v>
      </c>
      <c r="D5" s="1">
        <v>0.13080833716970208</v>
      </c>
      <c r="E5" s="1">
        <v>0.9156606125567428</v>
      </c>
      <c r="F5" s="1">
        <v>0.20200000000000001</v>
      </c>
      <c r="G5" s="1"/>
      <c r="H5" s="1"/>
      <c r="I5" s="1"/>
      <c r="J5" s="1"/>
      <c r="K5" s="1"/>
      <c r="L5" s="1"/>
      <c r="M5" s="1"/>
      <c r="N5" s="4"/>
      <c r="O5" s="1">
        <v>5.3297453510601518E-3</v>
      </c>
      <c r="P5" s="1">
        <v>0.10889149278453958</v>
      </c>
      <c r="Q5" s="1">
        <v>0.22532973018055513</v>
      </c>
      <c r="R5" s="1">
        <v>0.90465982289023106</v>
      </c>
      <c r="S5" s="1">
        <v>0.20200000000000001</v>
      </c>
      <c r="T5" s="1">
        <f t="shared" si="14"/>
        <v>1.5218105888776029E-4</v>
      </c>
      <c r="U5" s="1">
        <f t="shared" si="15"/>
        <v>1.1083577630375662E-3</v>
      </c>
      <c r="V5" s="1">
        <f t="shared" si="0"/>
        <v>1.1797298760353719E-3</v>
      </c>
      <c r="W5" s="1">
        <f t="shared" si="1"/>
        <v>2.3344856851384805</v>
      </c>
      <c r="X5" s="1">
        <f t="shared" si="2"/>
        <v>2.5606432138601601E-3</v>
      </c>
      <c r="Y5" s="1">
        <f t="shared" si="16"/>
        <v>1.9924931739515397</v>
      </c>
      <c r="Z5" s="1">
        <f t="shared" si="17"/>
        <v>2.4335581835844239E-3</v>
      </c>
      <c r="AA5" s="1"/>
      <c r="AB5" s="4">
        <v>1.3092334861918376E-2</v>
      </c>
      <c r="AC5" s="4">
        <v>0.30003370390025108</v>
      </c>
      <c r="AD5" s="4">
        <v>0.47477407243141512</v>
      </c>
      <c r="AE5" s="16">
        <v>0.89657899591297852</v>
      </c>
      <c r="AF5" s="4">
        <v>0.20200000000000001</v>
      </c>
      <c r="AG5" s="4">
        <f t="shared" si="18"/>
        <v>4.5436798840247546E-3</v>
      </c>
      <c r="AH5" s="4">
        <f t="shared" si="19"/>
        <v>1.1404729226982839E-2</v>
      </c>
      <c r="AI5" s="4">
        <f t="shared" si="3"/>
        <v>1.925523239450596E-2</v>
      </c>
      <c r="AJ5" s="4">
        <f t="shared" si="4"/>
        <v>1.9477148922980558</v>
      </c>
      <c r="AK5" s="1">
        <f t="shared" si="5"/>
        <v>1.9556858006120552E-2</v>
      </c>
      <c r="AL5" s="1">
        <f t="shared" si="20"/>
        <v>3.3805813398539826</v>
      </c>
      <c r="AM5" s="1">
        <f t="shared" si="21"/>
        <v>4.0117838236407273E-3</v>
      </c>
      <c r="AO5">
        <v>4.9067457862187521E-3</v>
      </c>
      <c r="AP5">
        <v>1.5731336579031356E-7</v>
      </c>
      <c r="AS5" s="1">
        <v>4.2371049729606879E-3</v>
      </c>
      <c r="AT5">
        <v>2.5042301831374756E-5</v>
      </c>
      <c r="AX5">
        <f t="shared" si="7"/>
        <v>0</v>
      </c>
      <c r="AY5">
        <f t="shared" si="8"/>
        <v>0</v>
      </c>
      <c r="AZ5">
        <f t="shared" si="9"/>
        <v>0</v>
      </c>
      <c r="BB5">
        <f t="shared" si="22"/>
        <v>2.6807171999578594E-5</v>
      </c>
      <c r="BC5">
        <f t="shared" si="23"/>
        <v>1.7820113168311143E-5</v>
      </c>
      <c r="BD5">
        <f t="shared" si="24"/>
        <v>1.722262844294515E-5</v>
      </c>
      <c r="BE5">
        <f t="shared" si="25"/>
        <v>7.6679266462455618E-6</v>
      </c>
      <c r="BG5" s="17">
        <f t="shared" si="26"/>
        <v>7.3079501931065392E-5</v>
      </c>
      <c r="BH5" s="17">
        <f t="shared" si="27"/>
        <v>2.8480127790661753E-6</v>
      </c>
      <c r="BI5" s="17">
        <f t="shared" si="28"/>
        <v>3.7981305997174127E-5</v>
      </c>
      <c r="BJ5" s="17">
        <f t="shared" si="29"/>
        <v>4.1790059481925588E-5</v>
      </c>
      <c r="BM5">
        <v>0.40210768780800255</v>
      </c>
      <c r="BN5">
        <v>1.147647099443091E-2</v>
      </c>
      <c r="BO5">
        <f t="shared" si="30"/>
        <v>5.681421284371737E-2</v>
      </c>
      <c r="BP5">
        <f t="shared" si="31"/>
        <v>0.14611836816911794</v>
      </c>
    </row>
    <row r="6" spans="1:68" ht="15.75" x14ac:dyDescent="0.25">
      <c r="B6" s="1">
        <v>4.2371049729606879E-3</v>
      </c>
      <c r="C6" s="1">
        <v>6.3868788936538801E-2</v>
      </c>
      <c r="D6" s="1">
        <v>0.22048874657577666</v>
      </c>
      <c r="E6" s="1">
        <v>0.91654339197442591</v>
      </c>
      <c r="F6" s="1">
        <v>0.20200000000000001</v>
      </c>
      <c r="G6" s="1">
        <f t="shared" si="10"/>
        <v>2.5042301831374756E-5</v>
      </c>
      <c r="H6" s="1">
        <f t="shared" si="11"/>
        <v>3.2490608550507261E-4</v>
      </c>
      <c r="I6" s="1">
        <f>F6*E6^2*(C6/E6)^J6</f>
        <v>3.3955141173470102E-4</v>
      </c>
      <c r="J6" s="1">
        <f>LOG10((2*D6^3+0.04*D6)/E6^2)/LOG10(D6/E6)</f>
        <v>2.3328161955398534</v>
      </c>
      <c r="K6" s="1">
        <f>F6*C6^2/E6^(2/3)</f>
        <v>8.7329313242497813E-4</v>
      </c>
      <c r="L6" s="1">
        <f t="shared" si="12"/>
        <v>1.9735392217016712</v>
      </c>
      <c r="M6" s="1">
        <f t="shared" si="13"/>
        <v>8.8417913680916829E-4</v>
      </c>
      <c r="N6" s="4"/>
      <c r="O6" s="1">
        <v>4.7904441561643267E-3</v>
      </c>
      <c r="P6" s="1">
        <v>0.14989602120269585</v>
      </c>
      <c r="Q6" s="1">
        <v>0.23823124240219629</v>
      </c>
      <c r="R6" s="1">
        <v>0.90398076179970555</v>
      </c>
      <c r="S6" s="1">
        <v>0.20200000000000001</v>
      </c>
      <c r="T6" s="1">
        <f t="shared" si="14"/>
        <v>4.4224881443744019E-4</v>
      </c>
      <c r="U6" s="1">
        <f t="shared" si="15"/>
        <v>2.3115916704829647E-3</v>
      </c>
      <c r="V6" s="1">
        <f t="shared" si="0"/>
        <v>2.5104678669987499E-3</v>
      </c>
      <c r="W6" s="1">
        <f t="shared" si="1"/>
        <v>2.3295580496107817</v>
      </c>
      <c r="X6" s="1">
        <f t="shared" si="2"/>
        <v>4.8546596498528572E-3</v>
      </c>
      <c r="Y6" s="1">
        <f t="shared" si="16"/>
        <v>2.0442869323582769</v>
      </c>
      <c r="Z6" s="1">
        <f t="shared" si="17"/>
        <v>4.1915188836436253E-3</v>
      </c>
      <c r="AA6" s="1"/>
      <c r="AB6" s="1">
        <v>7.1601741935054843E-3</v>
      </c>
      <c r="AC6" s="1">
        <v>0.2301999331642538</v>
      </c>
      <c r="AD6" s="1">
        <v>0.49813013571279979</v>
      </c>
      <c r="AE6" s="2">
        <v>0.92605024724178175</v>
      </c>
      <c r="AF6" s="1">
        <v>0.20200000000000001</v>
      </c>
      <c r="AG6" s="1">
        <f t="shared" si="18"/>
        <v>1.7610279250489154E-3</v>
      </c>
      <c r="AH6" s="1">
        <f t="shared" si="19"/>
        <v>6.2006300866689927E-3</v>
      </c>
      <c r="AI6" s="1">
        <f t="shared" si="3"/>
        <v>1.2632359682814802E-2</v>
      </c>
      <c r="AJ6" s="1">
        <f t="shared" si="4"/>
        <v>1.881026907958012</v>
      </c>
      <c r="AK6" s="1">
        <f t="shared" si="5"/>
        <v>1.1266924596683969E-2</v>
      </c>
      <c r="AL6" s="1">
        <f t="shared" si="20"/>
        <v>3.5034644171752198</v>
      </c>
      <c r="AM6" s="1">
        <f t="shared" si="21"/>
        <v>1.3203022874928162E-3</v>
      </c>
      <c r="AO6">
        <v>4.2371049729606879E-3</v>
      </c>
      <c r="AP6">
        <v>2.5042301831374756E-5</v>
      </c>
      <c r="AS6" s="1">
        <v>1.4618750901520868E-3</v>
      </c>
      <c r="AT6">
        <v>1.4119342333526986E-8</v>
      </c>
      <c r="AW6">
        <f t="shared" si="6"/>
        <v>1.7741471945521009E-5</v>
      </c>
      <c r="AX6">
        <f t="shared" si="7"/>
        <v>1.5305300135008955E-5</v>
      </c>
      <c r="AY6">
        <f t="shared" si="8"/>
        <v>1.5190923762625372E-5</v>
      </c>
      <c r="AZ6">
        <f t="shared" si="9"/>
        <v>1.1315230098528241E-5</v>
      </c>
      <c r="BB6">
        <f t="shared" si="22"/>
        <v>1.8906802729815394E-5</v>
      </c>
      <c r="BC6">
        <f t="shared" si="23"/>
        <v>6.1447096457686671E-6</v>
      </c>
      <c r="BD6">
        <f t="shared" si="24"/>
        <v>5.1982918791572344E-6</v>
      </c>
      <c r="BE6">
        <f t="shared" si="25"/>
        <v>4.123629629661693E-9</v>
      </c>
      <c r="BG6" s="17">
        <f t="shared" si="26"/>
        <v>2.9150780428188495E-5</v>
      </c>
      <c r="BH6" s="17">
        <f t="shared" si="27"/>
        <v>9.2072489296464041E-7</v>
      </c>
      <c r="BI6" s="17">
        <f t="shared" si="28"/>
        <v>2.9944814029407459E-5</v>
      </c>
      <c r="BJ6" s="17">
        <f t="shared" si="29"/>
        <v>1.6865398874006648E-5</v>
      </c>
      <c r="BM6">
        <v>0.54353585662964909</v>
      </c>
      <c r="BN6">
        <v>2.1168883485351852E-2</v>
      </c>
      <c r="BO6">
        <f t="shared" si="30"/>
        <v>0.10479645289778144</v>
      </c>
      <c r="BP6">
        <f t="shared" si="31"/>
        <v>0.34289636483099578</v>
      </c>
    </row>
    <row r="7" spans="1:68" ht="15.75" x14ac:dyDescent="0.25">
      <c r="B7" s="1">
        <v>1.4618750901520868E-3</v>
      </c>
      <c r="C7" s="1">
        <v>6.7429279445787582E-3</v>
      </c>
      <c r="D7" s="1">
        <v>0.11376244845810468</v>
      </c>
      <c r="E7" s="1">
        <v>0.91029602994159209</v>
      </c>
      <c r="F7" s="1">
        <v>0.20200000000000001</v>
      </c>
      <c r="G7" s="1">
        <f t="shared" si="10"/>
        <v>1.4119342333526986E-8</v>
      </c>
      <c r="H7" s="1">
        <f t="shared" si="11"/>
        <v>1.8447837826699676E-6</v>
      </c>
      <c r="I7" s="1">
        <f>F7*E7^2*(C7/E7)^J7</f>
        <v>2.5323173822835299E-6</v>
      </c>
      <c r="J7" s="1">
        <f>LOG10((2*D7^3+0.04*D7)/E7^2)/LOG10(D7/E7)</f>
        <v>2.2626490667015626</v>
      </c>
      <c r="K7" s="1">
        <f>F7*C7^2/E7^(2/3)</f>
        <v>9.7782238362830643E-6</v>
      </c>
      <c r="L7" s="1">
        <f t="shared" si="12"/>
        <v>1.5596278001668455</v>
      </c>
      <c r="M7" s="1">
        <f t="shared" si="13"/>
        <v>7.9650468416678775E-5</v>
      </c>
      <c r="N7" s="4"/>
      <c r="O7" s="1">
        <v>1.8202559152920971E-3</v>
      </c>
      <c r="P7" s="1">
        <v>0.16256524421660068</v>
      </c>
      <c r="Q7" s="1">
        <v>0.33375145631515701</v>
      </c>
      <c r="R7" s="1">
        <v>0.8924367232607735</v>
      </c>
      <c r="S7" s="1">
        <v>0.20200000000000001</v>
      </c>
      <c r="T7" s="1">
        <f t="shared" si="14"/>
        <v>5.946875405093172E-4</v>
      </c>
      <c r="U7" s="1">
        <f t="shared" si="15"/>
        <v>2.7858491145097038E-3</v>
      </c>
      <c r="V7" s="1">
        <f t="shared" si="0"/>
        <v>3.5289079636859366E-3</v>
      </c>
      <c r="W7" s="1">
        <f t="shared" si="1"/>
        <v>2.2430755247693508</v>
      </c>
      <c r="X7" s="1">
        <f t="shared" si="2"/>
        <v>5.7591070212554578E-3</v>
      </c>
      <c r="Y7" s="1">
        <f t="shared" si="16"/>
        <v>2.476124060980851</v>
      </c>
      <c r="Z7" s="1">
        <f t="shared" si="17"/>
        <v>2.3729541630009387E-3</v>
      </c>
      <c r="AA7" s="1"/>
      <c r="AB7" s="1">
        <v>4.4240343246795552E-3</v>
      </c>
      <c r="AC7" s="1">
        <v>0.1986958576320581</v>
      </c>
      <c r="AD7" s="1">
        <v>0.40210768780800255</v>
      </c>
      <c r="AE7" s="2">
        <v>0.88177546413952435</v>
      </c>
      <c r="AF7" s="1">
        <v>0.20200000000000001</v>
      </c>
      <c r="AG7" s="1">
        <f t="shared" si="18"/>
        <v>1.189226905174056E-3</v>
      </c>
      <c r="AH7" s="1">
        <f t="shared" si="19"/>
        <v>4.420059840923125E-3</v>
      </c>
      <c r="AI7" s="1">
        <f t="shared" si="3"/>
        <v>6.5805954334373761E-3</v>
      </c>
      <c r="AJ7" s="1">
        <f t="shared" si="4"/>
        <v>2.1289675162651349</v>
      </c>
      <c r="AK7" s="1">
        <f t="shared" si="5"/>
        <v>8.6727532206489072E-3</v>
      </c>
      <c r="AL7" s="1">
        <f t="shared" si="20"/>
        <v>2.8746896647261284</v>
      </c>
      <c r="AM7" s="1">
        <f t="shared" si="21"/>
        <v>2.1659916980589014E-3</v>
      </c>
      <c r="AO7">
        <v>1.4618750901520868E-3</v>
      </c>
      <c r="AP7">
        <v>1.4119342333526986E-8</v>
      </c>
      <c r="AS7" s="1">
        <v>1.7462797905753757E-3</v>
      </c>
      <c r="AT7">
        <v>2.8572444604962788E-8</v>
      </c>
      <c r="AW7">
        <f t="shared" si="6"/>
        <v>2.1370374979768344E-6</v>
      </c>
      <c r="AX7">
        <f t="shared" si="7"/>
        <v>2.1316884955171731E-6</v>
      </c>
      <c r="AY7">
        <f t="shared" si="8"/>
        <v>2.1296813284354573E-6</v>
      </c>
      <c r="AZ7">
        <f t="shared" si="9"/>
        <v>2.1085853091641774E-6</v>
      </c>
      <c r="BB7">
        <f t="shared" si="22"/>
        <v>1.5020178412677046E-6</v>
      </c>
      <c r="BC7">
        <f t="shared" si="23"/>
        <v>9.3237022637529261E-7</v>
      </c>
      <c r="BD7">
        <f t="shared" si="24"/>
        <v>2.9194918224804633E-6</v>
      </c>
      <c r="BE7">
        <f t="shared" si="25"/>
        <v>1.5514548034948789E-5</v>
      </c>
      <c r="BG7" s="17">
        <f t="shared" si="26"/>
        <v>1.0463979041287826E-5</v>
      </c>
      <c r="BH7" s="17">
        <f t="shared" si="27"/>
        <v>1.5796521130127658E-11</v>
      </c>
      <c r="BI7" s="17">
        <f t="shared" si="28"/>
        <v>4.6507558158067615E-6</v>
      </c>
      <c r="BJ7" s="17">
        <f t="shared" si="29"/>
        <v>1.8051612256967029E-5</v>
      </c>
      <c r="BM7">
        <v>0.24569057062802424</v>
      </c>
      <c r="BN7">
        <v>1.984787749857455E-2</v>
      </c>
      <c r="BO7">
        <f t="shared" si="30"/>
        <v>9.8256819299873996E-2</v>
      </c>
      <c r="BP7">
        <f t="shared" si="31"/>
        <v>3.948928352050797E-2</v>
      </c>
    </row>
    <row r="8" spans="1:68" ht="15.75" x14ac:dyDescent="0.25">
      <c r="B8" s="1">
        <v>1.7462797905753757E-3</v>
      </c>
      <c r="C8" s="1">
        <v>8.3170283320544991E-3</v>
      </c>
      <c r="D8" s="1">
        <v>0.16309800408120356</v>
      </c>
      <c r="E8" s="1">
        <v>0.90778350390664797</v>
      </c>
      <c r="F8" s="1">
        <v>0.20200000000000001</v>
      </c>
      <c r="G8" s="1">
        <f t="shared" si="10"/>
        <v>2.8572444604962788E-8</v>
      </c>
      <c r="H8" s="1">
        <f t="shared" si="11"/>
        <v>2.9889640736140842E-6</v>
      </c>
      <c r="I8" s="1">
        <f>F8*E8^2*(C8/E8)^J8</f>
        <v>3.0265668352326965E-6</v>
      </c>
      <c r="J8" s="1">
        <f>LOG10((2*D8^3+0.04*D8)/E8^2)/LOG10(D8/E8)</f>
        <v>2.3259729462244914</v>
      </c>
      <c r="K8" s="1">
        <f>F8*C8^2/E8^(2/3)</f>
        <v>1.4903886695483157E-5</v>
      </c>
      <c r="L8" s="1">
        <f t="shared" si="12"/>
        <v>1.7518803985967641</v>
      </c>
      <c r="M8" s="1">
        <f t="shared" si="13"/>
        <v>4.4767101752319237E-5</v>
      </c>
      <c r="N8" s="4"/>
      <c r="O8" s="1">
        <v>1.9635223695734284E-3</v>
      </c>
      <c r="P8" s="1">
        <v>6.5507321800608143E-2</v>
      </c>
      <c r="Q8" s="1">
        <v>0.2187624068439854</v>
      </c>
      <c r="R8" s="1">
        <v>0.88130012137615654</v>
      </c>
      <c r="S8" s="1">
        <v>0.20200000000000001</v>
      </c>
      <c r="T8" s="1">
        <f t="shared" si="14"/>
        <v>2.9471564427869754E-5</v>
      </c>
      <c r="U8" s="1">
        <f t="shared" si="15"/>
        <v>3.4439792038629911E-4</v>
      </c>
      <c r="V8" s="1">
        <f t="shared" si="0"/>
        <v>3.5575337547268733E-4</v>
      </c>
      <c r="W8" s="1">
        <f t="shared" si="1"/>
        <v>2.3426385394695246</v>
      </c>
      <c r="X8" s="1">
        <f t="shared" si="2"/>
        <v>9.4300755261714708E-4</v>
      </c>
      <c r="Y8" s="1">
        <f t="shared" si="16"/>
        <v>1.9658458412474999</v>
      </c>
      <c r="Z8" s="1">
        <f t="shared" si="17"/>
        <v>9.4729540964392795E-4</v>
      </c>
      <c r="AA8" s="1"/>
      <c r="AB8" s="1">
        <v>8.7833793438758488E-3</v>
      </c>
      <c r="AC8" s="1">
        <v>0.3147943942067104</v>
      </c>
      <c r="AD8" s="1">
        <v>0.54353585662964909</v>
      </c>
      <c r="AE8" s="2">
        <v>0.914302490375692</v>
      </c>
      <c r="AF8" s="1">
        <v>0.20200000000000001</v>
      </c>
      <c r="AG8" s="1">
        <f t="shared" si="18"/>
        <v>5.1277659850884226E-3</v>
      </c>
      <c r="AH8" s="1">
        <f t="shared" si="19"/>
        <v>1.2736671733121265E-2</v>
      </c>
      <c r="AI8" s="1">
        <f t="shared" si="3"/>
        <v>2.7168579794941115E-2</v>
      </c>
      <c r="AJ8" s="1">
        <f t="shared" si="4"/>
        <v>1.7135128212147444</v>
      </c>
      <c r="AK8" s="1">
        <f t="shared" si="5"/>
        <v>2.124933846715377E-2</v>
      </c>
      <c r="AL8" s="1">
        <f t="shared" si="20"/>
        <v>3.9817935801424276</v>
      </c>
      <c r="AM8" s="1">
        <f t="shared" si="21"/>
        <v>2.4194142908051043E-3</v>
      </c>
      <c r="AO8">
        <v>1.7462797905753757E-3</v>
      </c>
      <c r="AP8">
        <v>2.8572444604962788E-8</v>
      </c>
      <c r="AS8" s="1">
        <v>2.9494083603265739E-3</v>
      </c>
      <c r="AT8">
        <v>2.7617142374698839E-6</v>
      </c>
      <c r="AW8">
        <f t="shared" si="6"/>
        <v>3.0493933168232007E-6</v>
      </c>
      <c r="AX8">
        <f t="shared" si="7"/>
        <v>3.039062905765195E-6</v>
      </c>
      <c r="AY8">
        <f t="shared" si="8"/>
        <v>3.0389318020804006E-6</v>
      </c>
      <c r="AZ8">
        <f t="shared" si="9"/>
        <v>2.9976625205359145E-6</v>
      </c>
      <c r="BB8">
        <f t="shared" si="22"/>
        <v>3.7405525168841833E-6</v>
      </c>
      <c r="BC8">
        <f t="shared" si="23"/>
        <v>2.6215639819555249E-6</v>
      </c>
      <c r="BD8">
        <f t="shared" si="24"/>
        <v>2.5849211383917085E-6</v>
      </c>
      <c r="BE8">
        <f t="shared" si="25"/>
        <v>1.0414504916273126E-6</v>
      </c>
      <c r="BG8" s="17">
        <f t="shared" si="26"/>
        <v>1.3363509028945087E-5</v>
      </c>
      <c r="BH8" s="17">
        <f t="shared" si="27"/>
        <v>1.562852071486573E-5</v>
      </c>
      <c r="BI8" s="17">
        <f t="shared" si="28"/>
        <v>3.3801559562585045E-4</v>
      </c>
      <c r="BJ8" s="17">
        <f t="shared" si="29"/>
        <v>1.5540013686323603E-4</v>
      </c>
      <c r="BM8">
        <v>0.26655163596748066</v>
      </c>
      <c r="BN8">
        <v>1.0854071491960856E-2</v>
      </c>
      <c r="BO8">
        <f t="shared" si="30"/>
        <v>5.3733027187925025E-2</v>
      </c>
      <c r="BP8">
        <f t="shared" si="31"/>
        <v>4.8538932767893748E-2</v>
      </c>
    </row>
    <row r="9" spans="1:68" ht="15.75" x14ac:dyDescent="0.25">
      <c r="B9" s="1">
        <v>2.9494083603265739E-3</v>
      </c>
      <c r="C9" s="1">
        <v>3.2978660913871471E-2</v>
      </c>
      <c r="D9" s="1">
        <v>0.11999622176307945</v>
      </c>
      <c r="E9" s="1">
        <v>0.91722245306495132</v>
      </c>
      <c r="F9" s="1">
        <v>0.20200000000000001</v>
      </c>
      <c r="G9" s="1">
        <f t="shared" si="10"/>
        <v>2.7617142374698839E-6</v>
      </c>
      <c r="H9" s="1">
        <f t="shared" si="11"/>
        <v>7.1044394744615216E-5</v>
      </c>
      <c r="I9" s="1">
        <f>F9*E9^2*(C9/E9)^J9</f>
        <v>8.8472307703029251E-5</v>
      </c>
      <c r="J9" s="1">
        <f>LOG10((2*D9^3+0.04*D9)/E9^2)/LOG10(D9/E9)</f>
        <v>2.2735068925334083</v>
      </c>
      <c r="K9" s="1">
        <f>F9*C9^2/E9^(2/3)</f>
        <v>2.3272030946065671E-4</v>
      </c>
      <c r="L9" s="1">
        <f t="shared" si="12"/>
        <v>1.5863239762799934</v>
      </c>
      <c r="M9" s="1">
        <f t="shared" si="13"/>
        <v>8.6949192152861884E-4</v>
      </c>
      <c r="N9" s="4"/>
      <c r="O9" s="1">
        <v>3.208905888182019E-3</v>
      </c>
      <c r="P9" s="1">
        <v>5.7710242917952237E-2</v>
      </c>
      <c r="Q9" s="1">
        <v>0.17571158086532357</v>
      </c>
      <c r="R9" s="1">
        <v>0.8920971927155108</v>
      </c>
      <c r="S9" s="1">
        <v>0.20200000000000001</v>
      </c>
      <c r="T9" s="1">
        <f t="shared" si="14"/>
        <v>1.885254698942245E-5</v>
      </c>
      <c r="U9" s="1">
        <f t="shared" si="15"/>
        <v>2.5732119188998868E-4</v>
      </c>
      <c r="V9" s="1">
        <f t="shared" si="0"/>
        <v>2.6791022245159122E-4</v>
      </c>
      <c r="W9" s="1">
        <f t="shared" si="1"/>
        <v>2.3362610032082292</v>
      </c>
      <c r="X9" s="1">
        <f t="shared" si="2"/>
        <v>7.2596507118409775E-4</v>
      </c>
      <c r="Y9" s="1">
        <f t="shared" si="16"/>
        <v>1.7979589799597313</v>
      </c>
      <c r="Z9" s="1">
        <f t="shared" si="17"/>
        <v>1.1698121457191916E-3</v>
      </c>
      <c r="AA9" s="1"/>
      <c r="AB9" s="1">
        <v>1.0096672339517464E-2</v>
      </c>
      <c r="AC9" s="1">
        <v>0.15826945063179332</v>
      </c>
      <c r="AD9" s="1">
        <v>0.24569057062802424</v>
      </c>
      <c r="AE9" s="2">
        <v>0.88272614966625995</v>
      </c>
      <c r="AF9" s="1">
        <v>0.20200000000000001</v>
      </c>
      <c r="AG9" s="1">
        <f t="shared" si="18"/>
        <v>5.559337427773432E-4</v>
      </c>
      <c r="AH9" s="1">
        <f t="shared" si="19"/>
        <v>2.6194324125564214E-3</v>
      </c>
      <c r="AI9" s="1">
        <f t="shared" si="3"/>
        <v>2.8607220704771853E-3</v>
      </c>
      <c r="AJ9" s="1">
        <f t="shared" si="4"/>
        <v>2.3318064098704006</v>
      </c>
      <c r="AK9" s="1">
        <f t="shared" si="5"/>
        <v>5.4987194789549287E-3</v>
      </c>
      <c r="AL9" s="1">
        <f t="shared" si="20"/>
        <v>2.0760749454729015</v>
      </c>
      <c r="AM9" s="1">
        <f t="shared" si="21"/>
        <v>4.4397756150392287E-3</v>
      </c>
      <c r="AO9">
        <v>2.9494083603265739E-3</v>
      </c>
      <c r="AP9">
        <v>2.7617142374698839E-6</v>
      </c>
      <c r="AS9" s="1">
        <v>3.4567427337100567E-3</v>
      </c>
      <c r="AT9">
        <v>3.9799569878033153E-5</v>
      </c>
      <c r="AW9">
        <f t="shared" si="6"/>
        <v>8.6827264569081643E-6</v>
      </c>
      <c r="AX9">
        <f t="shared" si="7"/>
        <v>8.2849791183606998E-6</v>
      </c>
      <c r="AY9">
        <f t="shared" si="8"/>
        <v>8.1849550972011886E-6</v>
      </c>
      <c r="AZ9">
        <f t="shared" si="9"/>
        <v>7.3803939657176551E-6</v>
      </c>
      <c r="BB9">
        <f t="shared" si="22"/>
        <v>1.017644031965405E-5</v>
      </c>
      <c r="BC9">
        <f t="shared" si="23"/>
        <v>8.711852219385317E-6</v>
      </c>
      <c r="BD9">
        <f t="shared" si="24"/>
        <v>8.6494555058451633E-6</v>
      </c>
      <c r="BE9">
        <f t="shared" si="25"/>
        <v>6.1649951007143036E-6</v>
      </c>
      <c r="BG9" s="17">
        <f t="shared" si="26"/>
        <v>9.1025692971326646E-5</v>
      </c>
      <c r="BH9" s="17">
        <f t="shared" si="27"/>
        <v>5.5909116925340378E-5</v>
      </c>
      <c r="BI9" s="17">
        <f t="shared" si="28"/>
        <v>5.2358976296024075E-5</v>
      </c>
      <c r="BJ9" s="17">
        <f t="shared" si="29"/>
        <v>2.1141170507955197E-5</v>
      </c>
      <c r="BM9">
        <v>0.16503744452336877</v>
      </c>
      <c r="BN9">
        <v>1.2314517492728601E-2</v>
      </c>
      <c r="BO9">
        <f t="shared" si="30"/>
        <v>6.0962957884795055E-2</v>
      </c>
      <c r="BP9">
        <f t="shared" si="31"/>
        <v>1.5591865732003447E-2</v>
      </c>
    </row>
    <row r="10" spans="1:68" ht="15.7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2"/>
      <c r="AF10" s="1"/>
      <c r="AG10" s="1"/>
      <c r="AH10" s="1"/>
      <c r="AI10" s="1"/>
      <c r="AJ10" s="1"/>
      <c r="AK10" s="1"/>
      <c r="AL10" s="1"/>
      <c r="AM10" s="1"/>
      <c r="AO10">
        <v>3.4567427337100567E-3</v>
      </c>
      <c r="AP10">
        <v>3.9799569878033153E-5</v>
      </c>
      <c r="AS10" s="1">
        <v>7.6923956915327255E-3</v>
      </c>
      <c r="AT10">
        <v>1.2628617891003577E-4</v>
      </c>
      <c r="AX10">
        <f t="shared" si="7"/>
        <v>0</v>
      </c>
      <c r="AY10">
        <f t="shared" si="8"/>
        <v>0</v>
      </c>
      <c r="AZ10">
        <f t="shared" si="9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G10" s="17">
        <f t="shared" si="26"/>
        <v>0</v>
      </c>
      <c r="BH10" s="17">
        <f t="shared" si="27"/>
        <v>0</v>
      </c>
      <c r="BI10" s="17">
        <f t="shared" si="28"/>
        <v>0</v>
      </c>
      <c r="BJ10" s="17">
        <f t="shared" si="29"/>
        <v>0</v>
      </c>
      <c r="BM10">
        <v>0.23823124240219629</v>
      </c>
      <c r="BN10">
        <v>1.1784927717019986E-2</v>
      </c>
      <c r="BO10">
        <f t="shared" si="30"/>
        <v>5.8341226321881115E-2</v>
      </c>
      <c r="BP10">
        <f t="shared" si="31"/>
        <v>3.6570461048111728E-2</v>
      </c>
    </row>
    <row r="11" spans="1:68" ht="15.7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2"/>
      <c r="AF11" s="1"/>
      <c r="AG11" s="1"/>
      <c r="AH11" s="1"/>
      <c r="AI11" s="1"/>
      <c r="AJ11" s="1"/>
      <c r="AK11" s="1"/>
      <c r="AL11" s="1"/>
      <c r="AM11" s="1"/>
      <c r="AO11">
        <v>7.6923956915327255E-3</v>
      </c>
      <c r="AP11">
        <v>1.2628617891003577E-4</v>
      </c>
      <c r="AS11" s="1">
        <v>5.3450957339994396E-3</v>
      </c>
      <c r="AT11">
        <v>6.9503810453664061E-5</v>
      </c>
      <c r="AX11">
        <f t="shared" si="7"/>
        <v>0</v>
      </c>
      <c r="AY11">
        <f t="shared" si="8"/>
        <v>0</v>
      </c>
      <c r="AZ11">
        <f t="shared" si="9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G11" s="17">
        <f t="shared" si="26"/>
        <v>0</v>
      </c>
      <c r="BH11" s="17">
        <f t="shared" si="27"/>
        <v>0</v>
      </c>
      <c r="BI11" s="17">
        <f t="shared" si="28"/>
        <v>0</v>
      </c>
      <c r="BJ11" s="17">
        <f t="shared" si="29"/>
        <v>0</v>
      </c>
      <c r="BM11">
        <v>0.33375145631515701</v>
      </c>
      <c r="BN11">
        <v>4.9693116344215055E-3</v>
      </c>
      <c r="BO11">
        <f t="shared" si="30"/>
        <v>2.4600552645651017E-2</v>
      </c>
      <c r="BP11">
        <f t="shared" si="31"/>
        <v>8.7703230781083552E-2</v>
      </c>
    </row>
    <row r="12" spans="1:68" ht="15.75" x14ac:dyDescent="0.25">
      <c r="A12" t="s">
        <v>16</v>
      </c>
      <c r="B12" s="1">
        <v>3.4567427337100567E-3</v>
      </c>
      <c r="C12" s="1">
        <v>7.3691949088990127E-2</v>
      </c>
      <c r="D12" s="1">
        <v>0.16748833350809134</v>
      </c>
      <c r="E12" s="1">
        <v>0.92279075400725974</v>
      </c>
      <c r="F12" s="1">
        <v>0.20200000000000001</v>
      </c>
      <c r="G12" s="1">
        <f>F12*C12^(10/3)/E12^2</f>
        <v>3.9799569878033153E-5</v>
      </c>
      <c r="H12" s="1">
        <f>F12*0.9*C12^2.3</f>
        <v>4.5150231215425459E-4</v>
      </c>
      <c r="I12" s="1">
        <f>F12*E12^2*(C12/E12)^J12</f>
        <v>4.8182226988194976E-4</v>
      </c>
      <c r="J12" s="1">
        <f>LOG10((2*D12^3+0.04*D12)/E12^2)/LOG10(D12/E12)</f>
        <v>2.3255079333316098</v>
      </c>
      <c r="K12" s="1">
        <f>F12*C12^2/E12^(2/3)</f>
        <v>1.1573266840942914E-3</v>
      </c>
      <c r="L12" s="1">
        <f t="shared" si="12"/>
        <v>1.7708916129984487</v>
      </c>
      <c r="M12" s="1">
        <f>F12*E12^2*(C12/E12)^L12</f>
        <v>1.9574013412256681E-3</v>
      </c>
      <c r="N12" s="4" t="s">
        <v>16</v>
      </c>
      <c r="O12" s="1">
        <v>6.641620727028251E-3</v>
      </c>
      <c r="P12" s="1">
        <v>0.20246726893642852</v>
      </c>
      <c r="Q12" s="1">
        <v>0.26655163596748066</v>
      </c>
      <c r="R12" s="1">
        <v>0.90730816114328017</v>
      </c>
      <c r="S12" s="1">
        <v>0.20200000000000001</v>
      </c>
      <c r="T12" s="1">
        <f>S12*P12^(10/3)/R12^2</f>
        <v>1.1958897693681973E-3</v>
      </c>
      <c r="U12" s="1">
        <f>S12*0.9*P12^2.3</f>
        <v>4.615406695921578E-3</v>
      </c>
      <c r="V12" s="1">
        <f>S12*R12^2*(P12/R12)^W12</f>
        <v>5.1932644315138901E-3</v>
      </c>
      <c r="W12" s="1">
        <f>LOG10((2*Q12^3+0.04*Q12)/R12^2)/LOG10(Q12/R12)</f>
        <v>2.3110540138062254</v>
      </c>
      <c r="X12" s="1">
        <f>S12*P12^2/R12^(2/3)</f>
        <v>8.8353645641738952E-3</v>
      </c>
      <c r="Y12" s="1">
        <f t="shared" si="16"/>
        <v>2.161270308324323</v>
      </c>
      <c r="Z12" s="1">
        <f t="shared" si="17"/>
        <v>6.5014397359307264E-3</v>
      </c>
      <c r="AA12" s="1" t="s">
        <v>16</v>
      </c>
      <c r="AB12" s="1"/>
      <c r="AC12" s="1">
        <v>0.63515702689770259</v>
      </c>
      <c r="AD12" s="1">
        <v>0.68951946569586231</v>
      </c>
      <c r="AE12" s="2">
        <v>0.93521757196387489</v>
      </c>
      <c r="AF12" s="1">
        <v>0.20200000000000001</v>
      </c>
      <c r="AG12" s="1"/>
      <c r="AH12" s="1"/>
      <c r="AI12" s="1"/>
      <c r="AJ12" s="1"/>
      <c r="AK12" s="1"/>
      <c r="AL12" s="1"/>
      <c r="AM12" s="1"/>
      <c r="AO12">
        <v>1.7610648245066883E-2</v>
      </c>
      <c r="AP12">
        <v>1.5951522557639578E-6</v>
      </c>
      <c r="AS12" s="1">
        <v>2.5156138141965976E-3</v>
      </c>
      <c r="AT12">
        <v>9.1773435146898858E-6</v>
      </c>
      <c r="AW12">
        <f t="shared" si="6"/>
        <v>1.1675500584858398E-5</v>
      </c>
      <c r="AX12">
        <f t="shared" si="7"/>
        <v>9.0314699913528959E-6</v>
      </c>
      <c r="AY12">
        <f t="shared" si="8"/>
        <v>8.8501517661032382E-6</v>
      </c>
      <c r="AZ12">
        <f t="shared" si="9"/>
        <v>5.2873141692305719E-6</v>
      </c>
      <c r="BB12">
        <f t="shared" si="22"/>
        <v>2.9655985663217088E-5</v>
      </c>
      <c r="BC12">
        <f t="shared" si="23"/>
        <v>4.1055432998535529E-6</v>
      </c>
      <c r="BD12">
        <f t="shared" si="24"/>
        <v>2.0977359587560824E-6</v>
      </c>
      <c r="BE12">
        <f t="shared" si="25"/>
        <v>4.8125120230144946E-6</v>
      </c>
      <c r="BG12" s="17">
        <f t="shared" si="26"/>
        <v>0</v>
      </c>
      <c r="BH12" s="17">
        <f t="shared" si="27"/>
        <v>0</v>
      </c>
      <c r="BI12" s="17">
        <f t="shared" si="28"/>
        <v>0</v>
      </c>
      <c r="BJ12" s="17">
        <f t="shared" si="29"/>
        <v>0</v>
      </c>
      <c r="BM12">
        <v>0.2187624068439854</v>
      </c>
      <c r="BN12">
        <v>8.3064920224965276E-3</v>
      </c>
      <c r="BO12">
        <f t="shared" si="30"/>
        <v>4.1121247636121419E-2</v>
      </c>
      <c r="BP12">
        <f t="shared" si="31"/>
        <v>2.9689117190768444E-2</v>
      </c>
    </row>
    <row r="13" spans="1:68" ht="15.75" x14ac:dyDescent="0.25">
      <c r="B13" s="1">
        <v>7.6923956915327255E-3</v>
      </c>
      <c r="C13" s="1">
        <v>0.10443339202032154</v>
      </c>
      <c r="D13" s="1">
        <v>0.23984193657292108</v>
      </c>
      <c r="E13" s="1">
        <v>0.92625396556893935</v>
      </c>
      <c r="F13" s="1">
        <v>0.20200000000000001</v>
      </c>
      <c r="G13" s="1">
        <f t="shared" ref="G13:G18" si="32">F13*C13^(10/3)/E13^2</f>
        <v>1.2628617891003577E-4</v>
      </c>
      <c r="H13" s="1">
        <f t="shared" ref="H13:H18" si="33">F13*0.9*C13^2.3</f>
        <v>1.0067565471195566E-3</v>
      </c>
      <c r="I13" s="1">
        <f>F13*E13^2*(C13/E13)^J13</f>
        <v>1.0889063510014407E-3</v>
      </c>
      <c r="J13" s="1">
        <f>LOG10((2*D13^3+0.04*D13)/E13^2)/LOG10(D13/E13)</f>
        <v>2.3228638157478643</v>
      </c>
      <c r="K13" s="1">
        <f>F13*C13^2/E13^(2/3)</f>
        <v>2.3185159307548124E-3</v>
      </c>
      <c r="L13" s="1">
        <f t="shared" si="12"/>
        <v>2.0499057375825553</v>
      </c>
      <c r="M13" s="1">
        <f t="shared" ref="M13:M18" si="34">F13*E13^2*(C13/E13)^L13</f>
        <v>1.9757179862929372E-3</v>
      </c>
      <c r="N13" s="4"/>
      <c r="O13" s="1">
        <v>5.3082345699056168E-3</v>
      </c>
      <c r="P13" s="1">
        <v>0.12747706109106227</v>
      </c>
      <c r="Q13" s="1">
        <v>0.16503744452336877</v>
      </c>
      <c r="R13" s="1">
        <v>0.90751187947043777</v>
      </c>
      <c r="S13" s="1">
        <v>0.20200000000000001</v>
      </c>
      <c r="T13" s="1">
        <f t="shared" ref="T13:T18" si="35">S13*P13^(10/3)/R13^2</f>
        <v>2.5571343159751432E-4</v>
      </c>
      <c r="U13" s="1">
        <f t="shared" ref="U13:U18" si="36">S13*0.9*P13^2.3</f>
        <v>1.5925298326494358E-3</v>
      </c>
      <c r="V13" s="1">
        <f>S13*R13^2*(P13/R13)^W13</f>
        <v>1.7268128299008604E-3</v>
      </c>
      <c r="W13" s="1">
        <f>LOG10((2*Q13^3+0.04*Q13)/R13^2)/LOG10(Q13/R13)</f>
        <v>2.3272683622519739</v>
      </c>
      <c r="X13" s="1">
        <f>S13*P13^2/R13^(2/3)</f>
        <v>3.5019819931496514E-3</v>
      </c>
      <c r="Y13" s="1">
        <f t="shared" si="16"/>
        <v>1.7592559979464901</v>
      </c>
      <c r="Z13" s="1">
        <f t="shared" si="17"/>
        <v>5.2653897442694279E-3</v>
      </c>
      <c r="AA13" s="1"/>
      <c r="AB13" s="1">
        <v>1.1217025686852585E-2</v>
      </c>
      <c r="AC13" s="1">
        <v>0.35751190020026424</v>
      </c>
      <c r="AD13" s="1">
        <v>0.44334593341838785</v>
      </c>
      <c r="AE13" s="2">
        <v>0.91022812383253948</v>
      </c>
      <c r="AF13" s="1">
        <v>0.20200000000000001</v>
      </c>
      <c r="AG13" s="1">
        <f t="shared" ref="AG13:AG17" si="37">AF13*AC13^(10/3)/AE13^2</f>
        <v>7.9071360379296372E-3</v>
      </c>
      <c r="AH13" s="1">
        <f t="shared" ref="AH13:AH17" si="38">AF13*0.9*AC13^2.3</f>
        <v>1.7067190434835129E-2</v>
      </c>
      <c r="AI13" s="1">
        <f>AF13*AE13^2*(AC13/AE13)^AJ13</f>
        <v>2.504695155632861E-2</v>
      </c>
      <c r="AJ13" s="1">
        <f>LOG10((2*AD13^3+0.04*AD13)/AE13^2)/LOG10(AD13/AE13)</f>
        <v>2.0324681086891276</v>
      </c>
      <c r="AK13" s="1">
        <f>AF13*AC13^2/AE13^(2/3)</f>
        <v>2.748941772778676E-2</v>
      </c>
      <c r="AL13" s="1">
        <f t="shared" si="20"/>
        <v>3.1113255451250943</v>
      </c>
      <c r="AM13" s="1">
        <f t="shared" si="21"/>
        <v>9.138818851942232E-3</v>
      </c>
      <c r="AO13">
        <v>5.3450957339994396E-3</v>
      </c>
      <c r="AP13">
        <v>6.9503810453664061E-5</v>
      </c>
      <c r="AS13" s="1">
        <v>6.0173190115224056E-3</v>
      </c>
      <c r="AT13">
        <v>4.521208044181943E-4</v>
      </c>
      <c r="AW13">
        <f t="shared" si="6"/>
        <v>5.7246013156999552E-5</v>
      </c>
      <c r="AX13">
        <f t="shared" si="7"/>
        <v>4.4697770769309653E-5</v>
      </c>
      <c r="AY13">
        <f t="shared" si="8"/>
        <v>4.3606071470510298E-5</v>
      </c>
      <c r="AZ13">
        <f t="shared" si="9"/>
        <v>2.8878583683298475E-5</v>
      </c>
      <c r="BB13">
        <f t="shared" si="22"/>
        <v>2.5527969853050207E-5</v>
      </c>
      <c r="BC13">
        <f t="shared" si="23"/>
        <v>1.3806461694468023E-5</v>
      </c>
      <c r="BD13">
        <f t="shared" si="24"/>
        <v>1.2826581679778699E-5</v>
      </c>
      <c r="BE13">
        <f t="shared" si="25"/>
        <v>3.2625483710375646E-6</v>
      </c>
      <c r="BG13" s="17">
        <f t="shared" si="26"/>
        <v>1.0955369488047278E-5</v>
      </c>
      <c r="BH13" s="17">
        <f t="shared" si="27"/>
        <v>3.4224427578537656E-5</v>
      </c>
      <c r="BI13" s="17">
        <f t="shared" si="28"/>
        <v>1.9126684955520217E-4</v>
      </c>
      <c r="BJ13" s="17">
        <f t="shared" si="29"/>
        <v>2.6479074273385791E-4</v>
      </c>
      <c r="BM13">
        <v>0.17571158086532357</v>
      </c>
      <c r="BN13">
        <v>3.3812937074082627E-3</v>
      </c>
      <c r="BO13">
        <f t="shared" si="30"/>
        <v>1.6739077759446844E-2</v>
      </c>
      <c r="BP13">
        <f t="shared" si="31"/>
        <v>1.7878498603924577E-2</v>
      </c>
    </row>
    <row r="14" spans="1:68" ht="15.75" x14ac:dyDescent="0.25">
      <c r="B14" s="1"/>
      <c r="C14" s="1">
        <v>2.7943187946606218E-2</v>
      </c>
      <c r="D14" s="1">
        <v>0.13080833716970208</v>
      </c>
      <c r="E14" s="1">
        <v>0.9156606125567428</v>
      </c>
      <c r="F14" s="1">
        <v>0.20200000000000001</v>
      </c>
      <c r="G14" s="1"/>
      <c r="H14" s="1"/>
      <c r="I14" s="1"/>
      <c r="J14" s="1"/>
      <c r="K14" s="1"/>
      <c r="L14" s="1"/>
      <c r="M14" s="1"/>
      <c r="N14" s="4"/>
      <c r="O14" s="1"/>
      <c r="P14" s="1">
        <v>0.13913252831044587</v>
      </c>
      <c r="Q14" s="1">
        <v>0.22532973018055513</v>
      </c>
      <c r="R14" s="1">
        <v>0.90465982289023106</v>
      </c>
      <c r="S14" s="1">
        <v>0.20200000000000001</v>
      </c>
      <c r="T14" s="1"/>
      <c r="U14" s="1"/>
      <c r="V14" s="1"/>
      <c r="W14" s="1"/>
      <c r="X14" s="1"/>
      <c r="Y14" s="1"/>
      <c r="Z14" s="1"/>
      <c r="AA14" s="1"/>
      <c r="AB14" s="1">
        <v>1.3074051241337873E-2</v>
      </c>
      <c r="AC14" s="1">
        <v>0.35898329004365659</v>
      </c>
      <c r="AD14" s="1">
        <v>0.47477407243141512</v>
      </c>
      <c r="AE14" s="2">
        <v>0.89657899591297852</v>
      </c>
      <c r="AF14" s="1">
        <v>0.20200000000000001</v>
      </c>
      <c r="AG14" s="1">
        <f t="shared" si="37"/>
        <v>8.2620602978665195E-3</v>
      </c>
      <c r="AH14" s="1">
        <f t="shared" si="38"/>
        <v>1.7229180304755301E-2</v>
      </c>
      <c r="AI14" s="1">
        <f>AF14*AE14^2*(AC14/AE14)^AJ14</f>
        <v>2.7307624091740406E-2</v>
      </c>
      <c r="AJ14" s="1">
        <f>LOG10((2*AD14^3+0.04*AD14)/AE14^2)/LOG10(AD14/AE14)</f>
        <v>1.9477148922980558</v>
      </c>
      <c r="AK14" s="1">
        <f>AF14*AC14^2/AE14^(2/3)</f>
        <v>2.7996739916444809E-2</v>
      </c>
      <c r="AL14" s="1">
        <f t="shared" si="20"/>
        <v>3.3805813398539826</v>
      </c>
      <c r="AM14" s="1">
        <f t="shared" si="21"/>
        <v>7.3569698177387913E-3</v>
      </c>
      <c r="AO14">
        <v>1.2725902634557099E-2</v>
      </c>
      <c r="AP14">
        <v>3.4328070740822101E-6</v>
      </c>
      <c r="AS14" s="1">
        <v>1.3095607731689905E-2</v>
      </c>
      <c r="AT14">
        <v>1.0895432555845981E-3</v>
      </c>
      <c r="AX14">
        <f t="shared" si="7"/>
        <v>0</v>
      </c>
      <c r="AY14">
        <f t="shared" si="8"/>
        <v>0</v>
      </c>
      <c r="AZ14">
        <f t="shared" si="9"/>
        <v>0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G14" s="17">
        <f t="shared" si="26"/>
        <v>2.3155256840050327E-5</v>
      </c>
      <c r="BH14" s="17">
        <f t="shared" si="27"/>
        <v>1.7265097533656192E-5</v>
      </c>
      <c r="BI14" s="17">
        <f t="shared" si="28"/>
        <v>2.0259459608771608E-4</v>
      </c>
      <c r="BJ14" s="17">
        <f t="shared" si="29"/>
        <v>2.2268663729416478E-4</v>
      </c>
      <c r="BM14">
        <v>0.16748833350809134</v>
      </c>
      <c r="BN14">
        <v>9.5102467839510221E-3</v>
      </c>
      <c r="BO14">
        <f t="shared" si="30"/>
        <v>4.7080429623519909E-2</v>
      </c>
      <c r="BP14">
        <f t="shared" si="31"/>
        <v>1.6096413319026372E-2</v>
      </c>
    </row>
    <row r="15" spans="1:68" ht="15.75" x14ac:dyDescent="0.25">
      <c r="B15" s="1">
        <v>5.3450957339994396E-3</v>
      </c>
      <c r="C15" s="1">
        <v>8.6753896902089345E-2</v>
      </c>
      <c r="D15" s="1">
        <v>0.22048874657577666</v>
      </c>
      <c r="E15" s="1">
        <v>0.91654339197442591</v>
      </c>
      <c r="F15" s="1">
        <v>0.20200000000000001</v>
      </c>
      <c r="G15" s="1">
        <f t="shared" si="32"/>
        <v>6.9503810453664061E-5</v>
      </c>
      <c r="H15" s="1">
        <f t="shared" si="33"/>
        <v>6.5714099419005197E-4</v>
      </c>
      <c r="I15" s="1">
        <f>F15*E15^2*(C15/E15)^J15</f>
        <v>6.936986021216933E-4</v>
      </c>
      <c r="J15" s="1">
        <f>LOG10((2*D15^3+0.04*D15)/E15^2)/LOG10(D15/E15)</f>
        <v>2.3328161955398534</v>
      </c>
      <c r="K15" s="1">
        <f>F15*C15^2/E15^(2/3)</f>
        <v>1.6112416004712511E-3</v>
      </c>
      <c r="L15" s="1">
        <f t="shared" si="12"/>
        <v>1.9735392217016712</v>
      </c>
      <c r="M15" s="1">
        <f t="shared" si="34"/>
        <v>1.6181604892651549E-3</v>
      </c>
      <c r="N15" s="4"/>
      <c r="O15" s="1">
        <v>4.8407196690174528E-3</v>
      </c>
      <c r="P15" s="1">
        <v>0.16849017142470568</v>
      </c>
      <c r="Q15" s="1">
        <v>0.23823124240219629</v>
      </c>
      <c r="R15" s="1">
        <v>0.90398076179970555</v>
      </c>
      <c r="S15" s="1">
        <v>0.20200000000000001</v>
      </c>
      <c r="T15" s="1">
        <f t="shared" si="35"/>
        <v>6.5305270668044137E-4</v>
      </c>
      <c r="U15" s="1">
        <f t="shared" si="36"/>
        <v>3.0249304579152455E-3</v>
      </c>
      <c r="V15" s="1">
        <f>S15*R15^2*(P15/R15)^W15</f>
        <v>3.2965527588539978E-3</v>
      </c>
      <c r="W15" s="1">
        <f>LOG10((2*Q15^3+0.04*Q15)/R15^2)/LOG10(Q15/R15)</f>
        <v>2.3295580496107817</v>
      </c>
      <c r="X15" s="1">
        <f>S15*P15^2/R15^(2/3)</f>
        <v>6.1337733137584111E-3</v>
      </c>
      <c r="Y15" s="1">
        <f t="shared" si="16"/>
        <v>2.0442869323582769</v>
      </c>
      <c r="Z15" s="1">
        <f t="shared" si="17"/>
        <v>5.3234042772086678E-3</v>
      </c>
      <c r="AA15" s="1"/>
      <c r="AB15" s="1">
        <v>7.1394226028235943E-3</v>
      </c>
      <c r="AC15" s="1">
        <v>0.30753933820854806</v>
      </c>
      <c r="AD15" s="1">
        <v>0.49813013571279979</v>
      </c>
      <c r="AE15" s="2">
        <v>0.92605024724178175</v>
      </c>
      <c r="AF15" s="1">
        <v>0.20200000000000001</v>
      </c>
      <c r="AG15" s="1">
        <f t="shared" si="37"/>
        <v>4.6247101298637723E-3</v>
      </c>
      <c r="AH15" s="1">
        <f t="shared" si="38"/>
        <v>1.2071616568874574E-2</v>
      </c>
      <c r="AI15" s="1">
        <f>AF15*AE15^2*(AC15/AE15)^AJ15</f>
        <v>2.1782572588395017E-2</v>
      </c>
      <c r="AJ15" s="1">
        <f>LOG10((2*AD15^3+0.04*AD15)/AE15^2)/LOG10(AD15/AE15)</f>
        <v>1.881026907958012</v>
      </c>
      <c r="AK15" s="1">
        <f>AF15*AC15^2/AE15^(2/3)</f>
        <v>2.0109272181326271E-2</v>
      </c>
      <c r="AL15" s="1">
        <f t="shared" si="20"/>
        <v>3.5034644171752198</v>
      </c>
      <c r="AM15" s="1">
        <f t="shared" si="21"/>
        <v>3.6424480944126465E-3</v>
      </c>
      <c r="AO15">
        <v>2.4776549054133451E-3</v>
      </c>
      <c r="AP15">
        <v>6.6636041934239198E-7</v>
      </c>
      <c r="AS15" s="1">
        <v>6.7354076969024018E-3</v>
      </c>
      <c r="AT15">
        <v>9.2123117291588604E-5</v>
      </c>
      <c r="AW15">
        <f t="shared" si="6"/>
        <v>2.7831870143781418E-5</v>
      </c>
      <c r="AX15">
        <f t="shared" si="7"/>
        <v>2.1976919642501302E-5</v>
      </c>
      <c r="AY15">
        <f t="shared" si="8"/>
        <v>2.1635495278440526E-5</v>
      </c>
      <c r="AZ15">
        <f t="shared" si="9"/>
        <v>1.3941666690465539E-5</v>
      </c>
      <c r="BB15">
        <f t="shared" si="22"/>
        <v>1.7536554587448894E-5</v>
      </c>
      <c r="BC15">
        <f t="shared" si="23"/>
        <v>3.2970904591551764E-6</v>
      </c>
      <c r="BD15">
        <f t="shared" si="24"/>
        <v>2.3844514464437517E-6</v>
      </c>
      <c r="BE15">
        <f t="shared" si="25"/>
        <v>1.6719877281778763E-6</v>
      </c>
      <c r="BG15" s="17">
        <f t="shared" si="26"/>
        <v>6.3237788216597036E-6</v>
      </c>
      <c r="BH15" s="17">
        <f t="shared" si="27"/>
        <v>2.4326537318749699E-5</v>
      </c>
      <c r="BI15" s="17">
        <f t="shared" si="28"/>
        <v>2.1442184149994035E-4</v>
      </c>
      <c r="BJ15" s="17">
        <f t="shared" si="29"/>
        <v>1.6821699808898606E-4</v>
      </c>
      <c r="BM15">
        <v>0.23984193657292108</v>
      </c>
      <c r="BN15">
        <v>1.5662653986566157E-2</v>
      </c>
      <c r="BO15">
        <f t="shared" si="30"/>
        <v>7.7537891022604735E-2</v>
      </c>
      <c r="BP15">
        <f t="shared" si="31"/>
        <v>3.7187086711647895E-2</v>
      </c>
    </row>
    <row r="16" spans="1:68" ht="15.75" x14ac:dyDescent="0.25">
      <c r="B16" s="1"/>
      <c r="C16" s="1">
        <v>3.5042815919835824E-2</v>
      </c>
      <c r="D16" s="1">
        <v>0.11376244845810468</v>
      </c>
      <c r="E16" s="1">
        <v>0.91029602994159209</v>
      </c>
      <c r="F16" s="1">
        <v>0.20200000000000001</v>
      </c>
      <c r="G16" s="1"/>
      <c r="H16" s="1"/>
      <c r="I16" s="1"/>
      <c r="J16" s="1"/>
      <c r="K16" s="1"/>
      <c r="L16" s="1"/>
      <c r="M16" s="1"/>
      <c r="N16" s="4"/>
      <c r="O16" s="1"/>
      <c r="P16" s="1">
        <v>0.21661087865310247</v>
      </c>
      <c r="Q16" s="1">
        <v>0.33375145631515701</v>
      </c>
      <c r="R16" s="1">
        <v>0.8924367232607735</v>
      </c>
      <c r="S16" s="1">
        <v>0.20200000000000001</v>
      </c>
      <c r="T16" s="1"/>
      <c r="U16" s="1"/>
      <c r="V16" s="1"/>
      <c r="W16" s="1"/>
      <c r="X16" s="1"/>
      <c r="Y16" s="1"/>
      <c r="Z16" s="1"/>
      <c r="AA16" s="1"/>
      <c r="AB16" s="1"/>
      <c r="AC16" s="1">
        <v>0.24221842903082857</v>
      </c>
      <c r="AD16" s="1">
        <v>0.40210768780800255</v>
      </c>
      <c r="AE16" s="2">
        <v>0.88177546413952435</v>
      </c>
      <c r="AF16" s="1">
        <v>0.20200000000000001</v>
      </c>
      <c r="AG16" s="1"/>
      <c r="AH16" s="1"/>
      <c r="AI16" s="1"/>
      <c r="AJ16" s="1"/>
      <c r="AK16" s="1"/>
      <c r="AL16" s="1"/>
      <c r="AM16" s="1"/>
      <c r="AO16">
        <v>2.5156138141965976E-3</v>
      </c>
      <c r="AP16">
        <v>9.1773435146898858E-6</v>
      </c>
      <c r="AS16" s="1">
        <v>4.5710929647502525E-3</v>
      </c>
      <c r="AT16">
        <v>8.3656766402940999E-4</v>
      </c>
      <c r="AX16">
        <f t="shared" si="7"/>
        <v>0</v>
      </c>
      <c r="AY16">
        <f t="shared" si="8"/>
        <v>0</v>
      </c>
      <c r="AZ16">
        <f t="shared" si="9"/>
        <v>0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G16" s="17">
        <f t="shared" si="26"/>
        <v>0</v>
      </c>
      <c r="BH16" s="17">
        <f t="shared" si="27"/>
        <v>0</v>
      </c>
      <c r="BI16" s="17">
        <f t="shared" si="28"/>
        <v>0</v>
      </c>
      <c r="BJ16" s="17">
        <f t="shared" si="29"/>
        <v>0</v>
      </c>
      <c r="BM16">
        <v>0.13080833716970208</v>
      </c>
      <c r="BN16">
        <v>9.9405147581785938E-3</v>
      </c>
      <c r="BO16">
        <f t="shared" si="30"/>
        <v>4.9210469099894023E-2</v>
      </c>
      <c r="BP16">
        <f t="shared" si="31"/>
        <v>9.7088095911497443E-3</v>
      </c>
    </row>
    <row r="17" spans="1:68" ht="15.75" x14ac:dyDescent="0.25">
      <c r="B17" s="1"/>
      <c r="C17" s="1">
        <v>2.1394232883797715E-2</v>
      </c>
      <c r="D17" s="1">
        <v>0.16309800408120356</v>
      </c>
      <c r="E17" s="1">
        <v>0.90778350390664797</v>
      </c>
      <c r="F17" s="1">
        <v>0.20200000000000001</v>
      </c>
      <c r="G17" s="1"/>
      <c r="H17" s="1"/>
      <c r="I17" s="1"/>
      <c r="J17" s="1"/>
      <c r="K17" s="1"/>
      <c r="L17" s="1"/>
      <c r="M17" s="1"/>
      <c r="N17" s="4"/>
      <c r="O17" s="1"/>
      <c r="P17" s="1">
        <v>8.777943580279568E-2</v>
      </c>
      <c r="Q17" s="1">
        <v>0.2187624068439854</v>
      </c>
      <c r="R17" s="1">
        <v>0.88130012137615654</v>
      </c>
      <c r="S17" s="1">
        <v>0.20200000000000001</v>
      </c>
      <c r="T17" s="1"/>
      <c r="U17" s="1"/>
      <c r="V17" s="1"/>
      <c r="W17" s="1"/>
      <c r="X17" s="1"/>
      <c r="Y17" s="1"/>
      <c r="Z17" s="1"/>
      <c r="AA17" s="1"/>
      <c r="AB17" s="1">
        <v>1.0923085958783685E-2</v>
      </c>
      <c r="AC17" s="1">
        <v>0.3903969830214763</v>
      </c>
      <c r="AD17" s="1">
        <v>0.54353585662964909</v>
      </c>
      <c r="AE17" s="2">
        <v>0.914302490375692</v>
      </c>
      <c r="AF17" s="1">
        <v>0.20200000000000001</v>
      </c>
      <c r="AG17" s="1">
        <f t="shared" si="37"/>
        <v>1.0508153463097301E-2</v>
      </c>
      <c r="AH17" s="1">
        <f t="shared" si="38"/>
        <v>2.0895786405394072E-2</v>
      </c>
      <c r="AI17" s="1">
        <f>AF17*AE17^2*(AC17/AE17)^AJ17</f>
        <v>3.9286667831632267E-2</v>
      </c>
      <c r="AJ17" s="1">
        <f>LOG10((2*AD17^3+0.04*AD17)/AE17^2)/LOG10(AD17/AE17)</f>
        <v>1.7135128212147444</v>
      </c>
      <c r="AK17" s="1">
        <f>AF17*AC17^2/AE17^(2/3)</f>
        <v>3.2681677484698447E-2</v>
      </c>
      <c r="AL17" s="1">
        <f t="shared" si="20"/>
        <v>3.9817935801424276</v>
      </c>
      <c r="AM17" s="1">
        <f t="shared" si="21"/>
        <v>5.7006734830170299E-3</v>
      </c>
      <c r="AO17">
        <v>6.0173190115224056E-3</v>
      </c>
      <c r="AP17">
        <v>4.521208044181943E-4</v>
      </c>
      <c r="AS17" s="1">
        <v>2.0246662698289995E-3</v>
      </c>
      <c r="AT17">
        <v>5.9217845580819007E-5</v>
      </c>
      <c r="AX17">
        <f t="shared" si="7"/>
        <v>0</v>
      </c>
      <c r="AY17">
        <f t="shared" si="8"/>
        <v>0</v>
      </c>
      <c r="AZ17">
        <f t="shared" si="9"/>
        <v>0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G17" s="17">
        <f t="shared" si="26"/>
        <v>1.7216897597653116E-7</v>
      </c>
      <c r="BH17" s="17">
        <f t="shared" si="27"/>
        <v>9.9454754197823009E-5</v>
      </c>
      <c r="BI17" s="17">
        <f t="shared" si="28"/>
        <v>8.0449277665778482E-4</v>
      </c>
      <c r="BJ17" s="17">
        <f t="shared" si="29"/>
        <v>4.7343630519160976E-4</v>
      </c>
      <c r="BM17">
        <v>0.11376244845810468</v>
      </c>
      <c r="BN17">
        <v>5.4432895862865562E-3</v>
      </c>
      <c r="BO17">
        <f t="shared" si="30"/>
        <v>2.6946978149933444E-2</v>
      </c>
      <c r="BP17">
        <f t="shared" si="31"/>
        <v>7.4951011911057203E-3</v>
      </c>
    </row>
    <row r="18" spans="1:68" ht="15.75" x14ac:dyDescent="0.25">
      <c r="B18" s="1">
        <v>2.5156138141965976E-3</v>
      </c>
      <c r="C18" s="1">
        <v>4.7281853392340811E-2</v>
      </c>
      <c r="D18" s="1">
        <v>0.11999622176307945</v>
      </c>
      <c r="E18" s="1">
        <v>0.91722245306495132</v>
      </c>
      <c r="F18" s="1">
        <v>0.20200000000000001</v>
      </c>
      <c r="G18" s="1">
        <f t="shared" si="32"/>
        <v>9.1773435146898858E-6</v>
      </c>
      <c r="H18" s="1">
        <f t="shared" si="33"/>
        <v>1.6270137026426685E-4</v>
      </c>
      <c r="I18" s="1">
        <f>F18*E18^2*(C18/E18)^J18</f>
        <v>2.0068901283820057E-4</v>
      </c>
      <c r="J18" s="1">
        <f>LOG10((2*D18^3+0.04*D18)/E18^2)/LOG10(D18/E18)</f>
        <v>2.2735068925334083</v>
      </c>
      <c r="K18" s="1">
        <f>F18*C18^2/E18^(2/3)</f>
        <v>4.7836261928055102E-4</v>
      </c>
      <c r="L18" s="1">
        <f t="shared" si="12"/>
        <v>1.5863239762799934</v>
      </c>
      <c r="M18" s="1">
        <f t="shared" si="34"/>
        <v>1.5397993786598592E-3</v>
      </c>
      <c r="N18" s="4"/>
      <c r="O18" s="1">
        <v>4.3550375242183458E-3</v>
      </c>
      <c r="P18" s="1">
        <v>6.2818525945977033E-2</v>
      </c>
      <c r="Q18" s="1">
        <v>0.17571158086532357</v>
      </c>
      <c r="R18" s="1">
        <v>0.8920971927155108</v>
      </c>
      <c r="S18" s="1">
        <v>0.20200000000000001</v>
      </c>
      <c r="T18" s="1">
        <f t="shared" si="35"/>
        <v>2.5012253895454882E-5</v>
      </c>
      <c r="U18" s="1">
        <f t="shared" si="36"/>
        <v>3.1274882302172532E-4</v>
      </c>
      <c r="V18" s="1">
        <f>S18*R18^2*(P18/R18)^W18</f>
        <v>3.2662173604148598E-4</v>
      </c>
      <c r="W18" s="1">
        <f>LOG10((2*Q18^3+0.04*Q18)/R18^2)/LOG10(Q18/R18)</f>
        <v>2.3362610032082292</v>
      </c>
      <c r="X18" s="1">
        <f>S18*P18^2/R18^(2/3)</f>
        <v>8.6017220241479963E-4</v>
      </c>
      <c r="Y18" s="1">
        <f t="shared" si="16"/>
        <v>1.7979589799597313</v>
      </c>
      <c r="Z18" s="1">
        <f t="shared" si="17"/>
        <v>1.3625224151000862E-3</v>
      </c>
      <c r="AA18" s="1"/>
      <c r="AB18" s="1"/>
      <c r="AC18" s="1">
        <v>0.19913571485599113</v>
      </c>
      <c r="AD18" s="1">
        <v>0.24569057062802424</v>
      </c>
      <c r="AE18" s="2">
        <v>0.88272614966625995</v>
      </c>
      <c r="AF18" s="1">
        <v>0.20200000000000001</v>
      </c>
      <c r="AG18" s="1"/>
      <c r="AH18" s="1"/>
      <c r="AI18" s="1"/>
      <c r="AJ18" s="1"/>
      <c r="AK18" s="1"/>
      <c r="AL18" s="1"/>
      <c r="AM18" s="1"/>
      <c r="AO18">
        <v>1.3095607731689905E-2</v>
      </c>
      <c r="AP18">
        <v>1.0895432555845981E-3</v>
      </c>
      <c r="AS18" s="1">
        <v>1.9090741231193203E-3</v>
      </c>
      <c r="AT18">
        <v>1.1323704195424688E-4</v>
      </c>
      <c r="AW18">
        <f t="shared" si="6"/>
        <v>6.2822237815643784E-6</v>
      </c>
      <c r="AX18">
        <f t="shared" si="7"/>
        <v>5.5361969688116122E-6</v>
      </c>
      <c r="AY18">
        <f t="shared" si="8"/>
        <v>5.3588768359442143E-6</v>
      </c>
      <c r="AZ18">
        <f t="shared" si="9"/>
        <v>4.15039243118686E-6</v>
      </c>
      <c r="BB18">
        <f t="shared" si="22"/>
        <v>1.8749118841634826E-5</v>
      </c>
      <c r="BC18">
        <f t="shared" si="23"/>
        <v>1.6340097943821862E-5</v>
      </c>
      <c r="BD18">
        <f t="shared" si="24"/>
        <v>1.6228133762432592E-5</v>
      </c>
      <c r="BE18">
        <f t="shared" si="25"/>
        <v>1.2214083617545005E-5</v>
      </c>
      <c r="BG18" s="17">
        <f t="shared" si="26"/>
        <v>0</v>
      </c>
      <c r="BH18" s="17">
        <f t="shared" si="27"/>
        <v>0</v>
      </c>
      <c r="BI18" s="17">
        <f t="shared" si="28"/>
        <v>0</v>
      </c>
      <c r="BJ18" s="17">
        <f t="shared" si="29"/>
        <v>0</v>
      </c>
      <c r="BM18">
        <v>0.16309800408120356</v>
      </c>
      <c r="BN18">
        <v>2.6545067409292859E-3</v>
      </c>
      <c r="BO18">
        <f t="shared" si="30"/>
        <v>1.3141122479847949E-2</v>
      </c>
      <c r="BP18">
        <f t="shared" si="31"/>
        <v>1.520104678122608E-2</v>
      </c>
    </row>
    <row r="19" spans="1:68" ht="15.7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2"/>
      <c r="AF19" s="1"/>
      <c r="AG19" s="1"/>
      <c r="AH19" s="1"/>
      <c r="AI19" s="1"/>
      <c r="AJ19" s="1"/>
      <c r="AK19" s="1"/>
      <c r="AL19" s="1"/>
      <c r="AM19" s="1"/>
      <c r="AO19">
        <v>6.7354076969024018E-3</v>
      </c>
      <c r="AP19">
        <v>9.2123117291588604E-5</v>
      </c>
      <c r="AS19" s="1">
        <v>9.5102467839510221E-3</v>
      </c>
      <c r="AT19">
        <v>6.2098052934011279E-4</v>
      </c>
      <c r="AX19">
        <f t="shared" si="7"/>
        <v>0</v>
      </c>
      <c r="AY19">
        <f t="shared" si="8"/>
        <v>0</v>
      </c>
      <c r="AZ19">
        <f t="shared" si="9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G19" s="17">
        <f t="shared" si="26"/>
        <v>0</v>
      </c>
      <c r="BH19" s="17">
        <f t="shared" si="27"/>
        <v>0</v>
      </c>
      <c r="BI19" s="17">
        <f t="shared" si="28"/>
        <v>0</v>
      </c>
      <c r="BJ19" s="17">
        <f t="shared" si="29"/>
        <v>0</v>
      </c>
      <c r="BM19">
        <v>0.11999622176307945</v>
      </c>
      <c r="BN19">
        <v>6.507995679971585E-3</v>
      </c>
      <c r="BO19">
        <f t="shared" si="30"/>
        <v>3.2217800395898936E-2</v>
      </c>
      <c r="BP19">
        <f>(2*BM19^3+0.04*BM19)</f>
        <v>8.2555224411311884E-3</v>
      </c>
    </row>
    <row r="20" spans="1:68" ht="15.7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2"/>
      <c r="AF20" s="1"/>
      <c r="AG20" s="1"/>
      <c r="AH20" s="1"/>
      <c r="AI20" s="1"/>
      <c r="AJ20" s="1"/>
      <c r="AK20" s="1"/>
      <c r="AL20" s="1"/>
      <c r="AM20" s="1"/>
      <c r="AO20">
        <v>4.5710929647502525E-3</v>
      </c>
      <c r="AP20">
        <v>8.3656766402940999E-4</v>
      </c>
      <c r="AS20" s="1">
        <v>1.5662653986566157E-2</v>
      </c>
      <c r="AT20">
        <v>2.0317075439618753E-3</v>
      </c>
      <c r="AX20">
        <f t="shared" si="7"/>
        <v>0</v>
      </c>
      <c r="AY20">
        <f t="shared" si="8"/>
        <v>0</v>
      </c>
      <c r="AZ20">
        <f t="shared" si="9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G20" s="17">
        <f t="shared" si="26"/>
        <v>0</v>
      </c>
      <c r="BH20" s="17">
        <f t="shared" si="27"/>
        <v>0</v>
      </c>
      <c r="BI20" s="17">
        <f t="shared" si="28"/>
        <v>0</v>
      </c>
      <c r="BJ20" s="17">
        <f t="shared" si="29"/>
        <v>0</v>
      </c>
      <c r="BM20">
        <v>0.78530199999999994</v>
      </c>
      <c r="BP20">
        <f>(2*BM20^3+0.04*BM20)</f>
        <v>1.0000023593259271</v>
      </c>
    </row>
    <row r="21" spans="1:68" ht="15.75" x14ac:dyDescent="0.25">
      <c r="A21" t="s">
        <v>17</v>
      </c>
      <c r="B21" s="1">
        <v>6.0173190115224056E-3</v>
      </c>
      <c r="C21" s="1">
        <v>0.15276817036281276</v>
      </c>
      <c r="D21" s="1">
        <v>0.16748833350809134</v>
      </c>
      <c r="E21" s="1">
        <v>0.92279075400725974</v>
      </c>
      <c r="F21" s="1">
        <v>0.20200000000000001</v>
      </c>
      <c r="G21" s="1">
        <f t="shared" ref="G21:G26" si="39">F21*C21^(10/3)/E21^2</f>
        <v>4.521208044181943E-4</v>
      </c>
      <c r="H21" s="1">
        <f>F21*0.9*C21^2.3</f>
        <v>2.4147351096162474E-3</v>
      </c>
      <c r="I21" s="1">
        <f t="shared" ref="I21:I26" si="40">F21*E21^2*(C21/E21)^J21</f>
        <v>2.6252612384692941E-3</v>
      </c>
      <c r="J21" s="1">
        <f t="shared" ref="J21:J26" si="41">LOG10((2*D21^3+0.04*D21)/E21^2)/LOG10(D21/E21)</f>
        <v>2.3255079333316098</v>
      </c>
      <c r="K21" s="1">
        <f t="shared" ref="K21:K26" si="42">F21*C21^2/E21^(2/3)</f>
        <v>4.973723456543469E-3</v>
      </c>
      <c r="L21" s="1">
        <f t="shared" si="12"/>
        <v>1.7708916129984487</v>
      </c>
      <c r="M21" s="1">
        <f>F21*E21^2*(C21/E21)^L21</f>
        <v>7.1181460352644282E-3</v>
      </c>
      <c r="N21" s="4" t="s">
        <v>17</v>
      </c>
      <c r="O21" s="1">
        <v>9.4400810101028208E-3</v>
      </c>
      <c r="P21" s="1">
        <v>0.26070169545591049</v>
      </c>
      <c r="Q21" s="1">
        <v>0.26655163596748066</v>
      </c>
      <c r="R21" s="1">
        <v>0.90730816114328017</v>
      </c>
      <c r="S21" s="1">
        <v>0.20200000000000001</v>
      </c>
      <c r="T21" s="1">
        <f>S21*P21^(10/3)/R21^2</f>
        <v>2.7775033199804195E-3</v>
      </c>
      <c r="U21" s="1">
        <f>S21*0.9*P21^2.3</f>
        <v>8.2551457748196826E-3</v>
      </c>
      <c r="V21" s="1">
        <f t="shared" ref="V21:V27" si="43">S21*R21^2*(P21/R21)^W21</f>
        <v>9.3146988197563858E-3</v>
      </c>
      <c r="W21" s="1">
        <f t="shared" ref="W21:W27" si="44">LOG10((2*Q21^3+0.04*Q21)/R21^2)/LOG10(Q21/R21)</f>
        <v>2.3110540138062254</v>
      </c>
      <c r="X21" s="1">
        <f t="shared" ref="X21:X27" si="45">S21*P21^2/R21^(2/3)</f>
        <v>1.4648816396277339E-2</v>
      </c>
      <c r="Y21" s="1">
        <f t="shared" si="16"/>
        <v>2.161270308324323</v>
      </c>
      <c r="Z21" s="1">
        <f t="shared" si="17"/>
        <v>1.1227764991108818E-2</v>
      </c>
      <c r="AA21" s="1" t="s">
        <v>17</v>
      </c>
      <c r="AB21" s="1"/>
      <c r="AC21" s="1">
        <v>0.68368571566393754</v>
      </c>
      <c r="AD21" s="1">
        <v>0.68951946569586231</v>
      </c>
      <c r="AE21" s="2">
        <v>0.93521757196387489</v>
      </c>
      <c r="AF21" s="1">
        <v>0.20200000000000001</v>
      </c>
      <c r="AG21" s="1"/>
      <c r="AH21" s="1"/>
      <c r="AI21" s="1"/>
      <c r="AJ21" s="1"/>
      <c r="AK21" s="1"/>
      <c r="AL21" s="1"/>
      <c r="AM21" s="1"/>
      <c r="AO21">
        <v>2.0246662698289995E-3</v>
      </c>
      <c r="AP21">
        <v>5.9217845580819007E-5</v>
      </c>
      <c r="AS21" s="1">
        <v>9.9405147581785938E-3</v>
      </c>
      <c r="AT21">
        <v>2.7476915936407392E-4</v>
      </c>
      <c r="AW21">
        <f>(B21-G21)^2</f>
        <v>3.0971431084355921E-5</v>
      </c>
      <c r="AX21">
        <f t="shared" si="7"/>
        <v>1.2978610770273399E-5</v>
      </c>
      <c r="AY21">
        <f t="shared" si="8"/>
        <v>1.1506055935730035E-5</v>
      </c>
      <c r="AZ21">
        <f t="shared" si="9"/>
        <v>1.0890916823717945E-6</v>
      </c>
      <c r="BB21">
        <f t="shared" si="22"/>
        <v>4.438994147691675E-5</v>
      </c>
      <c r="BC21">
        <f t="shared" si="23"/>
        <v>1.4040715118155063E-6</v>
      </c>
      <c r="BD21">
        <f t="shared" si="24"/>
        <v>1.5720693656069674E-8</v>
      </c>
      <c r="BE21">
        <f t="shared" si="25"/>
        <v>2.7130924323186611E-5</v>
      </c>
      <c r="BG21" s="17">
        <f t="shared" si="26"/>
        <v>0</v>
      </c>
      <c r="BH21" s="17">
        <f t="shared" si="27"/>
        <v>0</v>
      </c>
      <c r="BI21" s="17">
        <f t="shared" si="28"/>
        <v>0</v>
      </c>
      <c r="BJ21" s="17">
        <f t="shared" si="29"/>
        <v>0</v>
      </c>
    </row>
    <row r="22" spans="1:68" ht="15.75" x14ac:dyDescent="0.25">
      <c r="B22" s="1">
        <v>1.3095607731689905E-2</v>
      </c>
      <c r="C22" s="1">
        <v>0.1993452906810208</v>
      </c>
      <c r="D22" s="1">
        <v>0.23984193657292108</v>
      </c>
      <c r="E22" s="1">
        <v>0.92625396556893935</v>
      </c>
      <c r="F22" s="1">
        <v>0.20200000000000001</v>
      </c>
      <c r="G22" s="1">
        <f t="shared" si="39"/>
        <v>1.0895432555845981E-3</v>
      </c>
      <c r="H22" s="1">
        <f t="shared" ref="H22:H26" si="46">F22*0.9*C22^2.3</f>
        <v>4.4533582544891712E-3</v>
      </c>
      <c r="I22" s="1">
        <f t="shared" si="40"/>
        <v>4.8884716141320743E-3</v>
      </c>
      <c r="J22" s="1">
        <f t="shared" si="41"/>
        <v>2.3228638157478643</v>
      </c>
      <c r="K22" s="1">
        <f t="shared" si="42"/>
        <v>8.4477932535387823E-3</v>
      </c>
      <c r="L22" s="1">
        <f t="shared" si="12"/>
        <v>2.0499057375825553</v>
      </c>
      <c r="M22" s="1">
        <f t="shared" ref="M22:M26" si="47">F22*E22^2*(C22/E22)^L22</f>
        <v>7.4348123201848021E-3</v>
      </c>
      <c r="N22" s="4"/>
      <c r="O22" s="1">
        <v>5.0515898484506565E-3</v>
      </c>
      <c r="P22" s="1">
        <v>0.16037440379154144</v>
      </c>
      <c r="Q22" s="1">
        <v>0.16503744452336877</v>
      </c>
      <c r="R22" s="1">
        <v>0.90751187947043777</v>
      </c>
      <c r="S22" s="1">
        <v>0.20200000000000001</v>
      </c>
      <c r="T22" s="1">
        <f t="shared" ref="T22:T27" si="48">S22*P22^(10/3)/R22^2</f>
        <v>5.4966352013906825E-4</v>
      </c>
      <c r="U22" s="1">
        <f t="shared" ref="U22:U27" si="49">S22*0.9*P22^2.3</f>
        <v>2.700253297136889E-3</v>
      </c>
      <c r="V22" s="1">
        <f t="shared" si="43"/>
        <v>2.9463269140262748E-3</v>
      </c>
      <c r="W22" s="1">
        <f t="shared" si="44"/>
        <v>2.3272683622519739</v>
      </c>
      <c r="X22" s="1">
        <f t="shared" si="45"/>
        <v>5.5426816270558957E-3</v>
      </c>
      <c r="Y22" s="1">
        <f t="shared" si="16"/>
        <v>1.7592559979464901</v>
      </c>
      <c r="Z22" s="1">
        <f t="shared" si="17"/>
        <v>7.885580065581179E-3</v>
      </c>
      <c r="AA22" s="1"/>
      <c r="AB22" s="1">
        <v>1.7163550776464684E-2</v>
      </c>
      <c r="AC22" s="1">
        <v>0.43342098599671169</v>
      </c>
      <c r="AD22" s="1">
        <v>0.44334593341838785</v>
      </c>
      <c r="AE22" s="2">
        <v>0.91022812383253948</v>
      </c>
      <c r="AF22" s="1">
        <v>0.20200000000000001</v>
      </c>
      <c r="AG22" s="1">
        <f t="shared" ref="AG22:AG27" si="50">AF22*AC22^(10/3)/AE22^2</f>
        <v>1.5022792039662119E-2</v>
      </c>
      <c r="AH22" s="1">
        <f t="shared" ref="AH22:AH27" si="51">AF22*0.9*AC22^2.3</f>
        <v>2.6575823523505609E-2</v>
      </c>
      <c r="AI22" s="1">
        <f t="shared" ref="AI22:AI27" si="52">AF22*AE22^2*(AC22/AE22)^AJ22</f>
        <v>3.7043218000403999E-2</v>
      </c>
      <c r="AJ22" s="1">
        <f t="shared" ref="AJ22:AJ27" si="53">LOG10((2*AD22^3+0.04*AD22)/AE22^2)/LOG10(AD22/AE22)</f>
        <v>2.0324681086891276</v>
      </c>
      <c r="AK22" s="1">
        <f t="shared" ref="AK22:AK27" si="54">AF22*AC22^2/AE22^(2/3)</f>
        <v>4.0402143577792114E-2</v>
      </c>
      <c r="AL22" s="1">
        <f t="shared" si="20"/>
        <v>3.1113255451250943</v>
      </c>
      <c r="AM22" s="1">
        <f t="shared" si="21"/>
        <v>1.6636323167841714E-2</v>
      </c>
      <c r="AO22">
        <v>1.9090741231193203E-3</v>
      </c>
      <c r="AP22">
        <v>1.1323704195424688E-4</v>
      </c>
      <c r="AS22" s="1">
        <v>5.4432895862865562E-3</v>
      </c>
      <c r="AT22">
        <v>1.7460811184123482E-4</v>
      </c>
      <c r="AW22">
        <f t="shared" si="6"/>
        <v>1.4414558420439779E-4</v>
      </c>
      <c r="AX22">
        <f t="shared" si="7"/>
        <v>7.4688476026176377E-5</v>
      </c>
      <c r="AY22">
        <f t="shared" si="8"/>
        <v>6.7357083252122236E-5</v>
      </c>
      <c r="AZ22">
        <f t="shared" si="9"/>
        <v>2.1602179423311194E-5</v>
      </c>
      <c r="BB22">
        <f t="shared" si="22"/>
        <v>2.0267340665545053E-5</v>
      </c>
      <c r="BC22">
        <f t="shared" si="23"/>
        <v>5.5287835775441216E-6</v>
      </c>
      <c r="BD22">
        <f t="shared" si="24"/>
        <v>4.4321320230611584E-6</v>
      </c>
      <c r="BE22">
        <f t="shared" si="25"/>
        <v>2.4117113501365732E-7</v>
      </c>
      <c r="BG22" s="17">
        <f t="shared" si="26"/>
        <v>4.5828479691965127E-6</v>
      </c>
      <c r="BH22" s="17">
        <f t="shared" si="27"/>
        <v>8.8590878264689318E-5</v>
      </c>
      <c r="BI22" s="17">
        <f t="shared" si="28"/>
        <v>3.952011689345671E-4</v>
      </c>
      <c r="BJ22" s="17">
        <f t="shared" si="29"/>
        <v>5.4003219538590707E-4</v>
      </c>
    </row>
    <row r="23" spans="1:68" ht="15.75" x14ac:dyDescent="0.25">
      <c r="B23" s="1">
        <v>6.7354076969024018E-3</v>
      </c>
      <c r="C23" s="1">
        <v>9.4350867310927677E-2</v>
      </c>
      <c r="D23" s="1">
        <v>0.13080833716970208</v>
      </c>
      <c r="E23" s="1">
        <v>0.9156606125567428</v>
      </c>
      <c r="F23" s="1">
        <v>0.20200000000000001</v>
      </c>
      <c r="G23" s="1">
        <f t="shared" si="39"/>
        <v>9.2123117291588604E-5</v>
      </c>
      <c r="H23" s="1">
        <f t="shared" si="46"/>
        <v>7.9709381885123835E-4</v>
      </c>
      <c r="I23" s="1">
        <f t="shared" si="40"/>
        <v>9.2772241622015867E-4</v>
      </c>
      <c r="J23" s="1">
        <f t="shared" si="41"/>
        <v>2.291214206361925</v>
      </c>
      <c r="K23" s="1">
        <f t="shared" si="42"/>
        <v>1.9070122115415961E-3</v>
      </c>
      <c r="L23" s="1">
        <f t="shared" si="12"/>
        <v>1.6287616247097101</v>
      </c>
      <c r="M23" s="1">
        <f t="shared" si="47"/>
        <v>4.1807213354180042E-3</v>
      </c>
      <c r="N23" s="4"/>
      <c r="O23" s="1">
        <v>6.291541065174224E-3</v>
      </c>
      <c r="P23" s="1">
        <v>0.2045185510691625</v>
      </c>
      <c r="Q23" s="1">
        <v>0.22532973018055513</v>
      </c>
      <c r="R23" s="1">
        <v>0.90465982289023106</v>
      </c>
      <c r="S23" s="1">
        <v>0.20200000000000001</v>
      </c>
      <c r="T23" s="1">
        <f t="shared" si="48"/>
        <v>1.2440078494114673E-3</v>
      </c>
      <c r="U23" s="1">
        <f t="shared" si="49"/>
        <v>4.7236651687411757E-3</v>
      </c>
      <c r="V23" s="1">
        <f t="shared" si="43"/>
        <v>5.1383275378742571E-3</v>
      </c>
      <c r="W23" s="1">
        <f t="shared" si="44"/>
        <v>2.3344856851384805</v>
      </c>
      <c r="X23" s="1">
        <f t="shared" si="45"/>
        <v>9.032887094756031E-3</v>
      </c>
      <c r="Y23" s="1">
        <f t="shared" si="16"/>
        <v>1.9924931739515397</v>
      </c>
      <c r="Z23" s="1">
        <f t="shared" si="17"/>
        <v>8.5440609225011961E-3</v>
      </c>
      <c r="AA23" s="1"/>
      <c r="AB23" s="1">
        <v>2.438385545034407E-2</v>
      </c>
      <c r="AC23" s="1">
        <v>0.43887683660196319</v>
      </c>
      <c r="AD23" s="1">
        <v>0.47477407243141512</v>
      </c>
      <c r="AE23" s="2">
        <v>0.89657899591297852</v>
      </c>
      <c r="AF23" s="1">
        <v>0.20200000000000001</v>
      </c>
      <c r="AG23" s="1">
        <f t="shared" si="50"/>
        <v>1.6142957926347304E-2</v>
      </c>
      <c r="AH23" s="1">
        <f t="shared" si="51"/>
        <v>2.7351553402375363E-2</v>
      </c>
      <c r="AI23" s="1">
        <f t="shared" si="52"/>
        <v>4.0388519110583498E-2</v>
      </c>
      <c r="AJ23" s="1">
        <f t="shared" si="53"/>
        <v>1.9477148922980558</v>
      </c>
      <c r="AK23" s="1">
        <f t="shared" si="54"/>
        <v>4.18450716292822E-2</v>
      </c>
      <c r="AL23" s="1">
        <f t="shared" si="20"/>
        <v>3.3805813398539826</v>
      </c>
      <c r="AM23" s="1">
        <f t="shared" si="21"/>
        <v>1.4511656445019946E-2</v>
      </c>
      <c r="AO23">
        <v>9.5102467839510221E-3</v>
      </c>
      <c r="AP23">
        <v>6.2098052934011279E-4</v>
      </c>
      <c r="AS23" s="1">
        <v>2.6545067409292859E-3</v>
      </c>
      <c r="AT23">
        <v>5.8105282578852922E-4</v>
      </c>
      <c r="AW23">
        <f t="shared" si="6"/>
        <v>4.4133230005694821E-5</v>
      </c>
      <c r="AX23">
        <f t="shared" si="7"/>
        <v>3.526357171425505E-5</v>
      </c>
      <c r="AY23">
        <f t="shared" si="8"/>
        <v>3.3729208319453181E-5</v>
      </c>
      <c r="AZ23">
        <f t="shared" si="9"/>
        <v>2.3313402963052607E-5</v>
      </c>
      <c r="BB23">
        <f t="shared" si="22"/>
        <v>2.5477591564228314E-5</v>
      </c>
      <c r="BC23">
        <f t="shared" si="23"/>
        <v>2.4582348266157349E-6</v>
      </c>
      <c r="BD23">
        <f t="shared" si="24"/>
        <v>1.3299014395476314E-6</v>
      </c>
      <c r="BE23">
        <f t="shared" si="25"/>
        <v>7.5149780539039374E-6</v>
      </c>
      <c r="BG23" s="17">
        <f t="shared" si="26"/>
        <v>6.7912392001016035E-5</v>
      </c>
      <c r="BH23" s="17">
        <f t="shared" si="27"/>
        <v>8.8072311344907266E-6</v>
      </c>
      <c r="BI23" s="17">
        <f t="shared" si="28"/>
        <v>2.561492588773885E-4</v>
      </c>
      <c r="BJ23" s="17">
        <f t="shared" si="29"/>
        <v>3.0489407044761069E-4</v>
      </c>
    </row>
    <row r="24" spans="1:68" ht="15.75" x14ac:dyDescent="0.25">
      <c r="B24" s="1">
        <v>4.5710929647502525E-3</v>
      </c>
      <c r="C24" s="1">
        <v>0.18299394915007516</v>
      </c>
      <c r="D24" s="1">
        <v>0.22048874657577666</v>
      </c>
      <c r="E24" s="1">
        <v>0.91654339197442591</v>
      </c>
      <c r="F24" s="1">
        <v>0.20200000000000001</v>
      </c>
      <c r="G24" s="1">
        <f t="shared" si="39"/>
        <v>8.3656766402940999E-4</v>
      </c>
      <c r="H24" s="1">
        <f t="shared" si="46"/>
        <v>3.6576180934991972E-3</v>
      </c>
      <c r="I24" s="1">
        <f t="shared" si="40"/>
        <v>3.9568347352584151E-3</v>
      </c>
      <c r="J24" s="1">
        <f t="shared" si="41"/>
        <v>2.3328161955398534</v>
      </c>
      <c r="K24" s="1">
        <f t="shared" si="42"/>
        <v>7.1689597437312935E-3</v>
      </c>
      <c r="L24" s="1">
        <f t="shared" si="12"/>
        <v>1.9735392217016712</v>
      </c>
      <c r="M24" s="1">
        <f t="shared" si="47"/>
        <v>7.0589461146028298E-3</v>
      </c>
      <c r="N24" s="4"/>
      <c r="O24" s="1">
        <v>6.4518216664518676E-3</v>
      </c>
      <c r="P24" s="1">
        <v>0.23183288097221222</v>
      </c>
      <c r="Q24" s="1">
        <v>0.23823124240219629</v>
      </c>
      <c r="R24" s="1">
        <v>0.90398076179970555</v>
      </c>
      <c r="S24" s="1">
        <v>0.20200000000000001</v>
      </c>
      <c r="T24" s="1">
        <f t="shared" si="48"/>
        <v>1.8921247532304503E-3</v>
      </c>
      <c r="U24" s="1">
        <f t="shared" si="49"/>
        <v>6.302261986554313E-3</v>
      </c>
      <c r="V24" s="1">
        <f t="shared" si="43"/>
        <v>6.933265768922987E-3</v>
      </c>
      <c r="W24" s="1">
        <f t="shared" si="44"/>
        <v>2.3295580496107817</v>
      </c>
      <c r="X24" s="1">
        <f t="shared" si="45"/>
        <v>1.1612577938212066E-2</v>
      </c>
      <c r="Y24" s="1">
        <f t="shared" si="16"/>
        <v>2.0442869323582769</v>
      </c>
      <c r="Z24" s="1">
        <f t="shared" si="17"/>
        <v>1.0221827754822348E-2</v>
      </c>
      <c r="AA24" s="1"/>
      <c r="AB24" s="1">
        <v>1.0928157433809494E-2</v>
      </c>
      <c r="AC24" s="1">
        <v>0.392336836473758</v>
      </c>
      <c r="AD24" s="1">
        <v>0.49813013571279979</v>
      </c>
      <c r="AE24" s="2">
        <v>0.92605024724178175</v>
      </c>
      <c r="AF24" s="1">
        <v>0.20200000000000001</v>
      </c>
      <c r="AG24" s="1">
        <f t="shared" si="50"/>
        <v>1.0413879588306047E-2</v>
      </c>
      <c r="AH24" s="1">
        <f t="shared" si="51"/>
        <v>2.1135366175777826E-2</v>
      </c>
      <c r="AI24" s="1">
        <f t="shared" si="52"/>
        <v>3.4438449141392491E-2</v>
      </c>
      <c r="AJ24" s="1">
        <f t="shared" si="53"/>
        <v>1.881026907958012</v>
      </c>
      <c r="AK24" s="1">
        <f t="shared" si="54"/>
        <v>3.272752575223823E-2</v>
      </c>
      <c r="AL24" s="1">
        <f t="shared" si="20"/>
        <v>3.5034644171752198</v>
      </c>
      <c r="AM24" s="1">
        <f t="shared" si="21"/>
        <v>8.5489780008556598E-3</v>
      </c>
      <c r="AO24">
        <v>1.5662653986566157E-2</v>
      </c>
      <c r="AP24">
        <v>2.0317075439618753E-3</v>
      </c>
      <c r="AS24" s="1">
        <v>6.507995679971585E-3</v>
      </c>
      <c r="AT24">
        <v>2.0538173927126416E-4</v>
      </c>
      <c r="AW24">
        <f t="shared" si="6"/>
        <v>1.39466792217241E-5</v>
      </c>
      <c r="AX24">
        <f t="shared" si="7"/>
        <v>8.3443634040713201E-7</v>
      </c>
      <c r="AY24">
        <f t="shared" si="8"/>
        <v>3.773131724984467E-7</v>
      </c>
      <c r="AZ24">
        <f t="shared" si="9"/>
        <v>6.7489118013333293E-6</v>
      </c>
      <c r="BB24">
        <f t="shared" si="22"/>
        <v>2.0790835940440918E-5</v>
      </c>
      <c r="BC24">
        <f t="shared" si="23"/>
        <v>2.2368097851058984E-8</v>
      </c>
      <c r="BD24">
        <f t="shared" si="24"/>
        <v>2.3178842380422171E-7</v>
      </c>
      <c r="BE24">
        <f t="shared" si="25"/>
        <v>2.6633405296512223E-5</v>
      </c>
      <c r="BG24" s="17">
        <f t="shared" si="26"/>
        <v>2.6448170237566756E-7</v>
      </c>
      <c r="BH24" s="17">
        <f t="shared" si="27"/>
        <v>1.0418711030211472E-4</v>
      </c>
      <c r="BI24" s="17">
        <f t="shared" si="28"/>
        <v>5.5273381617564575E-4</v>
      </c>
      <c r="BJ24" s="17">
        <f t="shared" si="29"/>
        <v>4.7521245908251444E-4</v>
      </c>
    </row>
    <row r="25" spans="1:68" ht="15.75" x14ac:dyDescent="0.25">
      <c r="B25" s="1">
        <v>2.0246662698289995E-3</v>
      </c>
      <c r="C25" s="1">
        <v>8.234551675934465E-2</v>
      </c>
      <c r="D25" s="1">
        <v>0.11376244845810468</v>
      </c>
      <c r="E25" s="1">
        <v>0.91029602994159209</v>
      </c>
      <c r="F25" s="1">
        <v>0.20200000000000001</v>
      </c>
      <c r="G25" s="1">
        <f t="shared" si="39"/>
        <v>5.9217845580819007E-5</v>
      </c>
      <c r="H25" s="1">
        <f>F25*0.9*C25^2.3</f>
        <v>5.8286205786193396E-4</v>
      </c>
      <c r="I25" s="1">
        <f t="shared" si="40"/>
        <v>7.2869497492349816E-4</v>
      </c>
      <c r="J25" s="1">
        <f t="shared" si="41"/>
        <v>2.2626490667015626</v>
      </c>
      <c r="K25" s="1">
        <f t="shared" si="42"/>
        <v>1.4582865009031786E-3</v>
      </c>
      <c r="L25" s="1">
        <f t="shared" si="12"/>
        <v>1.5596278001668455</v>
      </c>
      <c r="M25" s="1">
        <f t="shared" si="47"/>
        <v>3.9461944168013088E-3</v>
      </c>
      <c r="N25" s="4"/>
      <c r="O25" s="1">
        <v>2.9391957301985665E-3</v>
      </c>
      <c r="P25" s="1">
        <v>0.30008022333102635</v>
      </c>
      <c r="Q25" s="1">
        <v>0.33375145631515701</v>
      </c>
      <c r="R25" s="1">
        <v>0.8924367232607735</v>
      </c>
      <c r="S25" s="1">
        <v>0.20200000000000001</v>
      </c>
      <c r="T25" s="1">
        <f t="shared" si="48"/>
        <v>4.5883275973288744E-3</v>
      </c>
      <c r="U25" s="1">
        <f t="shared" si="49"/>
        <v>1.1408796664875438E-2</v>
      </c>
      <c r="V25" s="1">
        <f t="shared" si="43"/>
        <v>1.3956249827039061E-2</v>
      </c>
      <c r="W25" s="1">
        <f t="shared" si="44"/>
        <v>2.2430755247693508</v>
      </c>
      <c r="X25" s="1">
        <f t="shared" si="45"/>
        <v>1.9623410829709021E-2</v>
      </c>
      <c r="Y25" s="1">
        <f t="shared" si="16"/>
        <v>2.476124060980851</v>
      </c>
      <c r="Z25" s="1">
        <f t="shared" si="17"/>
        <v>1.0825738373432588E-2</v>
      </c>
      <c r="AA25" s="1"/>
      <c r="AB25" s="1">
        <v>6.3595519795839129E-3</v>
      </c>
      <c r="AC25" s="1">
        <v>0.32466611710314786</v>
      </c>
      <c r="AD25" s="1">
        <v>0.40210768780800255</v>
      </c>
      <c r="AE25" s="2">
        <v>0.88177546413952435</v>
      </c>
      <c r="AF25" s="1">
        <v>0.20200000000000001</v>
      </c>
      <c r="AG25" s="1">
        <f t="shared" si="50"/>
        <v>6.11071326742564E-3</v>
      </c>
      <c r="AH25" s="1">
        <f t="shared" si="51"/>
        <v>1.3674104768113794E-2</v>
      </c>
      <c r="AI25" s="1">
        <f t="shared" si="52"/>
        <v>1.871817849302726E-2</v>
      </c>
      <c r="AJ25" s="1">
        <f t="shared" si="53"/>
        <v>2.1289675162651349</v>
      </c>
      <c r="AK25" s="1">
        <f t="shared" si="54"/>
        <v>2.3155453800208486E-2</v>
      </c>
      <c r="AL25" s="1">
        <f t="shared" si="20"/>
        <v>2.8746896647261284</v>
      </c>
      <c r="AM25" s="1">
        <f t="shared" si="21"/>
        <v>8.8854423149278081E-3</v>
      </c>
      <c r="AO25">
        <v>9.9405147581785938E-3</v>
      </c>
      <c r="AP25">
        <v>2.7476915936407392E-4</v>
      </c>
      <c r="AW25">
        <f t="shared" si="6"/>
        <v>3.8629875083796547E-6</v>
      </c>
      <c r="AX25">
        <f t="shared" si="7"/>
        <v>2.0787993856459707E-6</v>
      </c>
      <c r="AY25">
        <f t="shared" si="8"/>
        <v>1.6795415972190421E-6</v>
      </c>
      <c r="AZ25">
        <f t="shared" si="9"/>
        <v>3.2078604264846629E-7</v>
      </c>
      <c r="BB25">
        <f t="shared" si="22"/>
        <v>2.7196359151846957E-6</v>
      </c>
      <c r="BC25">
        <f t="shared" si="23"/>
        <v>7.1734139992679329E-5</v>
      </c>
      <c r="BD25">
        <f t="shared" si="24"/>
        <v>1.2137548097270991E-4</v>
      </c>
      <c r="BE25">
        <f t="shared" si="25"/>
        <v>2.7836303348673265E-4</v>
      </c>
      <c r="BG25" s="17">
        <f t="shared" si="26"/>
        <v>6.1920704668587749E-8</v>
      </c>
      <c r="BH25" s="17">
        <f t="shared" si="27"/>
        <v>5.3502682496190263E-5</v>
      </c>
      <c r="BI25" s="17">
        <f t="shared" si="28"/>
        <v>1.5273564929878488E-4</v>
      </c>
      <c r="BJ25" s="17">
        <f t="shared" si="29"/>
        <v>2.8210231796805987E-4</v>
      </c>
    </row>
    <row r="26" spans="1:68" ht="15.75" x14ac:dyDescent="0.25">
      <c r="B26" s="1">
        <v>1.9090741231193203E-3</v>
      </c>
      <c r="C26" s="1">
        <v>9.9857460194257563E-2</v>
      </c>
      <c r="D26" s="1">
        <v>0.16309800408120356</v>
      </c>
      <c r="E26" s="1">
        <v>0.90778350390664797</v>
      </c>
      <c r="F26" s="1">
        <v>0.20200000000000001</v>
      </c>
      <c r="G26" s="1">
        <f t="shared" si="39"/>
        <v>1.1323704195424688E-4</v>
      </c>
      <c r="H26" s="1">
        <f t="shared" si="46"/>
        <v>9.0817400214538802E-4</v>
      </c>
      <c r="I26" s="1">
        <f t="shared" si="40"/>
        <v>9.8092128358669086E-4</v>
      </c>
      <c r="J26" s="1">
        <f t="shared" si="41"/>
        <v>2.3259729462244914</v>
      </c>
      <c r="K26" s="1">
        <f t="shared" si="42"/>
        <v>2.1484448511342111E-3</v>
      </c>
      <c r="L26" s="1">
        <f t="shared" si="12"/>
        <v>1.7518803985967641</v>
      </c>
      <c r="M26" s="1">
        <f t="shared" si="47"/>
        <v>3.4830546640040711E-3</v>
      </c>
      <c r="N26" s="4"/>
      <c r="O26" s="1">
        <v>5.37918269121785E-3</v>
      </c>
      <c r="P26" s="1">
        <v>0.13978175702808737</v>
      </c>
      <c r="Q26" s="1">
        <v>0.2187624068439854</v>
      </c>
      <c r="R26" s="1">
        <v>0.88130012137615654</v>
      </c>
      <c r="S26" s="1">
        <v>0.20200000000000001</v>
      </c>
      <c r="T26" s="1">
        <f t="shared" si="48"/>
        <v>3.6864246390895018E-4</v>
      </c>
      <c r="U26" s="1">
        <f t="shared" si="49"/>
        <v>1.9684755177338969E-3</v>
      </c>
      <c r="V26" s="1">
        <f t="shared" si="43"/>
        <v>2.100165192304678E-3</v>
      </c>
      <c r="W26" s="1">
        <f t="shared" si="44"/>
        <v>2.3426385394695246</v>
      </c>
      <c r="X26" s="1">
        <f t="shared" si="45"/>
        <v>4.293747219355E-3</v>
      </c>
      <c r="Y26" s="1">
        <f t="shared" si="16"/>
        <v>1.9658458412474999</v>
      </c>
      <c r="Z26" s="1">
        <f t="shared" si="17"/>
        <v>4.2030497420412483E-3</v>
      </c>
      <c r="AA26" s="1"/>
      <c r="AB26" s="1">
        <v>1.8411699572518404E-2</v>
      </c>
      <c r="AC26" s="1">
        <v>0.47080135788258543</v>
      </c>
      <c r="AD26" s="1">
        <v>0.54353585662964909</v>
      </c>
      <c r="AE26" s="2">
        <v>0.914302490375692</v>
      </c>
      <c r="AF26" s="1">
        <v>0.20200000000000001</v>
      </c>
      <c r="AG26" s="1">
        <f t="shared" si="50"/>
        <v>1.9616909412459214E-2</v>
      </c>
      <c r="AH26" s="1">
        <f t="shared" si="51"/>
        <v>3.2145531024848781E-2</v>
      </c>
      <c r="AI26" s="1">
        <f t="shared" si="52"/>
        <v>5.4151107264308003E-2</v>
      </c>
      <c r="AJ26" s="1">
        <f t="shared" si="53"/>
        <v>1.7135128212147444</v>
      </c>
      <c r="AK26" s="1">
        <f t="shared" si="54"/>
        <v>4.7529894229385125E-2</v>
      </c>
      <c r="AL26" s="1">
        <f t="shared" si="20"/>
        <v>3.9817935801424276</v>
      </c>
      <c r="AM26" s="1">
        <f t="shared" si="21"/>
        <v>1.2016290846480572E-2</v>
      </c>
      <c r="AO26">
        <v>5.4432895862865562E-3</v>
      </c>
      <c r="AP26">
        <v>1.7460811184123482E-4</v>
      </c>
      <c r="AW26">
        <f t="shared" si="6"/>
        <v>3.2250308220874903E-6</v>
      </c>
      <c r="AX26">
        <f t="shared" si="7"/>
        <v>1.0018010521656321E-6</v>
      </c>
      <c r="AY26">
        <f t="shared" si="8"/>
        <v>8.6146769353248297E-7</v>
      </c>
      <c r="AZ26">
        <f t="shared" si="9"/>
        <v>5.7298345430378832E-8</v>
      </c>
      <c r="BB26">
        <f t="shared" si="22"/>
        <v>2.5105513369480723E-5</v>
      </c>
      <c r="BC26">
        <f t="shared" si="23"/>
        <v>1.1632923423254898E-5</v>
      </c>
      <c r="BD26">
        <f t="shared" si="24"/>
        <v>1.0751955758178795E-5</v>
      </c>
      <c r="BE26">
        <f t="shared" si="25"/>
        <v>1.178170163578128E-6</v>
      </c>
      <c r="BG26" s="17">
        <f t="shared" si="26"/>
        <v>1.4525307582901531E-6</v>
      </c>
      <c r="BH26" s="17">
        <f t="shared" si="27"/>
        <v>1.886181263610191E-4</v>
      </c>
      <c r="BI26" s="17">
        <f t="shared" si="28"/>
        <v>1.2773052621599496E-3</v>
      </c>
      <c r="BJ26" s="17">
        <f t="shared" si="29"/>
        <v>8.4786926007518167E-4</v>
      </c>
    </row>
    <row r="27" spans="1:68" ht="15.75" x14ac:dyDescent="0.25">
      <c r="B27" s="1"/>
      <c r="C27" s="1">
        <v>0.1017361504710842</v>
      </c>
      <c r="D27" s="1">
        <v>0.11999622176307945</v>
      </c>
      <c r="E27" s="1">
        <v>0.91722245306495132</v>
      </c>
      <c r="F27" s="1">
        <v>0.20200000000000001</v>
      </c>
      <c r="G27" s="1"/>
      <c r="H27" s="1"/>
      <c r="I27" s="1"/>
      <c r="J27" s="1"/>
      <c r="K27" s="1"/>
      <c r="L27" s="1"/>
      <c r="M27" s="1"/>
      <c r="N27" s="4"/>
      <c r="O27" s="1">
        <v>3.3616645224090022E-3</v>
      </c>
      <c r="P27" s="1">
        <v>0.12197244341050328</v>
      </c>
      <c r="Q27" s="1">
        <v>0.17571158086532357</v>
      </c>
      <c r="R27" s="1">
        <v>0.8920971927155108</v>
      </c>
      <c r="S27" s="1">
        <v>0.20200000000000001</v>
      </c>
      <c r="T27" s="1">
        <f t="shared" si="48"/>
        <v>2.28419286354885E-4</v>
      </c>
      <c r="U27" s="1">
        <f t="shared" si="49"/>
        <v>1.4387848091965672E-3</v>
      </c>
      <c r="V27" s="1">
        <f t="shared" si="43"/>
        <v>1.5391988152302174E-3</v>
      </c>
      <c r="W27" s="1">
        <f t="shared" si="44"/>
        <v>2.3362610032082292</v>
      </c>
      <c r="X27" s="1">
        <f t="shared" si="45"/>
        <v>3.242898596583289E-3</v>
      </c>
      <c r="Y27" s="1">
        <f t="shared" si="16"/>
        <v>1.7979589799597313</v>
      </c>
      <c r="Z27" s="1">
        <f t="shared" si="17"/>
        <v>4.4922990095040225E-3</v>
      </c>
      <c r="AA27" s="1"/>
      <c r="AB27" s="1">
        <v>1.5867531162167343E-2</v>
      </c>
      <c r="AC27" s="1">
        <v>0.24694924399830265</v>
      </c>
      <c r="AD27" s="1">
        <v>0.24569057062802424</v>
      </c>
      <c r="AE27" s="2">
        <v>0.88272614966625995</v>
      </c>
      <c r="AF27" s="1">
        <v>0.20200000000000001</v>
      </c>
      <c r="AG27" s="1">
        <f t="shared" si="50"/>
        <v>2.4493925255737437E-3</v>
      </c>
      <c r="AH27" s="1">
        <f t="shared" si="51"/>
        <v>7.2877185360831149E-3</v>
      </c>
      <c r="AI27" s="1">
        <f t="shared" si="52"/>
        <v>8.0724506053357226E-3</v>
      </c>
      <c r="AJ27" s="1">
        <f t="shared" si="53"/>
        <v>2.3318064098704006</v>
      </c>
      <c r="AK27" s="1">
        <f t="shared" si="54"/>
        <v>1.3386984993969507E-2</v>
      </c>
      <c r="AL27" s="1">
        <f t="shared" si="20"/>
        <v>2.0760749454729015</v>
      </c>
      <c r="AM27" s="1">
        <f t="shared" si="21"/>
        <v>1.1181001868162621E-2</v>
      </c>
      <c r="AO27">
        <v>2.6545067409292859E-3</v>
      </c>
      <c r="AP27">
        <v>5.8105282578852922E-4</v>
      </c>
      <c r="AX27">
        <f t="shared" si="7"/>
        <v>0</v>
      </c>
      <c r="AY27">
        <f t="shared" si="8"/>
        <v>0</v>
      </c>
      <c r="AZ27">
        <f t="shared" si="9"/>
        <v>0</v>
      </c>
      <c r="BB27">
        <f t="shared" si="22"/>
        <v>9.8172257092558198E-6</v>
      </c>
      <c r="BC27">
        <f t="shared" si="23"/>
        <v>3.6974663914839365E-6</v>
      </c>
      <c r="BD27">
        <f t="shared" si="24"/>
        <v>3.3213812538426683E-6</v>
      </c>
      <c r="BE27">
        <f t="shared" si="25"/>
        <v>1.4105345137238821E-8</v>
      </c>
      <c r="BG27" s="17">
        <f t="shared" si="26"/>
        <v>1.8004644447084593E-4</v>
      </c>
      <c r="BH27" s="17">
        <f t="shared" si="27"/>
        <v>7.3613184698714346E-5</v>
      </c>
      <c r="BI27" s="17">
        <f t="shared" si="28"/>
        <v>6.0763280887494363E-5</v>
      </c>
      <c r="BJ27" s="17">
        <f t="shared" si="29"/>
        <v>6.1531092925609669E-6</v>
      </c>
    </row>
    <row r="28" spans="1:68" ht="15.7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"/>
      <c r="AF28" s="1"/>
      <c r="AG28" s="1"/>
      <c r="AH28" s="1"/>
      <c r="AI28" s="1"/>
      <c r="AJ28" s="1"/>
      <c r="AK28" s="1"/>
      <c r="AL28" s="1"/>
      <c r="AM28" s="1"/>
      <c r="AO28">
        <v>6.507995679971585E-3</v>
      </c>
      <c r="AP28">
        <v>2.0538173927126416E-4</v>
      </c>
      <c r="AX28">
        <f t="shared" si="7"/>
        <v>0</v>
      </c>
      <c r="AY28">
        <f t="shared" si="8"/>
        <v>0</v>
      </c>
      <c r="AZ28">
        <f t="shared" si="9"/>
        <v>0</v>
      </c>
      <c r="BB28">
        <f t="shared" si="22"/>
        <v>0</v>
      </c>
      <c r="BC28">
        <f t="shared" si="23"/>
        <v>0</v>
      </c>
      <c r="BD28">
        <f t="shared" si="24"/>
        <v>0</v>
      </c>
      <c r="BE28">
        <f t="shared" si="25"/>
        <v>0</v>
      </c>
      <c r="BG28" s="17">
        <f t="shared" si="26"/>
        <v>0</v>
      </c>
      <c r="BH28" s="17">
        <f t="shared" si="27"/>
        <v>0</v>
      </c>
      <c r="BI28" s="17">
        <f t="shared" si="28"/>
        <v>0</v>
      </c>
      <c r="BJ28" s="17">
        <f t="shared" si="29"/>
        <v>0</v>
      </c>
    </row>
    <row r="29" spans="1:68" ht="15.7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2"/>
      <c r="AF29" s="1"/>
      <c r="AG29" s="1"/>
      <c r="AH29" s="1"/>
      <c r="AI29" s="1"/>
      <c r="AJ29" s="1"/>
      <c r="AK29" s="1"/>
      <c r="AL29" s="1"/>
      <c r="AM29" s="1"/>
      <c r="AX29">
        <f t="shared" si="7"/>
        <v>0</v>
      </c>
      <c r="AY29">
        <f t="shared" si="8"/>
        <v>0</v>
      </c>
      <c r="AZ29">
        <f t="shared" si="9"/>
        <v>0</v>
      </c>
      <c r="BB29">
        <f t="shared" si="22"/>
        <v>0</v>
      </c>
      <c r="BC29">
        <f t="shared" si="23"/>
        <v>0</v>
      </c>
      <c r="BD29">
        <f t="shared" si="24"/>
        <v>0</v>
      </c>
      <c r="BE29">
        <f t="shared" si="25"/>
        <v>0</v>
      </c>
      <c r="BG29" s="17">
        <f t="shared" si="26"/>
        <v>0</v>
      </c>
      <c r="BH29" s="17">
        <f t="shared" si="27"/>
        <v>0</v>
      </c>
      <c r="BI29" s="17">
        <f t="shared" si="28"/>
        <v>0</v>
      </c>
      <c r="BJ29" s="17">
        <f t="shared" si="29"/>
        <v>0</v>
      </c>
    </row>
    <row r="30" spans="1:68" ht="15.75" x14ac:dyDescent="0.25">
      <c r="A30" t="s">
        <v>18</v>
      </c>
      <c r="B30" s="1">
        <v>9.5102467839510221E-3</v>
      </c>
      <c r="C30" s="1">
        <v>0.16748833350809134</v>
      </c>
      <c r="D30" s="1">
        <v>0.16748833350809134</v>
      </c>
      <c r="E30" s="1">
        <v>0.91786250426304228</v>
      </c>
      <c r="F30" s="1">
        <v>0.20200000000000001</v>
      </c>
      <c r="G30" s="1">
        <f>F30*C30^(10/3)/E30^2</f>
        <v>6.2098052934011279E-4</v>
      </c>
      <c r="H30" s="1">
        <f>F30*0.9*C30^2.3</f>
        <v>2.9837220935310894E-3</v>
      </c>
      <c r="I30" s="1">
        <f>F30*E30^2*(C30/E30)^J30</f>
        <v>3.2514754904433268E-3</v>
      </c>
      <c r="J30" s="1">
        <f>LOG10((2*D30^3+0.04*D30)/E30^2)/LOG10(D30/E30)</f>
        <v>2.3265325816581006</v>
      </c>
      <c r="K30" s="1">
        <f>F30*C30^2/E30^(2/3)</f>
        <v>5.9997811112258975E-3</v>
      </c>
      <c r="L30" s="1">
        <f t="shared" ref="L30:L32" si="55">LOG10((0.17*D30+0.013)/E30^2)/LOG10(D30/E30)</f>
        <v>1.7701704154444491</v>
      </c>
      <c r="M30" s="1">
        <f>F30*E30^2*(C30/E30)^L30</f>
        <v>8.3775493726678564E-3</v>
      </c>
      <c r="N30" s="4" t="s">
        <v>18</v>
      </c>
      <c r="O30" s="1">
        <v>1.0854071491960856E-2</v>
      </c>
      <c r="P30" s="1">
        <v>0.26655163596748066</v>
      </c>
      <c r="Q30" s="1">
        <v>0.26655163596748066</v>
      </c>
      <c r="R30" s="1">
        <v>0.90139166079072353</v>
      </c>
      <c r="S30" s="1">
        <v>0.20200000000000001</v>
      </c>
      <c r="T30" s="1">
        <f>S30*P30^(10/3)/R30^2</f>
        <v>3.0301361237296018E-3</v>
      </c>
      <c r="U30" s="1">
        <f>S30*0.9*P30^2.3</f>
        <v>8.6874234205797009E-3</v>
      </c>
      <c r="V30" s="1">
        <f>S30*R30^2*(P30/R30)^W30</f>
        <v>9.804864419114533E-3</v>
      </c>
      <c r="W30" s="1">
        <f>LOG10((2*Q30^3+0.04*Q30)/R30^2)/LOG10(Q30/R30)</f>
        <v>2.3127242807542236</v>
      </c>
      <c r="X30" s="1">
        <f>S30*P30^2/R30^(2/3)</f>
        <v>1.5380544724583429E-2</v>
      </c>
      <c r="Y30" s="1">
        <f t="shared" si="16"/>
        <v>2.1621362816078422</v>
      </c>
      <c r="Z30" s="1">
        <f t="shared" si="17"/>
        <v>1.1779383179123285E-2</v>
      </c>
      <c r="AA30" s="1" t="s">
        <v>18</v>
      </c>
      <c r="AB30" s="1"/>
      <c r="AC30" s="1">
        <v>0.68951946569586231</v>
      </c>
      <c r="AD30" s="1">
        <v>0.68951946569586231</v>
      </c>
      <c r="AE30" s="2">
        <v>0.92801952440430546</v>
      </c>
      <c r="AF30" s="1">
        <v>0.20200000000000001</v>
      </c>
      <c r="AG30" s="1"/>
      <c r="AH30" s="1"/>
      <c r="AI30" s="1"/>
      <c r="AJ30" s="1"/>
      <c r="AK30" s="1"/>
      <c r="AL30" s="1"/>
      <c r="AM30" s="1"/>
      <c r="AN30" t="s">
        <v>5</v>
      </c>
      <c r="AO30">
        <f>AVERAGE(AO3:AO28)</f>
        <v>6.0677580605411193E-3</v>
      </c>
      <c r="AP30">
        <f>AVERAGE(AP3:AP28)</f>
        <v>2.6224664080799916E-4</v>
      </c>
      <c r="AR30" t="s">
        <v>5</v>
      </c>
      <c r="AS30">
        <f>AVERAGE(AS3:AS24)</f>
        <v>5.4563980910369543E-3</v>
      </c>
      <c r="AT30">
        <f>AVERAGE(AT3:AT24)</f>
        <v>3.0966186490422721E-4</v>
      </c>
      <c r="AW30">
        <f t="shared" si="6"/>
        <v>7.9019054545364248E-5</v>
      </c>
      <c r="AX30">
        <f t="shared" si="7"/>
        <v>4.2595524534661001E-5</v>
      </c>
      <c r="AY30">
        <f t="shared" si="8"/>
        <v>3.9172218104435991E-5</v>
      </c>
      <c r="AZ30">
        <f t="shared" si="9"/>
        <v>1.2323369239381462E-5</v>
      </c>
      <c r="BB30">
        <f t="shared" si="22"/>
        <v>6.1213964646259923E-5</v>
      </c>
      <c r="BC30">
        <f t="shared" si="23"/>
        <v>4.6943638652196771E-6</v>
      </c>
      <c r="BD30">
        <f t="shared" si="24"/>
        <v>1.1008354817107485E-6</v>
      </c>
      <c r="BE30">
        <f t="shared" si="25"/>
        <v>2.0488959925648651E-5</v>
      </c>
      <c r="BG30" s="17">
        <f t="shared" si="26"/>
        <v>0</v>
      </c>
      <c r="BH30" s="17">
        <f t="shared" si="27"/>
        <v>0</v>
      </c>
      <c r="BI30" s="17">
        <f t="shared" si="28"/>
        <v>0</v>
      </c>
      <c r="BJ30" s="17">
        <f t="shared" si="29"/>
        <v>0</v>
      </c>
    </row>
    <row r="31" spans="1:68" ht="15.75" x14ac:dyDescent="0.25">
      <c r="B31" s="1">
        <v>1.5662653986566157E-2</v>
      </c>
      <c r="C31" s="1">
        <v>0.23984193657292108</v>
      </c>
      <c r="D31" s="1">
        <v>0.23984193657292108</v>
      </c>
      <c r="E31" s="1">
        <v>0.92318121413431187</v>
      </c>
      <c r="F31" s="1">
        <v>0.20200000000000001</v>
      </c>
      <c r="G31" s="1">
        <f>F31*C31^(10/3)/E31^2</f>
        <v>2.0317075439618753E-3</v>
      </c>
      <c r="H31" s="1">
        <f t="shared" ref="H31:H36" si="56">F31*0.9*C31^2.3</f>
        <v>6.8143064392176414E-3</v>
      </c>
      <c r="I31" s="1">
        <f>F31*E31^2*(C31/E31)^J31</f>
        <v>7.511791515752873E-3</v>
      </c>
      <c r="J31" s="1">
        <f>LOG10((2*D31^3+0.04*D31)/E31^2)/LOG10(D31/E31)</f>
        <v>2.3236597881184742</v>
      </c>
      <c r="K31" s="1">
        <f>F31*C31^2/E31^(2/3)</f>
        <v>1.2255855772323816E-2</v>
      </c>
      <c r="L31" s="1">
        <f t="shared" si="55"/>
        <v>2.0500287727023583</v>
      </c>
      <c r="M31" s="1">
        <f t="shared" ref="M31:M36" si="57">F31*E31^2*(C31/E31)^L31</f>
        <v>1.0862172101914111E-2</v>
      </c>
      <c r="N31" s="1"/>
      <c r="O31" s="1">
        <v>1.2314517492728601E-2</v>
      </c>
      <c r="P31" s="1">
        <v>0.16503744452336877</v>
      </c>
      <c r="Q31" s="1">
        <v>0.16503744452336877</v>
      </c>
      <c r="R31" s="1">
        <v>0.90160838241535934</v>
      </c>
      <c r="S31" s="1">
        <v>0.20200000000000001</v>
      </c>
      <c r="T31" s="1">
        <f t="shared" ref="T31:T36" si="58">S31*P31^(10/3)/R31^2</f>
        <v>6.1271303858484645E-4</v>
      </c>
      <c r="U31" s="1">
        <f t="shared" ref="U31:U36" si="59">S31*0.9*P31^2.3</f>
        <v>2.88425468395774E-3</v>
      </c>
      <c r="V31" s="1">
        <f>S31*R31^2*(P31/R31)^W31</f>
        <v>3.1495568778646971E-3</v>
      </c>
      <c r="W31" s="1">
        <f>LOG10((2*Q31^3+0.04*Q31)/R31^2)/LOG10(Q31/R31)</f>
        <v>2.3285262380852898</v>
      </c>
      <c r="X31" s="1">
        <f>S31*P31^2/R31^(2/3)</f>
        <v>5.895279355671146E-3</v>
      </c>
      <c r="Y31" s="1">
        <f t="shared" si="16"/>
        <v>1.7583306837483346</v>
      </c>
      <c r="Z31" s="1">
        <f t="shared" si="17"/>
        <v>8.2933858449324837E-3</v>
      </c>
      <c r="AA31" s="1"/>
      <c r="AB31" s="1">
        <v>2.0372114007697891E-2</v>
      </c>
      <c r="AC31" s="1">
        <v>0.44334593341838785</v>
      </c>
      <c r="AD31" s="1">
        <v>0.44334593341838785</v>
      </c>
      <c r="AE31" s="2">
        <v>0.90025347092504382</v>
      </c>
      <c r="AF31" s="1">
        <v>0.20200000000000001</v>
      </c>
      <c r="AG31" s="1">
        <f t="shared" ref="AG31:AG36" si="60">AF31*AC31^(10/3)/AE31^2</f>
        <v>1.6561418231984551E-2</v>
      </c>
      <c r="AH31" s="1">
        <f t="shared" ref="AH31:AH36" si="61">AF31*0.9*AC31^2.3</f>
        <v>2.7996397827393504E-2</v>
      </c>
      <c r="AI31" s="1">
        <f>AF31*AE31^2*(AC31/AE31)^AJ31</f>
        <v>3.878765701340476E-2</v>
      </c>
      <c r="AJ31" s="1">
        <f>LOG10((2*AD31^3+0.04*AD31)/AE31^2)/LOG10(AD31/AE31)</f>
        <v>2.0329731906673842</v>
      </c>
      <c r="AK31" s="1">
        <f>AF31*AC31^2/AE31^(2/3)</f>
        <v>4.2585356931332835E-2</v>
      </c>
      <c r="AL31" s="1">
        <f t="shared" si="20"/>
        <v>3.1286136018515793</v>
      </c>
      <c r="AM31" s="1">
        <f t="shared" si="21"/>
        <v>1.7850499353587446E-2</v>
      </c>
      <c r="AN31" t="s">
        <v>6</v>
      </c>
      <c r="AO31">
        <f>_xlfn.VAR.P(AO3:AO28)</f>
        <v>1.922613082131426E-5</v>
      </c>
      <c r="AP31">
        <f>_xlfn.VAR.P(AP3:AP28)</f>
        <v>2.0578656141458513E-7</v>
      </c>
      <c r="AR31" t="s">
        <v>6</v>
      </c>
      <c r="AS31">
        <f>_xlfn.VAR.P(AS3:AS24)</f>
        <v>1.3629575724418134E-5</v>
      </c>
      <c r="AT31">
        <f>_xlfn.VAR.P(AT3:AT24)</f>
        <v>2.2858869375642049E-7</v>
      </c>
      <c r="AW31">
        <f t="shared" si="6"/>
        <v>1.8580270092114631E-4</v>
      </c>
      <c r="AX31">
        <f t="shared" si="7"/>
        <v>7.8293254318668505E-5</v>
      </c>
      <c r="AY31">
        <f t="shared" si="8"/>
        <v>6.6436559018112439E-5</v>
      </c>
      <c r="AZ31">
        <f t="shared" si="9"/>
        <v>1.1606274072564808E-5</v>
      </c>
      <c r="BB31">
        <f t="shared" si="22"/>
        <v>1.3693222748301862E-4</v>
      </c>
      <c r="BC31">
        <f t="shared" si="23"/>
        <v>8.8929856642486888E-5</v>
      </c>
      <c r="BD31">
        <f t="shared" si="24"/>
        <v>8.3996503072006551E-5</v>
      </c>
      <c r="BE31">
        <f t="shared" si="25"/>
        <v>4.1206618260252874E-5</v>
      </c>
      <c r="BG31" s="17">
        <f t="shared" si="26"/>
        <v>1.4521402295039495E-5</v>
      </c>
      <c r="BH31" s="17">
        <f t="shared" si="27"/>
        <v>5.8129703763272321E-5</v>
      </c>
      <c r="BI31" s="17">
        <f t="shared" si="28"/>
        <v>3.3913222419503918E-4</v>
      </c>
      <c r="BJ31" s="17">
        <f t="shared" si="29"/>
        <v>4.9342816118441788E-4</v>
      </c>
    </row>
    <row r="32" spans="1:68" ht="15.75" x14ac:dyDescent="0.25">
      <c r="B32" s="1">
        <v>9.9405147581785938E-3</v>
      </c>
      <c r="C32" s="1">
        <v>0.13080833716970208</v>
      </c>
      <c r="D32" s="1">
        <v>0.13080833716970208</v>
      </c>
      <c r="E32" s="1">
        <v>0.91393940056810496</v>
      </c>
      <c r="F32" s="1">
        <v>0.20200000000000001</v>
      </c>
      <c r="G32" s="1">
        <f>F32*C32^(10/3)/E32^2</f>
        <v>2.7476915936407392E-4</v>
      </c>
      <c r="H32" s="1">
        <f t="shared" si="56"/>
        <v>1.6898780165496945E-3</v>
      </c>
      <c r="I32" s="1">
        <f>F32*E32^2*(C32/E32)^J32</f>
        <v>1.9611795374122483E-3</v>
      </c>
      <c r="J32" s="1">
        <f>LOG10((2*D32^3+0.04*D32)/E32^2)/LOG10(D32/E32)</f>
        <v>2.2914960561304776</v>
      </c>
      <c r="K32" s="1">
        <f>F32*C32^2/E32^(2/3)</f>
        <v>3.6700948281371644E-3</v>
      </c>
      <c r="L32" s="1">
        <f t="shared" si="55"/>
        <v>1.6284023240716665</v>
      </c>
      <c r="M32" s="1">
        <f t="shared" si="57"/>
        <v>7.1179582984075684E-3</v>
      </c>
      <c r="N32" s="1"/>
      <c r="O32" s="1"/>
      <c r="P32" s="1">
        <v>0.22532973018055513</v>
      </c>
      <c r="Q32" s="1">
        <v>0.22532973018055513</v>
      </c>
      <c r="R32" s="1">
        <v>0.90068731551065728</v>
      </c>
      <c r="S32" s="1">
        <v>0.20200000000000001</v>
      </c>
      <c r="T32" s="1"/>
      <c r="U32" s="1"/>
      <c r="V32" s="1"/>
      <c r="W32" s="1"/>
      <c r="X32" s="1"/>
      <c r="Y32" s="1"/>
      <c r="Z32" s="1"/>
      <c r="AA32" s="1"/>
      <c r="AB32" s="1">
        <v>2.3020764092721364E-2</v>
      </c>
      <c r="AC32" s="1">
        <v>0.47477407243141512</v>
      </c>
      <c r="AD32" s="1">
        <v>0.47477407243141512</v>
      </c>
      <c r="AE32" s="2">
        <v>0.89226978740935259</v>
      </c>
      <c r="AF32" s="1">
        <v>0.20200000000000001</v>
      </c>
      <c r="AG32" s="1">
        <f t="shared" si="60"/>
        <v>2.1182748354649509E-2</v>
      </c>
      <c r="AH32" s="1">
        <f t="shared" si="61"/>
        <v>3.2772831494128525E-2</v>
      </c>
      <c r="AI32" s="1">
        <f>AF32*AE32^2*(AC32/AE32)^AJ32</f>
        <v>4.7071859798108955E-2</v>
      </c>
      <c r="AJ32" s="1">
        <f>LOG10((2*AD32^3+0.04*AD32)/AE32^2)/LOG10(AD32/AE32)</f>
        <v>1.94731563588823</v>
      </c>
      <c r="AK32" s="1">
        <f>AF32*AC32^2/AE32^(2/3)</f>
        <v>4.9127865886791862E-2</v>
      </c>
      <c r="AL32" s="1">
        <f t="shared" si="20"/>
        <v>3.3911236524444952</v>
      </c>
      <c r="AM32" s="1">
        <f t="shared" si="21"/>
        <v>1.8929741647294791E-2</v>
      </c>
      <c r="AN32" t="s">
        <v>7</v>
      </c>
      <c r="AO32">
        <f>_xlfn.STDEV.P(AO3:AO28)</f>
        <v>4.3847612045941863E-3</v>
      </c>
      <c r="AP32">
        <f>_xlfn.STDEV.P(AP3:AP28)</f>
        <v>4.5363703708425874E-4</v>
      </c>
      <c r="AR32" t="s">
        <v>7</v>
      </c>
      <c r="AS32">
        <f>_xlfn.STDEV.P(AS3:AS24)</f>
        <v>3.6918255273533898E-3</v>
      </c>
      <c r="AT32">
        <f>_xlfn.STDEV.P(AT3:AT24)</f>
        <v>4.781094997554645E-4</v>
      </c>
      <c r="AW32">
        <f t="shared" si="6"/>
        <v>9.3426637981002266E-5</v>
      </c>
      <c r="AX32">
        <f t="shared" si="7"/>
        <v>6.8073006642316739E-5</v>
      </c>
      <c r="AY32">
        <f t="shared" si="8"/>
        <v>6.3669790565362296E-5</v>
      </c>
      <c r="AZ32">
        <f t="shared" si="9"/>
        <v>3.9318166099060767E-5</v>
      </c>
      <c r="BB32">
        <f t="shared" si="22"/>
        <v>0</v>
      </c>
      <c r="BC32">
        <f t="shared" si="23"/>
        <v>0</v>
      </c>
      <c r="BD32">
        <f t="shared" si="24"/>
        <v>0</v>
      </c>
      <c r="BE32">
        <f t="shared" si="25"/>
        <v>0</v>
      </c>
      <c r="BG32" s="17">
        <f t="shared" si="26"/>
        <v>3.3783018533998277E-6</v>
      </c>
      <c r="BH32" s="17">
        <f t="shared" si="27"/>
        <v>9.5102818601588206E-5</v>
      </c>
      <c r="BI32" s="17">
        <f t="shared" si="28"/>
        <v>5.7845520462971342E-4</v>
      </c>
      <c r="BJ32" s="17">
        <f t="shared" si="29"/>
        <v>6.8158076408595899E-4</v>
      </c>
    </row>
    <row r="33" spans="1:62" ht="15.75" x14ac:dyDescent="0.25">
      <c r="B33" s="1"/>
      <c r="C33" s="1">
        <v>0.22048874657577666</v>
      </c>
      <c r="D33" s="1">
        <v>0.22048874657577666</v>
      </c>
      <c r="E33" s="1">
        <v>0.91654339197442591</v>
      </c>
      <c r="F33" s="1">
        <v>0.20200000000000001</v>
      </c>
      <c r="G33" s="1"/>
      <c r="H33" s="1"/>
      <c r="I33" s="1"/>
      <c r="J33" s="1"/>
      <c r="K33" s="1"/>
      <c r="L33" s="1"/>
      <c r="M33" s="1"/>
      <c r="N33" s="1"/>
      <c r="O33" s="1">
        <v>1.1784927717019986E-2</v>
      </c>
      <c r="P33" s="1">
        <v>0.23823124240219629</v>
      </c>
      <c r="Q33" s="1">
        <v>0.23823124240219629</v>
      </c>
      <c r="R33" s="1">
        <v>0.8978518742550059</v>
      </c>
      <c r="S33" s="1">
        <v>0.20200000000000001</v>
      </c>
      <c r="T33" s="1">
        <f t="shared" si="58"/>
        <v>2.1002501985499535E-3</v>
      </c>
      <c r="U33" s="1">
        <f t="shared" si="59"/>
        <v>6.7095118592764196E-3</v>
      </c>
      <c r="V33" s="1">
        <f>S33*R33^2*(P33/R33)^W33</f>
        <v>7.3872331317185709E-3</v>
      </c>
      <c r="W33" s="1">
        <f>LOG10((2*Q33^3+0.04*Q33)/R33^2)/LOG10(Q33/R33)</f>
        <v>2.3312478575652986</v>
      </c>
      <c r="X33" s="1">
        <f>S33*P33^2/R33^(2/3)</f>
        <v>1.2318155202517458E-2</v>
      </c>
      <c r="Y33" s="1">
        <f t="shared" si="16"/>
        <v>2.0445140134769701</v>
      </c>
      <c r="Z33" s="1">
        <f t="shared" si="17"/>
        <v>1.0806860864091423E-2</v>
      </c>
      <c r="AA33" s="1"/>
      <c r="AB33" s="1"/>
      <c r="AC33" s="1">
        <v>0.49813013571279979</v>
      </c>
      <c r="AD33" s="1">
        <v>0.49813013571279979</v>
      </c>
      <c r="AE33" s="2">
        <v>0.92296900754352262</v>
      </c>
      <c r="AF33" s="1">
        <v>0.20200000000000001</v>
      </c>
      <c r="AG33" s="1"/>
      <c r="AH33" s="1"/>
      <c r="AI33" s="1"/>
      <c r="AJ33" s="1"/>
      <c r="AK33" s="1"/>
      <c r="AL33" s="1"/>
      <c r="AM33" s="1"/>
      <c r="AN33" t="s">
        <v>8</v>
      </c>
      <c r="AO33">
        <f>CORREL(AO3:AO28,AP3:AP28)</f>
        <v>0.51059475799236287</v>
      </c>
      <c r="AR33" t="s">
        <v>8</v>
      </c>
      <c r="AS33">
        <f>CORREL(AS3:AS24,AT3:AT24)</f>
        <v>0.78626451300450728</v>
      </c>
      <c r="AX33">
        <f t="shared" si="7"/>
        <v>0</v>
      </c>
      <c r="AY33">
        <f t="shared" si="8"/>
        <v>0</v>
      </c>
      <c r="AZ33">
        <f t="shared" si="9"/>
        <v>0</v>
      </c>
      <c r="BB33">
        <f t="shared" si="22"/>
        <v>9.3792978636758856E-5</v>
      </c>
      <c r="BC33">
        <f t="shared" si="23"/>
        <v>2.5759846129034857E-5</v>
      </c>
      <c r="BD33">
        <f t="shared" si="24"/>
        <v>1.9339717665589383E-5</v>
      </c>
      <c r="BE33">
        <f t="shared" si="25"/>
        <v>2.8433155128995756E-7</v>
      </c>
      <c r="BG33" s="17">
        <f t="shared" si="26"/>
        <v>0</v>
      </c>
      <c r="BH33" s="17">
        <f t="shared" si="27"/>
        <v>0</v>
      </c>
      <c r="BI33" s="17">
        <f t="shared" si="28"/>
        <v>0</v>
      </c>
      <c r="BJ33" s="17">
        <f t="shared" si="29"/>
        <v>0</v>
      </c>
    </row>
    <row r="34" spans="1:62" ht="15.75" x14ac:dyDescent="0.25">
      <c r="B34" s="1">
        <v>5.4432895862865562E-3</v>
      </c>
      <c r="C34" s="1">
        <v>0.11376244845810468</v>
      </c>
      <c r="D34" s="1">
        <v>0.11376244845810468</v>
      </c>
      <c r="E34" s="1">
        <v>0.90846533667509388</v>
      </c>
      <c r="F34" s="1">
        <v>0.20200000000000001</v>
      </c>
      <c r="G34" s="1">
        <f>F34*C34^(10/3)/E34^2</f>
        <v>1.7460811184123482E-4</v>
      </c>
      <c r="H34" s="1">
        <f t="shared" si="56"/>
        <v>1.2257204142598218E-3</v>
      </c>
      <c r="I34" s="1">
        <f>F34*E34^2*(C34/E34)^J34</f>
        <v>1.5140104406033562E-3</v>
      </c>
      <c r="J34" s="1">
        <f>LOG10((2*D34^3+0.04*D34)/E34^2)/LOG10(D34/E34)</f>
        <v>2.2629035590226958</v>
      </c>
      <c r="K34" s="1">
        <f>F34*C34^2/E34^(2/3)</f>
        <v>2.7870429187370959E-3</v>
      </c>
      <c r="L34" s="1">
        <f t="shared" ref="L34:L36" si="62">LOG10((0.17*D34+0.013)/E34^2)/LOG10(D34/E34)</f>
        <v>1.5592011040254685</v>
      </c>
      <c r="M34" s="1">
        <f t="shared" si="57"/>
        <v>6.5326024800513175E-3</v>
      </c>
      <c r="N34" s="1"/>
      <c r="O34" s="1">
        <v>4.9693116344215055E-3</v>
      </c>
      <c r="P34" s="1">
        <v>0.33375145631515701</v>
      </c>
      <c r="Q34" s="1">
        <v>0.33375145631515701</v>
      </c>
      <c r="R34" s="1">
        <v>0.890241554347728</v>
      </c>
      <c r="S34" s="1">
        <v>0.20200000000000001</v>
      </c>
      <c r="T34" s="1">
        <f t="shared" si="58"/>
        <v>6.5727363156050118E-3</v>
      </c>
      <c r="U34" s="1">
        <f t="shared" si="59"/>
        <v>1.4570255534226506E-2</v>
      </c>
      <c r="V34" s="1">
        <f>S34*R34^2*(P34/R34)^W34</f>
        <v>1.7716052617778876E-2</v>
      </c>
      <c r="W34" s="1">
        <f>LOG10((2*Q34^3+0.04*Q34)/R34^2)/LOG10(Q34/R34)</f>
        <v>2.2436857003138519</v>
      </c>
      <c r="X34" s="1">
        <f>S34*P34^2/R34^(2/3)</f>
        <v>2.4314152339754709E-2</v>
      </c>
      <c r="Y34" s="1">
        <f t="shared" si="16"/>
        <v>2.4773192420194801</v>
      </c>
      <c r="Z34" s="1">
        <f t="shared" si="17"/>
        <v>1.4087025009862489E-2</v>
      </c>
      <c r="AA34" s="1"/>
      <c r="AB34" s="1">
        <v>1.147647099443091E-2</v>
      </c>
      <c r="AC34" s="1">
        <v>0.40210768780800255</v>
      </c>
      <c r="AD34" s="1">
        <v>0.40210768780800255</v>
      </c>
      <c r="AE34" s="2">
        <v>0.88177546413952435</v>
      </c>
      <c r="AF34" s="1">
        <v>0.20200000000000001</v>
      </c>
      <c r="AG34" s="1">
        <f t="shared" si="60"/>
        <v>1.2467420386382213E-2</v>
      </c>
      <c r="AH34" s="1">
        <f t="shared" si="61"/>
        <v>2.2365640739345362E-2</v>
      </c>
      <c r="AI34" s="1">
        <f>AF34*AE34^2*(AC34/AE34)^AJ34</f>
        <v>2.9515910370161821E-2</v>
      </c>
      <c r="AJ34" s="1">
        <f>LOG10((2*AD34^3+0.04*AD34)/AE34^2)/LOG10(AD34/AE34)</f>
        <v>2.1289675162651349</v>
      </c>
      <c r="AK34" s="1">
        <f>AF34*AC34^2/AE34^(2/3)</f>
        <v>3.551927686172214E-2</v>
      </c>
      <c r="AL34" s="1">
        <f t="shared" si="20"/>
        <v>2.8746896647261284</v>
      </c>
      <c r="AM34" s="1">
        <f t="shared" si="21"/>
        <v>1.6434377999326802E-2</v>
      </c>
      <c r="AN34" t="s">
        <v>12</v>
      </c>
      <c r="AO34">
        <f>_xlfn.COVARIANCE.P(AO3:AO28,AP3:AP28)</f>
        <v>1.0156189686221053E-6</v>
      </c>
      <c r="AR34" t="s">
        <v>12</v>
      </c>
      <c r="AS34">
        <f>_xlfn.COVARIANCE.P(AS3:AS24,AT3:AT24)</f>
        <v>1.3878330199416072E-6</v>
      </c>
      <c r="AW34">
        <f t="shared" si="6"/>
        <v>2.7759004479163327E-5</v>
      </c>
      <c r="AX34">
        <f t="shared" si="7"/>
        <v>1.7787889720830272E-5</v>
      </c>
      <c r="AY34">
        <f t="shared" si="8"/>
        <v>1.5439234604700896E-5</v>
      </c>
      <c r="AZ34">
        <f t="shared" si="9"/>
        <v>7.055646358867613E-6</v>
      </c>
      <c r="BB34">
        <f t="shared" si="22"/>
        <v>2.5709707082284288E-6</v>
      </c>
      <c r="BC34">
        <f t="shared" si="23"/>
        <v>9.217812376720285E-5</v>
      </c>
      <c r="BD34">
        <f t="shared" si="24"/>
        <v>1.6247940569680242E-4</v>
      </c>
      <c r="BE34">
        <f t="shared" si="25"/>
        <v>3.7422286191471642E-4</v>
      </c>
      <c r="BG34" s="17">
        <f t="shared" si="26"/>
        <v>9.8198069740865639E-7</v>
      </c>
      <c r="BH34" s="17">
        <f t="shared" si="27"/>
        <v>1.1857401773356027E-4</v>
      </c>
      <c r="BI34" s="17">
        <f t="shared" si="28"/>
        <v>3.2542137299067079E-4</v>
      </c>
      <c r="BJ34" s="17">
        <f t="shared" si="29"/>
        <v>5.7805651397225372E-4</v>
      </c>
    </row>
    <row r="35" spans="1:62" ht="15.75" x14ac:dyDescent="0.25">
      <c r="B35" s="1">
        <v>2.6545067409292859E-3</v>
      </c>
      <c r="C35" s="1">
        <v>0.16309800408120356</v>
      </c>
      <c r="D35" s="1">
        <v>0.16309800408120356</v>
      </c>
      <c r="E35" s="1">
        <v>0.90778350390664797</v>
      </c>
      <c r="F35" s="1">
        <v>0.20200000000000001</v>
      </c>
      <c r="G35" s="1">
        <f>F35*C35^(10/3)/E35^2</f>
        <v>5.8105282578852922E-4</v>
      </c>
      <c r="H35" s="1">
        <f t="shared" si="56"/>
        <v>2.806892406020646E-3</v>
      </c>
      <c r="I35" s="1">
        <f>F35*E35^2*(C35/E35)^J35</f>
        <v>3.0706114498076681E-3</v>
      </c>
      <c r="J35" s="1">
        <f>LOG10((2*D35^3+0.04*D35)/E35^2)/LOG10(D35/E35)</f>
        <v>2.3259729462244914</v>
      </c>
      <c r="K35" s="1">
        <f>F35*C35^2/E35^(2/3)</f>
        <v>5.7313967246667274E-3</v>
      </c>
      <c r="L35" s="1">
        <f t="shared" si="62"/>
        <v>1.7518803985967641</v>
      </c>
      <c r="M35" s="1">
        <f t="shared" si="57"/>
        <v>8.2267854601485307E-3</v>
      </c>
      <c r="N35" s="1"/>
      <c r="O35" s="1">
        <v>8.3064920224965276E-3</v>
      </c>
      <c r="P35" s="1">
        <v>0.2187624068439854</v>
      </c>
      <c r="Q35" s="1">
        <v>0.2187624068439854</v>
      </c>
      <c r="R35" s="1">
        <v>0.87887767487362911</v>
      </c>
      <c r="S35" s="1">
        <v>0.20200000000000001</v>
      </c>
      <c r="T35" s="1">
        <f t="shared" si="58"/>
        <v>1.6496943243666335E-3</v>
      </c>
      <c r="U35" s="1">
        <f t="shared" si="59"/>
        <v>5.5148165787223761E-3</v>
      </c>
      <c r="V35" s="1">
        <f>S35*R35^2*(P35/R35)^W35</f>
        <v>5.9972016725352252E-3</v>
      </c>
      <c r="W35" s="1">
        <f>LOG10((2*Q35^3+0.04*Q35)/R35^2)/LOG10(Q35/R35)</f>
        <v>2.3433167169036344</v>
      </c>
      <c r="X35" s="1">
        <f>S35*P35^2/R35^(2/3)</f>
        <v>1.053604944438916E-2</v>
      </c>
      <c r="Y35" s="1">
        <f t="shared" si="16"/>
        <v>1.9657782406215381</v>
      </c>
      <c r="Z35" s="1">
        <f t="shared" si="17"/>
        <v>1.0138301051022459E-2</v>
      </c>
      <c r="AA35" s="1"/>
      <c r="AB35" s="1">
        <v>2.1168883485351852E-2</v>
      </c>
      <c r="AC35" s="1">
        <v>0.54353585662964909</v>
      </c>
      <c r="AD35" s="1">
        <v>0.54353585662964909</v>
      </c>
      <c r="AE35" s="2">
        <v>0.9088324365698851</v>
      </c>
      <c r="AF35" s="1">
        <v>0.20200000000000001</v>
      </c>
      <c r="AG35" s="1">
        <f t="shared" si="60"/>
        <v>3.2048747636032854E-2</v>
      </c>
      <c r="AH35" s="1">
        <f t="shared" si="61"/>
        <v>4.4732043398621392E-2</v>
      </c>
      <c r="AI35" s="1">
        <f>AF35*AE35^2*(AC35/AE35)^AJ35</f>
        <v>6.9265065695861161E-2</v>
      </c>
      <c r="AJ35" s="1">
        <f>LOG10((2*AD35^3+0.04*AD35)/AE35^2)/LOG10(AD35/AE35)</f>
        <v>1.7101686293272764</v>
      </c>
      <c r="AK35" s="1">
        <f>AF35*AC35^2/AE35^(2/3)</f>
        <v>6.3604116218110976E-2</v>
      </c>
      <c r="AL35" s="1">
        <f t="shared" si="20"/>
        <v>4.0049272437201493</v>
      </c>
      <c r="AM35" s="1">
        <f t="shared" si="21"/>
        <v>2.1291021316662155E-2</v>
      </c>
      <c r="AN35" t="s">
        <v>9</v>
      </c>
      <c r="AO35">
        <f>2*AO33*AO32*AP32/(AO31+AP31+(AO30-AP30)^2)</f>
        <v>3.8227237952059533E-2</v>
      </c>
      <c r="AP35">
        <v>3.9183152597857353E-2</v>
      </c>
      <c r="AR35" t="s">
        <v>9</v>
      </c>
      <c r="AS35">
        <f>2*AS33*AS32*AT32/(AS31+AT31+(AS30-AT30)^2)</f>
        <v>6.8794756389782649E-2</v>
      </c>
      <c r="AT35">
        <v>3.9183152597857353E-2</v>
      </c>
      <c r="AW35">
        <f t="shared" si="6"/>
        <v>4.2992111382125331E-6</v>
      </c>
      <c r="AX35">
        <f t="shared" si="7"/>
        <v>2.3221390925336175E-8</v>
      </c>
      <c r="AY35">
        <f t="shared" si="8"/>
        <v>1.7314312875076325E-7</v>
      </c>
      <c r="AZ35">
        <f t="shared" si="9"/>
        <v>9.467251972023793E-6</v>
      </c>
      <c r="BB35">
        <f t="shared" si="22"/>
        <v>4.4312955593827455E-5</v>
      </c>
      <c r="BC35">
        <f t="shared" si="23"/>
        <v>7.7934517833716062E-6</v>
      </c>
      <c r="BD35">
        <f t="shared" si="24"/>
        <v>5.3328219204243947E-6</v>
      </c>
      <c r="BE35">
        <f t="shared" si="25"/>
        <v>4.97092629751652E-6</v>
      </c>
      <c r="BG35" s="17">
        <f t="shared" si="26"/>
        <v>1.1837144393727364E-4</v>
      </c>
      <c r="BH35" s="17">
        <f t="shared" si="27"/>
        <v>5.5522250509831264E-4</v>
      </c>
      <c r="BI35" s="17">
        <f t="shared" si="28"/>
        <v>2.3132427432265117E-3</v>
      </c>
      <c r="BJ35" s="17">
        <f t="shared" si="29"/>
        <v>1.8007489770834311E-3</v>
      </c>
    </row>
    <row r="36" spans="1:62" ht="15.75" x14ac:dyDescent="0.25">
      <c r="B36" s="1">
        <v>6.507995679971585E-3</v>
      </c>
      <c r="C36" s="1">
        <v>0.11999622176307945</v>
      </c>
      <c r="D36" s="1">
        <v>0.11999622176307945</v>
      </c>
      <c r="E36" s="1">
        <v>0.91553311537239923</v>
      </c>
      <c r="F36" s="1">
        <v>0.20200000000000001</v>
      </c>
      <c r="G36" s="1">
        <f>F36*C36^(10/3)/E36^2</f>
        <v>2.0538173927126416E-4</v>
      </c>
      <c r="H36" s="1">
        <f t="shared" si="56"/>
        <v>1.38573215417379E-3</v>
      </c>
      <c r="I36" s="1">
        <f>F36*E36^2*(C36/E36)^J36</f>
        <v>1.6676155331084993E-3</v>
      </c>
      <c r="J36" s="1">
        <f>LOG10((2*D36^3+0.04*D36)/E36^2)/LOG10(D36/E36)</f>
        <v>2.273755021075579</v>
      </c>
      <c r="K36" s="1">
        <f>F36*C36^2/E36^(2/3)</f>
        <v>3.0848719498183714E-3</v>
      </c>
      <c r="L36" s="1">
        <f t="shared" si="62"/>
        <v>1.5859486847187974</v>
      </c>
      <c r="M36" s="1">
        <f t="shared" si="57"/>
        <v>6.7466702553441492E-3</v>
      </c>
      <c r="N36" s="1"/>
      <c r="O36" s="1">
        <v>3.3812937074082627E-3</v>
      </c>
      <c r="P36" s="1">
        <v>0.17571158086532357</v>
      </c>
      <c r="Q36" s="1">
        <v>0.17571158086532357</v>
      </c>
      <c r="R36" s="1">
        <v>0.8920971927155108</v>
      </c>
      <c r="S36" s="1">
        <v>0.20200000000000001</v>
      </c>
      <c r="T36" s="1">
        <f t="shared" si="58"/>
        <v>7.7124964586000047E-4</v>
      </c>
      <c r="U36" s="1">
        <f t="shared" si="59"/>
        <v>3.3314612557917207E-3</v>
      </c>
      <c r="V36" s="1">
        <f>S36*R36^2*(P36/R36)^W36</f>
        <v>3.6114567179927649E-3</v>
      </c>
      <c r="W36" s="1">
        <f>LOG10((2*Q36^3+0.04*Q36)/R36^2)/LOG10(Q36/R36)</f>
        <v>2.3362610032082292</v>
      </c>
      <c r="X36" s="1">
        <f>S36*P36^2/R36^(2/3)</f>
        <v>6.72993226421356E-3</v>
      </c>
      <c r="Y36" s="1">
        <f t="shared" si="16"/>
        <v>1.7979589799597313</v>
      </c>
      <c r="Z36" s="1">
        <f t="shared" si="17"/>
        <v>8.6599356869152076E-3</v>
      </c>
      <c r="AA36" s="1"/>
      <c r="AB36" s="1">
        <v>1.984787749857455E-2</v>
      </c>
      <c r="AC36" s="1">
        <v>0.24569057062802424</v>
      </c>
      <c r="AD36" s="1">
        <v>0.24569057062802424</v>
      </c>
      <c r="AE36" s="2">
        <v>0.86969572185139998</v>
      </c>
      <c r="AF36" s="1">
        <v>0.20200000000000001</v>
      </c>
      <c r="AG36" s="1">
        <f t="shared" si="60"/>
        <v>2.4807233354472093E-3</v>
      </c>
      <c r="AH36" s="1">
        <f t="shared" si="61"/>
        <v>7.2025686033266494E-3</v>
      </c>
      <c r="AI36" s="1">
        <f>AF36*AE36^2*(AC36/AE36)^AJ36</f>
        <v>7.9768352711426134E-3</v>
      </c>
      <c r="AJ36" s="1">
        <f>LOG10((2*AD36^3+0.04*AD36)/AE36^2)/LOG10(AD36/AE36)</f>
        <v>2.3357100653664471</v>
      </c>
      <c r="AK36" s="1">
        <f>AF36*AC36^2/AE36^(2/3)</f>
        <v>1.3382896675306729E-2</v>
      </c>
      <c r="AL36" s="1">
        <f t="shared" si="20"/>
        <v>2.0769699564497013</v>
      </c>
      <c r="AM36" s="1">
        <f t="shared" si="21"/>
        <v>1.1063014195366358E-2</v>
      </c>
      <c r="AN36" t="s">
        <v>13</v>
      </c>
      <c r="AO36">
        <f>2*AO34/(AO31+AP31+(AO30-AP30)^2)</f>
        <v>3.8227237952059546E-2</v>
      </c>
      <c r="AR36" t="s">
        <v>13</v>
      </c>
      <c r="AS36">
        <f>2*AS34/(AS31+AT31+(AS30-AT30)^2)</f>
        <v>6.8794756389782608E-2</v>
      </c>
      <c r="AW36">
        <f t="shared" si="6"/>
        <v>3.9722942485510029E-5</v>
      </c>
      <c r="AX36">
        <f t="shared" si="7"/>
        <v>2.6237583627718459E-5</v>
      </c>
      <c r="AY36">
        <f t="shared" si="8"/>
        <v>2.342927996614631E-5</v>
      </c>
      <c r="AZ36">
        <f t="shared" si="9"/>
        <v>1.1717776071938052E-5</v>
      </c>
      <c r="BB36">
        <f t="shared" si="22"/>
        <v>6.8123300032233495E-6</v>
      </c>
      <c r="BC36">
        <f t="shared" si="23"/>
        <v>2.4832732341149989E-9</v>
      </c>
      <c r="BD36">
        <f t="shared" si="24"/>
        <v>5.2975011441321705E-8</v>
      </c>
      <c r="BE36">
        <f t="shared" si="25"/>
        <v>1.1213380184123064E-5</v>
      </c>
      <c r="BG36" s="17">
        <f t="shared" si="26"/>
        <v>3.016180437258313E-4</v>
      </c>
      <c r="BH36" s="17">
        <f t="shared" si="27"/>
        <v>1.5990383705623569E-4</v>
      </c>
      <c r="BI36" s="17">
        <f t="shared" si="28"/>
        <v>1.409216435654722E-4</v>
      </c>
      <c r="BJ36" s="17">
        <f t="shared" si="29"/>
        <v>4.1795977045220665E-5</v>
      </c>
    </row>
    <row r="38" spans="1:62" x14ac:dyDescent="0.25">
      <c r="A38" t="s">
        <v>75</v>
      </c>
      <c r="G38">
        <f>COUNT(G3:G36)</f>
        <v>22</v>
      </c>
      <c r="H38">
        <f t="shared" ref="H38:M38" si="63">COUNT(H3:H36)</f>
        <v>22</v>
      </c>
      <c r="I38">
        <f t="shared" si="63"/>
        <v>22</v>
      </c>
      <c r="K38">
        <f t="shared" si="63"/>
        <v>22</v>
      </c>
      <c r="M38">
        <f t="shared" si="63"/>
        <v>22</v>
      </c>
      <c r="T38">
        <f>COUNT(T3:T36)</f>
        <v>24</v>
      </c>
      <c r="U38">
        <f t="shared" ref="U38:Z38" si="64">COUNT(U3:U36)</f>
        <v>24</v>
      </c>
      <c r="V38">
        <f t="shared" si="64"/>
        <v>24</v>
      </c>
      <c r="X38">
        <f t="shared" si="64"/>
        <v>24</v>
      </c>
      <c r="Z38">
        <f t="shared" si="64"/>
        <v>24</v>
      </c>
      <c r="AG38">
        <f>COUNT(AG3:AG36)</f>
        <v>22</v>
      </c>
      <c r="AH38">
        <f t="shared" ref="AH38:AM38" si="65">COUNT(AH3:AH36)</f>
        <v>22</v>
      </c>
      <c r="AI38">
        <f t="shared" si="65"/>
        <v>22</v>
      </c>
      <c r="AK38">
        <f t="shared" si="65"/>
        <v>22</v>
      </c>
      <c r="AM38">
        <f t="shared" si="65"/>
        <v>22</v>
      </c>
      <c r="AN38" t="s">
        <v>10</v>
      </c>
      <c r="AO38">
        <f>AO33*AO32/AP32</f>
        <v>4.9353026827441946</v>
      </c>
      <c r="AR38" t="s">
        <v>10</v>
      </c>
      <c r="AS38">
        <f>AS33*AS32/AT32</f>
        <v>6.0713108646591891</v>
      </c>
      <c r="AV38" s="4" t="s">
        <v>80</v>
      </c>
      <c r="AW38">
        <f>SUM(AW3:AW36)</f>
        <v>8.2657062751292205E-4</v>
      </c>
      <c r="AX38">
        <f t="shared" ref="AX38:AZ38" si="66">SUM(AX3:AX36)</f>
        <v>4.9025520041156298E-4</v>
      </c>
      <c r="AY38">
        <f t="shared" si="66"/>
        <v>4.5215442947178259E-4</v>
      </c>
      <c r="AZ38">
        <f t="shared" si="66"/>
        <v>2.3850588784812458E-4</v>
      </c>
      <c r="BB38">
        <f>SUM(BB3:BB36)</f>
        <v>6.7410884167203716E-4</v>
      </c>
      <c r="BC38">
        <f t="shared" ref="BC38:BE38" si="67">SUM(BC3:BC36)</f>
        <v>3.9894090062892568E-4</v>
      </c>
      <c r="BD38">
        <f t="shared" si="67"/>
        <v>4.922975141094185E-4</v>
      </c>
      <c r="BE38">
        <f t="shared" si="67"/>
        <v>8.5654652844024417E-4</v>
      </c>
      <c r="BG38">
        <f>SUM(BG3:BG36)</f>
        <v>1.2319461409137041E-3</v>
      </c>
      <c r="BH38">
        <f t="shared" ref="BH38:BJ38" si="68">SUM(BH3:BH36)</f>
        <v>2.5967284245424502E-3</v>
      </c>
      <c r="BI38">
        <f t="shared" si="68"/>
        <v>1.7542652235171943E-2</v>
      </c>
      <c r="BJ38">
        <f t="shared" si="68"/>
        <v>9.9103186774491207E-3</v>
      </c>
    </row>
    <row r="39" spans="1:62" x14ac:dyDescent="0.25">
      <c r="A39" t="s">
        <v>5</v>
      </c>
      <c r="B39">
        <f>AVERAGE(B3:B36)</f>
        <v>5.4563980910369543E-3</v>
      </c>
      <c r="G39">
        <f>AVERAGE(G3:G36)</f>
        <v>3.0966186490422721E-4</v>
      </c>
      <c r="H39">
        <f>AVERAGE(H3:H36)</f>
        <v>1.481556313447408E-3</v>
      </c>
      <c r="I39">
        <f>AVERAGE(I3:I36)</f>
        <v>1.6449529444887306E-3</v>
      </c>
      <c r="K39">
        <f>AVERAGE(K3:K36)</f>
        <v>3.0427023160214269E-3</v>
      </c>
      <c r="M39">
        <f>AVERAGE(M3:M36)</f>
        <v>4.1309358835728586E-3</v>
      </c>
      <c r="N39" s="4" t="s">
        <v>5</v>
      </c>
      <c r="O39">
        <f>AVERAGE(O3:O36)</f>
        <v>5.7146597288519558E-3</v>
      </c>
      <c r="T39">
        <f>AVERAGE(T3:T36)</f>
        <v>1.2811260612534501E-3</v>
      </c>
      <c r="U39">
        <f>AVERAGE(U3:U36)</f>
        <v>4.1491326910952911E-3</v>
      </c>
      <c r="V39">
        <f>AVERAGE(V3:V36)</f>
        <v>4.7187100014646722E-3</v>
      </c>
      <c r="X39">
        <f>AVERAGE(X3:X36)</f>
        <v>7.7939855156788224E-3</v>
      </c>
      <c r="Z39">
        <f>AVERAGE(Z3:Z36)</f>
        <v>6.6619947809468151E-3</v>
      </c>
      <c r="AA39" t="s">
        <v>5</v>
      </c>
      <c r="AB39">
        <f>AVERAGE(AB3:AB36)</f>
        <v>1.4330812197052933E-2</v>
      </c>
      <c r="AG39">
        <f>AVERAGE(AG3:AG36)</f>
        <v>1.1218177647886242E-2</v>
      </c>
      <c r="AH39">
        <f>AVERAGE(AH3:AH36)</f>
        <v>1.9880348577437191E-2</v>
      </c>
      <c r="AI39">
        <f>AVERAGE(AI3:AI36)</f>
        <v>3.2297347414301222E-2</v>
      </c>
      <c r="AK39">
        <f>AVERAGE(AK3:AK36)</f>
        <v>3.072213718858716E-2</v>
      </c>
      <c r="AM39">
        <f>AVERAGE(AM3:AM36)</f>
        <v>9.7757037767595423E-3</v>
      </c>
      <c r="AN39" t="s">
        <v>11</v>
      </c>
      <c r="AO39">
        <f>AO30-AO38*AP30</f>
        <v>4.7734915106207483E-3</v>
      </c>
      <c r="AR39" t="s">
        <v>11</v>
      </c>
      <c r="AS39">
        <f>AS30-AS38*AT30</f>
        <v>3.576344646273294E-3</v>
      </c>
    </row>
    <row r="40" spans="1:62" x14ac:dyDescent="0.25">
      <c r="A40" t="s">
        <v>6</v>
      </c>
      <c r="B40">
        <f>_xlfn.VAR.P(B3:B36)</f>
        <v>1.3629575724418134E-5</v>
      </c>
      <c r="G40">
        <f>_xlfn.VAR.P(G3:G36)</f>
        <v>2.2858869375642049E-7</v>
      </c>
      <c r="H40">
        <f>_xlfn.VAR.P(H3:H36)</f>
        <v>2.9023226429465783E-6</v>
      </c>
      <c r="I40">
        <f>_xlfn.VAR.P(I3:I36)</f>
        <v>3.4864284764595143E-6</v>
      </c>
      <c r="K40">
        <f>_xlfn.VAR.P(K3:K36)</f>
        <v>9.7522521943154281E-6</v>
      </c>
      <c r="M40">
        <f>_xlfn.VAR.P(M3:M36)</f>
        <v>1.0677072420215654E-5</v>
      </c>
      <c r="N40" s="4" t="s">
        <v>6</v>
      </c>
      <c r="O40">
        <f>_xlfn.VAR.P(O3:O36)</f>
        <v>8.0394872149203066E-6</v>
      </c>
      <c r="T40">
        <f>_xlfn.VAR.P(T3:T36)</f>
        <v>2.4463563440667039E-6</v>
      </c>
      <c r="U40">
        <f>_xlfn.VAR.P(U3:U36)</f>
        <v>1.270938774784113E-5</v>
      </c>
      <c r="V40">
        <f>_xlfn.VAR.P(V3:V36)</f>
        <v>1.8330102719076177E-5</v>
      </c>
      <c r="X40">
        <f>_xlfn.VAR.P(X3:X36)</f>
        <v>3.4987643702005031E-5</v>
      </c>
      <c r="Z40">
        <f>_xlfn.VAR.P(Z3:Z36)</f>
        <v>1.3765957919230965E-5</v>
      </c>
      <c r="AA40" t="s">
        <v>6</v>
      </c>
      <c r="AB40">
        <f>_xlfn.VAR.P(AB3:AB36)</f>
        <v>3.8764389085002007E-5</v>
      </c>
      <c r="AG40">
        <f>_xlfn.VAR.P(AG3:AG36)</f>
        <v>1.0541824211933521E-4</v>
      </c>
      <c r="AH40">
        <f>_xlfn.VAR.P(AH3:AH36)</f>
        <v>1.7213124259806326E-4</v>
      </c>
      <c r="AI40">
        <f>_xlfn.VAR.P(AI3:AI36)</f>
        <v>6.5557644352870622E-4</v>
      </c>
      <c r="AK40">
        <f>_xlfn.VAR.P(AK3:AK36)</f>
        <v>3.0824831590976282E-4</v>
      </c>
      <c r="AM40">
        <f>_xlfn.VAR.P(AM3:AM36)</f>
        <v>3.3032980735916352E-5</v>
      </c>
      <c r="AV40" s="4" t="s">
        <v>81</v>
      </c>
      <c r="AW40">
        <f>_xlfn.VAR.P(B3:B36)*COUNT(B3:B36)</f>
        <v>2.9985066593719894E-4</v>
      </c>
      <c r="AX40">
        <f>AW40</f>
        <v>2.9985066593719894E-4</v>
      </c>
      <c r="AY40">
        <f t="shared" ref="AY40:AZ40" si="69">AX40</f>
        <v>2.9985066593719894E-4</v>
      </c>
      <c r="AZ40">
        <f t="shared" si="69"/>
        <v>2.9985066593719894E-4</v>
      </c>
      <c r="BB40">
        <f>_xlfn.VAR.P(O3:O36)*COUNT(O3:O36)</f>
        <v>1.9294769315808736E-4</v>
      </c>
      <c r="BC40">
        <f>BB40</f>
        <v>1.9294769315808736E-4</v>
      </c>
      <c r="BD40">
        <f>BC40</f>
        <v>1.9294769315808736E-4</v>
      </c>
      <c r="BE40">
        <f>BD40</f>
        <v>1.9294769315808736E-4</v>
      </c>
      <c r="BG40">
        <f>_xlfn.VAR.P(AB3:AB36)*COUNT(AB3:AB36)</f>
        <v>8.5281655987004415E-4</v>
      </c>
      <c r="BH40">
        <f>BG40</f>
        <v>8.5281655987004415E-4</v>
      </c>
      <c r="BI40">
        <f>BH40</f>
        <v>8.5281655987004415E-4</v>
      </c>
      <c r="BJ40">
        <f>BI40</f>
        <v>8.5281655987004415E-4</v>
      </c>
    </row>
    <row r="41" spans="1:62" x14ac:dyDescent="0.25">
      <c r="A41" t="s">
        <v>7</v>
      </c>
      <c r="B41">
        <f>_xlfn.STDEV.P(B3:B36)</f>
        <v>3.6918255273533898E-3</v>
      </c>
      <c r="G41">
        <f>_xlfn.STDEV.P(G3:G36)</f>
        <v>4.781094997554645E-4</v>
      </c>
      <c r="H41">
        <f>_xlfn.STDEV.P(H3:H36)</f>
        <v>1.7036204515520992E-3</v>
      </c>
      <c r="I41">
        <f>_xlfn.STDEV.P(I3:I36)</f>
        <v>1.8671980281854182E-3</v>
      </c>
      <c r="K41">
        <f t="shared" ref="K41:M41" si="70">_xlfn.STDEV.P(K3:K36)</f>
        <v>3.1228596180929154E-3</v>
      </c>
      <c r="M41">
        <f t="shared" si="70"/>
        <v>3.2675789845412542E-3</v>
      </c>
      <c r="N41" s="4" t="s">
        <v>7</v>
      </c>
      <c r="O41">
        <f>_xlfn.STDEV.P(O3:O36)</f>
        <v>2.8353989516327867E-3</v>
      </c>
      <c r="T41">
        <f>_xlfn.STDEV.P(T3:T36)</f>
        <v>1.5640832279858715E-3</v>
      </c>
      <c r="U41">
        <f>_xlfn.STDEV.P(U3:U36)</f>
        <v>3.5650228257110964E-3</v>
      </c>
      <c r="V41">
        <f>_xlfn.STDEV.P(V3:V36)</f>
        <v>4.2813669217991786E-3</v>
      </c>
      <c r="X41">
        <f>_xlfn.STDEV.P(X3:X36)</f>
        <v>5.9150353931320676E-3</v>
      </c>
      <c r="Z41">
        <f>_xlfn.STDEV.P(Z3:Z36)</f>
        <v>3.7102503849782112E-3</v>
      </c>
      <c r="AA41" t="s">
        <v>7</v>
      </c>
      <c r="AB41">
        <f>_xlfn.STDEV.P(AB3:AB36)</f>
        <v>6.2261054508418023E-3</v>
      </c>
      <c r="AG41">
        <f>_xlfn.STDEV.P(AG3:AG36)</f>
        <v>1.0267338609363928E-2</v>
      </c>
      <c r="AH41">
        <f>_xlfn.STDEV.P(AH3:AH36)</f>
        <v>1.31198796716305E-2</v>
      </c>
      <c r="AI41">
        <f>_xlfn.STDEV.P(AI3:AI36)</f>
        <v>2.5604227063684353E-2</v>
      </c>
      <c r="AK41">
        <f>_xlfn.STDEV.P(AK3:AK36)</f>
        <v>1.7557001905500916E-2</v>
      </c>
      <c r="AM41">
        <f>_xlfn.STDEV.P(AM3:AM36)</f>
        <v>5.7474325342640039E-3</v>
      </c>
      <c r="AO41">
        <f>2*AO38*AP31/(AO31+AP31+(AO39+(AO38-1)*AP30)^2)</f>
        <v>3.8227237952059519E-2</v>
      </c>
      <c r="AS41">
        <f>2*AS38*AT31/(AS31+AT31+(AS39+(AS38-1)*AT30)^2)</f>
        <v>6.8794756389782635E-2</v>
      </c>
    </row>
    <row r="42" spans="1:62" x14ac:dyDescent="0.25">
      <c r="A42" t="s">
        <v>8</v>
      </c>
      <c r="G42">
        <f>CORREL($B3:$B36,G3:G36)</f>
        <v>0.78626451300450728</v>
      </c>
      <c r="H42">
        <f>CORREL($B3:$B36,H3:H36)</f>
        <v>0.7987111057292523</v>
      </c>
      <c r="I42">
        <f>CORREL($B3:$B36,I3:I36)</f>
        <v>0.80444291346742003</v>
      </c>
      <c r="K42">
        <f t="shared" ref="K42:M42" si="71">CORREL($B3:$B36,K3:K36)</f>
        <v>0.79653457753340795</v>
      </c>
      <c r="M42">
        <f t="shared" si="71"/>
        <v>0.69660098375558777</v>
      </c>
      <c r="N42" s="4" t="s">
        <v>8</v>
      </c>
      <c r="T42">
        <f>CORREL($O3:$O36,T3:T36)</f>
        <v>0.23159961703327497</v>
      </c>
      <c r="U42">
        <f>CORREL($O3:$O36,U3:U36)</f>
        <v>0.32533843868737433</v>
      </c>
      <c r="V42">
        <f>CORREL($O3:$O36,V3:V36)</f>
        <v>0.28210285536584789</v>
      </c>
      <c r="X42">
        <f>CORREL($O3:$O36,X3:X36)</f>
        <v>0.34765221605613439</v>
      </c>
      <c r="Z42">
        <f>CORREL($O3:$O36,Z3:Z36)</f>
        <v>0.57999693328607338</v>
      </c>
      <c r="AA42" t="s">
        <v>8</v>
      </c>
      <c r="AG42">
        <f>CORREL($AB3:$AB36,AG3:AG36)</f>
        <v>0.76552801963242101</v>
      </c>
      <c r="AH42">
        <f>CORREL($AB3:$AB36,AH3:AH36)</f>
        <v>0.75692436530749285</v>
      </c>
      <c r="AI42">
        <f>CORREL($AB3:$AB36,AI3:AI36)</f>
        <v>0.68922141551202054</v>
      </c>
      <c r="AK42">
        <f>CORREL($AB3:$AB36,AK3:AK36)</f>
        <v>0.75572487101122077</v>
      </c>
      <c r="AM42">
        <f>CORREL($AB3:$AB36,AM3:AM36)</f>
        <v>0.73620186204826854</v>
      </c>
      <c r="AV42" s="4" t="s">
        <v>19</v>
      </c>
      <c r="AW42" s="4">
        <f>1-AW38/AW40</f>
        <v>-1.7566076097561174</v>
      </c>
      <c r="AX42" s="4">
        <f t="shared" ref="AX42:AZ42" si="72">1-AX38/AX40</f>
        <v>-0.63499787095434557</v>
      </c>
      <c r="AY42" s="4">
        <f t="shared" si="72"/>
        <v>-0.5079320503042748</v>
      </c>
      <c r="AZ42" s="4">
        <f t="shared" si="72"/>
        <v>0.20458443171149232</v>
      </c>
      <c r="BB42" s="4">
        <f>1-BB38/BB40</f>
        <v>-2.4937387985236041</v>
      </c>
      <c r="BC42" s="4">
        <f>1-BC38/BC40</f>
        <v>-1.0676116625144743</v>
      </c>
      <c r="BD42" s="4">
        <f>1-BD38/BD40</f>
        <v>-1.5514558171269019</v>
      </c>
      <c r="BE42" s="4">
        <f>1-BE38/BE40</f>
        <v>-3.4392680442074628</v>
      </c>
      <c r="BG42" s="4">
        <f>1-BG38/BG40</f>
        <v>-0.44456170164124553</v>
      </c>
      <c r="BH42" s="4">
        <f t="shared" ref="BH42:BJ42" si="73">1-BH38/BH40</f>
        <v>-2.0448850863521586</v>
      </c>
      <c r="BI42" s="4">
        <f t="shared" si="73"/>
        <v>-19.570252807761108</v>
      </c>
      <c r="BJ42" s="4">
        <f t="shared" si="73"/>
        <v>-10.620692120424231</v>
      </c>
    </row>
    <row r="43" spans="1:62" x14ac:dyDescent="0.25">
      <c r="A43" t="s">
        <v>12</v>
      </c>
      <c r="G43">
        <f>_xlfn.COVARIANCE.P($B3:$B36,G3:G36)</f>
        <v>1.3878330199416072E-6</v>
      </c>
      <c r="H43">
        <f>_xlfn.COVARIANCE.P($B3:$B36,H3:H36)</f>
        <v>5.0234691164006242E-6</v>
      </c>
      <c r="I43">
        <f>_xlfn.COVARIANCE.P($B3:$B36,I3:I36)</f>
        <v>5.5453221195622236E-6</v>
      </c>
      <c r="K43">
        <f t="shared" ref="K43:M43" si="74">_xlfn.COVARIANCE.P($B3:$B36,K3:K36)</f>
        <v>9.1832892463460299E-6</v>
      </c>
      <c r="M43">
        <f t="shared" si="74"/>
        <v>8.4033285956843528E-6</v>
      </c>
      <c r="N43" s="4" t="s">
        <v>12</v>
      </c>
      <c r="T43">
        <f>_xlfn.COVARIANCE.P($O3:$O36,T3:T36)</f>
        <v>1.0270979688574649E-6</v>
      </c>
      <c r="U43">
        <f>_xlfn.COVARIANCE.P($O3:$O36,U3:U36)</f>
        <v>3.2886061712516804E-6</v>
      </c>
      <c r="V43">
        <f>_xlfn.COVARIANCE.P($O3:$O36,V3:V36)</f>
        <v>3.4245546861267593E-6</v>
      </c>
      <c r="X43">
        <f>_xlfn.COVARIANCE.P($O3:$O36,X3:X36)</f>
        <v>5.8306439798391684E-6</v>
      </c>
      <c r="Z43">
        <f>_xlfn.COVARIANCE.P($O3:$O36,Z3:Z36)</f>
        <v>6.1015909681268394E-6</v>
      </c>
      <c r="AA43" t="s">
        <v>12</v>
      </c>
      <c r="AG43">
        <f>_xlfn.COVARIANCE.P($AB3:$AB36,AG3:AG36)</f>
        <v>4.8936786590644731E-5</v>
      </c>
      <c r="AH43">
        <f>_xlfn.COVARIANCE.P($AB3:$AB36,AH3:AH36)</f>
        <v>6.1829937756899281E-5</v>
      </c>
      <c r="AI43">
        <f>_xlfn.COVARIANCE.P($AB3:$AB36,AI3:AI36)</f>
        <v>1.0987196845471197E-4</v>
      </c>
      <c r="AK43">
        <f>_xlfn.COVARIANCE.P($AB3:$AB36,AK3:AK36)</f>
        <v>8.2609604589858749E-5</v>
      </c>
      <c r="AM43">
        <f>_xlfn.COVARIANCE.P($AB3:$AB36,AM3:AM36)</f>
        <v>2.6344336533992568E-5</v>
      </c>
    </row>
    <row r="44" spans="1:62" x14ac:dyDescent="0.25">
      <c r="A44" t="s">
        <v>9</v>
      </c>
      <c r="G44" s="4">
        <f>2*G42*$B41*G41/($B40+G40+($B39-G39)^2)</f>
        <v>6.8794756389782649E-2</v>
      </c>
      <c r="H44" s="4">
        <f>2*H42*$B41*H41/($B40+H40+($B39-H39)^2)</f>
        <v>0.31074992178298544</v>
      </c>
      <c r="I44" s="4">
        <f>2*I42*$B41*I41/($B40+I40+($B39-I39)^2)</f>
        <v>0.35049150756463865</v>
      </c>
      <c r="J44" s="4"/>
      <c r="K44" s="4">
        <f t="shared" ref="K44:M44" si="75">2*K42*$B41*K41/($B40+K40+($B39-K39)^2)</f>
        <v>0.62882540471575665</v>
      </c>
      <c r="M44" s="4">
        <f t="shared" si="75"/>
        <v>0.64483505081363923</v>
      </c>
      <c r="N44" s="4" t="s">
        <v>9</v>
      </c>
      <c r="T44" s="4">
        <f>2*T42*$O41*T41/($O40+T40+($O39-T39)^2)</f>
        <v>6.8150472857298069E-2</v>
      </c>
      <c r="U44" s="4">
        <f>2*U42*$O41*U41/($O40+U40+($O39-U39)^2)</f>
        <v>0.28350358860440072</v>
      </c>
      <c r="V44" s="4">
        <f>2*V42*$O41*V41/($O40+V40+($O39-V39)^2)</f>
        <v>0.25031916824861949</v>
      </c>
      <c r="X44" s="4">
        <f>2*X42*$O41*X41/($O40+X40+($O39-X39)^2)</f>
        <v>0.24627474140328573</v>
      </c>
      <c r="Z44" s="4">
        <f>2*Z42*$O41*Z41/($O40+Z40+($O39-Z39)^2)</f>
        <v>0.53751670216515379</v>
      </c>
      <c r="AA44" t="s">
        <v>9</v>
      </c>
      <c r="AG44" s="4">
        <f>2*AG42*$AB41*AG41/($AB40+AG40+($AB39-AG39)^2)</f>
        <v>0.63607498258824291</v>
      </c>
      <c r="AH44" s="4">
        <f>2*AH42*$AB41*AH41/($AB40+AH40+($AB39-AH39)^2)</f>
        <v>0.51164031568925195</v>
      </c>
      <c r="AI44" s="4">
        <f>2*AI42*$AB41*AI41/($AB40+AI40+($AB39-AI39)^2)</f>
        <v>0.21604158467322945</v>
      </c>
      <c r="AK44" s="4">
        <f>2*AK42*$AB41*AK41/($AB40+AK40+($AB39-AK39)^2)</f>
        <v>0.26834881430738511</v>
      </c>
      <c r="AM44" s="4">
        <f>2*AM42*$AB41*AM41/($AB40+AM40+($AB39-AM39)^2)</f>
        <v>0.56932179974006092</v>
      </c>
      <c r="AW44">
        <v>2</v>
      </c>
      <c r="AX44">
        <v>1</v>
      </c>
      <c r="AY44">
        <v>3</v>
      </c>
      <c r="AZ44">
        <v>2</v>
      </c>
      <c r="BB44">
        <v>2</v>
      </c>
      <c r="BC44">
        <v>1</v>
      </c>
      <c r="BD44">
        <v>3</v>
      </c>
      <c r="BE44">
        <v>2</v>
      </c>
      <c r="BG44">
        <v>2</v>
      </c>
      <c r="BH44">
        <v>1</v>
      </c>
      <c r="BI44">
        <v>3</v>
      </c>
      <c r="BJ44">
        <v>2</v>
      </c>
    </row>
    <row r="45" spans="1:62" x14ac:dyDescent="0.25">
      <c r="A45" t="s">
        <v>13</v>
      </c>
      <c r="G45">
        <f>2*G43/($B40+G40+($B39-G39)^2)</f>
        <v>6.8794756389782608E-2</v>
      </c>
      <c r="H45">
        <f>2*H43/($B40+H40+($B39-H39)^2)</f>
        <v>0.31074992178298533</v>
      </c>
      <c r="I45">
        <f>2*I43/($B40+I40+($B39-I39)^2)</f>
        <v>0.35049150756463859</v>
      </c>
      <c r="K45">
        <f t="shared" ref="K45:M45" si="76">2*K43/($B40+K40+($B39-K39)^2)</f>
        <v>0.62882540471575643</v>
      </c>
      <c r="M45">
        <f t="shared" si="76"/>
        <v>0.64483505081363868</v>
      </c>
      <c r="N45" s="4" t="s">
        <v>13</v>
      </c>
      <c r="T45">
        <f>2*T43/($O40+T40+($O39-T39)^2)</f>
        <v>6.8150472857298069E-2</v>
      </c>
      <c r="U45">
        <f>2*U43/($O40+U40+($O39-U39)^2)</f>
        <v>0.28350358860440072</v>
      </c>
      <c r="V45">
        <f>2*V43/($O40+V40+($O39-V39)^2)</f>
        <v>0.25031916824861949</v>
      </c>
      <c r="X45">
        <f>2*X43/($O40+X40+($O39-X39)^2)</f>
        <v>0.24627474140328581</v>
      </c>
      <c r="Z45">
        <f>2*Z43/($O40+Z40+($O39-Z39)^2)</f>
        <v>0.53751670216515424</v>
      </c>
      <c r="AA45" t="s">
        <v>13</v>
      </c>
      <c r="AG45">
        <f>2*AG43/($AB40+AG40+($AB39-AG39)^2)</f>
        <v>0.63607498258824235</v>
      </c>
      <c r="AH45">
        <f>2*AH43/($AB40+AH40+($AB39-AH39)^2)</f>
        <v>0.5116403156892515</v>
      </c>
      <c r="AI45">
        <f>2*AI43/($AB40+AI40+($AB39-AI39)^2)</f>
        <v>0.21604158467322906</v>
      </c>
      <c r="AK45">
        <f>2*AK43/($AB40+AK40+($AB39-AK39)^2)</f>
        <v>0.26834881430738494</v>
      </c>
      <c r="AM45">
        <f>2*AM43/($AB40+AM40+($AB39-AM39)^2)</f>
        <v>0.56932179974006047</v>
      </c>
      <c r="AV45" t="s">
        <v>75</v>
      </c>
      <c r="AW45">
        <f>COUNTIF(AW3:AW36,"&gt;0")</f>
        <v>22</v>
      </c>
      <c r="AX45">
        <f>COUNTIF(AX3:AX36,"&gt;0")</f>
        <v>22</v>
      </c>
      <c r="AY45">
        <f>COUNTIF(AY3:AY36,"&gt;0")</f>
        <v>22</v>
      </c>
      <c r="AZ45">
        <f>COUNTIF(AZ3:AZ36,"&gt;0")</f>
        <v>22</v>
      </c>
      <c r="BB45">
        <f>COUNTIF(BB3:BB36,"&gt;0")</f>
        <v>24</v>
      </c>
      <c r="BC45">
        <f>COUNTIF(BC3:BC36,"&gt;0")</f>
        <v>24</v>
      </c>
      <c r="BD45">
        <f>COUNTIF(BD3:BD36,"&gt;0")</f>
        <v>24</v>
      </c>
      <c r="BE45">
        <f>COUNTIF(BE3:BE36,"&gt;0")</f>
        <v>24</v>
      </c>
      <c r="BG45">
        <f>COUNTIF(BG3:BG36,"&gt;0")</f>
        <v>22</v>
      </c>
      <c r="BH45">
        <f>COUNTIF(BH3:BH36,"&gt;0")</f>
        <v>22</v>
      </c>
      <c r="BI45">
        <f>COUNTIF(BI3:BI36,"&gt;0")</f>
        <v>22</v>
      </c>
      <c r="BJ45">
        <f>COUNTIF(BJ3:BJ36,"&gt;0")</f>
        <v>22</v>
      </c>
    </row>
    <row r="46" spans="1:62" x14ac:dyDescent="0.25">
      <c r="N46" s="4"/>
    </row>
    <row r="47" spans="1:62" x14ac:dyDescent="0.25">
      <c r="A47" t="s">
        <v>19</v>
      </c>
      <c r="G47" s="4">
        <f>G42*G42</f>
        <v>0.61821188441021502</v>
      </c>
      <c r="H47" s="4">
        <f>H42*H42</f>
        <v>0.63793943041524481</v>
      </c>
      <c r="I47" s="4">
        <f>I42*I42</f>
        <v>0.64712840102795099</v>
      </c>
      <c r="J47" s="4"/>
      <c r="K47" s="4">
        <f t="shared" ref="K47:M47" si="77">K42*K42</f>
        <v>0.63446733320632465</v>
      </c>
      <c r="M47" s="4">
        <f t="shared" si="77"/>
        <v>0.48525293056925267</v>
      </c>
      <c r="N47" s="4" t="s">
        <v>19</v>
      </c>
      <c r="T47" s="4">
        <f>T42*T42</f>
        <v>5.363838260995963E-2</v>
      </c>
      <c r="U47" s="4">
        <f>U42*U42</f>
        <v>0.10584509968753843</v>
      </c>
      <c r="V47" s="4">
        <f>V42*V42</f>
        <v>7.9582021005564496E-2</v>
      </c>
      <c r="X47" s="4">
        <f>X42*X42</f>
        <v>0.12086206332874115</v>
      </c>
      <c r="Z47" s="4">
        <f>Z42*Z42</f>
        <v>0.33639644262124985</v>
      </c>
      <c r="AA47" t="s">
        <v>19</v>
      </c>
      <c r="AG47" s="4">
        <f>AG42*AG42</f>
        <v>0.58603314884233637</v>
      </c>
      <c r="AH47" s="4">
        <f t="shared" ref="AH47:AI47" si="78">AH42*AH42</f>
        <v>0.57293449479615088</v>
      </c>
      <c r="AI47" s="4">
        <f t="shared" si="78"/>
        <v>0.47502615960039329</v>
      </c>
      <c r="AK47" s="4">
        <f t="shared" ref="AK47:AM47" si="79">AK42*AK42</f>
        <v>0.57112008066492626</v>
      </c>
      <c r="AM47" s="4">
        <f t="shared" si="79"/>
        <v>0.54199318168333788</v>
      </c>
      <c r="AV47" t="s">
        <v>95</v>
      </c>
      <c r="AW47">
        <f>AW45*LN(AW38/AW45)+2*AW44</f>
        <v>-220.16388816747929</v>
      </c>
      <c r="AX47">
        <f>AX45*LN(AX38/AX45)+2*AX44</f>
        <v>-233.65579264985232</v>
      </c>
      <c r="AY47">
        <f>AY45*LN(AY38/AY45)+2*AY44</f>
        <v>-231.43564309781343</v>
      </c>
      <c r="AZ47">
        <f>AZ45*LN(AZ38/AZ45)+2*AZ44</f>
        <v>-247.50749831470296</v>
      </c>
      <c r="BB47">
        <f>BB45*LN(BB38/BB45)+2*BB44</f>
        <v>-247.52414730265056</v>
      </c>
      <c r="BC47">
        <f>BC45*LN(BC38/BC45)+2*BC44</f>
        <v>-262.11402642682037</v>
      </c>
      <c r="BD47">
        <f>BD45*LN(BD38/BD45)+2*BD44</f>
        <v>-253.06754762651894</v>
      </c>
      <c r="BE47">
        <f>BE45*LN(BE38/BE45)+2*BE44</f>
        <v>-241.77573795440742</v>
      </c>
      <c r="BG47">
        <f>BG45*LN(BG38/BG45)+2*BG44</f>
        <v>-211.38445686946224</v>
      </c>
      <c r="BH47">
        <f>BH45*LN(BH38/BH45)+2*BH44</f>
        <v>-196.97999831353351</v>
      </c>
      <c r="BI47">
        <f>BI45*LN(BI38/BI45)+2*BI44</f>
        <v>-150.95157601544187</v>
      </c>
      <c r="BJ47">
        <f>BJ45*LN(BJ38/BJ45)+2*BJ44</f>
        <v>-165.51486700183727</v>
      </c>
    </row>
    <row r="48" spans="1:62" x14ac:dyDescent="0.25">
      <c r="A48" t="s">
        <v>20</v>
      </c>
      <c r="G48" s="4">
        <f>_xlfn.T.TEST($B3:$B36,G3:G36,2,1)</f>
        <v>5.4532517889293711E-7</v>
      </c>
      <c r="H48" s="4">
        <f t="shared" ref="H48:I48" si="80">_xlfn.T.TEST($B3:$B36,H3:H36,2,1)</f>
        <v>4.7197070084470044E-7</v>
      </c>
      <c r="I48" s="4">
        <f t="shared" si="80"/>
        <v>5.1076213279479029E-7</v>
      </c>
      <c r="J48" s="4"/>
      <c r="K48" s="4">
        <f t="shared" ref="K48:M48" si="81">_xlfn.T.TEST($B3:$B36,K3:K36,2,1)</f>
        <v>6.9219809047485625E-5</v>
      </c>
      <c r="M48" s="4">
        <f t="shared" si="81"/>
        <v>3.7720648703075205E-2</v>
      </c>
      <c r="N48" s="4" t="s">
        <v>20</v>
      </c>
      <c r="T48" s="4">
        <f>_xlfn.T.TEST($O3:$O36,T3:T36,2,1)</f>
        <v>1.8910978993587887E-7</v>
      </c>
      <c r="U48" s="4">
        <f>_xlfn.T.TEST($O3:$O36,U3:U36,2,1)</f>
        <v>5.8092119633655952E-2</v>
      </c>
      <c r="V48" s="4">
        <f>_xlfn.T.TEST($O3:$O36,V3:V36,2,1)</f>
        <v>0.29086905783416345</v>
      </c>
      <c r="X48" s="4">
        <f>_xlfn.T.TEST($O3:$O36,X3:X36,2,1)</f>
        <v>8.8198249133688109E-2</v>
      </c>
      <c r="Z48" s="4">
        <f>_xlfn.T.TEST($O3:$O36,Z3:Z36,2,1)</f>
        <v>0.15614487679568995</v>
      </c>
      <c r="AA48" t="s">
        <v>20</v>
      </c>
      <c r="AG48" s="4">
        <f>_xlfn.T.TEST($AB3:$AB36,AG3:AG36,2,1)</f>
        <v>4.8370950594729449E-2</v>
      </c>
      <c r="AH48" s="4">
        <f>_xlfn.T.TEST($AB3:$AB36,AH3:AH36,2,1)</f>
        <v>1.2747394799834983E-2</v>
      </c>
      <c r="AI48" s="4">
        <f>_xlfn.T.TEST($AB3:$AB36,AI3:AI36,2,1)</f>
        <v>1.0998700176298559E-3</v>
      </c>
      <c r="AK48" s="4">
        <f>_xlfn.T.TEST($AB3:$AB36,AK3:AK36,2,1)</f>
        <v>1.5774495535580504E-5</v>
      </c>
      <c r="AM48" s="4">
        <f>_xlfn.T.TEST($AB3:$AB36,AM3:AM36,2,1)</f>
        <v>1.0207898964114621E-4</v>
      </c>
      <c r="AV48" t="s">
        <v>96</v>
      </c>
      <c r="AW48">
        <f>AW45*LN(AW38)+2*AW44</f>
        <v>-152.16095419359633</v>
      </c>
      <c r="AX48">
        <f>AX45*LN(AX38)+2*AX44</f>
        <v>-165.65285867596938</v>
      </c>
      <c r="AY48">
        <f>AY45*LN(AY38)+2*AY44</f>
        <v>-163.43270912393049</v>
      </c>
      <c r="AZ48">
        <f>AZ45*LN(AZ38)+2*AZ44</f>
        <v>-179.50456434082002</v>
      </c>
      <c r="BB48">
        <f>BB45*LN(BB38)+2*BB44</f>
        <v>-171.25085537429985</v>
      </c>
      <c r="BC48">
        <f>BC45*LN(BC38)+2*BC44</f>
        <v>-185.84073449846966</v>
      </c>
      <c r="BD48">
        <f>BD45*LN(BD38)+2*BD44</f>
        <v>-176.79425569816826</v>
      </c>
      <c r="BE48">
        <f>BE45*LN(BE38)+2*BE44</f>
        <v>-165.5024460260567</v>
      </c>
      <c r="BG48">
        <f>BG45*LN(BG38)+2*BG44</f>
        <v>-143.38152289557928</v>
      </c>
      <c r="BH48">
        <f>BH45*LN(BH38)+2*BH44</f>
        <v>-128.97706433965058</v>
      </c>
      <c r="BI48">
        <f>BI45*LN(BI38)+2*BI44</f>
        <v>-82.948642041558927</v>
      </c>
      <c r="BJ48">
        <f>BJ45*LN(BJ38)+2*BJ44</f>
        <v>-97.511933027954342</v>
      </c>
    </row>
    <row r="49" spans="48:62" x14ac:dyDescent="0.25">
      <c r="AV49" t="s">
        <v>98</v>
      </c>
      <c r="AW49">
        <f>AW45*LN(AW38/AW45)+2*AW44+(2*AW44*(AW44+1))/(AW45-AW44-1)</f>
        <v>-219.53230922011088</v>
      </c>
      <c r="AX49">
        <f>AX45*LN(AX38/AX45)+2*AX44+(2*AX44*(AX44+1))/(AX45-AX44-1)</f>
        <v>-233.45579264985233</v>
      </c>
      <c r="AY49">
        <f>AY45*LN(AY38/AY45)+2*AY44+(2*AY44*(AY44+1))/(AY45-AY44-1)</f>
        <v>-230.10230976448008</v>
      </c>
      <c r="AZ49">
        <f>AZ45*LN(AZ38/AZ45)+2*AZ44+(2*AZ44*(AZ44+1))/(AZ45-AZ44-1)</f>
        <v>-246.87591936733455</v>
      </c>
      <c r="BB49">
        <f>BB45*LN(BB38/BB45)+2*BB44+(2*BB44*(BB44+1))/(BB45-BB44-1)</f>
        <v>-246.95271873122198</v>
      </c>
      <c r="BC49">
        <f>BC45*LN(BC38/BC45)+2*BC44+(2*BC44*(BC44+1))/(BC45-BC44-1)</f>
        <v>-261.93220824500219</v>
      </c>
      <c r="BD49">
        <f>BD45*LN(BD38/BD45)+2*BD44+(2*BD44*(BD44+1))/(BD45-BD44-1)</f>
        <v>-251.86754762651896</v>
      </c>
      <c r="BE49">
        <f>BE45*LN(BE38/BE45)+2*BE44+(2*BE44*(BE44+1))/(BE45-BE44-1)</f>
        <v>-241.20430938297883</v>
      </c>
      <c r="BG49">
        <f>BG45*LN(BG38/BG45)+2*BG44+(2*BG44*(BG44+1))/(BG45-BG44-1)</f>
        <v>-210.75287792209383</v>
      </c>
      <c r="BH49">
        <f>BH45*LN(BH38/BH45)+2*BH44+(2*BH44*(BH44+1))/(BH45-BH44-1)</f>
        <v>-196.77999831353353</v>
      </c>
      <c r="BI49">
        <f>BI45*LN(BI38/BI45)+2*BI44+(2*BI44*(BI44+1))/(BI45-BI44-1)</f>
        <v>-149.61824268210853</v>
      </c>
      <c r="BJ49">
        <f>BJ45*LN(BJ38/BJ45)+2*BJ44+(2*BJ44*(BJ44+1))/(BJ45-BJ44-1)</f>
        <v>-164.88328805446886</v>
      </c>
    </row>
    <row r="50" spans="48:62" x14ac:dyDescent="0.25">
      <c r="AV50" t="s">
        <v>97</v>
      </c>
      <c r="AW50">
        <f t="shared" ref="AW50:AZ52" si="82">AW47-MIN( $AW47:$AZ47)</f>
        <v>27.343610147223671</v>
      </c>
      <c r="AX50">
        <f t="shared" si="82"/>
        <v>13.851705664850641</v>
      </c>
      <c r="AY50">
        <f t="shared" si="82"/>
        <v>16.071855216889531</v>
      </c>
      <c r="AZ50">
        <f t="shared" si="82"/>
        <v>0</v>
      </c>
      <c r="BB50">
        <f t="shared" ref="BB50:BE52" si="83">BB47-MIN( $BB47:$BE47)</f>
        <v>14.589879124169812</v>
      </c>
      <c r="BC50">
        <f t="shared" si="83"/>
        <v>0</v>
      </c>
      <c r="BD50">
        <f t="shared" si="83"/>
        <v>9.0464788003014291</v>
      </c>
      <c r="BE50">
        <f t="shared" si="83"/>
        <v>20.338288472412955</v>
      </c>
      <c r="BG50">
        <f t="shared" ref="BG50:BJ52" si="84">BG47-MIN( $BG47:$BJ47)</f>
        <v>0</v>
      </c>
      <c r="BH50">
        <f t="shared" si="84"/>
        <v>14.404458555928727</v>
      </c>
      <c r="BI50">
        <f t="shared" si="84"/>
        <v>60.432880854020368</v>
      </c>
      <c r="BJ50">
        <f t="shared" si="84"/>
        <v>45.869589867624967</v>
      </c>
    </row>
    <row r="51" spans="48:62" x14ac:dyDescent="0.25">
      <c r="AW51">
        <f t="shared" si="82"/>
        <v>27.3436101472237</v>
      </c>
      <c r="AX51">
        <f t="shared" si="82"/>
        <v>13.851705664850641</v>
      </c>
      <c r="AY51">
        <f t="shared" si="82"/>
        <v>16.071855216889531</v>
      </c>
      <c r="AZ51">
        <f t="shared" si="82"/>
        <v>0</v>
      </c>
      <c r="BB51">
        <f t="shared" si="83"/>
        <v>14.589879124169812</v>
      </c>
      <c r="BC51">
        <f t="shared" si="83"/>
        <v>0</v>
      </c>
      <c r="BD51">
        <f t="shared" si="83"/>
        <v>9.0464788003014007</v>
      </c>
      <c r="BE51">
        <f t="shared" si="83"/>
        <v>20.338288472412955</v>
      </c>
      <c r="BG51">
        <f t="shared" si="84"/>
        <v>0</v>
      </c>
      <c r="BH51">
        <f t="shared" si="84"/>
        <v>14.404458555928699</v>
      </c>
      <c r="BI51">
        <f t="shared" si="84"/>
        <v>60.432880854020354</v>
      </c>
      <c r="BJ51">
        <f t="shared" si="84"/>
        <v>45.869589867624939</v>
      </c>
    </row>
    <row r="52" spans="48:62" x14ac:dyDescent="0.25">
      <c r="AW52">
        <f t="shared" si="82"/>
        <v>27.343610147223671</v>
      </c>
      <c r="AX52">
        <f t="shared" si="82"/>
        <v>13.420126717482219</v>
      </c>
      <c r="AY52">
        <f t="shared" si="82"/>
        <v>16.773609602854464</v>
      </c>
      <c r="AZ52">
        <f t="shared" si="82"/>
        <v>0</v>
      </c>
      <c r="BB52">
        <f t="shared" si="83"/>
        <v>14.979489513780209</v>
      </c>
      <c r="BC52">
        <f t="shared" si="83"/>
        <v>0</v>
      </c>
      <c r="BD52">
        <f t="shared" si="83"/>
        <v>10.064660618483231</v>
      </c>
      <c r="BE52">
        <f t="shared" si="83"/>
        <v>20.727898862023352</v>
      </c>
      <c r="BG52">
        <f t="shared" si="84"/>
        <v>0</v>
      </c>
      <c r="BH52">
        <f t="shared" si="84"/>
        <v>13.972879608560305</v>
      </c>
      <c r="BI52">
        <f t="shared" si="84"/>
        <v>61.1346352399853</v>
      </c>
      <c r="BJ52">
        <f t="shared" si="84"/>
        <v>45.869589867624967</v>
      </c>
    </row>
    <row r="56" spans="48:62" x14ac:dyDescent="0.25">
      <c r="AW56">
        <f>AW48-AZ48</f>
        <v>27.3436101472237</v>
      </c>
      <c r="AX56">
        <f>AX48-AZ48</f>
        <v>13.851705664850641</v>
      </c>
    </row>
    <row r="57" spans="48:62" x14ac:dyDescent="0.25">
      <c r="AW57">
        <f>AW49-AZ49</f>
        <v>27.343610147223671</v>
      </c>
      <c r="AX57">
        <f>AX49-AZ49</f>
        <v>13.420126717482219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995E-5114-4DE3-828E-F0D497A2F246}">
  <dimension ref="A1:S139"/>
  <sheetViews>
    <sheetView zoomScaleNormal="100" workbookViewId="0">
      <selection activeCell="I15" sqref="I15"/>
    </sheetView>
  </sheetViews>
  <sheetFormatPr defaultRowHeight="15" x14ac:dyDescent="0.25"/>
  <cols>
    <col min="1" max="22" width="12.7109375" customWidth="1"/>
  </cols>
  <sheetData>
    <row r="1" spans="1:19" x14ac:dyDescent="0.25">
      <c r="A1" t="s">
        <v>16</v>
      </c>
      <c r="I1" t="s">
        <v>17</v>
      </c>
      <c r="Q1" t="s">
        <v>18</v>
      </c>
    </row>
    <row r="2" spans="1:19" x14ac:dyDescent="0.25">
      <c r="B2" s="1" t="s">
        <v>14</v>
      </c>
      <c r="C2" s="1" t="s">
        <v>21</v>
      </c>
      <c r="J2" s="1" t="s">
        <v>14</v>
      </c>
      <c r="K2" s="1" t="s">
        <v>21</v>
      </c>
      <c r="R2" s="1" t="s">
        <v>14</v>
      </c>
      <c r="S2" s="1" t="s">
        <v>21</v>
      </c>
    </row>
    <row r="3" spans="1:19" x14ac:dyDescent="0.25">
      <c r="B3" s="1"/>
      <c r="C3" s="1"/>
    </row>
    <row r="4" spans="1:19" x14ac:dyDescent="0.25">
      <c r="B4" s="1">
        <v>1.1217025686852585E-2</v>
      </c>
      <c r="C4" s="4">
        <v>1.1718795186051612E-2</v>
      </c>
      <c r="J4">
        <v>1.7163550776464684E-2</v>
      </c>
      <c r="K4">
        <v>1.1718795186051612E-2</v>
      </c>
      <c r="R4">
        <v>2.0372114007697891E-2</v>
      </c>
      <c r="S4">
        <v>1.1718795186051612E-2</v>
      </c>
    </row>
    <row r="5" spans="1:19" x14ac:dyDescent="0.25">
      <c r="B5" s="1">
        <v>1.3074051241337873E-2</v>
      </c>
      <c r="C5" s="4">
        <v>1.3197944261904716E-2</v>
      </c>
      <c r="J5">
        <v>2.438385545034407E-2</v>
      </c>
      <c r="K5">
        <v>1.3197944261904716E-2</v>
      </c>
      <c r="R5">
        <v>2.3020764092721364E-2</v>
      </c>
      <c r="S5">
        <v>1.3197944261904716E-2</v>
      </c>
    </row>
    <row r="6" spans="1:19" x14ac:dyDescent="0.25">
      <c r="B6" s="1">
        <v>7.1394226028235943E-3</v>
      </c>
      <c r="C6" s="4">
        <v>2.0253513807046514E-2</v>
      </c>
      <c r="J6">
        <v>1.0928157433809494E-2</v>
      </c>
      <c r="K6">
        <v>2.0253513807046514E-2</v>
      </c>
      <c r="R6">
        <v>1.147647099443091E-2</v>
      </c>
      <c r="S6">
        <v>8.452967612502086E-3</v>
      </c>
    </row>
    <row r="7" spans="1:19" x14ac:dyDescent="0.25">
      <c r="B7" s="1">
        <v>1.0923085958783685E-2</v>
      </c>
      <c r="C7" s="4">
        <v>8.9033917882208116E-3</v>
      </c>
      <c r="J7">
        <v>6.3595519795839129E-3</v>
      </c>
      <c r="K7">
        <v>8.452967612502086E-3</v>
      </c>
      <c r="R7">
        <v>2.1168883485351852E-2</v>
      </c>
      <c r="S7">
        <v>8.9033917882208116E-3</v>
      </c>
    </row>
    <row r="8" spans="1:19" x14ac:dyDescent="0.25">
      <c r="C8" s="4"/>
      <c r="J8">
        <v>1.8411699572518404E-2</v>
      </c>
      <c r="K8">
        <v>8.9033917882208116E-3</v>
      </c>
      <c r="R8">
        <v>1.984787749857455E-2</v>
      </c>
      <c r="S8">
        <v>6.1587037850119007E-3</v>
      </c>
    </row>
    <row r="9" spans="1:19" x14ac:dyDescent="0.25">
      <c r="B9" s="1">
        <v>6.641620727028251E-3</v>
      </c>
      <c r="C9" s="4">
        <v>5.4699627125449598E-3</v>
      </c>
      <c r="J9">
        <v>1.5867531162167343E-2</v>
      </c>
      <c r="K9">
        <v>6.1587037850119007E-3</v>
      </c>
      <c r="R9">
        <v>1.0854071491960856E-2</v>
      </c>
      <c r="S9">
        <v>5.4699627125449598E-3</v>
      </c>
    </row>
    <row r="10" spans="1:19" x14ac:dyDescent="0.25">
      <c r="B10" s="1">
        <v>5.3082345699056168E-3</v>
      </c>
      <c r="C10" s="4">
        <v>7.6827094485930163E-3</v>
      </c>
      <c r="J10">
        <v>9.4400810101028208E-3</v>
      </c>
      <c r="K10">
        <v>5.4699627125449598E-3</v>
      </c>
      <c r="R10">
        <v>1.2314517492728601E-2</v>
      </c>
      <c r="S10">
        <v>7.6827094485930163E-3</v>
      </c>
    </row>
    <row r="11" spans="1:19" x14ac:dyDescent="0.25">
      <c r="B11" s="1">
        <v>4.8407196690174528E-3</v>
      </c>
      <c r="C11" s="4">
        <v>5.4295801280454309E-3</v>
      </c>
      <c r="J11">
        <v>5.0515898484506565E-3</v>
      </c>
      <c r="K11">
        <v>7.6827094485930163E-3</v>
      </c>
      <c r="R11">
        <v>1.1784927717019986E-2</v>
      </c>
      <c r="S11">
        <v>5.4295801280454309E-3</v>
      </c>
    </row>
    <row r="12" spans="1:19" x14ac:dyDescent="0.25">
      <c r="B12" s="1">
        <v>4.3550375242183458E-3</v>
      </c>
      <c r="C12" s="4">
        <v>2.6433820408445398E-5</v>
      </c>
      <c r="J12">
        <v>6.291541065174224E-3</v>
      </c>
      <c r="K12">
        <v>3.312937340918668E-3</v>
      </c>
      <c r="R12">
        <v>4.9693116344215055E-3</v>
      </c>
      <c r="S12">
        <v>2.099133655677152E-4</v>
      </c>
    </row>
    <row r="13" spans="1:19" x14ac:dyDescent="0.25">
      <c r="B13" s="1"/>
      <c r="C13" s="4"/>
      <c r="J13">
        <v>6.4518216664518676E-3</v>
      </c>
      <c r="K13">
        <v>5.4295801280454309E-3</v>
      </c>
      <c r="R13">
        <v>8.3064920224965276E-3</v>
      </c>
      <c r="S13">
        <v>5.3050164471204206E-3</v>
      </c>
    </row>
    <row r="14" spans="1:19" x14ac:dyDescent="0.25">
      <c r="B14" s="1">
        <v>3.4567427337100567E-3</v>
      </c>
      <c r="C14" s="4">
        <v>6.7003242596627814E-3</v>
      </c>
      <c r="J14">
        <v>2.9391957301985665E-3</v>
      </c>
      <c r="K14">
        <v>2.099133655677152E-4</v>
      </c>
      <c r="R14">
        <v>3.3812937074082627E-3</v>
      </c>
      <c r="S14">
        <v>2.6433820408445398E-5</v>
      </c>
    </row>
    <row r="15" spans="1:19" x14ac:dyDescent="0.25">
      <c r="B15" s="1">
        <v>7.6923956915327255E-3</v>
      </c>
      <c r="C15" s="4">
        <v>1.7177385855416009E-2</v>
      </c>
      <c r="J15">
        <v>5.37918269121785E-3</v>
      </c>
      <c r="K15">
        <v>5.3050164471204206E-3</v>
      </c>
      <c r="R15">
        <v>9.5102467839510221E-3</v>
      </c>
      <c r="S15">
        <v>6.7003242596627814E-3</v>
      </c>
    </row>
    <row r="16" spans="1:19" x14ac:dyDescent="0.25">
      <c r="B16" s="1">
        <v>5.3450957339994396E-3</v>
      </c>
      <c r="C16" s="4">
        <v>2.0747317348936495E-4</v>
      </c>
      <c r="J16">
        <v>3.3616645224090022E-3</v>
      </c>
      <c r="K16">
        <v>2.6433820408445398E-5</v>
      </c>
      <c r="R16">
        <v>1.5662653986566157E-2</v>
      </c>
      <c r="S16">
        <v>1.7177385855416009E-2</v>
      </c>
    </row>
    <row r="17" spans="1:19" x14ac:dyDescent="0.25">
      <c r="B17" s="1">
        <v>2.5156138141965976E-3</v>
      </c>
      <c r="C17" s="4">
        <v>2.8907366213757501E-4</v>
      </c>
      <c r="J17">
        <v>6.0173190115224056E-3</v>
      </c>
      <c r="K17">
        <v>6.7003242596627814E-3</v>
      </c>
      <c r="R17">
        <v>9.9405147581785938E-3</v>
      </c>
      <c r="S17">
        <v>4.1504984654021238E-3</v>
      </c>
    </row>
    <row r="18" spans="1:19" x14ac:dyDescent="0.25">
      <c r="J18">
        <v>1.3095607731689905E-2</v>
      </c>
      <c r="K18">
        <v>1.7177385855416009E-2</v>
      </c>
      <c r="R18">
        <v>5.4432895862865562E-3</v>
      </c>
      <c r="S18">
        <v>2.8844724256686682E-4</v>
      </c>
    </row>
    <row r="19" spans="1:19" x14ac:dyDescent="0.25">
      <c r="A19" t="s">
        <v>5</v>
      </c>
      <c r="B19">
        <f>AVERAGE(B3:B17)</f>
        <v>6.8757538294505196E-3</v>
      </c>
      <c r="C19">
        <f>AVERAGE(C3:C17)</f>
        <v>8.0880490086267694E-3</v>
      </c>
      <c r="J19">
        <v>6.7354076969024018E-3</v>
      </c>
      <c r="K19">
        <v>4.1504984654021238E-3</v>
      </c>
      <c r="R19">
        <v>2.6545067409292859E-3</v>
      </c>
      <c r="S19">
        <v>1.6693704592932944E-4</v>
      </c>
    </row>
    <row r="20" spans="1:19" x14ac:dyDescent="0.25">
      <c r="A20" t="s">
        <v>6</v>
      </c>
      <c r="B20">
        <f>_xlfn.VAR.P(B3:B17)</f>
        <v>1.003612802992017E-5</v>
      </c>
      <c r="C20">
        <f>_xlfn.VAR.P(C3:C17)</f>
        <v>3.9541812783380049E-5</v>
      </c>
      <c r="J20">
        <v>4.5710929647502525E-3</v>
      </c>
      <c r="K20">
        <v>2.0747317348936495E-4</v>
      </c>
      <c r="R20">
        <v>6.507995679971585E-3</v>
      </c>
      <c r="S20">
        <v>2.8907366213757501E-4</v>
      </c>
    </row>
    <row r="21" spans="1:19" x14ac:dyDescent="0.25">
      <c r="A21" t="s">
        <v>7</v>
      </c>
      <c r="B21">
        <f>_xlfn.STDEV.P(B3:B17)</f>
        <v>3.1679848531708877E-3</v>
      </c>
      <c r="C21">
        <f>_xlfn.STDEV.P(C3:C17)</f>
        <v>6.2882281115891501E-3</v>
      </c>
      <c r="J21">
        <v>2.0246662698289995E-3</v>
      </c>
      <c r="K21">
        <v>2.8844724256686682E-4</v>
      </c>
    </row>
    <row r="22" spans="1:19" x14ac:dyDescent="0.25">
      <c r="A22" t="s">
        <v>8</v>
      </c>
      <c r="C22">
        <f>CORREL($B3:$B17,C3:C17)</f>
        <v>0.58211682924250041</v>
      </c>
      <c r="J22">
        <v>1.9090741231193203E-3</v>
      </c>
      <c r="K22">
        <v>1.6693704592932944E-4</v>
      </c>
    </row>
    <row r="23" spans="1:19" x14ac:dyDescent="0.25">
      <c r="A23" t="s">
        <v>12</v>
      </c>
      <c r="C23">
        <f>_xlfn.COVARIANCE.P($B3:$B17,C3:C17)</f>
        <v>1.1596355997757288E-5</v>
      </c>
    </row>
    <row r="24" spans="1:19" x14ac:dyDescent="0.25">
      <c r="A24" t="s">
        <v>9</v>
      </c>
      <c r="C24">
        <f>2*C22*$B21*C21/($B20+C20+($B19-C19)^2)</f>
        <v>0.45433500903229967</v>
      </c>
      <c r="I24" t="s">
        <v>5</v>
      </c>
      <c r="J24">
        <f>AVERAGE(J4:J22)</f>
        <v>8.7569784582476936E-3</v>
      </c>
      <c r="K24">
        <f>AVERAGE(K4:K22)</f>
        <v>6.5691018813896192E-3</v>
      </c>
      <c r="Q24" t="s">
        <v>5</v>
      </c>
      <c r="R24">
        <f>AVERAGE(R4:R20)</f>
        <v>1.1600937157687969E-2</v>
      </c>
      <c r="S24">
        <f>AVERAGE(S4:S20)</f>
        <v>5.9604755933579884E-3</v>
      </c>
    </row>
    <row r="25" spans="1:19" x14ac:dyDescent="0.25">
      <c r="A25" t="s">
        <v>13</v>
      </c>
      <c r="C25">
        <f>2*C23/($B20+C20+($B19-C19)^2)</f>
        <v>0.45433500903229973</v>
      </c>
      <c r="I25" t="s">
        <v>6</v>
      </c>
      <c r="J25">
        <f>_xlfn.VAR.P(J4:J22)</f>
        <v>3.7327096559574013E-5</v>
      </c>
      <c r="K25">
        <f>_xlfn.VAR.P(K4:K22)</f>
        <v>3.1862660947175931E-5</v>
      </c>
      <c r="Q25" t="s">
        <v>6</v>
      </c>
      <c r="R25">
        <f>_xlfn.VAR.P(R4:R20)</f>
        <v>3.8701950142134696E-5</v>
      </c>
      <c r="S25">
        <f>_xlfn.VAR.P(S4:S20)</f>
        <v>2.3540942003168772E-5</v>
      </c>
    </row>
    <row r="26" spans="1:19" x14ac:dyDescent="0.25">
      <c r="I26" t="s">
        <v>7</v>
      </c>
      <c r="J26">
        <f>_xlfn.STDEV.P(J4:J22)</f>
        <v>6.1095905394366662E-3</v>
      </c>
      <c r="K26">
        <f>_xlfn.STDEV.P(K4:K22)</f>
        <v>5.6447020246578059E-3</v>
      </c>
      <c r="Q26" t="s">
        <v>7</v>
      </c>
      <c r="R26">
        <f>_xlfn.STDEV.P(R4:R20)</f>
        <v>6.2210891443648915E-3</v>
      </c>
      <c r="S26">
        <f>_xlfn.STDEV.P(S4:S20)</f>
        <v>4.8519008649362131E-3</v>
      </c>
    </row>
    <row r="27" spans="1:19" x14ac:dyDescent="0.25">
      <c r="A27" t="s">
        <v>19</v>
      </c>
      <c r="C27">
        <f>C22*C22</f>
        <v>0.33886000288734236</v>
      </c>
      <c r="I27" t="s">
        <v>8</v>
      </c>
      <c r="K27">
        <f>CORREL($J4:$J22,K4:K22)</f>
        <v>0.66744877723893004</v>
      </c>
      <c r="Q27" t="s">
        <v>8</v>
      </c>
      <c r="S27">
        <f>CORREL($R4:$R20,S4:S20)</f>
        <v>0.81045525569890753</v>
      </c>
    </row>
    <row r="28" spans="1:19" x14ac:dyDescent="0.25">
      <c r="A28" t="s">
        <v>20</v>
      </c>
      <c r="C28">
        <f>_xlfn.T.TEST($B3:$B17,C3:C17,2,1)</f>
        <v>0.450295708569454</v>
      </c>
      <c r="I28" t="s">
        <v>12</v>
      </c>
      <c r="K28">
        <f>_xlfn.COVARIANCE.P($J4:$J22,K4:K22)</f>
        <v>2.3018184563555722E-5</v>
      </c>
      <c r="Q28" t="s">
        <v>12</v>
      </c>
      <c r="S28">
        <f>_xlfn.COVARIANCE.P($R4:$R20,S4:S20)</f>
        <v>2.4462868805407886E-5</v>
      </c>
    </row>
    <row r="29" spans="1:19" x14ac:dyDescent="0.25">
      <c r="B29" s="1"/>
      <c r="C29" s="1"/>
      <c r="I29" t="s">
        <v>9</v>
      </c>
      <c r="K29">
        <f>2*K27*$J26*K26/($J25+K25+($J24-K24)^2)</f>
        <v>0.62231020531355952</v>
      </c>
      <c r="Q29" t="s">
        <v>9</v>
      </c>
      <c r="S29">
        <f>2*S27*$R26*S26/($R25+S25+($R24-S24)^2)</f>
        <v>0.52016728277368574</v>
      </c>
    </row>
    <row r="30" spans="1:19" x14ac:dyDescent="0.25">
      <c r="B30" s="1"/>
      <c r="C30" s="1"/>
      <c r="I30" t="s">
        <v>13</v>
      </c>
      <c r="K30">
        <f>2*K28/($J25+K25+($J24-K24)^2)</f>
        <v>0.62231020531355918</v>
      </c>
      <c r="Q30" t="s">
        <v>13</v>
      </c>
      <c r="S30">
        <f>2*S28/($R25+S25+($R24-S24)^2)</f>
        <v>0.52016728277368529</v>
      </c>
    </row>
    <row r="31" spans="1:19" x14ac:dyDescent="0.25">
      <c r="B31" s="1"/>
      <c r="C31" s="1"/>
    </row>
    <row r="32" spans="1:19" x14ac:dyDescent="0.25">
      <c r="B32" s="1"/>
      <c r="C32" s="1"/>
      <c r="I32" t="s">
        <v>19</v>
      </c>
      <c r="K32">
        <f>K27*K27</f>
        <v>0.44548787023774283</v>
      </c>
      <c r="Q32" t="s">
        <v>19</v>
      </c>
      <c r="S32">
        <f>S27*S27</f>
        <v>0.65683772148998154</v>
      </c>
    </row>
    <row r="33" spans="1:19" x14ac:dyDescent="0.25">
      <c r="I33" t="s">
        <v>20</v>
      </c>
      <c r="K33">
        <f>_xlfn.T.TEST($J4:$J22,K4:K22,2,1)</f>
        <v>6.9639494527716547E-2</v>
      </c>
      <c r="Q33" t="s">
        <v>20</v>
      </c>
      <c r="S33">
        <f>_xlfn.T.TEST($R4:$R20,S4:S20,2,1)</f>
        <v>1.3146766285198664E-5</v>
      </c>
    </row>
    <row r="35" spans="1:19" x14ac:dyDescent="0.25">
      <c r="B35" s="1" t="s">
        <v>14</v>
      </c>
      <c r="C35" s="1" t="s">
        <v>21</v>
      </c>
      <c r="J35" s="1" t="s">
        <v>14</v>
      </c>
      <c r="K35" s="1" t="s">
        <v>21</v>
      </c>
    </row>
    <row r="36" spans="1:19" x14ac:dyDescent="0.25">
      <c r="B36" s="1"/>
      <c r="C36" s="1"/>
    </row>
    <row r="37" spans="1:19" x14ac:dyDescent="0.25">
      <c r="B37" s="1">
        <v>1.1217025686852585E-2</v>
      </c>
      <c r="C37" s="1">
        <v>1.1718795186051612E-2</v>
      </c>
      <c r="J37">
        <v>1.7163550776464684E-2</v>
      </c>
      <c r="K37">
        <v>1.1718795186051612E-2</v>
      </c>
    </row>
    <row r="38" spans="1:19" x14ac:dyDescent="0.25">
      <c r="B38" s="1">
        <v>1.3074051241337873E-2</v>
      </c>
      <c r="C38" s="1">
        <v>1.3197944261904716E-2</v>
      </c>
      <c r="J38">
        <v>2.438385545034407E-2</v>
      </c>
      <c r="K38">
        <v>1.3197944261904716E-2</v>
      </c>
    </row>
    <row r="39" spans="1:19" x14ac:dyDescent="0.25">
      <c r="B39" s="1"/>
      <c r="C39" s="1"/>
      <c r="R39" s="1"/>
      <c r="S39" s="1"/>
    </row>
    <row r="40" spans="1:19" x14ac:dyDescent="0.25">
      <c r="B40" s="1">
        <v>1.0923085958783685E-2</v>
      </c>
      <c r="C40" s="1">
        <v>8.9033917882208116E-3</v>
      </c>
      <c r="J40">
        <v>6.3595519795839129E-3</v>
      </c>
      <c r="K40">
        <v>8.452967612502086E-3</v>
      </c>
      <c r="R40" s="1"/>
      <c r="S40" s="1"/>
    </row>
    <row r="41" spans="1:19" x14ac:dyDescent="0.25">
      <c r="J41">
        <v>1.8411699572518404E-2</v>
      </c>
      <c r="K41">
        <v>8.9033917882208116E-3</v>
      </c>
      <c r="R41" s="1"/>
      <c r="S41" s="1"/>
    </row>
    <row r="42" spans="1:19" x14ac:dyDescent="0.25">
      <c r="B42" s="1">
        <v>6.641620727028251E-3</v>
      </c>
      <c r="C42" s="1">
        <v>5.4699627125449598E-3</v>
      </c>
      <c r="J42">
        <v>1.5867531162167343E-2</v>
      </c>
      <c r="K42">
        <v>6.1587037850119007E-3</v>
      </c>
      <c r="R42" s="1"/>
      <c r="S42" s="1"/>
    </row>
    <row r="43" spans="1:19" x14ac:dyDescent="0.25">
      <c r="B43" s="1"/>
      <c r="C43" s="1"/>
      <c r="J43" s="3">
        <v>9.4400810101028208E-3</v>
      </c>
      <c r="K43" s="3">
        <v>5.4699627125449598E-3</v>
      </c>
      <c r="R43" s="1"/>
      <c r="S43" s="1"/>
    </row>
    <row r="44" spans="1:19" x14ac:dyDescent="0.25">
      <c r="B44" s="1">
        <v>4.8407196690174528E-3</v>
      </c>
      <c r="C44" s="1">
        <v>5.4295801280454309E-3</v>
      </c>
      <c r="J44" s="3">
        <v>5.0515898484506565E-3</v>
      </c>
      <c r="K44" s="3">
        <v>7.6827094485930163E-3</v>
      </c>
      <c r="R44" s="1"/>
      <c r="S44" s="1"/>
    </row>
    <row r="45" spans="1:19" x14ac:dyDescent="0.25">
      <c r="B45" s="1"/>
      <c r="C45" s="1"/>
      <c r="J45" s="3">
        <v>6.291541065174224E-3</v>
      </c>
      <c r="K45" s="3">
        <v>3.312937340918668E-3</v>
      </c>
      <c r="R45" s="1"/>
      <c r="S45" s="1"/>
    </row>
    <row r="46" spans="1:19" x14ac:dyDescent="0.25">
      <c r="A46" t="s">
        <v>5</v>
      </c>
      <c r="B46">
        <f>AVERAGE(B37:B44)</f>
        <v>9.3393006566039691E-3</v>
      </c>
      <c r="C46">
        <f>AVERAGE(C37:C44)</f>
        <v>8.9439348153535058E-3</v>
      </c>
      <c r="J46" s="3">
        <v>6.4518216664518676E-3</v>
      </c>
      <c r="K46" s="3">
        <v>5.4295801280454309E-3</v>
      </c>
      <c r="R46" s="1"/>
      <c r="S46" s="1"/>
    </row>
    <row r="47" spans="1:19" x14ac:dyDescent="0.25">
      <c r="A47" t="s">
        <v>6</v>
      </c>
      <c r="B47">
        <f>_xlfn.VAR.P(B37:B44)</f>
        <v>9.4994594014207067E-6</v>
      </c>
      <c r="C47">
        <f>_xlfn.VAR.P(C37:C44)</f>
        <v>1.0043452244912626E-5</v>
      </c>
      <c r="J47" s="3"/>
      <c r="K47" s="3"/>
      <c r="R47" s="1"/>
      <c r="S47" s="1"/>
    </row>
    <row r="48" spans="1:19" x14ac:dyDescent="0.25">
      <c r="A48" t="s">
        <v>7</v>
      </c>
      <c r="B48">
        <f>_xlfn.STDEV.P(B37:B44)</f>
        <v>3.0821193035670612E-3</v>
      </c>
      <c r="C48">
        <f>_xlfn.STDEV.P(C37:C44)</f>
        <v>3.1691406161470062E-3</v>
      </c>
      <c r="J48" s="3">
        <v>5.37918269121785E-3</v>
      </c>
      <c r="K48" s="3">
        <v>5.3050164471204206E-3</v>
      </c>
      <c r="R48" s="1"/>
      <c r="S48" s="1"/>
    </row>
    <row r="49" spans="1:19" x14ac:dyDescent="0.25">
      <c r="A49" t="s">
        <v>8</v>
      </c>
      <c r="C49">
        <f>CORREL($B37:$B44,C37:C44)</f>
        <v>0.94628819569478362</v>
      </c>
      <c r="J49" s="3"/>
      <c r="K49" s="3"/>
      <c r="R49" s="1"/>
      <c r="S49" s="1"/>
    </row>
    <row r="50" spans="1:19" x14ac:dyDescent="0.25">
      <c r="A50" t="s">
        <v>12</v>
      </c>
      <c r="C50">
        <f>_xlfn.COVARIANCE.P($B37:$B44,C37:C44)</f>
        <v>9.2430303177218127E-6</v>
      </c>
      <c r="J50">
        <v>6.0173190115224056E-3</v>
      </c>
      <c r="K50">
        <v>6.7003242596627814E-3</v>
      </c>
      <c r="R50" s="1"/>
      <c r="S50" s="1"/>
    </row>
    <row r="51" spans="1:19" x14ac:dyDescent="0.25">
      <c r="A51" t="s">
        <v>9</v>
      </c>
      <c r="C51">
        <f>2*C49*$B48*C48/($B47+C47+($B46-C46)^2)</f>
        <v>0.93841559196504021</v>
      </c>
      <c r="R51" s="1"/>
      <c r="S51" s="1"/>
    </row>
    <row r="52" spans="1:19" x14ac:dyDescent="0.25">
      <c r="A52" t="s">
        <v>13</v>
      </c>
      <c r="C52">
        <f>2*C50/($B47+C47+($B46-C46)^2)</f>
        <v>0.93841559196503899</v>
      </c>
      <c r="J52">
        <v>6.7354076969024018E-3</v>
      </c>
      <c r="K52">
        <v>4.1504984654021238E-3</v>
      </c>
    </row>
    <row r="54" spans="1:19" x14ac:dyDescent="0.25">
      <c r="A54" t="s">
        <v>19</v>
      </c>
      <c r="C54">
        <f>C49*C49</f>
        <v>0.89546134931128907</v>
      </c>
    </row>
    <row r="55" spans="1:19" x14ac:dyDescent="0.25">
      <c r="A55" t="s">
        <v>20</v>
      </c>
      <c r="C55">
        <f>_xlfn.T.TEST($B37:$B44,C37:C44,2,1)</f>
        <v>0.48469383467826044</v>
      </c>
    </row>
    <row r="57" spans="1:19" x14ac:dyDescent="0.25">
      <c r="I57" t="s">
        <v>5</v>
      </c>
      <c r="J57">
        <f>AVERAGE(J37:J55)</f>
        <v>1.0629427660908387E-2</v>
      </c>
      <c r="K57">
        <f>AVERAGE(K37:K55)</f>
        <v>7.206902619664877E-3</v>
      </c>
    </row>
    <row r="58" spans="1:19" x14ac:dyDescent="0.25">
      <c r="I58" t="s">
        <v>6</v>
      </c>
      <c r="J58">
        <f>_xlfn.VAR.P(J37:J55)</f>
        <v>3.9242404452496906E-5</v>
      </c>
      <c r="K58">
        <f>_xlfn.VAR.P(K37:K55)</f>
        <v>8.0466517470890206E-6</v>
      </c>
    </row>
    <row r="59" spans="1:19" x14ac:dyDescent="0.25">
      <c r="I59" t="s">
        <v>7</v>
      </c>
      <c r="J59">
        <f>_xlfn.STDEV.P(J37:J55)</f>
        <v>6.2643758230566679E-3</v>
      </c>
      <c r="K59">
        <f>_xlfn.STDEV.P(K37:K55)</f>
        <v>2.8366620784099437E-3</v>
      </c>
    </row>
    <row r="60" spans="1:19" x14ac:dyDescent="0.25">
      <c r="I60" t="s">
        <v>8</v>
      </c>
      <c r="K60">
        <f>CORREL($J37:$J55,K37:K55)</f>
        <v>0.76077956269082825</v>
      </c>
    </row>
    <row r="61" spans="1:19" x14ac:dyDescent="0.25">
      <c r="I61" t="s">
        <v>12</v>
      </c>
      <c r="K61">
        <f>_xlfn.COVARIANCE.P($J37:$J55,K37:K55)</f>
        <v>1.3518989944630488E-5</v>
      </c>
    </row>
    <row r="62" spans="1:19" x14ac:dyDescent="0.25">
      <c r="I62" t="s">
        <v>9</v>
      </c>
      <c r="K62">
        <f>2*K60*$J59*K59/($J58+K58+($J57-K57)^2)</f>
        <v>0.45824961186629365</v>
      </c>
    </row>
    <row r="63" spans="1:19" x14ac:dyDescent="0.25">
      <c r="I63" t="s">
        <v>13</v>
      </c>
      <c r="K63">
        <f>2*K61/($J58+K58+($J57-K57)^2)</f>
        <v>0.4582496118662937</v>
      </c>
    </row>
    <row r="64" spans="1:19" x14ac:dyDescent="0.25">
      <c r="A64" s="4" t="s">
        <v>49</v>
      </c>
    </row>
    <row r="65" spans="1:11" x14ac:dyDescent="0.25">
      <c r="I65" t="s">
        <v>19</v>
      </c>
      <c r="K65">
        <f>K60*K60</f>
        <v>0.57878554300804785</v>
      </c>
    </row>
    <row r="66" spans="1:11" x14ac:dyDescent="0.25">
      <c r="A66" s="4"/>
      <c r="I66" t="s">
        <v>20</v>
      </c>
      <c r="K66">
        <f>_xlfn.T.TEST($J37:$J55,K37:K55,2,1)</f>
        <v>2.835275650184645E-2</v>
      </c>
    </row>
    <row r="67" spans="1:11" x14ac:dyDescent="0.25">
      <c r="A67" t="s">
        <v>50</v>
      </c>
    </row>
    <row r="68" spans="1:11" x14ac:dyDescent="0.25">
      <c r="A68" t="s">
        <v>51</v>
      </c>
    </row>
    <row r="70" spans="1:11" x14ac:dyDescent="0.25">
      <c r="A70" t="s">
        <v>52</v>
      </c>
      <c r="B70" s="4">
        <v>0.10199999999999999</v>
      </c>
      <c r="C70">
        <v>0.88500000000000001</v>
      </c>
      <c r="D70" s="5"/>
    </row>
    <row r="71" spans="1:11" x14ac:dyDescent="0.25">
      <c r="A71" t="s">
        <v>53</v>
      </c>
      <c r="B71" s="5" t="s">
        <v>54</v>
      </c>
      <c r="C71" s="10">
        <v>0.58599999999999997</v>
      </c>
      <c r="D71" s="11" t="s">
        <v>62</v>
      </c>
      <c r="E71" s="4"/>
    </row>
    <row r="72" spans="1:11" s="14" customFormat="1" ht="15" customHeight="1" x14ac:dyDescent="0.25">
      <c r="A72" s="9" t="s">
        <v>61</v>
      </c>
      <c r="B72" s="8">
        <v>0.88070000000000004</v>
      </c>
      <c r="C72" s="12"/>
      <c r="D72" s="15" t="s">
        <v>63</v>
      </c>
      <c r="E72" s="13"/>
    </row>
    <row r="73" spans="1:11" x14ac:dyDescent="0.25">
      <c r="A73" s="4"/>
      <c r="B73" s="4"/>
      <c r="C73" s="4"/>
      <c r="D73" s="4"/>
      <c r="E73" s="4"/>
    </row>
    <row r="74" spans="1:11" x14ac:dyDescent="0.25">
      <c r="A74" s="4" t="s">
        <v>55</v>
      </c>
      <c r="B74" s="4"/>
      <c r="C74" s="4"/>
      <c r="D74" s="4"/>
      <c r="E74" s="4"/>
    </row>
    <row r="75" spans="1:11" x14ac:dyDescent="0.25">
      <c r="A75" s="4"/>
      <c r="B75" s="4"/>
      <c r="C75" s="4"/>
      <c r="D75" s="4"/>
      <c r="E75" s="4"/>
    </row>
    <row r="76" spans="1:11" x14ac:dyDescent="0.25">
      <c r="A76" s="4" t="s">
        <v>56</v>
      </c>
      <c r="B76" s="4"/>
      <c r="C76" s="4"/>
      <c r="D76" s="4"/>
      <c r="E76" s="4"/>
    </row>
    <row r="77" spans="1:11" x14ac:dyDescent="0.25">
      <c r="A77" s="4"/>
      <c r="B77" s="4" t="s">
        <v>57</v>
      </c>
      <c r="C77" s="4" t="s">
        <v>58</v>
      </c>
      <c r="D77" s="4" t="s">
        <v>59</v>
      </c>
      <c r="E77" s="4" t="s">
        <v>60</v>
      </c>
      <c r="F77" s="4" t="s">
        <v>64</v>
      </c>
      <c r="G77" s="4" t="s">
        <v>65</v>
      </c>
      <c r="H77" s="4" t="s">
        <v>66</v>
      </c>
    </row>
    <row r="78" spans="1:11" x14ac:dyDescent="0.25">
      <c r="A78" s="4"/>
      <c r="B78" s="4">
        <v>0.45029580000000002</v>
      </c>
      <c r="C78" s="4">
        <v>-0.782752</v>
      </c>
      <c r="D78" s="18">
        <v>-1.2122999999999999E-3</v>
      </c>
      <c r="E78" s="18" t="s">
        <v>112</v>
      </c>
      <c r="F78" s="4">
        <v>0.69488700000000003</v>
      </c>
      <c r="G78" s="4">
        <v>34</v>
      </c>
      <c r="H78" s="4">
        <v>0.77441400000000005</v>
      </c>
    </row>
    <row r="79" spans="1:11" x14ac:dyDescent="0.25">
      <c r="A79" s="4"/>
      <c r="B79" s="6"/>
      <c r="C79" s="4"/>
      <c r="D79" s="4"/>
      <c r="E79" s="4"/>
      <c r="F79" s="7"/>
    </row>
    <row r="80" spans="1:11" x14ac:dyDescent="0.25">
      <c r="A80" s="4"/>
      <c r="B80" s="6"/>
      <c r="C80" s="4"/>
      <c r="D80" s="4"/>
      <c r="E80" s="4"/>
      <c r="F80" s="7"/>
    </row>
    <row r="83" spans="1:3" x14ac:dyDescent="0.25">
      <c r="A83" s="1">
        <v>1.1217025686852585E-2</v>
      </c>
      <c r="B83">
        <v>1.1718795186051612E-2</v>
      </c>
      <c r="C83">
        <f>A83-B83</f>
        <v>-5.0176949919902673E-4</v>
      </c>
    </row>
    <row r="84" spans="1:3" x14ac:dyDescent="0.25">
      <c r="A84" s="1">
        <v>1.3074051241337873E-2</v>
      </c>
      <c r="B84">
        <v>1.3197944261904716E-2</v>
      </c>
      <c r="C84">
        <f t="shared" ref="C84:C94" si="0">A84-B84</f>
        <v>-1.2389302056684329E-4</v>
      </c>
    </row>
    <row r="85" spans="1:3" x14ac:dyDescent="0.25">
      <c r="A85" s="1">
        <v>7.1394226028235943E-3</v>
      </c>
      <c r="B85">
        <v>2.0253513807046514E-2</v>
      </c>
      <c r="C85">
        <f>A85-B85</f>
        <v>-1.3114091204222919E-2</v>
      </c>
    </row>
    <row r="86" spans="1:3" x14ac:dyDescent="0.25">
      <c r="A86" s="1">
        <v>1.0923085958783685E-2</v>
      </c>
      <c r="B86">
        <v>8.9033917882208116E-3</v>
      </c>
      <c r="C86">
        <f t="shared" si="0"/>
        <v>2.0196941705628736E-3</v>
      </c>
    </row>
    <row r="87" spans="1:3" x14ac:dyDescent="0.25">
      <c r="A87" s="1">
        <v>6.641620727028251E-3</v>
      </c>
      <c r="B87">
        <v>5.4699627125449598E-3</v>
      </c>
      <c r="C87">
        <f t="shared" si="0"/>
        <v>1.1716580144832912E-3</v>
      </c>
    </row>
    <row r="88" spans="1:3" x14ac:dyDescent="0.25">
      <c r="A88" s="1">
        <v>5.3082345699056168E-3</v>
      </c>
      <c r="B88">
        <v>7.6827094485930163E-3</v>
      </c>
      <c r="C88">
        <f t="shared" si="0"/>
        <v>-2.3744748786873994E-3</v>
      </c>
    </row>
    <row r="89" spans="1:3" x14ac:dyDescent="0.25">
      <c r="A89" s="1">
        <v>4.8407196690174528E-3</v>
      </c>
      <c r="B89">
        <v>5.4295801280454309E-3</v>
      </c>
      <c r="C89">
        <f t="shared" si="0"/>
        <v>-5.8886045902797803E-4</v>
      </c>
    </row>
    <row r="90" spans="1:3" x14ac:dyDescent="0.25">
      <c r="A90" s="1">
        <v>4.3550375242183458E-3</v>
      </c>
      <c r="B90">
        <v>2.6433820408445398E-5</v>
      </c>
      <c r="C90">
        <f t="shared" si="0"/>
        <v>4.3286037038099004E-3</v>
      </c>
    </row>
    <row r="91" spans="1:3" x14ac:dyDescent="0.25">
      <c r="A91" s="1">
        <v>3.4567427337100567E-3</v>
      </c>
      <c r="B91">
        <v>6.7003242596627814E-3</v>
      </c>
      <c r="C91">
        <f t="shared" si="0"/>
        <v>-3.2435815259527247E-3</v>
      </c>
    </row>
    <row r="92" spans="1:3" x14ac:dyDescent="0.25">
      <c r="A92" s="1">
        <v>7.6923956915327255E-3</v>
      </c>
      <c r="B92">
        <v>1.7177385855416009E-2</v>
      </c>
      <c r="C92">
        <f>A92-B92</f>
        <v>-9.4849901638832841E-3</v>
      </c>
    </row>
    <row r="93" spans="1:3" x14ac:dyDescent="0.25">
      <c r="A93" s="1">
        <v>5.3450957339994396E-3</v>
      </c>
      <c r="B93">
        <v>2.0747317348936495E-4</v>
      </c>
      <c r="C93">
        <f t="shared" si="0"/>
        <v>5.1376225605100747E-3</v>
      </c>
    </row>
    <row r="94" spans="1:3" x14ac:dyDescent="0.25">
      <c r="A94" s="1">
        <v>2.5156138141965976E-3</v>
      </c>
      <c r="B94">
        <v>2.8907366213757501E-4</v>
      </c>
      <c r="C94">
        <f t="shared" si="0"/>
        <v>2.2265401520590224E-3</v>
      </c>
    </row>
    <row r="95" spans="1:3" x14ac:dyDescent="0.25">
      <c r="A95" s="4">
        <f>MEDIAN(A83:A94)</f>
        <v>5.9933582305138448E-3</v>
      </c>
      <c r="B95" s="4">
        <f>MEDIAN(B83:B94)</f>
        <v>7.1915168541278988E-3</v>
      </c>
      <c r="C95" s="4">
        <f>MEDIAN(C83:C94)</f>
        <v>-3.1283125988293501E-4</v>
      </c>
    </row>
    <row r="105" spans="1:3" x14ac:dyDescent="0.25">
      <c r="B105" s="1"/>
      <c r="C105" s="1"/>
    </row>
    <row r="106" spans="1:3" x14ac:dyDescent="0.25">
      <c r="B106" s="1"/>
      <c r="C106" s="1"/>
    </row>
    <row r="107" spans="1:3" x14ac:dyDescent="0.25">
      <c r="B107" s="1"/>
      <c r="C107" s="1"/>
    </row>
    <row r="108" spans="1:3" x14ac:dyDescent="0.25">
      <c r="B108" s="1"/>
      <c r="C108" s="1"/>
    </row>
    <row r="109" spans="1:3" x14ac:dyDescent="0.25">
      <c r="B109" s="1"/>
      <c r="C109" s="1"/>
    </row>
    <row r="110" spans="1:3" x14ac:dyDescent="0.25">
      <c r="B110" s="1"/>
      <c r="C110" s="1"/>
    </row>
    <row r="111" spans="1:3" x14ac:dyDescent="0.25">
      <c r="A111" s="4" t="s">
        <v>76</v>
      </c>
      <c r="B111" s="1"/>
      <c r="C111" s="1"/>
    </row>
    <row r="112" spans="1:3" x14ac:dyDescent="0.25">
      <c r="B112" s="1"/>
      <c r="C112" s="1"/>
    </row>
    <row r="113" spans="1:12" x14ac:dyDescent="0.25">
      <c r="A113">
        <v>2</v>
      </c>
      <c r="B113" s="1">
        <v>1.3074051241337873E-2</v>
      </c>
      <c r="C113" s="1">
        <v>1.3197944261904716E-2</v>
      </c>
      <c r="D113">
        <f t="shared" ref="D113:D124" si="1">C113-B113</f>
        <v>1.2389302056684329E-4</v>
      </c>
      <c r="E113">
        <f t="shared" ref="E113:E124" si="2">SIGN((C113-B113))</f>
        <v>1</v>
      </c>
      <c r="F113">
        <f t="shared" ref="F113:F124" si="3">ABS((C113-B113))</f>
        <v>1.2389302056684329E-4</v>
      </c>
      <c r="G113">
        <v>1</v>
      </c>
      <c r="H113">
        <f>E113*G113</f>
        <v>1</v>
      </c>
      <c r="I113">
        <f>IF(E113&gt;0,G113,0)</f>
        <v>1</v>
      </c>
      <c r="J113">
        <f>IF(E113&lt;0,G113,0)</f>
        <v>0</v>
      </c>
    </row>
    <row r="114" spans="1:12" x14ac:dyDescent="0.25">
      <c r="A114">
        <v>1</v>
      </c>
      <c r="B114" s="1">
        <v>1.1217025686852585E-2</v>
      </c>
      <c r="C114" s="1">
        <v>1.1718795186051612E-2</v>
      </c>
      <c r="D114">
        <f t="shared" si="1"/>
        <v>5.0176949919902673E-4</v>
      </c>
      <c r="E114">
        <f t="shared" si="2"/>
        <v>1</v>
      </c>
      <c r="F114">
        <f t="shared" si="3"/>
        <v>5.0176949919902673E-4</v>
      </c>
      <c r="G114">
        <v>2</v>
      </c>
      <c r="H114">
        <f t="shared" ref="H114:H124" si="4">E114*G114</f>
        <v>2</v>
      </c>
      <c r="I114">
        <f t="shared" ref="I114:I124" si="5">IF(E114&gt;0,G114,0)</f>
        <v>2</v>
      </c>
      <c r="J114">
        <f t="shared" ref="J114:J124" si="6">IF(E114&lt;0,G114,0)</f>
        <v>0</v>
      </c>
    </row>
    <row r="115" spans="1:12" x14ac:dyDescent="0.25">
      <c r="A115">
        <v>7</v>
      </c>
      <c r="B115" s="1">
        <v>4.8407196690174528E-3</v>
      </c>
      <c r="C115" s="1">
        <v>5.4295801280454309E-3</v>
      </c>
      <c r="D115">
        <f t="shared" si="1"/>
        <v>5.8886045902797803E-4</v>
      </c>
      <c r="E115">
        <f t="shared" si="2"/>
        <v>1</v>
      </c>
      <c r="F115">
        <f t="shared" si="3"/>
        <v>5.8886045902797803E-4</v>
      </c>
      <c r="G115">
        <v>3</v>
      </c>
      <c r="H115">
        <f t="shared" si="4"/>
        <v>3</v>
      </c>
      <c r="I115">
        <f t="shared" si="5"/>
        <v>3</v>
      </c>
      <c r="J115">
        <f t="shared" si="6"/>
        <v>0</v>
      </c>
    </row>
    <row r="116" spans="1:12" x14ac:dyDescent="0.25">
      <c r="A116">
        <v>5</v>
      </c>
      <c r="B116" s="1">
        <v>6.641620727028251E-3</v>
      </c>
      <c r="C116" s="1">
        <v>5.4699627125449598E-3</v>
      </c>
      <c r="D116">
        <f t="shared" si="1"/>
        <v>-1.1716580144832912E-3</v>
      </c>
      <c r="E116">
        <f t="shared" si="2"/>
        <v>-1</v>
      </c>
      <c r="F116">
        <f t="shared" si="3"/>
        <v>1.1716580144832912E-3</v>
      </c>
      <c r="G116">
        <v>4</v>
      </c>
      <c r="H116">
        <f t="shared" si="4"/>
        <v>-4</v>
      </c>
      <c r="I116">
        <f t="shared" si="5"/>
        <v>0</v>
      </c>
      <c r="J116">
        <f t="shared" si="6"/>
        <v>4</v>
      </c>
    </row>
    <row r="117" spans="1:12" x14ac:dyDescent="0.25">
      <c r="A117">
        <v>4</v>
      </c>
      <c r="B117" s="1">
        <v>1.0923085958783685E-2</v>
      </c>
      <c r="C117" s="1">
        <v>8.9033917882208116E-3</v>
      </c>
      <c r="D117">
        <f t="shared" si="1"/>
        <v>-2.0196941705628736E-3</v>
      </c>
      <c r="E117">
        <f t="shared" si="2"/>
        <v>-1</v>
      </c>
      <c r="F117">
        <f t="shared" si="3"/>
        <v>2.0196941705628736E-3</v>
      </c>
      <c r="G117">
        <v>5</v>
      </c>
      <c r="H117">
        <f t="shared" si="4"/>
        <v>-5</v>
      </c>
      <c r="I117">
        <f t="shared" si="5"/>
        <v>0</v>
      </c>
      <c r="J117">
        <f t="shared" si="6"/>
        <v>5</v>
      </c>
    </row>
    <row r="118" spans="1:12" x14ac:dyDescent="0.25">
      <c r="A118">
        <v>12</v>
      </c>
      <c r="B118" s="1">
        <v>2.5156138141965976E-3</v>
      </c>
      <c r="C118" s="1">
        <v>2.8907366213757501E-4</v>
      </c>
      <c r="D118">
        <f t="shared" si="1"/>
        <v>-2.2265401520590224E-3</v>
      </c>
      <c r="E118">
        <f t="shared" si="2"/>
        <v>-1</v>
      </c>
      <c r="F118">
        <f t="shared" si="3"/>
        <v>2.2265401520590224E-3</v>
      </c>
      <c r="G118">
        <v>6</v>
      </c>
      <c r="H118">
        <f t="shared" si="4"/>
        <v>-6</v>
      </c>
      <c r="I118">
        <f t="shared" si="5"/>
        <v>0</v>
      </c>
      <c r="J118">
        <f t="shared" si="6"/>
        <v>6</v>
      </c>
    </row>
    <row r="119" spans="1:12" x14ac:dyDescent="0.25">
      <c r="A119">
        <v>6</v>
      </c>
      <c r="B119" s="1">
        <v>5.3082345699056168E-3</v>
      </c>
      <c r="C119" s="1">
        <v>7.6827094485930163E-3</v>
      </c>
      <c r="D119">
        <f t="shared" si="1"/>
        <v>2.3744748786873994E-3</v>
      </c>
      <c r="E119">
        <f t="shared" si="2"/>
        <v>1</v>
      </c>
      <c r="F119">
        <f t="shared" si="3"/>
        <v>2.3744748786873994E-3</v>
      </c>
      <c r="G119">
        <v>7</v>
      </c>
      <c r="H119">
        <f t="shared" si="4"/>
        <v>7</v>
      </c>
      <c r="I119">
        <f t="shared" si="5"/>
        <v>7</v>
      </c>
      <c r="J119">
        <f t="shared" si="6"/>
        <v>0</v>
      </c>
    </row>
    <row r="120" spans="1:12" x14ac:dyDescent="0.25">
      <c r="A120">
        <v>9</v>
      </c>
      <c r="B120" s="1">
        <v>3.4567427337100567E-3</v>
      </c>
      <c r="C120" s="1">
        <v>6.7003242596627814E-3</v>
      </c>
      <c r="D120">
        <f t="shared" si="1"/>
        <v>3.2435815259527247E-3</v>
      </c>
      <c r="E120">
        <f t="shared" si="2"/>
        <v>1</v>
      </c>
      <c r="F120">
        <f t="shared" si="3"/>
        <v>3.2435815259527247E-3</v>
      </c>
      <c r="G120">
        <v>8</v>
      </c>
      <c r="H120">
        <f t="shared" si="4"/>
        <v>8</v>
      </c>
      <c r="I120">
        <f t="shared" si="5"/>
        <v>8</v>
      </c>
      <c r="J120">
        <f t="shared" si="6"/>
        <v>0</v>
      </c>
    </row>
    <row r="121" spans="1:12" x14ac:dyDescent="0.25">
      <c r="A121">
        <v>8</v>
      </c>
      <c r="B121" s="1">
        <v>4.3550375242183458E-3</v>
      </c>
      <c r="C121" s="1">
        <v>2.6433820408445398E-5</v>
      </c>
      <c r="D121">
        <f t="shared" si="1"/>
        <v>-4.3286037038099004E-3</v>
      </c>
      <c r="E121">
        <f t="shared" si="2"/>
        <v>-1</v>
      </c>
      <c r="F121">
        <f t="shared" si="3"/>
        <v>4.3286037038099004E-3</v>
      </c>
      <c r="G121">
        <v>9</v>
      </c>
      <c r="H121">
        <f t="shared" si="4"/>
        <v>-9</v>
      </c>
      <c r="I121">
        <f t="shared" si="5"/>
        <v>0</v>
      </c>
      <c r="J121">
        <f t="shared" si="6"/>
        <v>9</v>
      </c>
    </row>
    <row r="122" spans="1:12" x14ac:dyDescent="0.25">
      <c r="A122">
        <v>11</v>
      </c>
      <c r="B122" s="1">
        <v>5.3450957339994396E-3</v>
      </c>
      <c r="C122" s="1">
        <v>2.0747317348936495E-4</v>
      </c>
      <c r="D122">
        <f t="shared" si="1"/>
        <v>-5.1376225605100747E-3</v>
      </c>
      <c r="E122">
        <f t="shared" si="2"/>
        <v>-1</v>
      </c>
      <c r="F122">
        <f t="shared" si="3"/>
        <v>5.1376225605100747E-3</v>
      </c>
      <c r="G122">
        <v>10</v>
      </c>
      <c r="H122">
        <f t="shared" si="4"/>
        <v>-10</v>
      </c>
      <c r="I122">
        <f t="shared" si="5"/>
        <v>0</v>
      </c>
      <c r="J122">
        <f t="shared" si="6"/>
        <v>10</v>
      </c>
    </row>
    <row r="123" spans="1:12" x14ac:dyDescent="0.25">
      <c r="A123">
        <v>10</v>
      </c>
      <c r="B123" s="1">
        <v>7.6923956915327255E-3</v>
      </c>
      <c r="C123" s="1">
        <v>1.7177385855416009E-2</v>
      </c>
      <c r="D123">
        <f t="shared" si="1"/>
        <v>9.4849901638832841E-3</v>
      </c>
      <c r="E123">
        <f t="shared" si="2"/>
        <v>1</v>
      </c>
      <c r="F123">
        <f t="shared" si="3"/>
        <v>9.4849901638832841E-3</v>
      </c>
      <c r="G123">
        <v>11</v>
      </c>
      <c r="H123">
        <f t="shared" si="4"/>
        <v>11</v>
      </c>
      <c r="I123">
        <f t="shared" si="5"/>
        <v>11</v>
      </c>
      <c r="J123">
        <f t="shared" si="6"/>
        <v>0</v>
      </c>
    </row>
    <row r="124" spans="1:12" x14ac:dyDescent="0.25">
      <c r="A124">
        <v>3</v>
      </c>
      <c r="B124" s="1">
        <v>7.1394226028235943E-3</v>
      </c>
      <c r="C124" s="1">
        <v>2.0253513807046514E-2</v>
      </c>
      <c r="D124">
        <f t="shared" si="1"/>
        <v>1.3114091204222919E-2</v>
      </c>
      <c r="E124">
        <f t="shared" si="2"/>
        <v>1</v>
      </c>
      <c r="F124">
        <f t="shared" si="3"/>
        <v>1.3114091204222919E-2</v>
      </c>
      <c r="G124">
        <v>12</v>
      </c>
      <c r="H124">
        <f t="shared" si="4"/>
        <v>12</v>
      </c>
      <c r="I124">
        <f t="shared" si="5"/>
        <v>12</v>
      </c>
      <c r="J124">
        <f t="shared" si="6"/>
        <v>0</v>
      </c>
    </row>
    <row r="125" spans="1:12" x14ac:dyDescent="0.25">
      <c r="A125" t="s">
        <v>75</v>
      </c>
      <c r="I125" t="s">
        <v>67</v>
      </c>
      <c r="J125" t="s">
        <v>68</v>
      </c>
      <c r="K125" t="s">
        <v>69</v>
      </c>
    </row>
    <row r="126" spans="1:12" x14ac:dyDescent="0.25">
      <c r="A126">
        <f>MAX(A113:A125)</f>
        <v>12</v>
      </c>
      <c r="I126">
        <f>SUM(I113:I124)</f>
        <v>44</v>
      </c>
      <c r="J126">
        <f>SUM(J113:J124)</f>
        <v>34</v>
      </c>
      <c r="K126">
        <f>MAX(I126:J126)</f>
        <v>44</v>
      </c>
      <c r="L126">
        <f>MIN(I126:J126)</f>
        <v>34</v>
      </c>
    </row>
    <row r="127" spans="1:12" x14ac:dyDescent="0.25">
      <c r="I127" t="s">
        <v>70</v>
      </c>
      <c r="J127" t="s">
        <v>71</v>
      </c>
      <c r="K127" t="s">
        <v>72</v>
      </c>
    </row>
    <row r="128" spans="1:12" x14ac:dyDescent="0.25">
      <c r="I128">
        <f>A126*(A126+1)/2</f>
        <v>78</v>
      </c>
      <c r="J128">
        <f>I128/2</f>
        <v>39</v>
      </c>
      <c r="K128">
        <f>SQRT(A126*(A126+1)*(2*A126+1)/24)</f>
        <v>12.747548783981962</v>
      </c>
    </row>
    <row r="129" spans="3:12" x14ac:dyDescent="0.25">
      <c r="K129" t="s">
        <v>73</v>
      </c>
      <c r="L129" t="s">
        <v>74</v>
      </c>
    </row>
    <row r="130" spans="3:12" x14ac:dyDescent="0.25">
      <c r="K130">
        <f>(K126-J128)/K128</f>
        <v>0.39223227027636809</v>
      </c>
      <c r="L130">
        <f>(L126-J128)/K128</f>
        <v>-0.39223227027636809</v>
      </c>
    </row>
    <row r="132" spans="3:12" x14ac:dyDescent="0.25">
      <c r="K132">
        <f>2*(1-_xlfn.NORM.S.DIST(K130,TRUE))</f>
        <v>0.69488660237247335</v>
      </c>
      <c r="L132">
        <f>2*(_xlfn.NORM.S.DIST(L130,TRUE))</f>
        <v>0.69488660237247335</v>
      </c>
    </row>
    <row r="139" spans="3:12" x14ac:dyDescent="0.25">
      <c r="C139" s="4"/>
    </row>
  </sheetData>
  <sortState xmlns:xlrd2="http://schemas.microsoft.com/office/spreadsheetml/2017/richdata2" ref="A113:F124">
    <sortCondition ref="F113:F12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CCE3-3FE0-4C9F-B961-6FB6D5EA2A91}">
  <dimension ref="A2:AC100"/>
  <sheetViews>
    <sheetView topLeftCell="C27" workbookViewId="0">
      <selection activeCell="C63" sqref="C63"/>
    </sheetView>
  </sheetViews>
  <sheetFormatPr defaultRowHeight="15" x14ac:dyDescent="0.25"/>
  <cols>
    <col min="3" max="3" width="19.5703125" customWidth="1"/>
    <col min="16" max="18" width="12.7109375" customWidth="1"/>
  </cols>
  <sheetData>
    <row r="2" spans="3:29" x14ac:dyDescent="0.25">
      <c r="C2" t="s">
        <v>103</v>
      </c>
      <c r="D2" t="s">
        <v>102</v>
      </c>
      <c r="E2" t="s">
        <v>101</v>
      </c>
      <c r="P2" t="s">
        <v>102</v>
      </c>
      <c r="Q2" t="s">
        <v>101</v>
      </c>
      <c r="AB2" t="s">
        <v>109</v>
      </c>
      <c r="AC2" t="s">
        <v>110</v>
      </c>
    </row>
    <row r="3" spans="3:29" x14ac:dyDescent="0.25">
      <c r="C3">
        <v>0.63052971060940799</v>
      </c>
      <c r="D3">
        <v>0.63515702689770259</v>
      </c>
      <c r="E3">
        <v>0.47510046634858016</v>
      </c>
    </row>
    <row r="4" spans="3:29" x14ac:dyDescent="0.25">
      <c r="C4">
        <v>0.35109962333115985</v>
      </c>
      <c r="D4">
        <v>0.35751190020026424</v>
      </c>
      <c r="E4">
        <v>0.24632207903337799</v>
      </c>
      <c r="O4">
        <v>0.35109962333115985</v>
      </c>
      <c r="P4">
        <v>0.35751190020026424</v>
      </c>
      <c r="Q4">
        <v>0.24632207903337799</v>
      </c>
      <c r="R4" s="20"/>
      <c r="AB4">
        <f>LOG10(P4)</f>
        <v>-0.44670949762431955</v>
      </c>
      <c r="AC4">
        <f>LOG10(Q4)</f>
        <v>-0.60849665851167334</v>
      </c>
    </row>
    <row r="5" spans="3:29" x14ac:dyDescent="0.25">
      <c r="C5">
        <v>0.35159607546601224</v>
      </c>
      <c r="D5">
        <v>0.35898329004365659</v>
      </c>
      <c r="E5">
        <v>0.37223164635862283</v>
      </c>
      <c r="O5">
        <v>0.35159607546601224</v>
      </c>
      <c r="P5">
        <v>0.35898329004365659</v>
      </c>
      <c r="Q5">
        <v>0.37223164635862283</v>
      </c>
      <c r="R5" s="20"/>
      <c r="AB5">
        <f t="shared" ref="AB5:AC17" si="0">LOG10(P5)</f>
        <v>-0.4449257664933538</v>
      </c>
      <c r="AC5">
        <f t="shared" si="0"/>
        <v>-0.42918670682408738</v>
      </c>
    </row>
    <row r="6" spans="3:29" x14ac:dyDescent="0.25">
      <c r="C6">
        <v>0.30225721301153241</v>
      </c>
      <c r="D6">
        <v>0.30753933820854806</v>
      </c>
      <c r="E6">
        <v>0.52445512249131243</v>
      </c>
      <c r="O6">
        <v>0.30225721301153241</v>
      </c>
      <c r="P6">
        <v>0.30753933820854806</v>
      </c>
      <c r="Q6">
        <v>0.52445512249131243</v>
      </c>
      <c r="R6" s="20"/>
      <c r="AB6">
        <f t="shared" si="0"/>
        <v>-0.51209932452531426</v>
      </c>
      <c r="AC6">
        <f t="shared" si="0"/>
        <v>-0.28029166836316044</v>
      </c>
    </row>
    <row r="7" spans="3:29" x14ac:dyDescent="0.25">
      <c r="C7">
        <v>0.23377381932650887</v>
      </c>
      <c r="D7">
        <v>0.24221842903082857</v>
      </c>
      <c r="E7">
        <v>0.3758589465326917</v>
      </c>
      <c r="O7">
        <v>0.38427573233402568</v>
      </c>
      <c r="P7">
        <v>0.3903969830214763</v>
      </c>
      <c r="Q7">
        <v>0.40192240657005224</v>
      </c>
      <c r="R7" s="20"/>
      <c r="AB7">
        <f t="shared" si="0"/>
        <v>-0.40849354720971998</v>
      </c>
      <c r="AC7">
        <f t="shared" si="0"/>
        <v>-0.39585778186847442</v>
      </c>
    </row>
    <row r="8" spans="3:29" x14ac:dyDescent="0.25">
      <c r="C8">
        <v>0.38427573233402568</v>
      </c>
      <c r="D8">
        <v>0.3903969830214763</v>
      </c>
      <c r="E8">
        <v>0.40192240657005224</v>
      </c>
      <c r="R8" s="20"/>
    </row>
    <row r="9" spans="3:29" x14ac:dyDescent="0.25">
      <c r="C9">
        <v>0.19075901126072403</v>
      </c>
      <c r="D9">
        <v>0.19913571485599113</v>
      </c>
      <c r="E9">
        <v>0.19515041619923573</v>
      </c>
      <c r="O9">
        <v>0.19584642330380564</v>
      </c>
      <c r="P9">
        <v>0.20246726893642852</v>
      </c>
      <c r="Q9">
        <v>0.1467316613206574</v>
      </c>
      <c r="R9" s="20"/>
      <c r="AB9">
        <f t="shared" si="0"/>
        <v>-0.69364517526034086</v>
      </c>
      <c r="AC9">
        <f t="shared" si="0"/>
        <v>-0.83347616527572743</v>
      </c>
    </row>
    <row r="10" spans="3:29" x14ac:dyDescent="0.25">
      <c r="O10">
        <v>0.12087076676752218</v>
      </c>
      <c r="P10">
        <v>0.12747706109106227</v>
      </c>
      <c r="Q10">
        <v>0.1034628292125131</v>
      </c>
      <c r="R10" s="20"/>
      <c r="AB10">
        <f t="shared" si="0"/>
        <v>-0.89456795748766116</v>
      </c>
      <c r="AC10">
        <f t="shared" si="0"/>
        <v>-0.98521564989192045</v>
      </c>
    </row>
    <row r="11" spans="3:29" x14ac:dyDescent="0.25">
      <c r="C11">
        <v>0.19584642330380564</v>
      </c>
      <c r="D11">
        <v>0.20246726893642852</v>
      </c>
      <c r="E11">
        <v>0.1467316613206574</v>
      </c>
      <c r="O11">
        <v>0.16163165441039895</v>
      </c>
      <c r="P11">
        <v>0.16849017142470568</v>
      </c>
      <c r="Q11">
        <v>0.13117845441545559</v>
      </c>
      <c r="R11" s="20"/>
      <c r="AB11">
        <f t="shared" si="0"/>
        <v>-0.77342542785205171</v>
      </c>
      <c r="AC11">
        <f t="shared" si="0"/>
        <v>-0.88213749039383516</v>
      </c>
    </row>
    <row r="12" spans="3:29" x14ac:dyDescent="0.25">
      <c r="C12">
        <v>0.12087076676752218</v>
      </c>
      <c r="D12">
        <v>0.12747706109106227</v>
      </c>
      <c r="E12">
        <v>0.1034628292125131</v>
      </c>
      <c r="O12">
        <v>5.5111182568513439E-2</v>
      </c>
      <c r="P12">
        <v>6.2818525945977033E-2</v>
      </c>
      <c r="Q12">
        <v>5.750727568726674E-2</v>
      </c>
      <c r="R12" s="20"/>
      <c r="AB12">
        <f t="shared" si="0"/>
        <v>-1.2019122586576521</v>
      </c>
      <c r="AC12">
        <f t="shared" si="0"/>
        <v>-1.2402772059027372</v>
      </c>
    </row>
    <row r="13" spans="3:29" x14ac:dyDescent="0.25">
      <c r="C13">
        <v>0.13232251565974806</v>
      </c>
      <c r="D13">
        <v>0.13913252831044587</v>
      </c>
      <c r="E13">
        <v>0.12133150966292763</v>
      </c>
      <c r="R13" s="20"/>
    </row>
    <row r="14" spans="3:29" x14ac:dyDescent="0.25">
      <c r="C14">
        <v>0.16163165441039895</v>
      </c>
      <c r="D14">
        <v>0.16849017142470568</v>
      </c>
      <c r="E14">
        <v>0.13117845441545559</v>
      </c>
      <c r="O14">
        <v>6.8177002946651521E-2</v>
      </c>
      <c r="P14">
        <v>7.3691949088990127E-2</v>
      </c>
      <c r="Q14">
        <v>0.10027767944572984</v>
      </c>
      <c r="R14" s="20"/>
      <c r="AB14">
        <f t="shared" si="0"/>
        <v>-1.1325799566079084</v>
      </c>
      <c r="AC14">
        <f t="shared" si="0"/>
        <v>-0.99879572472953049</v>
      </c>
    </row>
    <row r="15" spans="3:29" x14ac:dyDescent="0.25">
      <c r="C15">
        <v>0.20892778745744334</v>
      </c>
      <c r="D15">
        <v>0.21661087865310247</v>
      </c>
      <c r="E15">
        <v>0.15773410809083166</v>
      </c>
      <c r="O15">
        <v>9.9165818132388672E-2</v>
      </c>
      <c r="P15">
        <v>0.10443339202032154</v>
      </c>
      <c r="Q15">
        <v>0.16154005018330084</v>
      </c>
      <c r="R15" s="20"/>
      <c r="AB15">
        <f t="shared" si="0"/>
        <v>-0.98116061578342828</v>
      </c>
      <c r="AC15">
        <f t="shared" si="0"/>
        <v>-0.79171978653871133</v>
      </c>
    </row>
    <row r="16" spans="3:29" x14ac:dyDescent="0.25">
      <c r="C16">
        <v>7.9300873043949727E-2</v>
      </c>
      <c r="D16">
        <v>8.777943580279568E-2</v>
      </c>
      <c r="E16">
        <v>8.4285677449094071E-2</v>
      </c>
      <c r="O16">
        <v>8.0792710614548291E-2</v>
      </c>
      <c r="P16">
        <v>8.6753896902089345E-2</v>
      </c>
      <c r="Q16">
        <v>9.9826857425180271E-2</v>
      </c>
      <c r="R16" s="20"/>
      <c r="AB16">
        <f t="shared" si="0"/>
        <v>-1.0617110080061056</v>
      </c>
      <c r="AC16">
        <f t="shared" si="0"/>
        <v>-1.000752600372276</v>
      </c>
    </row>
    <row r="17" spans="1:29" x14ac:dyDescent="0.25">
      <c r="C17">
        <v>5.5111182568513439E-2</v>
      </c>
      <c r="D17">
        <v>6.2818525945977033E-2</v>
      </c>
      <c r="E17">
        <v>5.750727568726674E-2</v>
      </c>
      <c r="O17">
        <v>4.1369171468408683E-2</v>
      </c>
      <c r="P17">
        <v>4.7281853392340811E-2</v>
      </c>
      <c r="Q17">
        <v>6.0623337463279345E-2</v>
      </c>
      <c r="R17" s="20"/>
      <c r="AB17">
        <f t="shared" si="0"/>
        <v>-1.3253055079666849</v>
      </c>
      <c r="AC17">
        <f t="shared" si="0"/>
        <v>-1.2173601583348206</v>
      </c>
    </row>
    <row r="19" spans="1:29" x14ac:dyDescent="0.25">
      <c r="C19">
        <v>6.8177002946651521E-2</v>
      </c>
      <c r="D19">
        <v>7.3691949088990127E-2</v>
      </c>
      <c r="E19">
        <v>0.10027767944572984</v>
      </c>
      <c r="O19" t="s">
        <v>5</v>
      </c>
      <c r="P19">
        <f>AVERAGE(P3:P17)</f>
        <v>0.19065380252298839</v>
      </c>
      <c r="Q19">
        <f>AVERAGE(Q3:Q17)</f>
        <v>0.20050661663389568</v>
      </c>
    </row>
    <row r="20" spans="1:29" x14ac:dyDescent="0.25">
      <c r="C20">
        <v>9.9165818132388672E-2</v>
      </c>
      <c r="D20">
        <v>0.10443339202032154</v>
      </c>
      <c r="E20">
        <v>0.16154005018330084</v>
      </c>
      <c r="O20" t="s">
        <v>6</v>
      </c>
      <c r="P20">
        <f>_xlfn.VAR.P(P3:P17)</f>
        <v>1.5263724283063206E-2</v>
      </c>
      <c r="Q20">
        <f>_xlfn.VAR.P(Q3:Q17)</f>
        <v>2.1327660354345586E-2</v>
      </c>
    </row>
    <row r="21" spans="1:29" x14ac:dyDescent="0.25">
      <c r="C21">
        <v>2.1918945986373561E-2</v>
      </c>
      <c r="D21">
        <v>2.7943187946606218E-2</v>
      </c>
      <c r="E21">
        <v>6.6960720520653341E-2</v>
      </c>
      <c r="O21" t="s">
        <v>7</v>
      </c>
      <c r="P21">
        <f>_xlfn.STDEV.P(P3:P17)</f>
        <v>0.12354644585362708</v>
      </c>
      <c r="Q21">
        <f>_xlfn.STDEV.P(Q3:Q17)</f>
        <v>0.14603992726081996</v>
      </c>
    </row>
    <row r="22" spans="1:29" x14ac:dyDescent="0.25">
      <c r="C22">
        <v>8.0792710614548291E-2</v>
      </c>
      <c r="D22">
        <v>8.6753896902089345E-2</v>
      </c>
      <c r="E22">
        <v>9.9826857425180271E-2</v>
      </c>
      <c r="O22" t="s">
        <v>8</v>
      </c>
      <c r="Q22">
        <f>CORREL($P3:$P17,Q3:Q17)</f>
        <v>0.8570338044173561</v>
      </c>
    </row>
    <row r="23" spans="1:29" x14ac:dyDescent="0.25">
      <c r="C23">
        <v>2.8635389487092322E-2</v>
      </c>
      <c r="D23">
        <v>3.5042815919835824E-2</v>
      </c>
      <c r="E23">
        <v>5.8479776104293654E-2</v>
      </c>
      <c r="O23" t="s">
        <v>12</v>
      </c>
      <c r="Q23">
        <f>_xlfn.COVARIANCE.P($P3:$P17,Q3:Q17)</f>
        <v>1.5463215792120767E-2</v>
      </c>
      <c r="R23">
        <v>1.5463215792120767E-2</v>
      </c>
    </row>
    <row r="24" spans="1:29" x14ac:dyDescent="0.25">
      <c r="C24">
        <v>1.4807340305701189E-2</v>
      </c>
      <c r="D24">
        <v>2.1394232883797715E-2</v>
      </c>
      <c r="E24">
        <v>0.11145036233591105</v>
      </c>
      <c r="O24" t="s">
        <v>9</v>
      </c>
      <c r="Q24">
        <f>2*Q22*$P21*Q21/($P20+Q20+($P19-Q19)^2)</f>
        <v>0.84294705764825051</v>
      </c>
      <c r="R24">
        <v>0.84294705764825051</v>
      </c>
    </row>
    <row r="25" spans="1:29" x14ac:dyDescent="0.25">
      <c r="C25">
        <v>4.1369171468408683E-2</v>
      </c>
      <c r="D25">
        <v>4.7281853392340811E-2</v>
      </c>
      <c r="E25">
        <v>6.0623337463279345E-2</v>
      </c>
      <c r="O25" t="s">
        <v>13</v>
      </c>
      <c r="Q25">
        <f>2*Q23/($P20+Q20+($P19-Q19)^2)</f>
        <v>0.84294705764825073</v>
      </c>
      <c r="R25">
        <v>0.84294705764825073</v>
      </c>
    </row>
    <row r="27" spans="1:29" x14ac:dyDescent="0.25">
      <c r="O27" t="s">
        <v>19</v>
      </c>
      <c r="Q27">
        <f>Q22*Q22</f>
        <v>0.73450694191408694</v>
      </c>
      <c r="R27">
        <v>0.73450694191408694</v>
      </c>
    </row>
    <row r="28" spans="1:29" x14ac:dyDescent="0.25">
      <c r="O28" t="s">
        <v>20</v>
      </c>
      <c r="Q28">
        <f>_xlfn.T.TEST($P3:$P17,Q3:Q17,2,1)</f>
        <v>0.6725592540187828</v>
      </c>
      <c r="R28">
        <v>0.6725592540187828</v>
      </c>
    </row>
    <row r="32" spans="1:29" x14ac:dyDescent="0.25">
      <c r="A32" s="4" t="s">
        <v>108</v>
      </c>
      <c r="K32" s="4" t="s">
        <v>111</v>
      </c>
    </row>
    <row r="34" spans="1:18" x14ac:dyDescent="0.25">
      <c r="A34" s="4"/>
    </row>
    <row r="35" spans="1:18" x14ac:dyDescent="0.25">
      <c r="A35" t="s">
        <v>50</v>
      </c>
      <c r="K35" t="s">
        <v>50</v>
      </c>
    </row>
    <row r="36" spans="1:18" x14ac:dyDescent="0.25">
      <c r="A36" t="s">
        <v>51</v>
      </c>
      <c r="K36" t="s">
        <v>51</v>
      </c>
    </row>
    <row r="38" spans="1:18" x14ac:dyDescent="0.25">
      <c r="A38" t="s">
        <v>52</v>
      </c>
      <c r="B38" s="4">
        <v>0.84599999999999997</v>
      </c>
      <c r="C38">
        <v>3.3000000000000002E-2</v>
      </c>
      <c r="D38" s="5"/>
      <c r="K38" t="s">
        <v>52</v>
      </c>
      <c r="L38" s="4">
        <v>0.95699999999999996</v>
      </c>
      <c r="M38">
        <v>0.73499999999999999</v>
      </c>
      <c r="N38" s="5"/>
    </row>
    <row r="39" spans="1:18" x14ac:dyDescent="0.25">
      <c r="A39" t="s">
        <v>53</v>
      </c>
      <c r="B39" s="5" t="s">
        <v>104</v>
      </c>
      <c r="C39" s="10">
        <v>0.80800000000000005</v>
      </c>
      <c r="D39" s="11" t="s">
        <v>62</v>
      </c>
      <c r="E39" s="4"/>
      <c r="K39" t="s">
        <v>53</v>
      </c>
      <c r="L39" s="5" t="s">
        <v>54</v>
      </c>
      <c r="M39" s="10">
        <v>0.19919999999999999</v>
      </c>
      <c r="N39" s="11" t="s">
        <v>62</v>
      </c>
    </row>
    <row r="40" spans="1:18" ht="31.5" x14ac:dyDescent="0.25">
      <c r="A40" s="9" t="s">
        <v>61</v>
      </c>
      <c r="B40" s="8">
        <v>0.80810000000000004</v>
      </c>
      <c r="C40" s="12"/>
      <c r="D40" s="15" t="s">
        <v>63</v>
      </c>
      <c r="E40" s="13"/>
      <c r="F40" s="14"/>
      <c r="G40" s="14"/>
      <c r="H40" s="14"/>
      <c r="I40" s="14"/>
      <c r="J40" s="14"/>
      <c r="K40" s="9" t="s">
        <v>61</v>
      </c>
      <c r="L40" s="8">
        <v>0.97599999999999998</v>
      </c>
      <c r="M40" s="12"/>
      <c r="N40" s="15" t="s">
        <v>63</v>
      </c>
    </row>
    <row r="41" spans="1:18" x14ac:dyDescent="0.25">
      <c r="A41" s="4"/>
      <c r="B41" s="4"/>
      <c r="C41" s="4"/>
      <c r="D41" s="4"/>
      <c r="E41" s="4"/>
      <c r="K41" s="4"/>
      <c r="L41" s="4"/>
      <c r="M41" s="4"/>
      <c r="N41" s="4"/>
    </row>
    <row r="42" spans="1:18" x14ac:dyDescent="0.25">
      <c r="A42" s="4" t="s">
        <v>55</v>
      </c>
      <c r="B42" s="4"/>
      <c r="C42" s="4"/>
      <c r="D42" s="4"/>
      <c r="E42" s="4"/>
      <c r="K42" s="4" t="s">
        <v>55</v>
      </c>
      <c r="L42" s="4"/>
      <c r="M42" s="4"/>
      <c r="N42" s="4"/>
    </row>
    <row r="43" spans="1:18" x14ac:dyDescent="0.25">
      <c r="A43" s="4"/>
      <c r="B43" s="4"/>
      <c r="C43" s="4"/>
      <c r="D43" s="4"/>
      <c r="E43" s="4"/>
    </row>
    <row r="44" spans="1:18" x14ac:dyDescent="0.25">
      <c r="A44" s="4" t="s">
        <v>107</v>
      </c>
      <c r="B44" s="4"/>
      <c r="C44" s="4"/>
      <c r="D44" s="4"/>
      <c r="E44" s="4"/>
      <c r="K44" s="4" t="s">
        <v>56</v>
      </c>
      <c r="L44" s="4"/>
      <c r="M44" s="4"/>
      <c r="N44" s="4"/>
      <c r="O44" s="4"/>
    </row>
    <row r="45" spans="1:18" x14ac:dyDescent="0.25">
      <c r="A45" s="4"/>
      <c r="B45" s="4" t="s">
        <v>57</v>
      </c>
      <c r="C45" s="4" t="s">
        <v>58</v>
      </c>
      <c r="D45" s="4" t="s">
        <v>59</v>
      </c>
      <c r="E45" s="4" t="s">
        <v>60</v>
      </c>
      <c r="F45" s="4" t="s">
        <v>64</v>
      </c>
      <c r="G45" s="4" t="s">
        <v>65</v>
      </c>
      <c r="H45" s="4" t="s">
        <v>66</v>
      </c>
      <c r="K45" s="4"/>
      <c r="L45" s="4" t="s">
        <v>57</v>
      </c>
      <c r="M45" s="4" t="s">
        <v>58</v>
      </c>
      <c r="N45" s="4" t="s">
        <v>59</v>
      </c>
      <c r="O45" s="4" t="s">
        <v>60</v>
      </c>
      <c r="P45" s="4" t="s">
        <v>64</v>
      </c>
      <c r="Q45" s="4" t="s">
        <v>65</v>
      </c>
      <c r="R45" s="4" t="s">
        <v>66</v>
      </c>
    </row>
    <row r="46" spans="1:18" x14ac:dyDescent="0.25">
      <c r="A46" s="4"/>
      <c r="B46" s="4">
        <v>0.67300000000000004</v>
      </c>
      <c r="C46" s="4">
        <v>-0.434</v>
      </c>
      <c r="D46" s="18">
        <v>-9.8499999999999994E-3</v>
      </c>
      <c r="E46" s="18" t="s">
        <v>105</v>
      </c>
      <c r="F46" s="4">
        <v>0.754</v>
      </c>
      <c r="G46" s="4">
        <v>35</v>
      </c>
      <c r="H46" s="4">
        <v>0.77441400000000005</v>
      </c>
      <c r="K46" s="4"/>
      <c r="L46" s="4">
        <v>0.64600000000000002</v>
      </c>
      <c r="M46" s="4">
        <v>-0.47199999999999998</v>
      </c>
      <c r="N46" s="18">
        <v>-1.77E-2</v>
      </c>
      <c r="O46" s="18"/>
      <c r="P46" s="4">
        <v>0.69499999999999995</v>
      </c>
      <c r="Q46" s="4">
        <v>34</v>
      </c>
      <c r="R46" s="4">
        <v>0.77441400000000005</v>
      </c>
    </row>
    <row r="47" spans="1:18" x14ac:dyDescent="0.25">
      <c r="A47" s="4"/>
      <c r="B47" s="6"/>
      <c r="C47" s="4"/>
      <c r="D47" s="4"/>
      <c r="E47" s="4"/>
      <c r="F47" s="7"/>
    </row>
    <row r="48" spans="1:18" x14ac:dyDescent="0.25">
      <c r="A48" s="4"/>
      <c r="B48" s="6"/>
      <c r="C48" s="4"/>
      <c r="D48" s="4"/>
      <c r="E48" s="4"/>
      <c r="F48" s="7"/>
    </row>
    <row r="50" spans="1:18" x14ac:dyDescent="0.25">
      <c r="D50" t="s">
        <v>106</v>
      </c>
    </row>
    <row r="51" spans="1:18" x14ac:dyDescent="0.25">
      <c r="A51">
        <v>0.35751190020026424</v>
      </c>
      <c r="B51">
        <v>0.24632207903337799</v>
      </c>
      <c r="C51">
        <f t="shared" ref="C51:C62" si="1">A51-B51</f>
        <v>0.11118982116688625</v>
      </c>
      <c r="D51">
        <f>(C51-C$65)/C$66</f>
        <v>1.6082005740335403</v>
      </c>
      <c r="P51">
        <f>LOG10(A51)</f>
        <v>-0.44670949762431955</v>
      </c>
      <c r="Q51">
        <f>LOG10(B51)</f>
        <v>-0.60849665851167334</v>
      </c>
      <c r="R51">
        <f t="shared" ref="R51:R62" si="2">P51-Q51</f>
        <v>0.16178716088735379</v>
      </c>
    </row>
    <row r="52" spans="1:18" x14ac:dyDescent="0.25">
      <c r="A52">
        <v>0.35898329004365659</v>
      </c>
      <c r="B52">
        <v>0.37223164635862283</v>
      </c>
      <c r="C52">
        <f t="shared" si="1"/>
        <v>-1.3248356314966236E-2</v>
      </c>
      <c r="D52">
        <f t="shared" ref="D52:D62" si="3">(C52-C$65)/C$66</f>
        <v>-4.5113962606566353E-2</v>
      </c>
      <c r="P52">
        <f t="shared" ref="P52:Q62" si="4">LOG10(A52)</f>
        <v>-0.4449257664933538</v>
      </c>
      <c r="Q52">
        <f t="shared" si="4"/>
        <v>-0.42918670682408738</v>
      </c>
      <c r="R52">
        <f t="shared" si="2"/>
        <v>-1.573905966926642E-2</v>
      </c>
    </row>
    <row r="53" spans="1:18" x14ac:dyDescent="0.25">
      <c r="A53">
        <v>0.30753933820854806</v>
      </c>
      <c r="B53">
        <v>0.52445512249131243</v>
      </c>
      <c r="C53">
        <f t="shared" si="1"/>
        <v>-0.21691578428276437</v>
      </c>
      <c r="D53">
        <f t="shared" si="3"/>
        <v>-2.7510867284675027</v>
      </c>
      <c r="P53">
        <f t="shared" si="4"/>
        <v>-0.51209932452531426</v>
      </c>
      <c r="Q53">
        <f t="shared" si="4"/>
        <v>-0.28029166836316044</v>
      </c>
      <c r="R53">
        <f t="shared" si="2"/>
        <v>-0.23180765616215382</v>
      </c>
    </row>
    <row r="54" spans="1:18" x14ac:dyDescent="0.25">
      <c r="A54">
        <v>0.3903969830214763</v>
      </c>
      <c r="B54">
        <v>0.40192240657005224</v>
      </c>
      <c r="C54">
        <f t="shared" si="1"/>
        <v>-1.1525423548575942E-2</v>
      </c>
      <c r="D54">
        <f t="shared" si="3"/>
        <v>-2.2222677584796829E-2</v>
      </c>
      <c r="P54">
        <f t="shared" si="4"/>
        <v>-0.40849354720971998</v>
      </c>
      <c r="Q54">
        <f t="shared" si="4"/>
        <v>-0.39585778186847442</v>
      </c>
      <c r="R54">
        <f t="shared" si="2"/>
        <v>-1.2635765341245553E-2</v>
      </c>
    </row>
    <row r="55" spans="1:18" x14ac:dyDescent="0.25">
      <c r="A55">
        <v>0.20246726893642852</v>
      </c>
      <c r="B55">
        <v>0.1467316613206574</v>
      </c>
      <c r="C55">
        <f t="shared" si="1"/>
        <v>5.5735607615771121E-2</v>
      </c>
      <c r="D55">
        <f t="shared" si="3"/>
        <v>0.87142300916303161</v>
      </c>
      <c r="P55">
        <f t="shared" si="4"/>
        <v>-0.69364517526034086</v>
      </c>
      <c r="Q55">
        <f t="shared" si="4"/>
        <v>-0.83347616527572743</v>
      </c>
      <c r="R55">
        <f t="shared" si="2"/>
        <v>0.13983099001538657</v>
      </c>
    </row>
    <row r="56" spans="1:18" x14ac:dyDescent="0.25">
      <c r="A56">
        <v>0.12747706109106227</v>
      </c>
      <c r="B56">
        <v>0.1034628292125131</v>
      </c>
      <c r="C56">
        <f t="shared" si="1"/>
        <v>2.4014231878549175E-2</v>
      </c>
      <c r="D56">
        <f t="shared" si="3"/>
        <v>0.44996544131798483</v>
      </c>
      <c r="P56">
        <f t="shared" si="4"/>
        <v>-0.89456795748766116</v>
      </c>
      <c r="Q56">
        <f t="shared" si="4"/>
        <v>-0.98521564989192045</v>
      </c>
      <c r="R56">
        <f t="shared" si="2"/>
        <v>9.0647692404259295E-2</v>
      </c>
    </row>
    <row r="57" spans="1:18" x14ac:dyDescent="0.25">
      <c r="A57">
        <v>0.16849017142470568</v>
      </c>
      <c r="B57">
        <v>0.13117845441545559</v>
      </c>
      <c r="C57">
        <f t="shared" si="1"/>
        <v>3.7311717009250095E-2</v>
      </c>
      <c r="D57">
        <f t="shared" si="3"/>
        <v>0.6266389181579175</v>
      </c>
      <c r="P57">
        <f t="shared" si="4"/>
        <v>-0.77342542785205171</v>
      </c>
      <c r="Q57">
        <f t="shared" si="4"/>
        <v>-0.88213749039383516</v>
      </c>
      <c r="R57">
        <f t="shared" si="2"/>
        <v>0.10871206254178345</v>
      </c>
    </row>
    <row r="58" spans="1:18" x14ac:dyDescent="0.25">
      <c r="A58">
        <v>6.2818525945977033E-2</v>
      </c>
      <c r="B58">
        <v>5.750727568726674E-2</v>
      </c>
      <c r="C58">
        <f t="shared" si="1"/>
        <v>5.3112502587102928E-3</v>
      </c>
      <c r="D58">
        <f t="shared" si="3"/>
        <v>0.20147328226895131</v>
      </c>
      <c r="P58">
        <f t="shared" si="4"/>
        <v>-1.2019122586576521</v>
      </c>
      <c r="Q58">
        <f t="shared" si="4"/>
        <v>-1.2402772059027372</v>
      </c>
      <c r="R58">
        <f t="shared" si="2"/>
        <v>3.8364947245085101E-2</v>
      </c>
    </row>
    <row r="59" spans="1:18" x14ac:dyDescent="0.25">
      <c r="A59">
        <v>7.3691949088990127E-2</v>
      </c>
      <c r="B59">
        <v>0.10027767944572984</v>
      </c>
      <c r="C59">
        <f t="shared" si="1"/>
        <v>-2.6585730356739709E-2</v>
      </c>
      <c r="D59">
        <f t="shared" si="3"/>
        <v>-0.22231741278636585</v>
      </c>
      <c r="P59">
        <f t="shared" si="4"/>
        <v>-1.1325799566079084</v>
      </c>
      <c r="Q59">
        <f t="shared" si="4"/>
        <v>-0.99879572472953049</v>
      </c>
      <c r="R59">
        <f t="shared" si="2"/>
        <v>-0.13378423187837796</v>
      </c>
    </row>
    <row r="60" spans="1:18" x14ac:dyDescent="0.25">
      <c r="A60">
        <v>0.10443339202032154</v>
      </c>
      <c r="B60">
        <v>0.16154005018330084</v>
      </c>
      <c r="C60">
        <f t="shared" si="1"/>
        <v>-5.7106658162979301E-2</v>
      </c>
      <c r="D60">
        <f t="shared" si="3"/>
        <v>-0.6278255505213316</v>
      </c>
      <c r="P60">
        <f t="shared" si="4"/>
        <v>-0.98116061578342828</v>
      </c>
      <c r="Q60">
        <f t="shared" si="4"/>
        <v>-0.79171978653871133</v>
      </c>
      <c r="R60">
        <f t="shared" si="2"/>
        <v>-0.18944082924471695</v>
      </c>
    </row>
    <row r="61" spans="1:18" x14ac:dyDescent="0.25">
      <c r="A61">
        <v>8.6753896902089345E-2</v>
      </c>
      <c r="B61">
        <v>9.9826857425180271E-2</v>
      </c>
      <c r="C61">
        <f t="shared" si="1"/>
        <v>-1.3072960523090926E-2</v>
      </c>
      <c r="D61">
        <f t="shared" si="3"/>
        <v>-4.2783613366155444E-2</v>
      </c>
      <c r="P61">
        <f t="shared" si="4"/>
        <v>-1.0617110080061056</v>
      </c>
      <c r="Q61">
        <f t="shared" si="4"/>
        <v>-1.000752600372276</v>
      </c>
      <c r="R61">
        <f t="shared" si="2"/>
        <v>-6.0958407633829648E-2</v>
      </c>
    </row>
    <row r="62" spans="1:18" x14ac:dyDescent="0.25">
      <c r="A62">
        <v>4.7281853392340811E-2</v>
      </c>
      <c r="B62">
        <v>6.0623337463279345E-2</v>
      </c>
      <c r="C62">
        <f t="shared" si="1"/>
        <v>-1.3341484070938534E-2</v>
      </c>
      <c r="D62">
        <f t="shared" si="3"/>
        <v>-4.6351279608706837E-2</v>
      </c>
      <c r="P62">
        <f t="shared" si="4"/>
        <v>-1.3253055079666849</v>
      </c>
      <c r="Q62">
        <f t="shared" si="4"/>
        <v>-1.2173601583348206</v>
      </c>
      <c r="R62">
        <f t="shared" si="2"/>
        <v>-0.10794534963186431</v>
      </c>
    </row>
    <row r="63" spans="1:18" x14ac:dyDescent="0.25">
      <c r="A63" s="4">
        <f>MEDIAN(A51:A62)</f>
        <v>0.14798361625788398</v>
      </c>
      <c r="B63" s="4">
        <f>MEDIAN(B51:B62)</f>
        <v>0.13895505786805651</v>
      </c>
      <c r="C63" s="4">
        <f>MEDIAN(C51:C62)</f>
        <v>-1.2299192035833434E-2</v>
      </c>
    </row>
    <row r="65" spans="1:3" x14ac:dyDescent="0.25">
      <c r="C65">
        <f>AVERAGE(C51:C62)</f>
        <v>-9.8528141109073403E-3</v>
      </c>
    </row>
    <row r="66" spans="1:3" x14ac:dyDescent="0.25">
      <c r="C66">
        <f>_xlfn.STDEV.P(C51:C62)</f>
        <v>7.5265882398117559E-2</v>
      </c>
    </row>
    <row r="73" spans="1:3" x14ac:dyDescent="0.25">
      <c r="B73" s="1"/>
      <c r="C73" s="1"/>
    </row>
    <row r="74" spans="1:3" x14ac:dyDescent="0.25">
      <c r="B74" s="1"/>
      <c r="C74" s="1"/>
    </row>
    <row r="75" spans="1:3" x14ac:dyDescent="0.25">
      <c r="B75" s="1"/>
      <c r="C75" s="1"/>
    </row>
    <row r="76" spans="1:3" x14ac:dyDescent="0.25">
      <c r="B76" s="1"/>
      <c r="C76" s="1"/>
    </row>
    <row r="77" spans="1:3" x14ac:dyDescent="0.25">
      <c r="B77" s="1"/>
      <c r="C77" s="1"/>
    </row>
    <row r="78" spans="1:3" x14ac:dyDescent="0.25">
      <c r="B78" s="1"/>
      <c r="C78" s="1"/>
    </row>
    <row r="79" spans="1:3" x14ac:dyDescent="0.25">
      <c r="A79" s="4" t="s">
        <v>76</v>
      </c>
      <c r="B79" s="1"/>
      <c r="C79" s="1"/>
    </row>
    <row r="80" spans="1:3" x14ac:dyDescent="0.25">
      <c r="B80" s="1"/>
      <c r="C80" s="1"/>
    </row>
    <row r="81" spans="1:28" x14ac:dyDescent="0.25">
      <c r="A81">
        <v>8</v>
      </c>
      <c r="B81">
        <v>6.2818525945977033E-2</v>
      </c>
      <c r="C81">
        <v>5.750727568726674E-2</v>
      </c>
      <c r="D81">
        <f t="shared" ref="D81:D92" si="5">C81-B81</f>
        <v>-5.3112502587102928E-3</v>
      </c>
      <c r="E81">
        <f t="shared" ref="E81:E92" si="6">SIGN((C81-B81))</f>
        <v>-1</v>
      </c>
      <c r="F81">
        <f t="shared" ref="F81:F92" si="7">ABS((C81-B81))</f>
        <v>5.3112502587102928E-3</v>
      </c>
      <c r="G81">
        <v>1</v>
      </c>
      <c r="H81">
        <f>E81*G81</f>
        <v>-1</v>
      </c>
      <c r="I81">
        <f>IF(E81&gt;0,G81,0)</f>
        <v>0</v>
      </c>
      <c r="J81">
        <f>IF(E81&lt;0,G81,0)</f>
        <v>1</v>
      </c>
      <c r="Q81">
        <v>4</v>
      </c>
      <c r="R81">
        <v>-0.40849354720971998</v>
      </c>
      <c r="S81">
        <v>-0.39585778186847442</v>
      </c>
      <c r="T81">
        <f t="shared" ref="T81:T92" si="8">S81-R81</f>
        <v>1.2635765341245553E-2</v>
      </c>
      <c r="U81">
        <f t="shared" ref="U81:U92" si="9">SIGN((S81-R81))</f>
        <v>1</v>
      </c>
      <c r="V81">
        <f t="shared" ref="V81:V92" si="10">ABS((S81-R81))</f>
        <v>1.2635765341245553E-2</v>
      </c>
      <c r="W81">
        <v>1</v>
      </c>
      <c r="X81">
        <f>U81*W81</f>
        <v>1</v>
      </c>
      <c r="Y81">
        <f>IF(U81&gt;0,W81,0)</f>
        <v>1</v>
      </c>
      <c r="Z81">
        <f>IF(U81&lt;0,W81,0)</f>
        <v>0</v>
      </c>
    </row>
    <row r="82" spans="1:28" x14ac:dyDescent="0.25">
      <c r="A82">
        <v>4</v>
      </c>
      <c r="B82">
        <v>0.3903969830214763</v>
      </c>
      <c r="C82">
        <v>0.40192240657005224</v>
      </c>
      <c r="D82">
        <f t="shared" si="5"/>
        <v>1.1525423548575942E-2</v>
      </c>
      <c r="E82">
        <f t="shared" si="6"/>
        <v>1</v>
      </c>
      <c r="F82">
        <f t="shared" si="7"/>
        <v>1.1525423548575942E-2</v>
      </c>
      <c r="G82">
        <v>2</v>
      </c>
      <c r="H82">
        <f t="shared" ref="H82:H92" si="11">E82*G82</f>
        <v>2</v>
      </c>
      <c r="I82">
        <f t="shared" ref="I82:I92" si="12">IF(E82&gt;0,G82,0)</f>
        <v>2</v>
      </c>
      <c r="J82">
        <f t="shared" ref="J82:J92" si="13">IF(E82&lt;0,G82,0)</f>
        <v>0</v>
      </c>
      <c r="Q82">
        <v>2</v>
      </c>
      <c r="R82">
        <v>-0.4449257664933538</v>
      </c>
      <c r="S82">
        <v>-0.42918670682408738</v>
      </c>
      <c r="T82">
        <f t="shared" si="8"/>
        <v>1.573905966926642E-2</v>
      </c>
      <c r="U82">
        <f t="shared" si="9"/>
        <v>1</v>
      </c>
      <c r="V82">
        <f t="shared" si="10"/>
        <v>1.573905966926642E-2</v>
      </c>
      <c r="W82">
        <v>2</v>
      </c>
      <c r="X82">
        <f t="shared" ref="X82:X92" si="14">U82*W82</f>
        <v>2</v>
      </c>
      <c r="Y82">
        <f t="shared" ref="Y82:Y92" si="15">IF(U82&gt;0,W82,0)</f>
        <v>2</v>
      </c>
      <c r="Z82">
        <f t="shared" ref="Z82:Z92" si="16">IF(U82&lt;0,W82,0)</f>
        <v>0</v>
      </c>
    </row>
    <row r="83" spans="1:28" x14ac:dyDescent="0.25">
      <c r="A83">
        <v>11</v>
      </c>
      <c r="B83">
        <v>8.6753896902089345E-2</v>
      </c>
      <c r="C83">
        <v>9.9826857425180271E-2</v>
      </c>
      <c r="D83">
        <f t="shared" si="5"/>
        <v>1.3072960523090926E-2</v>
      </c>
      <c r="E83">
        <f t="shared" si="6"/>
        <v>1</v>
      </c>
      <c r="F83">
        <f t="shared" si="7"/>
        <v>1.3072960523090926E-2</v>
      </c>
      <c r="G83">
        <v>3</v>
      </c>
      <c r="H83">
        <f t="shared" si="11"/>
        <v>3</v>
      </c>
      <c r="I83">
        <f t="shared" si="12"/>
        <v>3</v>
      </c>
      <c r="J83">
        <f t="shared" si="13"/>
        <v>0</v>
      </c>
      <c r="Q83">
        <v>8</v>
      </c>
      <c r="R83">
        <v>-1.2019122586576521</v>
      </c>
      <c r="S83">
        <v>-1.2402772059027372</v>
      </c>
      <c r="T83">
        <f t="shared" si="8"/>
        <v>-3.8364947245085101E-2</v>
      </c>
      <c r="U83">
        <f t="shared" si="9"/>
        <v>-1</v>
      </c>
      <c r="V83">
        <f t="shared" si="10"/>
        <v>3.8364947245085101E-2</v>
      </c>
      <c r="W83">
        <v>3</v>
      </c>
      <c r="X83">
        <f t="shared" si="14"/>
        <v>-3</v>
      </c>
      <c r="Y83">
        <f t="shared" si="15"/>
        <v>0</v>
      </c>
      <c r="Z83">
        <f t="shared" si="16"/>
        <v>3</v>
      </c>
    </row>
    <row r="84" spans="1:28" x14ac:dyDescent="0.25">
      <c r="A84">
        <v>2</v>
      </c>
      <c r="B84">
        <v>0.35898329004365659</v>
      </c>
      <c r="C84">
        <v>0.37223164635862283</v>
      </c>
      <c r="D84">
        <f t="shared" si="5"/>
        <v>1.3248356314966236E-2</v>
      </c>
      <c r="E84">
        <f t="shared" si="6"/>
        <v>1</v>
      </c>
      <c r="F84">
        <f t="shared" si="7"/>
        <v>1.3248356314966236E-2</v>
      </c>
      <c r="G84">
        <v>4</v>
      </c>
      <c r="H84">
        <f t="shared" si="11"/>
        <v>4</v>
      </c>
      <c r="I84">
        <f t="shared" si="12"/>
        <v>4</v>
      </c>
      <c r="J84">
        <f t="shared" si="13"/>
        <v>0</v>
      </c>
      <c r="Q84">
        <v>11</v>
      </c>
      <c r="R84">
        <v>-1.0617110080061056</v>
      </c>
      <c r="S84">
        <v>-1.000752600372276</v>
      </c>
      <c r="T84">
        <f t="shared" si="8"/>
        <v>6.0958407633829648E-2</v>
      </c>
      <c r="U84">
        <f t="shared" si="9"/>
        <v>1</v>
      </c>
      <c r="V84">
        <f t="shared" si="10"/>
        <v>6.0958407633829648E-2</v>
      </c>
      <c r="W84">
        <v>4</v>
      </c>
      <c r="X84">
        <f t="shared" si="14"/>
        <v>4</v>
      </c>
      <c r="Y84">
        <f t="shared" si="15"/>
        <v>4</v>
      </c>
      <c r="Z84">
        <f t="shared" si="16"/>
        <v>0</v>
      </c>
    </row>
    <row r="85" spans="1:28" x14ac:dyDescent="0.25">
      <c r="A85">
        <v>12</v>
      </c>
      <c r="B85">
        <v>4.7281853392340811E-2</v>
      </c>
      <c r="C85">
        <v>6.0623337463279345E-2</v>
      </c>
      <c r="D85">
        <f t="shared" si="5"/>
        <v>1.3341484070938534E-2</v>
      </c>
      <c r="E85">
        <f t="shared" si="6"/>
        <v>1</v>
      </c>
      <c r="F85">
        <f t="shared" si="7"/>
        <v>1.3341484070938534E-2</v>
      </c>
      <c r="G85">
        <v>5</v>
      </c>
      <c r="H85">
        <f t="shared" si="11"/>
        <v>5</v>
      </c>
      <c r="I85">
        <f t="shared" si="12"/>
        <v>5</v>
      </c>
      <c r="J85">
        <f t="shared" si="13"/>
        <v>0</v>
      </c>
      <c r="Q85">
        <v>6</v>
      </c>
      <c r="R85">
        <v>-0.89456795748766116</v>
      </c>
      <c r="S85">
        <v>-0.98521564989192045</v>
      </c>
      <c r="T85">
        <f t="shared" si="8"/>
        <v>-9.0647692404259295E-2</v>
      </c>
      <c r="U85">
        <f t="shared" si="9"/>
        <v>-1</v>
      </c>
      <c r="V85">
        <f t="shared" si="10"/>
        <v>9.0647692404259295E-2</v>
      </c>
      <c r="W85">
        <v>5</v>
      </c>
      <c r="X85">
        <f t="shared" si="14"/>
        <v>-5</v>
      </c>
      <c r="Y85">
        <f t="shared" si="15"/>
        <v>0</v>
      </c>
      <c r="Z85">
        <f t="shared" si="16"/>
        <v>5</v>
      </c>
    </row>
    <row r="86" spans="1:28" x14ac:dyDescent="0.25">
      <c r="A86">
        <v>6</v>
      </c>
      <c r="B86">
        <v>0.12747706109106227</v>
      </c>
      <c r="C86">
        <v>0.1034628292125131</v>
      </c>
      <c r="D86">
        <f t="shared" si="5"/>
        <v>-2.4014231878549175E-2</v>
      </c>
      <c r="E86">
        <f t="shared" si="6"/>
        <v>-1</v>
      </c>
      <c r="F86">
        <f t="shared" si="7"/>
        <v>2.4014231878549175E-2</v>
      </c>
      <c r="G86">
        <v>6</v>
      </c>
      <c r="H86">
        <f t="shared" si="11"/>
        <v>-6</v>
      </c>
      <c r="I86">
        <f t="shared" si="12"/>
        <v>0</v>
      </c>
      <c r="J86">
        <f t="shared" si="13"/>
        <v>6</v>
      </c>
      <c r="Q86">
        <v>12</v>
      </c>
      <c r="R86">
        <v>-1.3253055079666849</v>
      </c>
      <c r="S86">
        <v>-1.2173601583348206</v>
      </c>
      <c r="T86">
        <f t="shared" si="8"/>
        <v>0.10794534963186431</v>
      </c>
      <c r="U86">
        <f t="shared" si="9"/>
        <v>1</v>
      </c>
      <c r="V86">
        <f t="shared" si="10"/>
        <v>0.10794534963186431</v>
      </c>
      <c r="W86">
        <v>6</v>
      </c>
      <c r="X86">
        <f t="shared" si="14"/>
        <v>6</v>
      </c>
      <c r="Y86">
        <f t="shared" si="15"/>
        <v>6</v>
      </c>
      <c r="Z86">
        <f t="shared" si="16"/>
        <v>0</v>
      </c>
    </row>
    <row r="87" spans="1:28" x14ac:dyDescent="0.25">
      <c r="A87">
        <v>9</v>
      </c>
      <c r="B87">
        <v>7.3691949088990127E-2</v>
      </c>
      <c r="C87">
        <v>0.10027767944572984</v>
      </c>
      <c r="D87">
        <f t="shared" si="5"/>
        <v>2.6585730356739709E-2</v>
      </c>
      <c r="E87">
        <f t="shared" si="6"/>
        <v>1</v>
      </c>
      <c r="F87">
        <f t="shared" si="7"/>
        <v>2.6585730356739709E-2</v>
      </c>
      <c r="G87">
        <v>7</v>
      </c>
      <c r="H87">
        <f t="shared" si="11"/>
        <v>7</v>
      </c>
      <c r="I87">
        <f t="shared" si="12"/>
        <v>7</v>
      </c>
      <c r="J87">
        <f t="shared" si="13"/>
        <v>0</v>
      </c>
      <c r="Q87">
        <v>7</v>
      </c>
      <c r="R87">
        <v>-0.77342542785205171</v>
      </c>
      <c r="S87">
        <v>-0.88213749039383516</v>
      </c>
      <c r="T87">
        <f t="shared" si="8"/>
        <v>-0.10871206254178345</v>
      </c>
      <c r="U87">
        <f t="shared" si="9"/>
        <v>-1</v>
      </c>
      <c r="V87">
        <f t="shared" si="10"/>
        <v>0.10871206254178345</v>
      </c>
      <c r="W87">
        <v>7</v>
      </c>
      <c r="X87">
        <f t="shared" si="14"/>
        <v>-7</v>
      </c>
      <c r="Y87">
        <f t="shared" si="15"/>
        <v>0</v>
      </c>
      <c r="Z87">
        <f t="shared" si="16"/>
        <v>7</v>
      </c>
    </row>
    <row r="88" spans="1:28" x14ac:dyDescent="0.25">
      <c r="A88">
        <v>7</v>
      </c>
      <c r="B88">
        <v>0.16849017142470568</v>
      </c>
      <c r="C88">
        <v>0.13117845441545559</v>
      </c>
      <c r="D88">
        <f t="shared" si="5"/>
        <v>-3.7311717009250095E-2</v>
      </c>
      <c r="E88">
        <f t="shared" si="6"/>
        <v>-1</v>
      </c>
      <c r="F88">
        <f t="shared" si="7"/>
        <v>3.7311717009250095E-2</v>
      </c>
      <c r="G88">
        <v>8</v>
      </c>
      <c r="H88">
        <f t="shared" si="11"/>
        <v>-8</v>
      </c>
      <c r="I88">
        <f t="shared" si="12"/>
        <v>0</v>
      </c>
      <c r="J88">
        <f t="shared" si="13"/>
        <v>8</v>
      </c>
      <c r="Q88">
        <v>9</v>
      </c>
      <c r="R88">
        <v>-1.1325799566079084</v>
      </c>
      <c r="S88">
        <v>-0.99879572472953049</v>
      </c>
      <c r="T88">
        <f t="shared" si="8"/>
        <v>0.13378423187837796</v>
      </c>
      <c r="U88">
        <f t="shared" si="9"/>
        <v>1</v>
      </c>
      <c r="V88">
        <f t="shared" si="10"/>
        <v>0.13378423187837796</v>
      </c>
      <c r="W88">
        <v>8</v>
      </c>
      <c r="X88">
        <f t="shared" si="14"/>
        <v>8</v>
      </c>
      <c r="Y88">
        <f t="shared" si="15"/>
        <v>8</v>
      </c>
      <c r="Z88">
        <f t="shared" si="16"/>
        <v>0</v>
      </c>
    </row>
    <row r="89" spans="1:28" x14ac:dyDescent="0.25">
      <c r="A89">
        <v>5</v>
      </c>
      <c r="B89">
        <v>0.20246726893642852</v>
      </c>
      <c r="C89">
        <v>0.1467316613206574</v>
      </c>
      <c r="D89">
        <f t="shared" si="5"/>
        <v>-5.5735607615771121E-2</v>
      </c>
      <c r="E89">
        <f t="shared" si="6"/>
        <v>-1</v>
      </c>
      <c r="F89">
        <f t="shared" si="7"/>
        <v>5.5735607615771121E-2</v>
      </c>
      <c r="G89">
        <v>9</v>
      </c>
      <c r="H89">
        <f t="shared" si="11"/>
        <v>-9</v>
      </c>
      <c r="I89">
        <f t="shared" si="12"/>
        <v>0</v>
      </c>
      <c r="J89">
        <f t="shared" si="13"/>
        <v>9</v>
      </c>
      <c r="Q89">
        <v>5</v>
      </c>
      <c r="R89">
        <v>-0.69364517526034086</v>
      </c>
      <c r="S89">
        <v>-0.83347616527572743</v>
      </c>
      <c r="T89">
        <f t="shared" si="8"/>
        <v>-0.13983099001538657</v>
      </c>
      <c r="U89">
        <f t="shared" si="9"/>
        <v>-1</v>
      </c>
      <c r="V89">
        <f t="shared" si="10"/>
        <v>0.13983099001538657</v>
      </c>
      <c r="W89">
        <v>9</v>
      </c>
      <c r="X89">
        <f t="shared" si="14"/>
        <v>-9</v>
      </c>
      <c r="Y89">
        <f t="shared" si="15"/>
        <v>0</v>
      </c>
      <c r="Z89">
        <f t="shared" si="16"/>
        <v>9</v>
      </c>
    </row>
    <row r="90" spans="1:28" x14ac:dyDescent="0.25">
      <c r="A90">
        <v>10</v>
      </c>
      <c r="B90">
        <v>0.10443339202032154</v>
      </c>
      <c r="C90">
        <v>0.16154005018330084</v>
      </c>
      <c r="D90">
        <f t="shared" si="5"/>
        <v>5.7106658162979301E-2</v>
      </c>
      <c r="E90">
        <f t="shared" si="6"/>
        <v>1</v>
      </c>
      <c r="F90">
        <f t="shared" si="7"/>
        <v>5.7106658162979301E-2</v>
      </c>
      <c r="G90">
        <v>10</v>
      </c>
      <c r="H90">
        <f t="shared" si="11"/>
        <v>10</v>
      </c>
      <c r="I90">
        <f t="shared" si="12"/>
        <v>10</v>
      </c>
      <c r="J90">
        <f t="shared" si="13"/>
        <v>0</v>
      </c>
      <c r="Q90">
        <v>1</v>
      </c>
      <c r="R90">
        <v>-0.44670949762431955</v>
      </c>
      <c r="S90">
        <v>-0.60849665851167334</v>
      </c>
      <c r="T90">
        <f t="shared" si="8"/>
        <v>-0.16178716088735379</v>
      </c>
      <c r="U90">
        <f t="shared" si="9"/>
        <v>-1</v>
      </c>
      <c r="V90">
        <f t="shared" si="10"/>
        <v>0.16178716088735379</v>
      </c>
      <c r="W90">
        <v>10</v>
      </c>
      <c r="X90">
        <f t="shared" si="14"/>
        <v>-10</v>
      </c>
      <c r="Y90">
        <f t="shared" si="15"/>
        <v>0</v>
      </c>
      <c r="Z90">
        <f t="shared" si="16"/>
        <v>10</v>
      </c>
    </row>
    <row r="91" spans="1:28" x14ac:dyDescent="0.25">
      <c r="A91">
        <v>1</v>
      </c>
      <c r="B91">
        <v>0.35751190020026424</v>
      </c>
      <c r="C91">
        <v>0.24632207903337799</v>
      </c>
      <c r="D91">
        <f t="shared" si="5"/>
        <v>-0.11118982116688625</v>
      </c>
      <c r="E91">
        <f t="shared" si="6"/>
        <v>-1</v>
      </c>
      <c r="F91">
        <f t="shared" si="7"/>
        <v>0.11118982116688625</v>
      </c>
      <c r="G91">
        <v>11</v>
      </c>
      <c r="H91">
        <f t="shared" si="11"/>
        <v>-11</v>
      </c>
      <c r="I91">
        <f t="shared" si="12"/>
        <v>0</v>
      </c>
      <c r="J91">
        <f t="shared" si="13"/>
        <v>11</v>
      </c>
      <c r="Q91">
        <v>10</v>
      </c>
      <c r="R91">
        <v>-0.98116061578342828</v>
      </c>
      <c r="S91">
        <v>-0.79171978653871133</v>
      </c>
      <c r="T91">
        <f t="shared" si="8"/>
        <v>0.18944082924471695</v>
      </c>
      <c r="U91">
        <f t="shared" si="9"/>
        <v>1</v>
      </c>
      <c r="V91">
        <f t="shared" si="10"/>
        <v>0.18944082924471695</v>
      </c>
      <c r="W91">
        <v>11</v>
      </c>
      <c r="X91">
        <f t="shared" si="14"/>
        <v>11</v>
      </c>
      <c r="Y91">
        <f t="shared" si="15"/>
        <v>11</v>
      </c>
      <c r="Z91">
        <f t="shared" si="16"/>
        <v>0</v>
      </c>
    </row>
    <row r="92" spans="1:28" x14ac:dyDescent="0.25">
      <c r="A92">
        <v>3</v>
      </c>
      <c r="B92">
        <v>0.30753933820854806</v>
      </c>
      <c r="C92">
        <v>0.52445512249131243</v>
      </c>
      <c r="D92">
        <f t="shared" si="5"/>
        <v>0.21691578428276437</v>
      </c>
      <c r="E92">
        <f t="shared" si="6"/>
        <v>1</v>
      </c>
      <c r="F92">
        <f t="shared" si="7"/>
        <v>0.21691578428276437</v>
      </c>
      <c r="G92">
        <v>12</v>
      </c>
      <c r="H92">
        <f t="shared" si="11"/>
        <v>12</v>
      </c>
      <c r="I92">
        <f t="shared" si="12"/>
        <v>12</v>
      </c>
      <c r="J92">
        <f t="shared" si="13"/>
        <v>0</v>
      </c>
      <c r="Q92">
        <v>3</v>
      </c>
      <c r="R92">
        <v>-0.51209932452531426</v>
      </c>
      <c r="S92">
        <v>-0.28029166836316044</v>
      </c>
      <c r="T92">
        <f t="shared" si="8"/>
        <v>0.23180765616215382</v>
      </c>
      <c r="U92">
        <f t="shared" si="9"/>
        <v>1</v>
      </c>
      <c r="V92">
        <f t="shared" si="10"/>
        <v>0.23180765616215382</v>
      </c>
      <c r="W92">
        <v>12</v>
      </c>
      <c r="X92">
        <f t="shared" si="14"/>
        <v>12</v>
      </c>
      <c r="Y92">
        <f t="shared" si="15"/>
        <v>12</v>
      </c>
      <c r="Z92">
        <f t="shared" si="16"/>
        <v>0</v>
      </c>
    </row>
    <row r="93" spans="1:28" x14ac:dyDescent="0.25">
      <c r="A93" t="s">
        <v>75</v>
      </c>
      <c r="I93" t="s">
        <v>67</v>
      </c>
      <c r="J93" t="s">
        <v>68</v>
      </c>
      <c r="K93" t="s">
        <v>69</v>
      </c>
      <c r="Q93" t="s">
        <v>75</v>
      </c>
      <c r="Y93" t="s">
        <v>67</v>
      </c>
      <c r="Z93" t="s">
        <v>68</v>
      </c>
      <c r="AA93" t="s">
        <v>69</v>
      </c>
    </row>
    <row r="94" spans="1:28" x14ac:dyDescent="0.25">
      <c r="A94">
        <f>MAX(A81:A93)</f>
        <v>12</v>
      </c>
      <c r="I94">
        <f>SUM(I81:I92)</f>
        <v>43</v>
      </c>
      <c r="J94">
        <f>SUM(J81:J92)</f>
        <v>35</v>
      </c>
      <c r="K94">
        <f>MAX(I94:J94)</f>
        <v>43</v>
      </c>
      <c r="L94">
        <f>MIN(I94:J94)</f>
        <v>35</v>
      </c>
      <c r="Q94">
        <f>MAX(Q81:Q93)</f>
        <v>12</v>
      </c>
      <c r="Y94">
        <f>SUM(Y81:Y92)</f>
        <v>44</v>
      </c>
      <c r="Z94">
        <f>SUM(Z81:Z92)</f>
        <v>34</v>
      </c>
      <c r="AA94">
        <f>MAX(Y94:Z94)</f>
        <v>44</v>
      </c>
      <c r="AB94">
        <f>MIN(Y94:Z94)</f>
        <v>34</v>
      </c>
    </row>
    <row r="95" spans="1:28" x14ac:dyDescent="0.25">
      <c r="I95" t="s">
        <v>70</v>
      </c>
      <c r="J95" t="s">
        <v>71</v>
      </c>
      <c r="K95" t="s">
        <v>72</v>
      </c>
      <c r="Y95" t="s">
        <v>70</v>
      </c>
      <c r="Z95" t="s">
        <v>71</v>
      </c>
      <c r="AA95" t="s">
        <v>72</v>
      </c>
    </row>
    <row r="96" spans="1:28" x14ac:dyDescent="0.25">
      <c r="I96">
        <f>A94*(A94+1)/2</f>
        <v>78</v>
      </c>
      <c r="J96">
        <f>I96/2</f>
        <v>39</v>
      </c>
      <c r="K96">
        <f>SQRT(A94*(A94+1)*(2*A94+1)/24)</f>
        <v>12.747548783981962</v>
      </c>
      <c r="Y96">
        <f>Q94*(Q94+1)/2</f>
        <v>78</v>
      </c>
      <c r="Z96">
        <f>Y96/2</f>
        <v>39</v>
      </c>
      <c r="AA96">
        <f>SQRT(Q94*(Q94+1)*(2*Q94+1)/24)</f>
        <v>12.747548783981962</v>
      </c>
    </row>
    <row r="97" spans="11:28" x14ac:dyDescent="0.25">
      <c r="K97" t="s">
        <v>73</v>
      </c>
      <c r="L97" t="s">
        <v>74</v>
      </c>
      <c r="AA97" t="s">
        <v>73</v>
      </c>
      <c r="AB97" t="s">
        <v>74</v>
      </c>
    </row>
    <row r="98" spans="11:28" x14ac:dyDescent="0.25">
      <c r="K98">
        <f>(K94-J96)/K96</f>
        <v>0.31378581622109447</v>
      </c>
      <c r="L98">
        <f>(L94-J96)/K96</f>
        <v>-0.31378581622109447</v>
      </c>
      <c r="AA98">
        <f>(AA94-Z96)/AA96</f>
        <v>0.39223227027636809</v>
      </c>
      <c r="AB98">
        <f>(AB94-Z96)/AA96</f>
        <v>-0.39223227027636809</v>
      </c>
    </row>
    <row r="100" spans="11:28" x14ac:dyDescent="0.25">
      <c r="K100">
        <f>2*(1-_xlfn.NORM.S.DIST(K98,TRUE))</f>
        <v>0.75368371772615728</v>
      </c>
      <c r="L100">
        <f>2*(_xlfn.NORM.S.DIST(L98,TRUE))</f>
        <v>0.75368371772615728</v>
      </c>
      <c r="AA100">
        <f>2*(1-_xlfn.NORM.S.DIST(AA98,TRUE))</f>
        <v>0.69488660237247335</v>
      </c>
      <c r="AB100">
        <f>2*(_xlfn.NORM.S.DIST(AB98,TRUE))</f>
        <v>0.69488660237247335</v>
      </c>
    </row>
  </sheetData>
  <sortState xmlns:xlrd2="http://schemas.microsoft.com/office/spreadsheetml/2017/richdata2" ref="A81:F92">
    <sortCondition ref="F81:F9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 stats</vt:lpstr>
      <vt:lpstr>D vs PNM</vt:lpstr>
      <vt:lpstr>a vs PNM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2021-11-17T08:41:57Z</dcterms:created>
  <dcterms:modified xsi:type="dcterms:W3CDTF">2022-03-10T15:38:47Z</dcterms:modified>
</cp:coreProperties>
</file>