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0_ncr:100000_{D15EAF0E-B681-430C-904B-78E8740CF2B6}" xr6:coauthVersionLast="31" xr6:coauthVersionMax="31" xr10:uidLastSave="{00000000-0000-0000-0000-000000000000}"/>
  <bookViews>
    <workbookView xWindow="0" yWindow="0" windowWidth="20736" windowHeight="7896" xr2:uid="{0BFAEA3A-B738-4436-AFA1-0C926554849C}"/>
  </bookViews>
  <sheets>
    <sheet name="Brakedown per year " sheetId="4" r:id="rId1"/>
    <sheet name="JER " sheetId="8" r:id="rId2"/>
    <sheet name="cost and ben per result  " sheetId="5" r:id="rId3"/>
    <sheet name="NAb + Jer" sheetId="1" r:id="rId4"/>
    <sheet name="Partners Sub-Grant " sheetId="2" r:id="rId5"/>
    <sheet name="time frame" sheetId="7" r:id="rId6"/>
    <sheet name="Gaza " sheetId="10" r:id="rId7"/>
  </sheets>
  <definedNames>
    <definedName name="_xlnm._FilterDatabase" localSheetId="6" hidden="1">'Gaza '!$A$5:$V$153</definedName>
    <definedName name="_xlnm._FilterDatabase" localSheetId="1" hidden="1">'JER '!$B$2:$K$59</definedName>
    <definedName name="_xlnm._FilterDatabase" localSheetId="3" hidden="1">'NAb + Jer'!$A$4:$W$148</definedName>
    <definedName name="_xlnm._FilterDatabase" localSheetId="4" hidden="1">'Partners Sub-Grant '!#REF!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4" i="1" l="1"/>
  <c r="L28" i="1"/>
  <c r="E15" i="4"/>
  <c r="E14" i="4"/>
  <c r="E13" i="4"/>
  <c r="E6" i="4"/>
  <c r="E7" i="4"/>
  <c r="E8" i="4"/>
  <c r="E9" i="4"/>
  <c r="E10" i="4"/>
  <c r="E11" i="4"/>
  <c r="E5" i="4"/>
  <c r="Q132" i="10" l="1"/>
  <c r="K23" i="5" l="1"/>
  <c r="D26" i="5"/>
  <c r="G12" i="4"/>
  <c r="G5" i="4"/>
  <c r="U153" i="10"/>
  <c r="V153" i="10" s="1"/>
  <c r="V152" i="10" s="1"/>
  <c r="N153" i="10"/>
  <c r="O153" i="10" s="1"/>
  <c r="G153" i="10"/>
  <c r="N151" i="10"/>
  <c r="O151" i="10" s="1"/>
  <c r="N150" i="10"/>
  <c r="O150" i="10" s="1"/>
  <c r="O149" i="10"/>
  <c r="N149" i="10"/>
  <c r="U148" i="10"/>
  <c r="V148" i="10" s="1"/>
  <c r="V147" i="10" s="1"/>
  <c r="N148" i="10"/>
  <c r="O148" i="10" s="1"/>
  <c r="H148" i="10"/>
  <c r="G147" i="10"/>
  <c r="H147" i="10" s="1"/>
  <c r="U146" i="10"/>
  <c r="V146" i="10" s="1"/>
  <c r="N146" i="10"/>
  <c r="O146" i="10" s="1"/>
  <c r="G146" i="10"/>
  <c r="U145" i="10"/>
  <c r="V145" i="10" s="1"/>
  <c r="N145" i="10"/>
  <c r="O145" i="10" s="1"/>
  <c r="G145" i="10"/>
  <c r="U144" i="10"/>
  <c r="V144" i="10" s="1"/>
  <c r="N144" i="10"/>
  <c r="O144" i="10" s="1"/>
  <c r="U143" i="10"/>
  <c r="V143" i="10" s="1"/>
  <c r="N143" i="10"/>
  <c r="O143" i="10" s="1"/>
  <c r="U142" i="10"/>
  <c r="V142" i="10" s="1"/>
  <c r="N142" i="10"/>
  <c r="O142" i="10" s="1"/>
  <c r="U141" i="10"/>
  <c r="V141" i="10" s="1"/>
  <c r="N141" i="10"/>
  <c r="O141" i="10" s="1"/>
  <c r="H141" i="10"/>
  <c r="N140" i="10"/>
  <c r="G140" i="10"/>
  <c r="H140" i="10" s="1"/>
  <c r="U139" i="10"/>
  <c r="V139" i="10" s="1"/>
  <c r="N139" i="10"/>
  <c r="O139" i="10" s="1"/>
  <c r="W139" i="10" s="1"/>
  <c r="U138" i="10"/>
  <c r="V138" i="10" s="1"/>
  <c r="N138" i="10"/>
  <c r="O138" i="10" s="1"/>
  <c r="W138" i="10" s="1"/>
  <c r="H138" i="10"/>
  <c r="N137" i="10"/>
  <c r="G137" i="10"/>
  <c r="H137" i="10" s="1"/>
  <c r="U136" i="10"/>
  <c r="V136" i="10" s="1"/>
  <c r="N136" i="10"/>
  <c r="O136" i="10" s="1"/>
  <c r="U135" i="10"/>
  <c r="V135" i="10" s="1"/>
  <c r="N135" i="10"/>
  <c r="O135" i="10" s="1"/>
  <c r="U134" i="10"/>
  <c r="V134" i="10" s="1"/>
  <c r="N134" i="10"/>
  <c r="O134" i="10" s="1"/>
  <c r="H134" i="10"/>
  <c r="G133" i="10"/>
  <c r="H133" i="10" s="1"/>
  <c r="U132" i="10"/>
  <c r="V132" i="10" s="1"/>
  <c r="V131" i="10" s="1"/>
  <c r="D27" i="5" s="1"/>
  <c r="N132" i="10"/>
  <c r="O132" i="10" s="1"/>
  <c r="G132" i="10"/>
  <c r="H132" i="10" s="1"/>
  <c r="G131" i="10"/>
  <c r="U130" i="10"/>
  <c r="V130" i="10" s="1"/>
  <c r="V129" i="10" s="1"/>
  <c r="N130" i="10"/>
  <c r="O130" i="10" s="1"/>
  <c r="W130" i="10" s="1"/>
  <c r="W129" i="10" s="1"/>
  <c r="G130" i="10"/>
  <c r="G129" i="10" s="1"/>
  <c r="Q128" i="10"/>
  <c r="U128" i="10" s="1"/>
  <c r="V128" i="10" s="1"/>
  <c r="N128" i="10"/>
  <c r="O128" i="10" s="1"/>
  <c r="W128" i="10" s="1"/>
  <c r="U127" i="10"/>
  <c r="V127" i="10" s="1"/>
  <c r="Q127" i="10"/>
  <c r="N127" i="10"/>
  <c r="O127" i="10" s="1"/>
  <c r="Q126" i="10"/>
  <c r="U126" i="10" s="1"/>
  <c r="V126" i="10" s="1"/>
  <c r="N126" i="10"/>
  <c r="O126" i="10" s="1"/>
  <c r="U125" i="10"/>
  <c r="V125" i="10" s="1"/>
  <c r="Q125" i="10"/>
  <c r="N125" i="10"/>
  <c r="O125" i="10" s="1"/>
  <c r="U124" i="10"/>
  <c r="V124" i="10" s="1"/>
  <c r="Q124" i="10"/>
  <c r="N124" i="10"/>
  <c r="O124" i="10" s="1"/>
  <c r="N123" i="10"/>
  <c r="G123" i="10"/>
  <c r="H123" i="10" s="1"/>
  <c r="Q122" i="10"/>
  <c r="U122" i="10" s="1"/>
  <c r="V122" i="10" s="1"/>
  <c r="N122" i="10"/>
  <c r="O122" i="10" s="1"/>
  <c r="W122" i="10" s="1"/>
  <c r="Q121" i="10"/>
  <c r="U121" i="10" s="1"/>
  <c r="V121" i="10" s="1"/>
  <c r="N121" i="10"/>
  <c r="O121" i="10" s="1"/>
  <c r="U120" i="10"/>
  <c r="V120" i="10" s="1"/>
  <c r="Q120" i="10"/>
  <c r="N120" i="10"/>
  <c r="O120" i="10" s="1"/>
  <c r="Q119" i="10"/>
  <c r="U119" i="10" s="1"/>
  <c r="V119" i="10" s="1"/>
  <c r="N119" i="10"/>
  <c r="O119" i="10" s="1"/>
  <c r="W119" i="10" s="1"/>
  <c r="U118" i="10"/>
  <c r="V118" i="10" s="1"/>
  <c r="Q118" i="10"/>
  <c r="N118" i="10"/>
  <c r="O118" i="10" s="1"/>
  <c r="Q117" i="10"/>
  <c r="U117" i="10" s="1"/>
  <c r="V117" i="10" s="1"/>
  <c r="O117" i="10"/>
  <c r="N117" i="10"/>
  <c r="G117" i="10"/>
  <c r="N116" i="10"/>
  <c r="U115" i="10"/>
  <c r="V115" i="10" s="1"/>
  <c r="W115" i="10" s="1"/>
  <c r="Q115" i="10"/>
  <c r="U114" i="10"/>
  <c r="V114" i="10" s="1"/>
  <c r="W114" i="10" s="1"/>
  <c r="Q114" i="10"/>
  <c r="Q113" i="10"/>
  <c r="U113" i="10" s="1"/>
  <c r="V113" i="10" s="1"/>
  <c r="W113" i="10" s="1"/>
  <c r="Q112" i="10"/>
  <c r="U112" i="10" s="1"/>
  <c r="V112" i="10" s="1"/>
  <c r="W112" i="10" s="1"/>
  <c r="U111" i="10"/>
  <c r="V111" i="10" s="1"/>
  <c r="Q111" i="10"/>
  <c r="N111" i="10"/>
  <c r="O111" i="10" s="1"/>
  <c r="Q110" i="10"/>
  <c r="U110" i="10" s="1"/>
  <c r="V110" i="10" s="1"/>
  <c r="N110" i="10"/>
  <c r="O110" i="10" s="1"/>
  <c r="U109" i="10"/>
  <c r="V109" i="10" s="1"/>
  <c r="Q109" i="10"/>
  <c r="N109" i="10"/>
  <c r="O109" i="10" s="1"/>
  <c r="G108" i="10"/>
  <c r="H108" i="10" s="1"/>
  <c r="U107" i="10"/>
  <c r="V107" i="10" s="1"/>
  <c r="Q107" i="10"/>
  <c r="N107" i="10"/>
  <c r="O107" i="10" s="1"/>
  <c r="Q106" i="10"/>
  <c r="U106" i="10" s="1"/>
  <c r="V106" i="10" s="1"/>
  <c r="N106" i="10"/>
  <c r="O106" i="10" s="1"/>
  <c r="U105" i="10"/>
  <c r="V105" i="10" s="1"/>
  <c r="Q105" i="10"/>
  <c r="N105" i="10"/>
  <c r="O105" i="10" s="1"/>
  <c r="Q104" i="10"/>
  <c r="U104" i="10" s="1"/>
  <c r="V104" i="10" s="1"/>
  <c r="N104" i="10"/>
  <c r="O104" i="10" s="1"/>
  <c r="U103" i="10"/>
  <c r="V103" i="10" s="1"/>
  <c r="Q103" i="10"/>
  <c r="N103" i="10"/>
  <c r="O103" i="10" s="1"/>
  <c r="Q102" i="10"/>
  <c r="U102" i="10" s="1"/>
  <c r="V102" i="10" s="1"/>
  <c r="N102" i="10"/>
  <c r="O102" i="10" s="1"/>
  <c r="G102" i="10"/>
  <c r="H102" i="10" s="1"/>
  <c r="N101" i="10"/>
  <c r="Q100" i="10"/>
  <c r="U100" i="10" s="1"/>
  <c r="V100" i="10" s="1"/>
  <c r="N100" i="10"/>
  <c r="O100" i="10" s="1"/>
  <c r="Q99" i="10"/>
  <c r="U99" i="10" s="1"/>
  <c r="V99" i="10" s="1"/>
  <c r="N99" i="10"/>
  <c r="O99" i="10" s="1"/>
  <c r="Q98" i="10"/>
  <c r="U98" i="10" s="1"/>
  <c r="V98" i="10" s="1"/>
  <c r="N98" i="10"/>
  <c r="O98" i="10" s="1"/>
  <c r="Q97" i="10"/>
  <c r="U97" i="10" s="1"/>
  <c r="V97" i="10" s="1"/>
  <c r="N97" i="10"/>
  <c r="O97" i="10" s="1"/>
  <c r="Q96" i="10"/>
  <c r="U96" i="10" s="1"/>
  <c r="V96" i="10" s="1"/>
  <c r="N96" i="10"/>
  <c r="O96" i="10" s="1"/>
  <c r="N95" i="10"/>
  <c r="G95" i="10"/>
  <c r="H95" i="10" s="1"/>
  <c r="Q94" i="10"/>
  <c r="U94" i="10" s="1"/>
  <c r="V94" i="10" s="1"/>
  <c r="N94" i="10"/>
  <c r="O94" i="10" s="1"/>
  <c r="Q93" i="10"/>
  <c r="U93" i="10" s="1"/>
  <c r="V93" i="10" s="1"/>
  <c r="N93" i="10"/>
  <c r="O93" i="10" s="1"/>
  <c r="Q92" i="10"/>
  <c r="U92" i="10" s="1"/>
  <c r="V92" i="10" s="1"/>
  <c r="N92" i="10"/>
  <c r="O92" i="10" s="1"/>
  <c r="U91" i="10"/>
  <c r="V91" i="10" s="1"/>
  <c r="W91" i="10" s="1"/>
  <c r="N91" i="10"/>
  <c r="O91" i="10" s="1"/>
  <c r="Q90" i="10"/>
  <c r="U90" i="10" s="1"/>
  <c r="V90" i="10" s="1"/>
  <c r="N90" i="10"/>
  <c r="O90" i="10" s="1"/>
  <c r="O89" i="10" s="1"/>
  <c r="G89" i="10"/>
  <c r="H89" i="10" s="1"/>
  <c r="Q88" i="10"/>
  <c r="U88" i="10" s="1"/>
  <c r="V88" i="10" s="1"/>
  <c r="N88" i="10"/>
  <c r="O88" i="10" s="1"/>
  <c r="U87" i="10"/>
  <c r="V87" i="10" s="1"/>
  <c r="Q87" i="10"/>
  <c r="N87" i="10"/>
  <c r="O87" i="10" s="1"/>
  <c r="Q86" i="10"/>
  <c r="U86" i="10" s="1"/>
  <c r="V86" i="10" s="1"/>
  <c r="N86" i="10"/>
  <c r="O86" i="10" s="1"/>
  <c r="V85" i="10"/>
  <c r="Q85" i="10"/>
  <c r="U85" i="10" s="1"/>
  <c r="N85" i="10"/>
  <c r="O85" i="10" s="1"/>
  <c r="N84" i="10"/>
  <c r="H84" i="10"/>
  <c r="G84" i="10"/>
  <c r="U83" i="10"/>
  <c r="V83" i="10" s="1"/>
  <c r="V82" i="10" s="1"/>
  <c r="D16" i="5" s="1"/>
  <c r="Q83" i="10"/>
  <c r="N83" i="10"/>
  <c r="O83" i="10" s="1"/>
  <c r="O82" i="10" s="1"/>
  <c r="G83" i="10"/>
  <c r="G82" i="10" s="1"/>
  <c r="H82" i="10" s="1"/>
  <c r="Q81" i="10"/>
  <c r="U81" i="10" s="1"/>
  <c r="V81" i="10" s="1"/>
  <c r="N81" i="10"/>
  <c r="O81" i="10" s="1"/>
  <c r="W81" i="10" s="1"/>
  <c r="U80" i="10"/>
  <c r="V80" i="10" s="1"/>
  <c r="Q80" i="10"/>
  <c r="N80" i="10"/>
  <c r="O80" i="10" s="1"/>
  <c r="Q79" i="10"/>
  <c r="U79" i="10" s="1"/>
  <c r="V79" i="10" s="1"/>
  <c r="O79" i="10"/>
  <c r="N79" i="10"/>
  <c r="U78" i="10"/>
  <c r="V78" i="10" s="1"/>
  <c r="Q78" i="10"/>
  <c r="N78" i="10"/>
  <c r="O78" i="10" s="1"/>
  <c r="G78" i="10"/>
  <c r="G77" i="10" s="1"/>
  <c r="H77" i="10" s="1"/>
  <c r="Z77" i="10"/>
  <c r="U76" i="10"/>
  <c r="V76" i="10" s="1"/>
  <c r="N76" i="10"/>
  <c r="O76" i="10" s="1"/>
  <c r="Q75" i="10"/>
  <c r="U75" i="10" s="1"/>
  <c r="V75" i="10" s="1"/>
  <c r="N75" i="10"/>
  <c r="O75" i="10" s="1"/>
  <c r="G75" i="10"/>
  <c r="Q74" i="10"/>
  <c r="U74" i="10" s="1"/>
  <c r="V74" i="10" s="1"/>
  <c r="N74" i="10"/>
  <c r="O74" i="10" s="1"/>
  <c r="G74" i="10"/>
  <c r="Q72" i="10"/>
  <c r="U72" i="10" s="1"/>
  <c r="V72" i="10" s="1"/>
  <c r="N72" i="10"/>
  <c r="O72" i="10" s="1"/>
  <c r="Q71" i="10"/>
  <c r="U71" i="10" s="1"/>
  <c r="V71" i="10" s="1"/>
  <c r="N71" i="10"/>
  <c r="O71" i="10" s="1"/>
  <c r="G71" i="10"/>
  <c r="Q69" i="10"/>
  <c r="U69" i="10" s="1"/>
  <c r="V69" i="10" s="1"/>
  <c r="V68" i="10" s="1"/>
  <c r="D12" i="5" s="1"/>
  <c r="N69" i="10"/>
  <c r="O69" i="10" s="1"/>
  <c r="G69" i="10"/>
  <c r="G68" i="10" s="1"/>
  <c r="H68" i="10" s="1"/>
  <c r="AA68" i="10"/>
  <c r="Q67" i="10"/>
  <c r="U67" i="10" s="1"/>
  <c r="V67" i="10" s="1"/>
  <c r="O67" i="10"/>
  <c r="W67" i="10" s="1"/>
  <c r="N67" i="10"/>
  <c r="U66" i="10"/>
  <c r="V66" i="10" s="1"/>
  <c r="Q66" i="10"/>
  <c r="N66" i="10"/>
  <c r="O66" i="10" s="1"/>
  <c r="W66" i="10" s="1"/>
  <c r="G66" i="10"/>
  <c r="H66" i="10" s="1"/>
  <c r="Q65" i="10"/>
  <c r="U65" i="10" s="1"/>
  <c r="V65" i="10" s="1"/>
  <c r="N65" i="10"/>
  <c r="O65" i="10" s="1"/>
  <c r="H65" i="10"/>
  <c r="G65" i="10"/>
  <c r="U64" i="10"/>
  <c r="V64" i="10" s="1"/>
  <c r="Q64" i="10"/>
  <c r="N64" i="10"/>
  <c r="O64" i="10" s="1"/>
  <c r="G64" i="10"/>
  <c r="Q63" i="10"/>
  <c r="U63" i="10" s="1"/>
  <c r="V63" i="10" s="1"/>
  <c r="N63" i="10"/>
  <c r="O63" i="10" s="1"/>
  <c r="H63" i="10"/>
  <c r="G63" i="10"/>
  <c r="Q61" i="10"/>
  <c r="U61" i="10" s="1"/>
  <c r="V61" i="10" s="1"/>
  <c r="V60" i="10" s="1"/>
  <c r="D9" i="5" s="1"/>
  <c r="N61" i="10"/>
  <c r="O61" i="10" s="1"/>
  <c r="G61" i="10"/>
  <c r="H61" i="10" s="1"/>
  <c r="Q59" i="10"/>
  <c r="U59" i="10" s="1"/>
  <c r="V59" i="10" s="1"/>
  <c r="V58" i="10" s="1"/>
  <c r="D8" i="5" s="1"/>
  <c r="N59" i="10"/>
  <c r="O59" i="10" s="1"/>
  <c r="O58" i="10" s="1"/>
  <c r="G59" i="10"/>
  <c r="H59" i="10" s="1"/>
  <c r="Q57" i="10"/>
  <c r="U57" i="10" s="1"/>
  <c r="V57" i="10" s="1"/>
  <c r="W57" i="10" s="1"/>
  <c r="Q56" i="10"/>
  <c r="U56" i="10" s="1"/>
  <c r="V56" i="10" s="1"/>
  <c r="W56" i="10" s="1"/>
  <c r="U55" i="10"/>
  <c r="V55" i="10" s="1"/>
  <c r="O54" i="10"/>
  <c r="G54" i="10"/>
  <c r="H54" i="10" s="1"/>
  <c r="U53" i="10"/>
  <c r="V53" i="10" s="1"/>
  <c r="V52" i="10" s="1"/>
  <c r="D6" i="5" s="1"/>
  <c r="O53" i="10"/>
  <c r="N53" i="10"/>
  <c r="G53" i="10"/>
  <c r="H53" i="10" s="1"/>
  <c r="H51" i="10"/>
  <c r="Q50" i="10"/>
  <c r="U50" i="10" s="1"/>
  <c r="V50" i="10" s="1"/>
  <c r="W50" i="10" s="1"/>
  <c r="U49" i="10"/>
  <c r="V49" i="10" s="1"/>
  <c r="N49" i="10"/>
  <c r="O49" i="10" s="1"/>
  <c r="H49" i="10"/>
  <c r="V48" i="10"/>
  <c r="V47" i="10" s="1"/>
  <c r="G10" i="4" s="1"/>
  <c r="U48" i="10"/>
  <c r="N48" i="10"/>
  <c r="O48" i="10" s="1"/>
  <c r="H48" i="10"/>
  <c r="H47" i="10"/>
  <c r="G47" i="10"/>
  <c r="U46" i="10"/>
  <c r="V46" i="10" s="1"/>
  <c r="N46" i="10"/>
  <c r="O46" i="10" s="1"/>
  <c r="G46" i="10"/>
  <c r="H46" i="10" s="1"/>
  <c r="U45" i="10"/>
  <c r="V45" i="10" s="1"/>
  <c r="N45" i="10"/>
  <c r="O45" i="10" s="1"/>
  <c r="G45" i="10"/>
  <c r="H45" i="10" s="1"/>
  <c r="U44" i="10"/>
  <c r="V44" i="10" s="1"/>
  <c r="N44" i="10"/>
  <c r="O44" i="10" s="1"/>
  <c r="G44" i="10"/>
  <c r="H44" i="10" s="1"/>
  <c r="U43" i="10"/>
  <c r="V43" i="10" s="1"/>
  <c r="N43" i="10"/>
  <c r="O43" i="10" s="1"/>
  <c r="G43" i="10"/>
  <c r="H43" i="10" s="1"/>
  <c r="U42" i="10"/>
  <c r="V42" i="10" s="1"/>
  <c r="N42" i="10"/>
  <c r="O42" i="10" s="1"/>
  <c r="G42" i="10"/>
  <c r="H42" i="10" s="1"/>
  <c r="U41" i="10"/>
  <c r="V41" i="10" s="1"/>
  <c r="N41" i="10"/>
  <c r="O41" i="10" s="1"/>
  <c r="G41" i="10"/>
  <c r="U40" i="10"/>
  <c r="V40" i="10" s="1"/>
  <c r="N40" i="10"/>
  <c r="O40" i="10" s="1"/>
  <c r="G40" i="10"/>
  <c r="H40" i="10" s="1"/>
  <c r="U39" i="10"/>
  <c r="V39" i="10" s="1"/>
  <c r="N39" i="10"/>
  <c r="O39" i="10" s="1"/>
  <c r="G39" i="10"/>
  <c r="H39" i="10" s="1"/>
  <c r="U37" i="10"/>
  <c r="V37" i="10" s="1"/>
  <c r="N37" i="10"/>
  <c r="O37" i="10" s="1"/>
  <c r="U36" i="10"/>
  <c r="V36" i="10" s="1"/>
  <c r="N36" i="10"/>
  <c r="O36" i="10" s="1"/>
  <c r="W36" i="10" s="1"/>
  <c r="U35" i="10"/>
  <c r="V35" i="10" s="1"/>
  <c r="N35" i="10"/>
  <c r="O35" i="10" s="1"/>
  <c r="W35" i="10" s="1"/>
  <c r="U34" i="10"/>
  <c r="V34" i="10" s="1"/>
  <c r="N34" i="10"/>
  <c r="O34" i="10" s="1"/>
  <c r="U33" i="10"/>
  <c r="V33" i="10" s="1"/>
  <c r="W33" i="10" s="1"/>
  <c r="U32" i="10"/>
  <c r="V32" i="10" s="1"/>
  <c r="N32" i="10"/>
  <c r="O32" i="10" s="1"/>
  <c r="U31" i="10"/>
  <c r="V31" i="10" s="1"/>
  <c r="N31" i="10"/>
  <c r="O31" i="10" s="1"/>
  <c r="U30" i="10"/>
  <c r="V30" i="10" s="1"/>
  <c r="N30" i="10"/>
  <c r="O30" i="10" s="1"/>
  <c r="W30" i="10" s="1"/>
  <c r="U29" i="10"/>
  <c r="V29" i="10" s="1"/>
  <c r="N29" i="10"/>
  <c r="O29" i="10" s="1"/>
  <c r="U28" i="10"/>
  <c r="V28" i="10" s="1"/>
  <c r="N28" i="10"/>
  <c r="O28" i="10" s="1"/>
  <c r="U27" i="10"/>
  <c r="V27" i="10" s="1"/>
  <c r="W27" i="10" s="1"/>
  <c r="N27" i="10"/>
  <c r="O27" i="10" s="1"/>
  <c r="U26" i="10"/>
  <c r="V26" i="10" s="1"/>
  <c r="W26" i="10" s="1"/>
  <c r="V25" i="10"/>
  <c r="U25" i="10"/>
  <c r="N25" i="10"/>
  <c r="O25" i="10" s="1"/>
  <c r="U24" i="10"/>
  <c r="V24" i="10" s="1"/>
  <c r="O24" i="10"/>
  <c r="W24" i="10" s="1"/>
  <c r="N24" i="10"/>
  <c r="U23" i="10"/>
  <c r="V23" i="10" s="1"/>
  <c r="W23" i="10" s="1"/>
  <c r="U22" i="10"/>
  <c r="V22" i="10" s="1"/>
  <c r="W22" i="10" s="1"/>
  <c r="U21" i="10"/>
  <c r="V21" i="10" s="1"/>
  <c r="W21" i="10" s="1"/>
  <c r="U20" i="10"/>
  <c r="V20" i="10" s="1"/>
  <c r="N20" i="10"/>
  <c r="O20" i="10" s="1"/>
  <c r="U19" i="10"/>
  <c r="V19" i="10" s="1"/>
  <c r="W19" i="10" s="1"/>
  <c r="U18" i="10"/>
  <c r="V18" i="10" s="1"/>
  <c r="N18" i="10"/>
  <c r="O18" i="10" s="1"/>
  <c r="U16" i="10"/>
  <c r="V16" i="10" s="1"/>
  <c r="N16" i="10"/>
  <c r="O16" i="10" s="1"/>
  <c r="U15" i="10"/>
  <c r="V15" i="10" s="1"/>
  <c r="N15" i="10"/>
  <c r="O15" i="10" s="1"/>
  <c r="U14" i="10"/>
  <c r="V14" i="10" s="1"/>
  <c r="O14" i="10"/>
  <c r="N14" i="10"/>
  <c r="U13" i="10"/>
  <c r="V13" i="10" s="1"/>
  <c r="N13" i="10"/>
  <c r="O13" i="10" s="1"/>
  <c r="W13" i="10" s="1"/>
  <c r="U12" i="10"/>
  <c r="V12" i="10" s="1"/>
  <c r="N12" i="10"/>
  <c r="O12" i="10" s="1"/>
  <c r="U11" i="10"/>
  <c r="V11" i="10" s="1"/>
  <c r="N11" i="10"/>
  <c r="O11" i="10" s="1"/>
  <c r="G10" i="10"/>
  <c r="G9" i="10"/>
  <c r="H9" i="10" s="1"/>
  <c r="W9" i="10" s="1"/>
  <c r="G8" i="10"/>
  <c r="H8" i="10" s="1"/>
  <c r="W8" i="10" s="1"/>
  <c r="G7" i="10"/>
  <c r="H7" i="10" s="1"/>
  <c r="W7" i="10" s="1"/>
  <c r="G6" i="10"/>
  <c r="H6" i="10" s="1"/>
  <c r="W6" i="10" s="1"/>
  <c r="W31" i="10" l="1"/>
  <c r="G5" i="10"/>
  <c r="H69" i="10"/>
  <c r="W11" i="10"/>
  <c r="O108" i="10"/>
  <c r="O123" i="10"/>
  <c r="W29" i="10"/>
  <c r="G60" i="10"/>
  <c r="H60" i="10" s="1"/>
  <c r="G62" i="10"/>
  <c r="H62" i="10" s="1"/>
  <c r="W132" i="10"/>
  <c r="W131" i="10" s="1"/>
  <c r="V38" i="10"/>
  <c r="G9" i="4" s="1"/>
  <c r="W14" i="10"/>
  <c r="V17" i="10"/>
  <c r="G8" i="4" s="1"/>
  <c r="O47" i="10"/>
  <c r="G73" i="10"/>
  <c r="V77" i="10"/>
  <c r="D13" i="5" s="1"/>
  <c r="V140" i="10"/>
  <c r="W148" i="10"/>
  <c r="W147" i="10" s="1"/>
  <c r="W37" i="10"/>
  <c r="W42" i="10"/>
  <c r="W45" i="10"/>
  <c r="W46" i="10"/>
  <c r="G52" i="10"/>
  <c r="H52" i="10" s="1"/>
  <c r="W63" i="10"/>
  <c r="W62" i="10" s="1"/>
  <c r="H64" i="10"/>
  <c r="V73" i="10"/>
  <c r="D15" i="5" s="1"/>
  <c r="H78" i="10"/>
  <c r="H83" i="10"/>
  <c r="W99" i="10"/>
  <c r="W104" i="10"/>
  <c r="W121" i="10"/>
  <c r="V137" i="10"/>
  <c r="O147" i="10"/>
  <c r="W80" i="10"/>
  <c r="W125" i="10"/>
  <c r="W137" i="10"/>
  <c r="W5" i="10"/>
  <c r="W40" i="10"/>
  <c r="W43" i="10"/>
  <c r="W44" i="10"/>
  <c r="O73" i="10"/>
  <c r="V84" i="10"/>
  <c r="D18" i="5" s="1"/>
  <c r="V89" i="10"/>
  <c r="D19" i="5" s="1"/>
  <c r="W93" i="10"/>
  <c r="G101" i="10"/>
  <c r="H101" i="10" s="1"/>
  <c r="W120" i="10"/>
  <c r="W145" i="10"/>
  <c r="W127" i="10"/>
  <c r="W142" i="10"/>
  <c r="W15" i="10"/>
  <c r="W25" i="10"/>
  <c r="O38" i="10"/>
  <c r="W48" i="10"/>
  <c r="G58" i="10"/>
  <c r="H58" i="10" s="1"/>
  <c r="W86" i="10"/>
  <c r="W98" i="10"/>
  <c r="W106" i="10"/>
  <c r="W110" i="10"/>
  <c r="O129" i="10"/>
  <c r="W143" i="10"/>
  <c r="W47" i="10"/>
  <c r="O17" i="10"/>
  <c r="W18" i="10"/>
  <c r="H153" i="10"/>
  <c r="G152" i="10"/>
  <c r="H152" i="10" s="1"/>
  <c r="O10" i="10"/>
  <c r="W28" i="10"/>
  <c r="W49" i="10"/>
  <c r="W59" i="10"/>
  <c r="W58" i="10" s="1"/>
  <c r="O60" i="10"/>
  <c r="W61" i="10"/>
  <c r="W60" i="10" s="1"/>
  <c r="O62" i="10"/>
  <c r="W64" i="10"/>
  <c r="V70" i="10"/>
  <c r="D14" i="5" s="1"/>
  <c r="V95" i="10"/>
  <c r="D20" i="5" s="1"/>
  <c r="V108" i="10"/>
  <c r="D23" i="5" s="1"/>
  <c r="W118" i="10"/>
  <c r="W71" i="10"/>
  <c r="O70" i="10"/>
  <c r="O131" i="10"/>
  <c r="H5" i="10"/>
  <c r="W12" i="10"/>
  <c r="W34" i="10"/>
  <c r="W20" i="10"/>
  <c r="W39" i="10"/>
  <c r="V62" i="10"/>
  <c r="D11" i="5" s="1"/>
  <c r="W65" i="10"/>
  <c r="W72" i="10"/>
  <c r="W74" i="10"/>
  <c r="O77" i="10"/>
  <c r="W78" i="10"/>
  <c r="W79" i="10"/>
  <c r="W83" i="10"/>
  <c r="W82" i="10" s="1"/>
  <c r="W88" i="10"/>
  <c r="O133" i="10"/>
  <c r="W134" i="10"/>
  <c r="H41" i="10"/>
  <c r="W41" i="10" s="1"/>
  <c r="G38" i="10"/>
  <c r="W55" i="10"/>
  <c r="W54" i="10" s="1"/>
  <c r="V54" i="10"/>
  <c r="V10" i="10"/>
  <c r="G7" i="4" s="1"/>
  <c r="W16" i="10"/>
  <c r="W32" i="10"/>
  <c r="W53" i="10"/>
  <c r="W52" i="10" s="1"/>
  <c r="O52" i="10"/>
  <c r="O68" i="10"/>
  <c r="W69" i="10"/>
  <c r="W68" i="10" s="1"/>
  <c r="G70" i="10"/>
  <c r="H70" i="10" s="1"/>
  <c r="H71" i="10"/>
  <c r="W76" i="10"/>
  <c r="W90" i="10"/>
  <c r="W97" i="10"/>
  <c r="V101" i="10"/>
  <c r="D21" i="5" s="1"/>
  <c r="W102" i="10"/>
  <c r="V123" i="10"/>
  <c r="D25" i="5" s="1"/>
  <c r="V133" i="10"/>
  <c r="W135" i="10"/>
  <c r="W146" i="10"/>
  <c r="W85" i="10"/>
  <c r="W92" i="10"/>
  <c r="W100" i="10"/>
  <c r="O116" i="10"/>
  <c r="W141" i="10"/>
  <c r="O140" i="10"/>
  <c r="W144" i="10"/>
  <c r="W75" i="10"/>
  <c r="O84" i="10"/>
  <c r="W87" i="10"/>
  <c r="W94" i="10"/>
  <c r="W103" i="10"/>
  <c r="W105" i="10"/>
  <c r="W107" i="10"/>
  <c r="W109" i="10"/>
  <c r="W111" i="10"/>
  <c r="V116" i="10"/>
  <c r="D24" i="5" s="1"/>
  <c r="W124" i="10"/>
  <c r="W126" i="10"/>
  <c r="H130" i="10"/>
  <c r="W153" i="10"/>
  <c r="W152" i="10" s="1"/>
  <c r="O152" i="10"/>
  <c r="W96" i="10"/>
  <c r="O95" i="10"/>
  <c r="O101" i="10"/>
  <c r="G116" i="10"/>
  <c r="H116" i="10" s="1"/>
  <c r="H117" i="10"/>
  <c r="W117" i="10"/>
  <c r="W136" i="10"/>
  <c r="O137" i="10"/>
  <c r="D6" i="4"/>
  <c r="W116" i="10" l="1"/>
  <c r="E12" i="4"/>
  <c r="W10" i="10"/>
  <c r="W17" i="10"/>
  <c r="W123" i="10"/>
  <c r="V51" i="10"/>
  <c r="G11" i="4" s="1"/>
  <c r="D7" i="5"/>
  <c r="W133" i="10"/>
  <c r="H38" i="10"/>
  <c r="W108" i="10"/>
  <c r="W140" i="10"/>
  <c r="W89" i="10"/>
  <c r="W77" i="10"/>
  <c r="W101" i="10"/>
  <c r="W84" i="10"/>
  <c r="W95" i="10"/>
  <c r="O51" i="10"/>
  <c r="W73" i="10"/>
  <c r="W38" i="10"/>
  <c r="W70" i="10"/>
  <c r="N29" i="1"/>
  <c r="O29" i="1" s="1"/>
  <c r="W51" i="10" l="1"/>
  <c r="E19" i="2"/>
  <c r="E20" i="2"/>
  <c r="E21" i="2"/>
  <c r="E22" i="2"/>
  <c r="E23" i="2"/>
  <c r="E24" i="2"/>
  <c r="E25" i="2"/>
  <c r="E26" i="2"/>
  <c r="E27" i="2"/>
  <c r="E28" i="2"/>
  <c r="E29" i="2"/>
  <c r="E30" i="2"/>
  <c r="E18" i="2"/>
  <c r="E11" i="2"/>
  <c r="E12" i="2"/>
  <c r="E13" i="2"/>
  <c r="E14" i="2"/>
  <c r="E15" i="2"/>
  <c r="E10" i="2"/>
  <c r="N154" i="1"/>
  <c r="O154" i="1" s="1"/>
  <c r="O152" i="1"/>
  <c r="U154" i="1"/>
  <c r="O151" i="1"/>
  <c r="N150" i="1"/>
  <c r="O150" i="1" s="1"/>
  <c r="N151" i="1"/>
  <c r="N152" i="1"/>
  <c r="N149" i="1"/>
  <c r="O149" i="1" s="1"/>
  <c r="O148" i="1" s="1"/>
  <c r="D32" i="5" s="1"/>
  <c r="N143" i="1"/>
  <c r="O143" i="1" s="1"/>
  <c r="N144" i="1"/>
  <c r="O144" i="1" s="1"/>
  <c r="N145" i="1"/>
  <c r="O145" i="1" s="1"/>
  <c r="N146" i="1"/>
  <c r="O146" i="1" s="1"/>
  <c r="N147" i="1"/>
  <c r="O147" i="1" s="1"/>
  <c r="O142" i="1"/>
  <c r="N142" i="1"/>
  <c r="N136" i="1"/>
  <c r="O136" i="1" s="1"/>
  <c r="N137" i="1"/>
  <c r="O137" i="1"/>
  <c r="N135" i="1"/>
  <c r="O135" i="1" s="1"/>
  <c r="G146" i="1"/>
  <c r="G147" i="1"/>
  <c r="F15" i="4"/>
  <c r="D15" i="4" s="1"/>
  <c r="O134" i="1" l="1"/>
  <c r="D29" i="5" s="1"/>
  <c r="E31" i="2"/>
  <c r="F14" i="4" s="1"/>
  <c r="D14" i="4" s="1"/>
  <c r="E16" i="2"/>
  <c r="F13" i="4"/>
  <c r="N19" i="1"/>
  <c r="O19" i="1" s="1"/>
  <c r="W19" i="1" s="1"/>
  <c r="D13" i="4" l="1"/>
  <c r="D12" i="4" s="1"/>
  <c r="F12" i="4"/>
  <c r="E34" i="2"/>
  <c r="G34" i="2" s="1"/>
  <c r="A30" i="7"/>
  <c r="A29" i="7"/>
  <c r="A28" i="7"/>
  <c r="A26" i="7"/>
  <c r="A25" i="7"/>
  <c r="A24" i="7"/>
  <c r="A23" i="7"/>
  <c r="A22" i="7"/>
  <c r="A21" i="7"/>
  <c r="A19" i="7"/>
  <c r="A18" i="7"/>
  <c r="A17" i="7"/>
  <c r="A16" i="7"/>
  <c r="A14" i="7"/>
  <c r="A13" i="7"/>
  <c r="A12" i="7"/>
  <c r="A11" i="7"/>
  <c r="A10" i="7"/>
  <c r="A9" i="7"/>
  <c r="A7" i="7"/>
  <c r="A6" i="7"/>
  <c r="A5" i="7"/>
  <c r="A4" i="7"/>
  <c r="U112" i="1" l="1"/>
  <c r="V112" i="1" s="1"/>
  <c r="U111" i="1"/>
  <c r="V111" i="1" s="1"/>
  <c r="C31" i="5"/>
  <c r="C30" i="5"/>
  <c r="C29" i="5"/>
  <c r="C27" i="5"/>
  <c r="C26" i="5"/>
  <c r="C25" i="5"/>
  <c r="C24" i="5"/>
  <c r="C23" i="5"/>
  <c r="C18" i="5"/>
  <c r="C21" i="5"/>
  <c r="C20" i="5"/>
  <c r="C19" i="5"/>
  <c r="C16" i="5"/>
  <c r="C15" i="5"/>
  <c r="C14" i="5"/>
  <c r="C13" i="5"/>
  <c r="C12" i="5"/>
  <c r="C11" i="5"/>
  <c r="C9" i="5"/>
  <c r="C8" i="5"/>
  <c r="C7" i="5"/>
  <c r="C6" i="5"/>
  <c r="V154" i="1"/>
  <c r="V153" i="1" s="1"/>
  <c r="O153" i="1"/>
  <c r="G154" i="1"/>
  <c r="U129" i="1"/>
  <c r="V129" i="1" s="1"/>
  <c r="U126" i="1"/>
  <c r="V126" i="1" s="1"/>
  <c r="O51" i="1"/>
  <c r="U149" i="1"/>
  <c r="V149" i="1" s="1"/>
  <c r="V148" i="1" s="1"/>
  <c r="G148" i="1"/>
  <c r="U147" i="1"/>
  <c r="V147" i="1" s="1"/>
  <c r="U146" i="1"/>
  <c r="V146" i="1" s="1"/>
  <c r="U145" i="1"/>
  <c r="V145" i="1" s="1"/>
  <c r="U144" i="1"/>
  <c r="V144" i="1" s="1"/>
  <c r="U143" i="1"/>
  <c r="V143" i="1" s="1"/>
  <c r="U142" i="1"/>
  <c r="V142" i="1" s="1"/>
  <c r="H142" i="1"/>
  <c r="N141" i="1"/>
  <c r="U140" i="1"/>
  <c r="V140" i="1" s="1"/>
  <c r="N140" i="1"/>
  <c r="O140" i="1" s="1"/>
  <c r="U139" i="1"/>
  <c r="V139" i="1" s="1"/>
  <c r="N139" i="1"/>
  <c r="N138" i="1"/>
  <c r="U137" i="1"/>
  <c r="V137" i="1" s="1"/>
  <c r="W137" i="1"/>
  <c r="U136" i="1"/>
  <c r="V136" i="1" s="1"/>
  <c r="U135" i="1"/>
  <c r="V135" i="1" s="1"/>
  <c r="H135" i="1"/>
  <c r="U120" i="1"/>
  <c r="V120" i="1" s="1"/>
  <c r="U118" i="1"/>
  <c r="V118" i="1" s="1"/>
  <c r="U117" i="1"/>
  <c r="V117" i="1" s="1"/>
  <c r="N120" i="1"/>
  <c r="O120" i="1" s="1"/>
  <c r="U119" i="1"/>
  <c r="V119" i="1" s="1"/>
  <c r="N119" i="1"/>
  <c r="O119" i="1" s="1"/>
  <c r="N118" i="1"/>
  <c r="O118" i="1" s="1"/>
  <c r="N117" i="1"/>
  <c r="O117" i="1" s="1"/>
  <c r="U116" i="1"/>
  <c r="V116" i="1" s="1"/>
  <c r="N116" i="1"/>
  <c r="O116" i="1" s="1"/>
  <c r="N115" i="1"/>
  <c r="G115" i="1"/>
  <c r="H115" i="1" s="1"/>
  <c r="G122" i="1"/>
  <c r="G121" i="1" s="1"/>
  <c r="H121" i="1" s="1"/>
  <c r="N122" i="1"/>
  <c r="O122" i="1" s="1"/>
  <c r="U122" i="1"/>
  <c r="V122" i="1" s="1"/>
  <c r="N123" i="1"/>
  <c r="O123" i="1" s="1"/>
  <c r="U123" i="1"/>
  <c r="V123" i="1" s="1"/>
  <c r="N124" i="1"/>
  <c r="O124" i="1" s="1"/>
  <c r="U124" i="1"/>
  <c r="V124" i="1" s="1"/>
  <c r="G126" i="1"/>
  <c r="N126" i="1"/>
  <c r="O126" i="1" s="1"/>
  <c r="G127" i="1"/>
  <c r="H127" i="1" s="1"/>
  <c r="N127" i="1"/>
  <c r="O127" i="1" s="1"/>
  <c r="U127" i="1"/>
  <c r="V127" i="1" s="1"/>
  <c r="G128" i="1"/>
  <c r="H128" i="1" s="1"/>
  <c r="N128" i="1"/>
  <c r="O128" i="1" s="1"/>
  <c r="U128" i="1"/>
  <c r="V128" i="1" s="1"/>
  <c r="N129" i="1"/>
  <c r="O129" i="1" s="1"/>
  <c r="U113" i="1"/>
  <c r="V113" i="1" s="1"/>
  <c r="U110" i="1"/>
  <c r="V110" i="1" s="1"/>
  <c r="U114" i="1"/>
  <c r="V114" i="1" s="1"/>
  <c r="N114" i="1"/>
  <c r="O114" i="1" s="1"/>
  <c r="N113" i="1"/>
  <c r="O113" i="1" s="1"/>
  <c r="N112" i="1"/>
  <c r="O112" i="1" s="1"/>
  <c r="N111" i="1"/>
  <c r="O111" i="1" s="1"/>
  <c r="N110" i="1"/>
  <c r="O110" i="1" s="1"/>
  <c r="U109" i="1"/>
  <c r="V109" i="1" s="1"/>
  <c r="N109" i="1"/>
  <c r="O109" i="1" s="1"/>
  <c r="G109" i="1"/>
  <c r="H109" i="1" s="1"/>
  <c r="N108" i="1"/>
  <c r="O121" i="1" l="1"/>
  <c r="W118" i="1"/>
  <c r="H139" i="1"/>
  <c r="O139" i="1"/>
  <c r="W139" i="1" s="1"/>
  <c r="G153" i="1"/>
  <c r="H153" i="1" s="1"/>
  <c r="W113" i="1"/>
  <c r="O108" i="1"/>
  <c r="W117" i="1"/>
  <c r="W120" i="1"/>
  <c r="O141" i="1"/>
  <c r="D31" i="5" s="1"/>
  <c r="W111" i="1"/>
  <c r="W119" i="1"/>
  <c r="W129" i="1"/>
  <c r="W128" i="1"/>
  <c r="W110" i="1"/>
  <c r="W124" i="1"/>
  <c r="O115" i="1"/>
  <c r="W127" i="1"/>
  <c r="O125" i="1"/>
  <c r="W123" i="1"/>
  <c r="W136" i="1"/>
  <c r="W145" i="1"/>
  <c r="W112" i="1"/>
  <c r="W143" i="1"/>
  <c r="W147" i="1"/>
  <c r="W114" i="1"/>
  <c r="V134" i="1"/>
  <c r="V141" i="1"/>
  <c r="W144" i="1"/>
  <c r="W146" i="1"/>
  <c r="W154" i="1"/>
  <c r="W153" i="1" s="1"/>
  <c r="H148" i="1"/>
  <c r="H154" i="1"/>
  <c r="V138" i="1"/>
  <c r="W149" i="1"/>
  <c r="W148" i="1" s="1"/>
  <c r="H149" i="1"/>
  <c r="G138" i="1"/>
  <c r="G134" i="1"/>
  <c r="W140" i="1"/>
  <c r="G141" i="1"/>
  <c r="W142" i="1"/>
  <c r="W135" i="1"/>
  <c r="V115" i="1"/>
  <c r="V125" i="1"/>
  <c r="G125" i="1"/>
  <c r="H125" i="1" s="1"/>
  <c r="H122" i="1"/>
  <c r="W116" i="1"/>
  <c r="H126" i="1"/>
  <c r="W122" i="1"/>
  <c r="V121" i="1"/>
  <c r="W126" i="1"/>
  <c r="G108" i="1"/>
  <c r="H108" i="1" s="1"/>
  <c r="W109" i="1"/>
  <c r="V108" i="1"/>
  <c r="U104" i="1"/>
  <c r="V104" i="1" s="1"/>
  <c r="U107" i="1"/>
  <c r="V107" i="1" s="1"/>
  <c r="N107" i="1"/>
  <c r="O107" i="1" s="1"/>
  <c r="U106" i="1"/>
  <c r="V106" i="1" s="1"/>
  <c r="N106" i="1"/>
  <c r="O106" i="1" s="1"/>
  <c r="U105" i="1"/>
  <c r="V105" i="1" s="1"/>
  <c r="N105" i="1"/>
  <c r="O105" i="1" s="1"/>
  <c r="W105" i="1" s="1"/>
  <c r="N104" i="1"/>
  <c r="O104" i="1" s="1"/>
  <c r="G103" i="1"/>
  <c r="H103" i="1" s="1"/>
  <c r="U102" i="1"/>
  <c r="V102" i="1" s="1"/>
  <c r="N102" i="1"/>
  <c r="O102" i="1" s="1"/>
  <c r="U101" i="1"/>
  <c r="V101" i="1" s="1"/>
  <c r="N101" i="1"/>
  <c r="O101" i="1" s="1"/>
  <c r="U100" i="1"/>
  <c r="V100" i="1" s="1"/>
  <c r="N100" i="1"/>
  <c r="O100" i="1" s="1"/>
  <c r="U99" i="1"/>
  <c r="V99" i="1" s="1"/>
  <c r="N99" i="1"/>
  <c r="O99" i="1" s="1"/>
  <c r="U98" i="1"/>
  <c r="V98" i="1" s="1"/>
  <c r="N98" i="1"/>
  <c r="O98" i="1" s="1"/>
  <c r="U97" i="1"/>
  <c r="V97" i="1" s="1"/>
  <c r="N97" i="1"/>
  <c r="O97" i="1" s="1"/>
  <c r="G97" i="1"/>
  <c r="H97" i="1" s="1"/>
  <c r="N96" i="1"/>
  <c r="U89" i="1"/>
  <c r="V89" i="1" s="1"/>
  <c r="U87" i="1"/>
  <c r="V87" i="1" s="1"/>
  <c r="U86" i="1"/>
  <c r="V86" i="1" s="1"/>
  <c r="U88" i="1"/>
  <c r="V88" i="1" s="1"/>
  <c r="U83" i="1"/>
  <c r="V83" i="1" s="1"/>
  <c r="U82" i="1"/>
  <c r="V82" i="1" s="1"/>
  <c r="U80" i="1"/>
  <c r="V80" i="1" s="1"/>
  <c r="N83" i="1"/>
  <c r="O83" i="1" s="1"/>
  <c r="N82" i="1"/>
  <c r="O82" i="1" s="1"/>
  <c r="U81" i="1"/>
  <c r="V81" i="1" s="1"/>
  <c r="N81" i="1"/>
  <c r="O81" i="1" s="1"/>
  <c r="N80" i="1"/>
  <c r="O80" i="1" s="1"/>
  <c r="N79" i="1"/>
  <c r="G79" i="1"/>
  <c r="H79" i="1" s="1"/>
  <c r="N89" i="1"/>
  <c r="O89" i="1" s="1"/>
  <c r="N88" i="1"/>
  <c r="O88" i="1" s="1"/>
  <c r="N87" i="1"/>
  <c r="O87" i="1" s="1"/>
  <c r="N86" i="1"/>
  <c r="O86" i="1" s="1"/>
  <c r="U85" i="1"/>
  <c r="V85" i="1" s="1"/>
  <c r="N85" i="1"/>
  <c r="O85" i="1" s="1"/>
  <c r="G84" i="1"/>
  <c r="H84" i="1" s="1"/>
  <c r="U78" i="1"/>
  <c r="V78" i="1" s="1"/>
  <c r="V77" i="1" s="1"/>
  <c r="U66" i="1"/>
  <c r="V66" i="1" s="1"/>
  <c r="N78" i="1"/>
  <c r="O78" i="1" s="1"/>
  <c r="O77" i="1" s="1"/>
  <c r="G78" i="1"/>
  <c r="G77" i="1" s="1"/>
  <c r="H77" i="1" s="1"/>
  <c r="N90" i="1"/>
  <c r="G90" i="1"/>
  <c r="H90" i="1" s="1"/>
  <c r="U72" i="1"/>
  <c r="V72" i="1" s="1"/>
  <c r="U71" i="1"/>
  <c r="V71" i="1" s="1"/>
  <c r="N72" i="1"/>
  <c r="O72" i="1" s="1"/>
  <c r="N71" i="1"/>
  <c r="O71" i="1" s="1"/>
  <c r="G71" i="1"/>
  <c r="H71" i="1" s="1"/>
  <c r="N66" i="1"/>
  <c r="O66" i="1" s="1"/>
  <c r="G66" i="1"/>
  <c r="H66" i="1" s="1"/>
  <c r="U64" i="1"/>
  <c r="V64" i="1" s="1"/>
  <c r="V63" i="1" s="1"/>
  <c r="N64" i="1"/>
  <c r="O64" i="1" s="1"/>
  <c r="O63" i="1" s="1"/>
  <c r="G64" i="1"/>
  <c r="H64" i="1" s="1"/>
  <c r="U58" i="1"/>
  <c r="V58" i="1" s="1"/>
  <c r="V57" i="1" s="1"/>
  <c r="N58" i="1"/>
  <c r="O58" i="1" s="1"/>
  <c r="O57" i="1" s="1"/>
  <c r="G58" i="1"/>
  <c r="H58" i="1" s="1"/>
  <c r="U52" i="1"/>
  <c r="V52" i="1" s="1"/>
  <c r="U54" i="1"/>
  <c r="V54" i="1" s="1"/>
  <c r="W54" i="1" s="1"/>
  <c r="U53" i="1"/>
  <c r="V53" i="1" s="1"/>
  <c r="G51" i="1"/>
  <c r="H51" i="1" s="1"/>
  <c r="U50" i="1"/>
  <c r="V50" i="1" s="1"/>
  <c r="V49" i="1" s="1"/>
  <c r="N50" i="1"/>
  <c r="O50" i="1" s="1"/>
  <c r="O49" i="1" s="1"/>
  <c r="G50" i="1"/>
  <c r="G49" i="1" s="1"/>
  <c r="H49" i="1" s="1"/>
  <c r="U35" i="1"/>
  <c r="V35" i="1" s="1"/>
  <c r="U34" i="1"/>
  <c r="V34" i="1" s="1"/>
  <c r="U33" i="1"/>
  <c r="V33" i="1" s="1"/>
  <c r="U32" i="1"/>
  <c r="V32" i="1" s="1"/>
  <c r="N33" i="1"/>
  <c r="O33" i="1" s="1"/>
  <c r="N32" i="1"/>
  <c r="O32" i="1" s="1"/>
  <c r="N35" i="1"/>
  <c r="O35" i="1" s="1"/>
  <c r="N34" i="1"/>
  <c r="O34" i="1" s="1"/>
  <c r="U30" i="1"/>
  <c r="V30" i="1" s="1"/>
  <c r="U31" i="1"/>
  <c r="V31" i="1" s="1"/>
  <c r="N31" i="1"/>
  <c r="O31" i="1" s="1"/>
  <c r="N30" i="1"/>
  <c r="O30" i="1" s="1"/>
  <c r="U28" i="1"/>
  <c r="V28" i="1" s="1"/>
  <c r="N28" i="1"/>
  <c r="O28" i="1" s="1"/>
  <c r="U25" i="1"/>
  <c r="V25" i="1" s="1"/>
  <c r="N25" i="1"/>
  <c r="O25" i="1" s="1"/>
  <c r="O138" i="1" l="1"/>
  <c r="D30" i="5" s="1"/>
  <c r="W107" i="1"/>
  <c r="H141" i="1"/>
  <c r="H138" i="1"/>
  <c r="H134" i="1"/>
  <c r="W121" i="1"/>
  <c r="W115" i="1"/>
  <c r="W83" i="1"/>
  <c r="W89" i="1"/>
  <c r="W134" i="1"/>
  <c r="W108" i="1"/>
  <c r="W81" i="1"/>
  <c r="W82" i="1"/>
  <c r="W87" i="1"/>
  <c r="O96" i="1"/>
  <c r="W106" i="1"/>
  <c r="V103" i="1"/>
  <c r="W125" i="1"/>
  <c r="W101" i="1"/>
  <c r="O84" i="1"/>
  <c r="O79" i="1"/>
  <c r="W88" i="1"/>
  <c r="W99" i="1"/>
  <c r="O103" i="1"/>
  <c r="O70" i="1"/>
  <c r="W80" i="1"/>
  <c r="W98" i="1"/>
  <c r="W100" i="1"/>
  <c r="W102" i="1"/>
  <c r="W141" i="1"/>
  <c r="V84" i="1"/>
  <c r="W86" i="1"/>
  <c r="V70" i="1"/>
  <c r="W53" i="1"/>
  <c r="V51" i="1"/>
  <c r="W138" i="1"/>
  <c r="W104" i="1"/>
  <c r="G96" i="1"/>
  <c r="H96" i="1" s="1"/>
  <c r="V96" i="1"/>
  <c r="W97" i="1"/>
  <c r="V79" i="1"/>
  <c r="W85" i="1"/>
  <c r="W78" i="1"/>
  <c r="W77" i="1" s="1"/>
  <c r="H78" i="1"/>
  <c r="W34" i="1"/>
  <c r="W50" i="1"/>
  <c r="W49" i="1" s="1"/>
  <c r="G65" i="1"/>
  <c r="H65" i="1" s="1"/>
  <c r="W72" i="1"/>
  <c r="W71" i="1"/>
  <c r="G70" i="1"/>
  <c r="H70" i="1" s="1"/>
  <c r="W66" i="1"/>
  <c r="G57" i="1"/>
  <c r="H57" i="1" s="1"/>
  <c r="W64" i="1"/>
  <c r="W63" i="1" s="1"/>
  <c r="G63" i="1"/>
  <c r="H63" i="1" s="1"/>
  <c r="W35" i="1"/>
  <c r="W58" i="1"/>
  <c r="W57" i="1" s="1"/>
  <c r="W52" i="1"/>
  <c r="W33" i="1"/>
  <c r="W30" i="1"/>
  <c r="W31" i="1"/>
  <c r="W25" i="1"/>
  <c r="W28" i="1"/>
  <c r="H50" i="1"/>
  <c r="D28" i="5" l="1"/>
  <c r="D22" i="5"/>
  <c r="W103" i="1"/>
  <c r="W79" i="1"/>
  <c r="W96" i="1"/>
  <c r="W84" i="1"/>
  <c r="W51" i="1"/>
  <c r="W70" i="1"/>
  <c r="U62" i="1"/>
  <c r="V62" i="1" s="1"/>
  <c r="N62" i="1"/>
  <c r="O62" i="1" s="1"/>
  <c r="U61" i="1"/>
  <c r="V61" i="1" s="1"/>
  <c r="N61" i="1"/>
  <c r="O61" i="1" s="1"/>
  <c r="G61" i="1"/>
  <c r="U60" i="1"/>
  <c r="V60" i="1" s="1"/>
  <c r="N60" i="1"/>
  <c r="O60" i="1" s="1"/>
  <c r="G60" i="1"/>
  <c r="H60" i="1" s="1"/>
  <c r="O59" i="1" l="1"/>
  <c r="V59" i="1"/>
  <c r="W62" i="1"/>
  <c r="W61" i="1"/>
  <c r="G59" i="1"/>
  <c r="H59" i="1" s="1"/>
  <c r="W60" i="1"/>
  <c r="H61" i="1"/>
  <c r="W59" i="1" l="1"/>
  <c r="F5" i="4" l="1"/>
  <c r="D5" i="4" l="1"/>
  <c r="U133" i="1"/>
  <c r="V133" i="1" s="1"/>
  <c r="V132" i="1" s="1"/>
  <c r="N133" i="1"/>
  <c r="O133" i="1" s="1"/>
  <c r="O132" i="1" s="1"/>
  <c r="G133" i="1"/>
  <c r="G132" i="1" s="1"/>
  <c r="U131" i="1"/>
  <c r="V131" i="1" s="1"/>
  <c r="V130" i="1" s="1"/>
  <c r="U76" i="1"/>
  <c r="V76" i="1" s="1"/>
  <c r="N76" i="1"/>
  <c r="O76" i="1" s="1"/>
  <c r="N75" i="1"/>
  <c r="O75" i="1" s="1"/>
  <c r="N74" i="1"/>
  <c r="U95" i="1"/>
  <c r="V95" i="1" s="1"/>
  <c r="U94" i="1"/>
  <c r="V94" i="1" s="1"/>
  <c r="U93" i="1"/>
  <c r="V93" i="1" s="1"/>
  <c r="U92" i="1"/>
  <c r="V92" i="1" s="1"/>
  <c r="U91" i="1"/>
  <c r="V91" i="1" s="1"/>
  <c r="N95" i="1"/>
  <c r="O95" i="1" s="1"/>
  <c r="N94" i="1"/>
  <c r="O94" i="1" s="1"/>
  <c r="N93" i="1"/>
  <c r="O93" i="1" s="1"/>
  <c r="N92" i="1"/>
  <c r="O92" i="1" s="1"/>
  <c r="N91" i="1"/>
  <c r="O91" i="1" s="1"/>
  <c r="U69" i="1"/>
  <c r="V69" i="1" s="1"/>
  <c r="N69" i="1"/>
  <c r="O69" i="1" s="1"/>
  <c r="N68" i="1"/>
  <c r="O68" i="1" s="1"/>
  <c r="U68" i="1"/>
  <c r="V68" i="1" s="1"/>
  <c r="U67" i="1"/>
  <c r="V67" i="1" s="1"/>
  <c r="N67" i="1"/>
  <c r="O67" i="1" s="1"/>
  <c r="O90" i="1" l="1"/>
  <c r="W94" i="1"/>
  <c r="W95" i="1"/>
  <c r="O65" i="1"/>
  <c r="W92" i="1"/>
  <c r="W93" i="1"/>
  <c r="V65" i="1"/>
  <c r="D10" i="5" s="1"/>
  <c r="V90" i="1"/>
  <c r="D17" i="5" s="1"/>
  <c r="W133" i="1"/>
  <c r="W132" i="1" s="1"/>
  <c r="H133" i="1"/>
  <c r="W76" i="1"/>
  <c r="W69" i="1"/>
  <c r="W67" i="1"/>
  <c r="W68" i="1"/>
  <c r="W91" i="1"/>
  <c r="W90" i="1" l="1"/>
  <c r="W65" i="1"/>
  <c r="U26" i="1" l="1"/>
  <c r="V26" i="1" s="1"/>
  <c r="U27" i="1"/>
  <c r="V27" i="1" s="1"/>
  <c r="N26" i="1"/>
  <c r="O26" i="1" s="1"/>
  <c r="N27" i="1"/>
  <c r="O27" i="1" s="1"/>
  <c r="U24" i="1"/>
  <c r="V24" i="1" s="1"/>
  <c r="N24" i="1"/>
  <c r="O24" i="1" s="1"/>
  <c r="U23" i="1"/>
  <c r="V23" i="1" s="1"/>
  <c r="N23" i="1"/>
  <c r="O23" i="1" s="1"/>
  <c r="W32" i="1" l="1"/>
  <c r="W26" i="1"/>
  <c r="W23" i="1"/>
  <c r="W27" i="1"/>
  <c r="W24" i="1"/>
  <c r="G56" i="1"/>
  <c r="N56" i="1"/>
  <c r="O56" i="1" s="1"/>
  <c r="O55" i="1" s="1"/>
  <c r="U56" i="1"/>
  <c r="V56" i="1" s="1"/>
  <c r="V55" i="1" s="1"/>
  <c r="G74" i="1"/>
  <c r="O74" i="1"/>
  <c r="O73" i="1" s="1"/>
  <c r="U74" i="1"/>
  <c r="V74" i="1" s="1"/>
  <c r="G75" i="1"/>
  <c r="U75" i="1"/>
  <c r="V75" i="1" s="1"/>
  <c r="G131" i="1"/>
  <c r="H131" i="1" s="1"/>
  <c r="N131" i="1"/>
  <c r="O131" i="1" s="1"/>
  <c r="O130" i="1" s="1"/>
  <c r="V73" i="1" l="1"/>
  <c r="V48" i="1" s="1"/>
  <c r="O48" i="1"/>
  <c r="D5" i="5"/>
  <c r="D33" i="5" s="1"/>
  <c r="G73" i="1"/>
  <c r="W75" i="1"/>
  <c r="G130" i="1"/>
  <c r="W56" i="1"/>
  <c r="G55" i="1"/>
  <c r="H55" i="1" s="1"/>
  <c r="W131" i="1"/>
  <c r="W130" i="1" s="1"/>
  <c r="W74" i="1"/>
  <c r="W73" i="1" s="1"/>
  <c r="H56" i="1"/>
  <c r="W55" i="1" l="1"/>
  <c r="W48" i="1" s="1"/>
  <c r="G10" i="1"/>
  <c r="F11" i="4" l="1"/>
  <c r="D11" i="4" s="1"/>
  <c r="U47" i="1" l="1"/>
  <c r="V47" i="1" s="1"/>
  <c r="U46" i="1"/>
  <c r="V46" i="1" s="1"/>
  <c r="N47" i="1"/>
  <c r="O47" i="1" s="1"/>
  <c r="N46" i="1"/>
  <c r="O46" i="1" s="1"/>
  <c r="U39" i="1"/>
  <c r="V39" i="1" s="1"/>
  <c r="U40" i="1"/>
  <c r="V40" i="1" s="1"/>
  <c r="U41" i="1"/>
  <c r="V41" i="1" s="1"/>
  <c r="U42" i="1"/>
  <c r="V42" i="1" s="1"/>
  <c r="U43" i="1"/>
  <c r="V43" i="1" s="1"/>
  <c r="U44" i="1"/>
  <c r="V44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G43" i="1"/>
  <c r="H43" i="1" s="1"/>
  <c r="G44" i="1"/>
  <c r="H44" i="1" s="1"/>
  <c r="H47" i="1"/>
  <c r="H48" i="1"/>
  <c r="G39" i="1"/>
  <c r="H39" i="1" s="1"/>
  <c r="G40" i="1"/>
  <c r="H40" i="1" s="1"/>
  <c r="G41" i="1"/>
  <c r="H41" i="1" s="1"/>
  <c r="G42" i="1"/>
  <c r="H42" i="1" s="1"/>
  <c r="U38" i="1"/>
  <c r="V38" i="1" s="1"/>
  <c r="N38" i="1"/>
  <c r="O38" i="1" s="1"/>
  <c r="U37" i="1"/>
  <c r="V37" i="1" s="1"/>
  <c r="N37" i="1"/>
  <c r="O37" i="1" s="1"/>
  <c r="G38" i="1"/>
  <c r="H38" i="1" s="1"/>
  <c r="G37" i="1"/>
  <c r="U22" i="1"/>
  <c r="V22" i="1" s="1"/>
  <c r="U21" i="1"/>
  <c r="V21" i="1" s="1"/>
  <c r="U20" i="1"/>
  <c r="V20" i="1" s="1"/>
  <c r="U18" i="1"/>
  <c r="V18" i="1" s="1"/>
  <c r="N20" i="1"/>
  <c r="O20" i="1" s="1"/>
  <c r="N21" i="1"/>
  <c r="O21" i="1" s="1"/>
  <c r="N22" i="1"/>
  <c r="O22" i="1" s="1"/>
  <c r="N18" i="1"/>
  <c r="O18" i="1" s="1"/>
  <c r="U12" i="1"/>
  <c r="V12" i="1" s="1"/>
  <c r="U13" i="1"/>
  <c r="V13" i="1" s="1"/>
  <c r="U14" i="1"/>
  <c r="V14" i="1" s="1"/>
  <c r="U15" i="1"/>
  <c r="V15" i="1" s="1"/>
  <c r="U16" i="1"/>
  <c r="V16" i="1" s="1"/>
  <c r="U11" i="1"/>
  <c r="V11" i="1" s="1"/>
  <c r="N12" i="1"/>
  <c r="O12" i="1" s="1"/>
  <c r="N13" i="1"/>
  <c r="O13" i="1" s="1"/>
  <c r="N14" i="1"/>
  <c r="O14" i="1" s="1"/>
  <c r="N15" i="1"/>
  <c r="O15" i="1" s="1"/>
  <c r="N16" i="1"/>
  <c r="O16" i="1" s="1"/>
  <c r="N11" i="1"/>
  <c r="G7" i="1"/>
  <c r="H7" i="1" s="1"/>
  <c r="W7" i="1" s="1"/>
  <c r="G8" i="1"/>
  <c r="H8" i="1" s="1"/>
  <c r="W8" i="1" s="1"/>
  <c r="G9" i="1"/>
  <c r="H9" i="1" s="1"/>
  <c r="W9" i="1" s="1"/>
  <c r="G6" i="1"/>
  <c r="V10" i="1" l="1"/>
  <c r="O36" i="1"/>
  <c r="O17" i="1"/>
  <c r="V17" i="1"/>
  <c r="V36" i="1"/>
  <c r="G36" i="1"/>
  <c r="O45" i="1"/>
  <c r="F10" i="4" s="1"/>
  <c r="H46" i="1"/>
  <c r="W46" i="1" s="1"/>
  <c r="G45" i="1"/>
  <c r="H37" i="1"/>
  <c r="H36" i="1" s="1"/>
  <c r="V45" i="1"/>
  <c r="H6" i="1"/>
  <c r="H5" i="1" s="1"/>
  <c r="G5" i="1"/>
  <c r="W21" i="1"/>
  <c r="W22" i="1"/>
  <c r="W13" i="1"/>
  <c r="W15" i="1"/>
  <c r="W20" i="1"/>
  <c r="W47" i="1"/>
  <c r="W38" i="1"/>
  <c r="W18" i="1"/>
  <c r="W14" i="1"/>
  <c r="W16" i="1"/>
  <c r="W12" i="1"/>
  <c r="W43" i="1"/>
  <c r="O11" i="1"/>
  <c r="O10" i="1" s="1"/>
  <c r="W41" i="1"/>
  <c r="W42" i="1"/>
  <c r="W40" i="1"/>
  <c r="W39" i="1"/>
  <c r="W44" i="1"/>
  <c r="F7" i="4" l="1"/>
  <c r="D7" i="4" s="1"/>
  <c r="E4" i="4"/>
  <c r="E16" i="4" s="1"/>
  <c r="F9" i="4"/>
  <c r="D9" i="4" s="1"/>
  <c r="F8" i="4"/>
  <c r="D10" i="4"/>
  <c r="G4" i="4"/>
  <c r="G16" i="4" s="1"/>
  <c r="W17" i="1"/>
  <c r="W6" i="1"/>
  <c r="W37" i="1"/>
  <c r="W36" i="1" s="1"/>
  <c r="H45" i="1"/>
  <c r="W45" i="1"/>
  <c r="W11" i="1"/>
  <c r="W10" i="1" s="1"/>
  <c r="D8" i="4" l="1"/>
  <c r="D4" i="4" s="1"/>
  <c r="D16" i="4" s="1"/>
  <c r="F4" i="4"/>
  <c r="F16" i="4" s="1"/>
  <c r="W5" i="1"/>
</calcChain>
</file>

<file path=xl/sharedStrings.xml><?xml version="1.0" encoding="utf-8"?>
<sst xmlns="http://schemas.openxmlformats.org/spreadsheetml/2006/main" count="1014" uniqueCount="362">
  <si>
    <t xml:space="preserve">Description </t>
  </si>
  <si>
    <t xml:space="preserve">% of coverage </t>
  </si>
  <si>
    <t xml:space="preserve">unit price </t>
  </si>
  <si>
    <t xml:space="preserve">Currency </t>
  </si>
  <si>
    <t xml:space="preserve">Nr of Months </t>
  </si>
  <si>
    <t xml:space="preserve">total  </t>
  </si>
  <si>
    <t>Total in EURO</t>
  </si>
  <si>
    <t xml:space="preserve">WB </t>
  </si>
  <si>
    <t xml:space="preserve">Gaza </t>
  </si>
  <si>
    <t xml:space="preserve">Starting date </t>
  </si>
  <si>
    <t>General coordinator</t>
  </si>
  <si>
    <t>Medical Coordinator</t>
  </si>
  <si>
    <t>Advocacy Coordinator</t>
  </si>
  <si>
    <t>Admin Coordinator</t>
  </si>
  <si>
    <t>Field Coordinator</t>
  </si>
  <si>
    <t>Admin Manager</t>
  </si>
  <si>
    <t>Logistic Manager</t>
  </si>
  <si>
    <t>Deputy Medco</t>
  </si>
  <si>
    <t>Driver</t>
  </si>
  <si>
    <t>House Keeper</t>
  </si>
  <si>
    <t>MEAL officer</t>
  </si>
  <si>
    <t>Advocacy officer</t>
  </si>
  <si>
    <t xml:space="preserve">MDM HR Coordination </t>
  </si>
  <si>
    <t xml:space="preserve">MDM HR Base Core Staff </t>
  </si>
  <si>
    <t xml:space="preserve">MDM HR Program Staff </t>
  </si>
  <si>
    <t xml:space="preserve">Euro </t>
  </si>
  <si>
    <t xml:space="preserve">GH rent and charges </t>
  </si>
  <si>
    <t xml:space="preserve">other admin cost </t>
  </si>
  <si>
    <t xml:space="preserve">Logistic and transport </t>
  </si>
  <si>
    <t xml:space="preserve">Communication expenses </t>
  </si>
  <si>
    <t xml:space="preserve">Admin and Communication cost </t>
  </si>
  <si>
    <t xml:space="preserve">MDM  direct Activities cost </t>
  </si>
  <si>
    <t xml:space="preserve">ITEM </t>
  </si>
  <si>
    <t xml:space="preserve">Cost EURO </t>
  </si>
  <si>
    <t xml:space="preserve">MDM cost </t>
  </si>
  <si>
    <t xml:space="preserve">Core office cost </t>
  </si>
  <si>
    <t xml:space="preserve">Program Running cost </t>
  </si>
  <si>
    <t xml:space="preserve">Jerusalem </t>
  </si>
  <si>
    <t xml:space="preserve">Total Budget EURO </t>
  </si>
  <si>
    <t xml:space="preserve">Office rent and charges </t>
  </si>
  <si>
    <t xml:space="preserve">Office Equipment </t>
  </si>
  <si>
    <t xml:space="preserve">Office Maintenance </t>
  </si>
  <si>
    <t xml:space="preserve">office running expenses </t>
  </si>
  <si>
    <t xml:space="preserve"> Jer </t>
  </si>
  <si>
    <t xml:space="preserve"> WB </t>
  </si>
  <si>
    <t xml:space="preserve">Driver 1 </t>
  </si>
  <si>
    <t>ILS</t>
  </si>
  <si>
    <t xml:space="preserve">Translation of Modules </t>
  </si>
  <si>
    <t xml:space="preserve">ILS </t>
  </si>
  <si>
    <t xml:space="preserve">Printing Modules </t>
  </si>
  <si>
    <t xml:space="preserve">Training PHC staff  on complete package catering service </t>
  </si>
  <si>
    <t xml:space="preserve">Training PHC staff  on complete package transportation </t>
  </si>
  <si>
    <t xml:space="preserve">Training Materials ( stationary , certificates ) </t>
  </si>
  <si>
    <t xml:space="preserve">External trainers cost </t>
  </si>
  <si>
    <t xml:space="preserve">Lump sum  per clinic </t>
  </si>
  <si>
    <t xml:space="preserve">Workshop year 1 catering services </t>
  </si>
  <si>
    <t xml:space="preserve">Workshop year 1 stationaries </t>
  </si>
  <si>
    <t xml:space="preserve">Review workshop at Central level </t>
  </si>
  <si>
    <t xml:space="preserve">Review workshop at Governorate level </t>
  </si>
  <si>
    <t xml:space="preserve">Lump Sum 2019 </t>
  </si>
  <si>
    <t>Emergency Manager Local</t>
  </si>
  <si>
    <t>project officer  officer  Level 5</t>
  </si>
  <si>
    <t>Emergency doctor  1</t>
  </si>
  <si>
    <t>Emergency doctor   2</t>
  </si>
  <si>
    <t xml:space="preserve">Nurse 1 </t>
  </si>
  <si>
    <t>BLS  2</t>
  </si>
  <si>
    <t xml:space="preserve">Driver2 </t>
  </si>
  <si>
    <t xml:space="preserve">BLS 1  </t>
  </si>
  <si>
    <t>Social worker 2</t>
  </si>
  <si>
    <t xml:space="preserve">log assistance </t>
  </si>
  <si>
    <t xml:space="preserve">R1 A3: Rehabilitation of spaces  in Shelters </t>
  </si>
  <si>
    <t xml:space="preserve">bimonthly meetings </t>
  </si>
  <si>
    <t xml:space="preserve">R1 A4 : Coordination with others cluster </t>
  </si>
  <si>
    <t xml:space="preserve">R2 A1 : workshops with MOH and PHD and PHC directorate </t>
  </si>
  <si>
    <t xml:space="preserve">workshop  1: presenting the CP </t>
  </si>
  <si>
    <t xml:space="preserve">Workshop 2 : final draft </t>
  </si>
  <si>
    <t xml:space="preserve">Printing plans </t>
  </si>
  <si>
    <t>R2 A2 : workshops with PHC</t>
  </si>
  <si>
    <t xml:space="preserve">Drugs </t>
  </si>
  <si>
    <t xml:space="preserve">design and print the tool </t>
  </si>
  <si>
    <t xml:space="preserve">one drill per clinic </t>
  </si>
  <si>
    <t>Printing Modules (booklet )</t>
  </si>
  <si>
    <t xml:space="preserve">Training of BLS   on complete package catering service </t>
  </si>
  <si>
    <t xml:space="preserve">BLS Kits </t>
  </si>
  <si>
    <t xml:space="preserve">Training  on complete package catering service </t>
  </si>
  <si>
    <t xml:space="preserve">R4 A7.1  :  To organize mass media campaigns </t>
  </si>
  <si>
    <t xml:space="preserve">R4 A7.2 : Operational Advocacy </t>
  </si>
  <si>
    <t>R5 A1 MHPSS emergency intervention .</t>
  </si>
  <si>
    <t xml:space="preserve">R5 A2 &amp;3 .Identification , referral and follow up </t>
  </si>
  <si>
    <t xml:space="preserve">laptops for MDM Staff </t>
  </si>
  <si>
    <t xml:space="preserve">data collection +data entry </t>
  </si>
  <si>
    <t xml:space="preserve">Total Framework  for12 months </t>
  </si>
  <si>
    <t xml:space="preserve"> Result  1</t>
  </si>
  <si>
    <t xml:space="preserve">Number of facilties </t>
  </si>
  <si>
    <t xml:space="preserve">number of communities  </t>
  </si>
  <si>
    <t xml:space="preserve">Area </t>
  </si>
  <si>
    <t xml:space="preserve">5 Gov. </t>
  </si>
  <si>
    <t xml:space="preserve">5 GOV </t>
  </si>
  <si>
    <t xml:space="preserve">Benificieries </t>
  </si>
  <si>
    <t xml:space="preserve"> Direct </t>
  </si>
  <si>
    <t xml:space="preserve">Indirect </t>
  </si>
  <si>
    <t xml:space="preserve">Cost in Euro </t>
  </si>
  <si>
    <t xml:space="preserve">Medical staff </t>
  </si>
  <si>
    <t xml:space="preserve">Community members </t>
  </si>
  <si>
    <t xml:space="preserve">Number of schools </t>
  </si>
  <si>
    <t xml:space="preserve"> Result 2</t>
  </si>
  <si>
    <t xml:space="preserve">MOH adminstration </t>
  </si>
  <si>
    <t xml:space="preserve">5 Gov </t>
  </si>
  <si>
    <t xml:space="preserve"> Result 3</t>
  </si>
  <si>
    <t xml:space="preserve"> Result 4</t>
  </si>
  <si>
    <t xml:space="preserve">Result 5 </t>
  </si>
  <si>
    <t xml:space="preserve">R5 A4.Psychoeducation </t>
  </si>
  <si>
    <t xml:space="preserve">PSS </t>
  </si>
  <si>
    <t>WB</t>
  </si>
  <si>
    <t xml:space="preserve">training of PHC staff  </t>
  </si>
  <si>
    <t>R2 A5  and R3. A6: Drills  ( 1 day)</t>
  </si>
  <si>
    <t>R3 A1. ACLS training ( 2 days training )</t>
  </si>
  <si>
    <t>R3 A2 refreshment training of PHC ( 5 days training )</t>
  </si>
  <si>
    <t>R3 A5. GBV training ( 3days training )</t>
  </si>
  <si>
    <t>R4 A2. BLS training ( 5 days training )</t>
  </si>
  <si>
    <t>R4 A3.PFA ( 2 days )</t>
  </si>
  <si>
    <t>R4 A4.EPD trigger ( 2 days )</t>
  </si>
  <si>
    <t xml:space="preserve">R4 A5.2: Revie , print and training on Referral system ( one day training ) </t>
  </si>
  <si>
    <t xml:space="preserve">Campaign 2020 </t>
  </si>
  <si>
    <t xml:space="preserve">Admin assistance </t>
  </si>
  <si>
    <t xml:space="preserve">R1 A1 : Digital mapping of Des </t>
  </si>
  <si>
    <t xml:space="preserve">Digital mapping of Des </t>
  </si>
  <si>
    <t xml:space="preserve">R1 A2 : Medical need assessment </t>
  </si>
  <si>
    <t xml:space="preserve">design and print the assessment </t>
  </si>
  <si>
    <t xml:space="preserve">workshop for dissemination </t>
  </si>
  <si>
    <t xml:space="preserve">R2 A3 : procurement of medical stock </t>
  </si>
  <si>
    <t xml:space="preserve">disposable </t>
  </si>
  <si>
    <t xml:space="preserve">medical equipment </t>
  </si>
  <si>
    <t xml:space="preserve">non medical equipment </t>
  </si>
  <si>
    <t>R2 A4.1  and R3. A4  : production of specific tools for EWS on epidemic in crises (3 days training )</t>
  </si>
  <si>
    <t>R2 A4.2 and R3. A4 : Training of operation and and technical supervisors (5 days training )</t>
  </si>
  <si>
    <t xml:space="preserve">Supervisors training catering services </t>
  </si>
  <si>
    <t xml:space="preserve">Supervisors training transportation </t>
  </si>
  <si>
    <t xml:space="preserve">Supervisors training stationaries </t>
  </si>
  <si>
    <t>R3 A3. Mental health Gap ( 5 days training )</t>
  </si>
  <si>
    <t>R4.A5.1 : Review of MHPSS Protocols and SOPs at PHC  (Referral system )</t>
  </si>
  <si>
    <t xml:space="preserve">Printing of Protocols and SOPs  year 1 </t>
  </si>
  <si>
    <t xml:space="preserve">Printing of Referral system booklets </t>
  </si>
  <si>
    <t xml:space="preserve">Training referral system at Governorate level </t>
  </si>
  <si>
    <t xml:space="preserve">April </t>
  </si>
  <si>
    <t xml:space="preserve">May </t>
  </si>
  <si>
    <t xml:space="preserve">June 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</si>
  <si>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</si>
  <si>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</si>
  <si>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</si>
  <si>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</si>
  <si>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</si>
  <si>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</si>
  <si>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</si>
  <si>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</si>
  <si>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</si>
  <si>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 xml:space="preserve">MH Manager expat </t>
  </si>
  <si>
    <t>The Palestinian Counseling Center</t>
  </si>
  <si>
    <t xml:space="preserve">Budget Currency : Euro </t>
  </si>
  <si>
    <t xml:space="preserve">Budget line </t>
  </si>
  <si>
    <t xml:space="preserve">Unit </t>
  </si>
  <si>
    <t xml:space="preserve"># of units </t>
  </si>
  <si>
    <t xml:space="preserve">Unit cost </t>
  </si>
  <si>
    <t xml:space="preserve">Total cost </t>
  </si>
  <si>
    <t>Humman Resource</t>
  </si>
  <si>
    <t>Project coordinator ( FT)</t>
  </si>
  <si>
    <t xml:space="preserve">Month </t>
  </si>
  <si>
    <t>Volunteers coordinator (FT)</t>
  </si>
  <si>
    <t>Media Coordinator (FT)</t>
  </si>
  <si>
    <t>Two Counselros ( 2 FT &amp; 1 Pt 35 %)</t>
  </si>
  <si>
    <t>Accountant (Pt 30%)</t>
  </si>
  <si>
    <t>Admin Assistant (Pt 30%)</t>
  </si>
  <si>
    <t xml:space="preserve">Sbu total Human resource </t>
  </si>
  <si>
    <t>Direct costs</t>
  </si>
  <si>
    <t xml:space="preserve">Media training </t>
  </si>
  <si>
    <t>Day</t>
  </si>
  <si>
    <t>Brochures</t>
  </si>
  <si>
    <t>Brochure</t>
  </si>
  <si>
    <t xml:space="preserve">Transportation for staff </t>
  </si>
  <si>
    <t xml:space="preserve">First Aid kits for families </t>
  </si>
  <si>
    <t>Bag</t>
  </si>
  <si>
    <t xml:space="preserve">Psychosocial first aid kits </t>
  </si>
  <si>
    <t xml:space="preserve">Emergency vests </t>
  </si>
  <si>
    <t>vest</t>
  </si>
  <si>
    <t xml:space="preserve">Identification tags </t>
  </si>
  <si>
    <t>Training for volunteersc</t>
  </si>
  <si>
    <t xml:space="preserve">Pocket money for volunteers </t>
  </si>
  <si>
    <t xml:space="preserve">Volunteer </t>
  </si>
  <si>
    <t xml:space="preserve">Supervision for PCC staff </t>
  </si>
  <si>
    <t xml:space="preserve">Session </t>
  </si>
  <si>
    <t xml:space="preserve">Media Campaigns </t>
  </si>
  <si>
    <t>Campaign</t>
  </si>
  <si>
    <t xml:space="preserve">Essential's needs for patients </t>
  </si>
  <si>
    <t xml:space="preserve">Mobile prepaid cards </t>
  </si>
  <si>
    <t>Subtotal Direct cost</t>
  </si>
  <si>
    <t>Indirect cost</t>
  </si>
  <si>
    <t xml:space="preserve">Percentage </t>
  </si>
  <si>
    <t xml:space="preserve">Total </t>
  </si>
  <si>
    <t xml:space="preserve">Partner HR / program and suport </t>
  </si>
  <si>
    <t xml:space="preserve">Partners activities cost </t>
  </si>
  <si>
    <t xml:space="preserve">Partner admin cost </t>
  </si>
  <si>
    <t xml:space="preserve">MHPSS emotional supervsion </t>
  </si>
  <si>
    <t xml:space="preserve">MHPSS ER stationaries </t>
  </si>
  <si>
    <t xml:space="preserve">workshop with Partners </t>
  </si>
  <si>
    <t>Printing Brochures /</t>
  </si>
  <si>
    <t xml:space="preserve">MH day campaign 2019 </t>
  </si>
  <si>
    <t xml:space="preserve">Stationaries Psychoeducation sessions </t>
  </si>
  <si>
    <t xml:space="preserve">Visbility </t>
  </si>
  <si>
    <t xml:space="preserve">Snacks , Juice , Water </t>
  </si>
  <si>
    <t xml:space="preserve">R5 A5 Advocacy </t>
  </si>
  <si>
    <t xml:space="preserve">laptop for MDM Staff </t>
  </si>
  <si>
    <t>Psychologist 1</t>
  </si>
  <si>
    <t>Social worker 3</t>
  </si>
  <si>
    <t xml:space="preserve">Visibility material </t>
  </si>
  <si>
    <t>SAGA Code</t>
  </si>
  <si>
    <t>Proposition of project line</t>
  </si>
  <si>
    <t>Description</t>
  </si>
  <si>
    <t>Field</t>
  </si>
  <si>
    <t>HQ</t>
  </si>
  <si>
    <t>TOTAL</t>
  </si>
  <si>
    <t>Average duration</t>
  </si>
  <si>
    <t>Commentaires</t>
  </si>
  <si>
    <t>International staff</t>
  </si>
  <si>
    <t>INTERNATIONAL STAFF</t>
  </si>
  <si>
    <t>Wage costs</t>
  </si>
  <si>
    <t>S0A</t>
  </si>
  <si>
    <t xml:space="preserve">General Coordinator </t>
  </si>
  <si>
    <t>61S0A00</t>
  </si>
  <si>
    <t>Per diem</t>
  </si>
  <si>
    <t xml:space="preserve">4 months </t>
  </si>
  <si>
    <t>61S0A02</t>
  </si>
  <si>
    <t>Salaries and charges (HQ)</t>
  </si>
  <si>
    <t>61S0A03</t>
  </si>
  <si>
    <t>Insurances</t>
  </si>
  <si>
    <t>61S0A04</t>
  </si>
  <si>
    <t>School fees</t>
  </si>
  <si>
    <t>Accommodation costs</t>
  </si>
  <si>
    <t>61S0A21</t>
  </si>
  <si>
    <t>House rent</t>
  </si>
  <si>
    <t>S0B</t>
  </si>
  <si>
    <t xml:space="preserve">Medical Coordinator </t>
  </si>
  <si>
    <t>61S0B00</t>
  </si>
  <si>
    <t>61S0B02</t>
  </si>
  <si>
    <t>61S0B03</t>
  </si>
  <si>
    <t>61S0B21</t>
  </si>
  <si>
    <t>S0C</t>
  </si>
  <si>
    <t xml:space="preserve">Advocacy coordinator </t>
  </si>
  <si>
    <t>61S0C00</t>
  </si>
  <si>
    <t>61S0C02</t>
  </si>
  <si>
    <t>61S0C03</t>
  </si>
  <si>
    <t>61S0C21</t>
  </si>
  <si>
    <t>National staff &amp; Incentives</t>
  </si>
  <si>
    <t>S0D</t>
  </si>
  <si>
    <t xml:space="preserve">Administrative and Logistics Coordinator </t>
  </si>
  <si>
    <t>62S0D00</t>
  </si>
  <si>
    <t>Gross salary - admin &amp; log</t>
  </si>
  <si>
    <t>62S0D04</t>
  </si>
  <si>
    <t>Employers' charges - admin &amp; log</t>
  </si>
  <si>
    <t>62S0D10</t>
  </si>
  <si>
    <t>Medical costs - admin &amp; log</t>
  </si>
  <si>
    <t>6214</t>
  </si>
  <si>
    <t>62S0D14</t>
  </si>
  <si>
    <t>Food costs - admin &amp; log</t>
  </si>
  <si>
    <t>S0E</t>
  </si>
  <si>
    <t xml:space="preserve">Driver and Logistics assistant </t>
  </si>
  <si>
    <t>62S0E00</t>
  </si>
  <si>
    <t>62S0E04</t>
  </si>
  <si>
    <t>62S0E10</t>
  </si>
  <si>
    <t>62S0E14</t>
  </si>
  <si>
    <t>S0F</t>
  </si>
  <si>
    <t xml:space="preserve">Advocacy officer </t>
  </si>
  <si>
    <t>62S0F01</t>
  </si>
  <si>
    <t>Gross salary- program staff</t>
  </si>
  <si>
    <t xml:space="preserve">12 months </t>
  </si>
  <si>
    <t>62S0F05</t>
  </si>
  <si>
    <t>Emplyers'charges - program staff</t>
  </si>
  <si>
    <t>62S0F10</t>
  </si>
  <si>
    <t>Medical costs - program staff</t>
  </si>
  <si>
    <t>62S0F14</t>
  </si>
  <si>
    <t>Food costs - Program staff</t>
  </si>
  <si>
    <t>Programmes</t>
  </si>
  <si>
    <t>RUNNING EXPENSES PROGRAMS</t>
  </si>
  <si>
    <t>Running expenses programmes</t>
  </si>
  <si>
    <t>S0</t>
  </si>
  <si>
    <t>65S076</t>
  </si>
  <si>
    <t>Documentation purchase</t>
  </si>
  <si>
    <t xml:space="preserve">Advocacy and visiblities </t>
  </si>
  <si>
    <t>LOGISTICS &amp; TRANSPORT</t>
  </si>
  <si>
    <t>Rental / Leasing</t>
  </si>
  <si>
    <t xml:space="preserve">One car </t>
  </si>
  <si>
    <t>67S0A13</t>
  </si>
  <si>
    <t>Garage and parking rent</t>
  </si>
  <si>
    <t xml:space="preserve">one car 12 months </t>
  </si>
  <si>
    <t>Logistics expenses</t>
  </si>
  <si>
    <t>67S0A10</t>
  </si>
  <si>
    <t>Means of transport rent</t>
  </si>
  <si>
    <t>67S0A20</t>
  </si>
  <si>
    <t>Fuel for means of transport</t>
  </si>
  <si>
    <t>67S0A21</t>
  </si>
  <si>
    <t>Means of transport maintenance</t>
  </si>
  <si>
    <t>ADMINISTRATIVE &amp; COMMUNICATION COSTS</t>
  </si>
  <si>
    <t>Office equipment purchase</t>
  </si>
  <si>
    <t>68S010</t>
  </si>
  <si>
    <t>Office furniture purchase</t>
  </si>
  <si>
    <t xml:space="preserve">furniture </t>
  </si>
  <si>
    <t>68S011</t>
  </si>
  <si>
    <t>laptop</t>
  </si>
  <si>
    <t>Communication costs</t>
  </si>
  <si>
    <t xml:space="preserve">MOBILE COST </t>
  </si>
  <si>
    <t>68S040</t>
  </si>
  <si>
    <t>Telephone</t>
  </si>
  <si>
    <t xml:space="preserve">mobile </t>
  </si>
  <si>
    <t>MISCELLANEOUS COSTS</t>
  </si>
  <si>
    <t>6903</t>
  </si>
  <si>
    <t>69S003</t>
  </si>
  <si>
    <t>Depreciation and amortisation</t>
  </si>
  <si>
    <t>DEM</t>
  </si>
  <si>
    <t>DEEM</t>
  </si>
  <si>
    <t>TOTAL EXPENDITURE</t>
  </si>
  <si>
    <t>A</t>
  </si>
  <si>
    <t>D</t>
  </si>
  <si>
    <t>C</t>
  </si>
  <si>
    <t xml:space="preserve">MDM HR JER technical staff </t>
  </si>
  <si>
    <t xml:space="preserve">MDM HR JER  Coordination staff  </t>
  </si>
  <si>
    <t>b</t>
  </si>
  <si>
    <t>c</t>
  </si>
  <si>
    <t>d</t>
  </si>
  <si>
    <t>B</t>
  </si>
  <si>
    <t xml:space="preserve">Partner cost </t>
  </si>
  <si>
    <t xml:space="preserve">MH manager national </t>
  </si>
  <si>
    <t xml:space="preserve">MH Officer </t>
  </si>
  <si>
    <t xml:space="preserve">EM officer </t>
  </si>
  <si>
    <t>ECHO project coordinator expat</t>
  </si>
  <si>
    <t xml:space="preserve">EPREP officer </t>
  </si>
  <si>
    <t xml:space="preserve">Nurse / GBV </t>
  </si>
  <si>
    <t>Psychologist 2</t>
  </si>
  <si>
    <t>Social worker 1</t>
  </si>
  <si>
    <t xml:space="preserve">Car with driver </t>
  </si>
  <si>
    <t xml:space="preserve">Digital mapping of Des  and printing external service </t>
  </si>
  <si>
    <t xml:space="preserve">R1 A3: Rehabilitation of spaces  in Shelters/Clinic  </t>
  </si>
  <si>
    <t>Lump sum  per clinic or and school ( shelter)</t>
  </si>
  <si>
    <t xml:space="preserve">workshop  1: presenting Idea  CP what to develop / working agenda/agree on task force  </t>
  </si>
  <si>
    <t xml:space="preserve">Workshop 2 : task force / initiating work </t>
  </si>
  <si>
    <t xml:space="preserve">workshop 3: present draft </t>
  </si>
  <si>
    <t xml:space="preserve">Workshop 4 : final draft </t>
  </si>
  <si>
    <t>R2 A31  and R3. A5  : production of specific tools for EWS on epidemic in crises (3 days training )</t>
  </si>
  <si>
    <t>R2 A3.2 and R3. A5 : Training of operation and and technical supervisors (3 days training )</t>
  </si>
  <si>
    <t xml:space="preserve">R2 A4 : procurement of medical stock </t>
  </si>
  <si>
    <t xml:space="preserve">R3 A1. ACLS training ( 2 days training ) medical staff </t>
  </si>
  <si>
    <t>R3 A5. GBV training ( 2 days training )</t>
  </si>
  <si>
    <t xml:space="preserve">R4 A2. BLS training ( 5 days training ) </t>
  </si>
  <si>
    <t xml:space="preserve">Printing Modules (booklet ) for 200 </t>
  </si>
  <si>
    <t>Training of BLS   on complete package catering service (200)</t>
  </si>
  <si>
    <t>Training Materials ( stationary , certificates) (200)</t>
  </si>
  <si>
    <t xml:space="preserve">TOT training for 30 </t>
  </si>
  <si>
    <t>BLS Manichans (10)</t>
  </si>
  <si>
    <t>Massive CPR among the community  6 comp</t>
  </si>
  <si>
    <t xml:space="preserve">training provision insentive  </t>
  </si>
  <si>
    <t xml:space="preserve">MHPSS study external consultnt </t>
  </si>
  <si>
    <t xml:space="preserve">MH study publication </t>
  </si>
  <si>
    <t xml:space="preserve">Diplomats Field breifing </t>
  </si>
  <si>
    <t xml:space="preserve">Diplomats tour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</si>
</sst>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  <numFmt numFmtId="166" formatCode="_-* #,##0.0_-;\-* #,##0.0_-;_-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Geneva"/>
    </font>
  </fonts>
  <fills count="2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0" fillId="0" borderId="0"/>
  </cellStyleXfs>
  <cellXfs count="289">
    <xf numFmtId="0" fontId="0" fillId="0" borderId="0" xfId="0"/>
    <xf numFmtId="0" fontId="0" fillId="0" borderId="0" xfId="0" applyAlignment="1">
      <alignment horizontal="center"/>
    </xf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1" xfId="0" applyBorder="1"/>
    <xf numFmtId="9" fontId="0" fillId="0" borderId="1" xfId="0" applyNumberFormat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/>
    <xf numFmtId="0" fontId="0" fillId="3" borderId="2" xfId="0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justify" vertical="center" wrapText="1"/>
    </xf>
    <xf numFmtId="9" fontId="0" fillId="0" borderId="1" xfId="0" applyNumberFormat="1" applyBorder="1" applyAlignment="1">
      <alignment horizontal="center" vertical="center"/>
    </xf>
    <xf numFmtId="164" fontId="4" fillId="0" borderId="1" xfId="1" applyNumberFormat="1" applyFont="1" applyFill="1" applyBorder="1" applyAlignment="1">
      <alignment vertical="center" wrapText="1"/>
    </xf>
    <xf numFmtId="0" fontId="0" fillId="6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43" fontId="0" fillId="0" borderId="1" xfId="0" applyNumberFormat="1" applyBorder="1"/>
    <xf numFmtId="43" fontId="2" fillId="3" borderId="2" xfId="0" applyNumberFormat="1" applyFont="1" applyFill="1" applyBorder="1"/>
    <xf numFmtId="0" fontId="0" fillId="0" borderId="0" xfId="0" applyAlignment="1">
      <alignment vertical="center"/>
    </xf>
    <xf numFmtId="0" fontId="2" fillId="3" borderId="0" xfId="0" applyFont="1" applyFill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9" fontId="0" fillId="6" borderId="2" xfId="2" applyFont="1" applyFill="1" applyBorder="1"/>
    <xf numFmtId="9" fontId="0" fillId="3" borderId="2" xfId="2" applyFont="1" applyFill="1" applyBorder="1"/>
    <xf numFmtId="9" fontId="0" fillId="0" borderId="1" xfId="2" applyFont="1" applyBorder="1" applyAlignment="1">
      <alignment horizontal="center"/>
    </xf>
    <xf numFmtId="9" fontId="0" fillId="0" borderId="1" xfId="2" applyFont="1" applyBorder="1" applyAlignment="1">
      <alignment horizontal="center" vertical="center"/>
    </xf>
    <xf numFmtId="9" fontId="0" fillId="0" borderId="1" xfId="2" applyFont="1" applyBorder="1"/>
    <xf numFmtId="9" fontId="0" fillId="0" borderId="0" xfId="2" applyFont="1"/>
    <xf numFmtId="164" fontId="4" fillId="0" borderId="1" xfId="1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4" fontId="2" fillId="3" borderId="2" xfId="0" applyNumberFormat="1" applyFont="1" applyFill="1" applyBorder="1" applyAlignment="1">
      <alignment vertical="center"/>
    </xf>
    <xf numFmtId="164" fontId="2" fillId="3" borderId="2" xfId="0" applyNumberFormat="1" applyFont="1" applyFill="1" applyBorder="1"/>
    <xf numFmtId="0" fontId="3" fillId="10" borderId="3" xfId="0" applyFont="1" applyFill="1" applyBorder="1" applyAlignment="1">
      <alignment horizontal="left" vertical="center" wrapText="1"/>
    </xf>
    <xf numFmtId="9" fontId="0" fillId="10" borderId="1" xfId="2" applyFont="1" applyFill="1" applyBorder="1"/>
    <xf numFmtId="164" fontId="4" fillId="10" borderId="1" xfId="1" applyNumberFormat="1" applyFont="1" applyFill="1" applyBorder="1" applyAlignment="1">
      <alignment vertical="center" wrapText="1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164" fontId="0" fillId="10" borderId="1" xfId="0" applyNumberFormat="1" applyFill="1" applyBorder="1"/>
    <xf numFmtId="9" fontId="0" fillId="10" borderId="1" xfId="0" applyNumberFormat="1" applyFill="1" applyBorder="1" applyAlignment="1">
      <alignment horizontal="center" vertical="center"/>
    </xf>
    <xf numFmtId="9" fontId="0" fillId="10" borderId="1" xfId="2" applyFont="1" applyFill="1" applyBorder="1" applyAlignment="1">
      <alignment horizontal="center" vertical="center"/>
    </xf>
    <xf numFmtId="164" fontId="4" fillId="10" borderId="1" xfId="1" applyNumberFormat="1" applyFont="1" applyFill="1" applyBorder="1" applyAlignment="1">
      <alignment horizontal="center" vertical="center" wrapText="1"/>
    </xf>
    <xf numFmtId="164" fontId="0" fillId="10" borderId="1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64" fontId="2" fillId="10" borderId="1" xfId="0" applyNumberFormat="1" applyFont="1" applyFill="1" applyBorder="1" applyAlignment="1">
      <alignment vertical="center"/>
    </xf>
    <xf numFmtId="164" fontId="2" fillId="10" borderId="1" xfId="0" applyNumberFormat="1" applyFont="1" applyFill="1" applyBorder="1" applyAlignment="1">
      <alignment horizontal="center" vertical="center"/>
    </xf>
    <xf numFmtId="164" fontId="2" fillId="10" borderId="1" xfId="0" applyNumberFormat="1" applyFont="1" applyFill="1" applyBorder="1"/>
    <xf numFmtId="164" fontId="0" fillId="0" borderId="1" xfId="1" applyNumberFormat="1" applyFont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43" fontId="2" fillId="0" borderId="0" xfId="0" applyNumberFormat="1" applyFont="1"/>
    <xf numFmtId="0" fontId="2" fillId="0" borderId="0" xfId="0" applyFont="1"/>
    <xf numFmtId="0" fontId="0" fillId="0" borderId="6" xfId="0" applyFill="1" applyBorder="1" applyAlignment="1">
      <alignment horizontal="center" vertical="center"/>
    </xf>
    <xf numFmtId="0" fontId="0" fillId="7" borderId="0" xfId="0" applyFill="1"/>
    <xf numFmtId="0" fontId="3" fillId="11" borderId="3" xfId="0" applyFont="1" applyFill="1" applyBorder="1" applyAlignment="1">
      <alignment horizontal="left" vertical="center" wrapText="1"/>
    </xf>
    <xf numFmtId="9" fontId="0" fillId="11" borderId="1" xfId="2" applyFont="1" applyFill="1" applyBorder="1"/>
    <xf numFmtId="164" fontId="4" fillId="11" borderId="1" xfId="1" applyNumberFormat="1" applyFont="1" applyFill="1" applyBorder="1" applyAlignment="1">
      <alignment vertical="center" wrapText="1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164" fontId="0" fillId="11" borderId="1" xfId="0" applyNumberFormat="1" applyFill="1" applyBorder="1"/>
    <xf numFmtId="9" fontId="0" fillId="11" borderId="1" xfId="0" applyNumberFormat="1" applyFill="1" applyBorder="1" applyAlignment="1">
      <alignment horizontal="center" vertical="center"/>
    </xf>
    <xf numFmtId="17" fontId="0" fillId="11" borderId="1" xfId="0" applyNumberFormat="1" applyFill="1" applyBorder="1" applyAlignment="1">
      <alignment horizontal="center" vertical="center"/>
    </xf>
    <xf numFmtId="43" fontId="0" fillId="11" borderId="1" xfId="0" applyNumberFormat="1" applyFill="1" applyBorder="1"/>
    <xf numFmtId="164" fontId="0" fillId="11" borderId="1" xfId="0" applyNumberFormat="1" applyFill="1" applyBorder="1" applyAlignment="1">
      <alignment vertical="center"/>
    </xf>
    <xf numFmtId="0" fontId="0" fillId="11" borderId="0" xfId="0" applyFill="1"/>
    <xf numFmtId="9" fontId="0" fillId="11" borderId="1" xfId="2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0" fontId="0" fillId="0" borderId="2" xfId="0" applyBorder="1"/>
    <xf numFmtId="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164" fontId="4" fillId="0" borderId="6" xfId="1" applyNumberFormat="1" applyFont="1" applyFill="1" applyBorder="1" applyAlignment="1">
      <alignment vertical="center" wrapText="1"/>
    </xf>
    <xf numFmtId="0" fontId="0" fillId="0" borderId="0" xfId="0" applyFill="1"/>
    <xf numFmtId="0" fontId="6" fillId="10" borderId="3" xfId="0" applyFont="1" applyFill="1" applyBorder="1" applyAlignment="1">
      <alignment horizontal="left" vertical="center" wrapText="1"/>
    </xf>
    <xf numFmtId="164" fontId="0" fillId="0" borderId="0" xfId="0" applyNumberFormat="1"/>
    <xf numFmtId="43" fontId="2" fillId="0" borderId="0" xfId="1" applyFont="1"/>
    <xf numFmtId="0" fontId="0" fillId="0" borderId="0" xfId="0" applyAlignment="1">
      <alignment wrapText="1"/>
    </xf>
    <xf numFmtId="0" fontId="2" fillId="12" borderId="14" xfId="0" applyFont="1" applyFill="1" applyBorder="1" applyAlignment="1">
      <alignment vertical="center" wrapText="1"/>
    </xf>
    <xf numFmtId="0" fontId="2" fillId="13" borderId="16" xfId="0" applyFont="1" applyFill="1" applyBorder="1" applyAlignment="1">
      <alignment horizontal="center" vertical="center" wrapText="1"/>
    </xf>
    <xf numFmtId="164" fontId="2" fillId="13" borderId="9" xfId="1" applyNumberFormat="1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14" xfId="0" applyBorder="1" applyAlignment="1">
      <alignment wrapText="1"/>
    </xf>
    <xf numFmtId="0" fontId="2" fillId="12" borderId="1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164" fontId="0" fillId="0" borderId="1" xfId="1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13" borderId="16" xfId="0" applyFont="1" applyFill="1" applyBorder="1" applyAlignment="1">
      <alignment horizontal="center" wrapText="1"/>
    </xf>
    <xf numFmtId="164" fontId="2" fillId="13" borderId="9" xfId="1" applyNumberFormat="1" applyFont="1" applyFill="1" applyBorder="1" applyAlignment="1">
      <alignment horizontal="center" wrapText="1"/>
    </xf>
    <xf numFmtId="0" fontId="2" fillId="13" borderId="9" xfId="0" applyFont="1" applyFill="1" applyBorder="1" applyAlignment="1">
      <alignment horizontal="center" wrapText="1"/>
    </xf>
    <xf numFmtId="164" fontId="0" fillId="0" borderId="1" xfId="1" applyNumberFormat="1" applyFont="1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164" fontId="0" fillId="0" borderId="2" xfId="1" applyNumberFormat="1" applyFont="1" applyBorder="1" applyAlignment="1">
      <alignment horizontal="center" wrapText="1"/>
    </xf>
    <xf numFmtId="0" fontId="0" fillId="0" borderId="18" xfId="0" applyBorder="1" applyAlignment="1">
      <alignment horizontal="left" wrapText="1"/>
    </xf>
    <xf numFmtId="0" fontId="0" fillId="0" borderId="26" xfId="0" applyBorder="1" applyAlignment="1">
      <alignment horizontal="left" wrapText="1"/>
    </xf>
    <xf numFmtId="164" fontId="0" fillId="0" borderId="14" xfId="1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2" xfId="1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wrapText="1"/>
    </xf>
    <xf numFmtId="0" fontId="2" fillId="14" borderId="0" xfId="0" applyFont="1" applyFill="1" applyAlignment="1">
      <alignment wrapText="1"/>
    </xf>
    <xf numFmtId="0" fontId="2" fillId="14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14" borderId="1" xfId="0" applyFill="1" applyBorder="1" applyAlignment="1">
      <alignment wrapText="1"/>
    </xf>
    <xf numFmtId="0" fontId="2" fillId="15" borderId="29" xfId="0" applyFont="1" applyFill="1" applyBorder="1" applyAlignment="1">
      <alignment horizontal="center" vertical="center" wrapText="1"/>
    </xf>
    <xf numFmtId="0" fontId="0" fillId="15" borderId="29" xfId="0" applyFill="1" applyBorder="1" applyAlignment="1">
      <alignment wrapText="1"/>
    </xf>
    <xf numFmtId="0" fontId="2" fillId="15" borderId="16" xfId="0" applyFont="1" applyFill="1" applyBorder="1" applyAlignment="1">
      <alignment horizontal="center" wrapText="1"/>
    </xf>
    <xf numFmtId="0" fontId="0" fillId="15" borderId="9" xfId="0" applyFill="1" applyBorder="1" applyAlignment="1">
      <alignment wrapText="1"/>
    </xf>
    <xf numFmtId="0" fontId="0" fillId="15" borderId="10" xfId="0" applyFill="1" applyBorder="1" applyAlignment="1">
      <alignment wrapText="1"/>
    </xf>
    <xf numFmtId="0" fontId="0" fillId="0" borderId="27" xfId="0" applyBorder="1" applyAlignment="1">
      <alignment wrapText="1"/>
    </xf>
    <xf numFmtId="0" fontId="0" fillId="0" borderId="20" xfId="0" applyBorder="1" applyAlignment="1">
      <alignment horizontal="left" wrapText="1"/>
    </xf>
    <xf numFmtId="0" fontId="0" fillId="14" borderId="14" xfId="0" applyFill="1" applyBorder="1" applyAlignment="1">
      <alignment wrapText="1"/>
    </xf>
    <xf numFmtId="0" fontId="0" fillId="14" borderId="28" xfId="0" applyFill="1" applyBorder="1" applyAlignment="1">
      <alignment wrapText="1"/>
    </xf>
    <xf numFmtId="0" fontId="2" fillId="15" borderId="16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16" borderId="1" xfId="0" applyFill="1" applyBorder="1" applyAlignment="1">
      <alignment wrapText="1"/>
    </xf>
    <xf numFmtId="0" fontId="0" fillId="16" borderId="2" xfId="0" applyFill="1" applyBorder="1" applyAlignment="1">
      <alignment wrapText="1"/>
    </xf>
    <xf numFmtId="0" fontId="0" fillId="0" borderId="0" xfId="0"/>
    <xf numFmtId="0" fontId="2" fillId="0" borderId="31" xfId="0" applyFont="1" applyBorder="1"/>
    <xf numFmtId="0" fontId="2" fillId="0" borderId="3" xfId="0" applyFont="1" applyBorder="1"/>
    <xf numFmtId="0" fontId="0" fillId="0" borderId="1" xfId="0" applyBorder="1"/>
    <xf numFmtId="0" fontId="0" fillId="0" borderId="2" xfId="0" applyBorder="1"/>
    <xf numFmtId="0" fontId="0" fillId="0" borderId="29" xfId="0" applyBorder="1"/>
    <xf numFmtId="0" fontId="2" fillId="0" borderId="0" xfId="0" applyFont="1" applyBorder="1" applyAlignment="1">
      <alignment horizontal="center"/>
    </xf>
    <xf numFmtId="166" fontId="0" fillId="0" borderId="29" xfId="0" applyNumberFormat="1" applyBorder="1"/>
    <xf numFmtId="166" fontId="0" fillId="0" borderId="1" xfId="3" applyNumberFormat="1" applyFont="1" applyBorder="1"/>
    <xf numFmtId="166" fontId="0" fillId="0" borderId="6" xfId="0" applyNumberFormat="1" applyBorder="1"/>
    <xf numFmtId="166" fontId="0" fillId="0" borderId="29" xfId="3" applyNumberFormat="1" applyFont="1" applyBorder="1"/>
    <xf numFmtId="166" fontId="0" fillId="0" borderId="6" xfId="3" applyNumberFormat="1" applyFont="1" applyBorder="1"/>
    <xf numFmtId="0" fontId="2" fillId="16" borderId="33" xfId="0" applyFont="1" applyFill="1" applyBorder="1"/>
    <xf numFmtId="0" fontId="2" fillId="16" borderId="34" xfId="0" applyFont="1" applyFill="1" applyBorder="1"/>
    <xf numFmtId="166" fontId="2" fillId="16" borderId="34" xfId="0" applyNumberFormat="1" applyFont="1" applyFill="1" applyBorder="1"/>
    <xf numFmtId="166" fontId="2" fillId="16" borderId="34" xfId="3" applyNumberFormat="1" applyFont="1" applyFill="1" applyBorder="1"/>
    <xf numFmtId="0" fontId="2" fillId="0" borderId="0" xfId="0" applyFont="1" applyFill="1" applyBorder="1"/>
    <xf numFmtId="166" fontId="0" fillId="0" borderId="0" xfId="0" applyNumberFormat="1"/>
    <xf numFmtId="165" fontId="0" fillId="0" borderId="0" xfId="0" applyNumberFormat="1"/>
    <xf numFmtId="0" fontId="2" fillId="0" borderId="0" xfId="0" applyFont="1" applyBorder="1" applyAlignment="1">
      <alignment horizontal="left"/>
    </xf>
    <xf numFmtId="9" fontId="2" fillId="16" borderId="34" xfId="2" applyFont="1" applyFill="1" applyBorder="1"/>
    <xf numFmtId="9" fontId="0" fillId="0" borderId="0" xfId="2" applyFont="1"/>
    <xf numFmtId="164" fontId="0" fillId="0" borderId="1" xfId="0" applyNumberFormat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0" fontId="3" fillId="0" borderId="35" xfId="0" applyFont="1" applyFill="1" applyBorder="1" applyAlignment="1">
      <alignment horizontal="left" vertical="center" wrapText="1"/>
    </xf>
    <xf numFmtId="9" fontId="0" fillId="0" borderId="0" xfId="0" applyNumberFormat="1"/>
    <xf numFmtId="0" fontId="0" fillId="0" borderId="6" xfId="0" applyFill="1" applyBorder="1"/>
    <xf numFmtId="0" fontId="0" fillId="0" borderId="6" xfId="0" applyFill="1" applyBorder="1" applyAlignment="1">
      <alignment horizontal="center"/>
    </xf>
    <xf numFmtId="17" fontId="0" fillId="0" borderId="0" xfId="0" applyNumberFormat="1"/>
    <xf numFmtId="0" fontId="0" fillId="9" borderId="1" xfId="0" applyFill="1" applyBorder="1"/>
    <xf numFmtId="166" fontId="0" fillId="9" borderId="29" xfId="0" applyNumberFormat="1" applyFill="1" applyBorder="1"/>
    <xf numFmtId="166" fontId="0" fillId="9" borderId="1" xfId="3" applyNumberFormat="1" applyFont="1" applyFill="1" applyBorder="1"/>
    <xf numFmtId="0" fontId="0" fillId="9" borderId="29" xfId="0" applyFill="1" applyBorder="1"/>
    <xf numFmtId="2" fontId="0" fillId="0" borderId="0" xfId="2" applyNumberFormat="1" applyFont="1"/>
    <xf numFmtId="9" fontId="0" fillId="9" borderId="1" xfId="0" applyNumberFormat="1" applyFill="1" applyBorder="1" applyAlignment="1">
      <alignment horizontal="center" vertical="center"/>
    </xf>
    <xf numFmtId="164" fontId="4" fillId="9" borderId="1" xfId="1" applyNumberFormat="1" applyFont="1" applyFill="1" applyBorder="1" applyAlignment="1">
      <alignment vertical="center" wrapText="1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17" fontId="0" fillId="9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/>
    <xf numFmtId="0" fontId="7" fillId="0" borderId="30" xfId="0" applyFont="1" applyBorder="1" applyAlignment="1" applyProtection="1">
      <alignment vertical="center"/>
    </xf>
    <xf numFmtId="0" fontId="7" fillId="0" borderId="31" xfId="0" applyFont="1" applyBorder="1" applyAlignment="1" applyProtection="1">
      <alignment vertical="center"/>
    </xf>
    <xf numFmtId="0" fontId="7" fillId="0" borderId="31" xfId="0" applyFont="1" applyBorder="1" applyAlignment="1" applyProtection="1">
      <alignment vertical="center"/>
      <protection locked="0"/>
    </xf>
    <xf numFmtId="0" fontId="7" fillId="0" borderId="32" xfId="0" applyFont="1" applyBorder="1" applyAlignment="1" applyProtection="1">
      <alignment vertical="center"/>
    </xf>
    <xf numFmtId="0" fontId="7" fillId="0" borderId="32" xfId="0" applyFont="1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horizontal="left" vertical="top"/>
    </xf>
    <xf numFmtId="0" fontId="8" fillId="0" borderId="2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 applyProtection="1">
      <alignment vertical="top"/>
    </xf>
    <xf numFmtId="43" fontId="9" fillId="0" borderId="29" xfId="1" applyFont="1" applyBorder="1" applyAlignment="1" applyProtection="1">
      <alignment horizontal="center" vertical="top"/>
    </xf>
    <xf numFmtId="43" fontId="8" fillId="0" borderId="2" xfId="1" applyFont="1" applyBorder="1" applyAlignment="1" applyProtection="1">
      <alignment horizontal="center" vertical="top"/>
      <protection locked="0"/>
    </xf>
    <xf numFmtId="43" fontId="8" fillId="0" borderId="8" xfId="1" applyFont="1" applyBorder="1" applyAlignment="1" applyProtection="1">
      <alignment vertical="top"/>
    </xf>
    <xf numFmtId="43" fontId="8" fillId="0" borderId="8" xfId="1" applyFont="1" applyBorder="1" applyAlignment="1" applyProtection="1">
      <alignment vertical="top"/>
      <protection locked="0"/>
    </xf>
    <xf numFmtId="0" fontId="8" fillId="17" borderId="1" xfId="4" applyFont="1" applyFill="1" applyBorder="1" applyAlignment="1" applyProtection="1">
      <alignment horizontal="left" vertical="center"/>
    </xf>
    <xf numFmtId="0" fontId="8" fillId="17" borderId="1" xfId="4" applyFont="1" applyFill="1" applyBorder="1" applyAlignment="1" applyProtection="1">
      <alignment horizontal="left" vertical="center" wrapText="1"/>
      <protection locked="0"/>
    </xf>
    <xf numFmtId="0" fontId="8" fillId="17" borderId="1" xfId="4" applyFont="1" applyFill="1" applyBorder="1" applyAlignment="1" applyProtection="1">
      <alignment vertical="center"/>
      <protection locked="0"/>
    </xf>
    <xf numFmtId="43" fontId="8" fillId="17" borderId="1" xfId="1" applyFont="1" applyFill="1" applyBorder="1" applyAlignment="1" applyProtection="1">
      <alignment vertical="center"/>
    </xf>
    <xf numFmtId="43" fontId="8" fillId="17" borderId="1" xfId="1" applyFont="1" applyFill="1" applyBorder="1" applyAlignment="1" applyProtection="1">
      <alignment vertical="center"/>
      <protection locked="0"/>
    </xf>
    <xf numFmtId="0" fontId="8" fillId="18" borderId="1" xfId="4" applyFont="1" applyFill="1" applyBorder="1" applyAlignment="1" applyProtection="1">
      <alignment horizontal="left" vertical="center"/>
    </xf>
    <xf numFmtId="0" fontId="8" fillId="18" borderId="1" xfId="4" applyFont="1" applyFill="1" applyBorder="1" applyAlignment="1" applyProtection="1">
      <alignment horizontal="left" vertical="center"/>
      <protection locked="0"/>
    </xf>
    <xf numFmtId="0" fontId="8" fillId="18" borderId="1" xfId="4" applyFont="1" applyFill="1" applyBorder="1" applyAlignment="1" applyProtection="1">
      <alignment vertical="center"/>
      <protection locked="0"/>
    </xf>
    <xf numFmtId="43" fontId="8" fillId="18" borderId="1" xfId="1" applyFont="1" applyFill="1" applyBorder="1" applyAlignment="1" applyProtection="1">
      <alignment vertical="center"/>
    </xf>
    <xf numFmtId="43" fontId="8" fillId="18" borderId="36" xfId="1" applyFont="1" applyFill="1" applyBorder="1" applyAlignment="1" applyProtection="1">
      <alignment vertical="center"/>
    </xf>
    <xf numFmtId="43" fontId="8" fillId="18" borderId="36" xfId="1" applyFont="1" applyFill="1" applyBorder="1" applyAlignment="1" applyProtection="1">
      <alignment vertical="center"/>
      <protection locked="0"/>
    </xf>
    <xf numFmtId="49" fontId="9" fillId="19" borderId="1" xfId="4" applyNumberFormat="1" applyFont="1" applyFill="1" applyBorder="1" applyAlignment="1" applyProtection="1">
      <alignment horizontal="left" vertical="center"/>
    </xf>
    <xf numFmtId="49" fontId="9" fillId="19" borderId="1" xfId="4" applyNumberFormat="1" applyFont="1" applyFill="1" applyBorder="1" applyAlignment="1" applyProtection="1">
      <alignment horizontal="left" vertical="center"/>
      <protection locked="0"/>
    </xf>
    <xf numFmtId="0" fontId="9" fillId="19" borderId="1" xfId="4" applyFont="1" applyFill="1" applyBorder="1" applyAlignment="1" applyProtection="1">
      <alignment vertical="center"/>
      <protection locked="0"/>
    </xf>
    <xf numFmtId="43" fontId="9" fillId="19" borderId="1" xfId="1" applyFont="1" applyFill="1" applyBorder="1" applyAlignment="1" applyProtection="1">
      <alignment vertical="center"/>
    </xf>
    <xf numFmtId="43" fontId="9" fillId="19" borderId="36" xfId="1" applyFont="1" applyFill="1" applyBorder="1" applyAlignment="1" applyProtection="1">
      <alignment vertical="center"/>
    </xf>
    <xf numFmtId="43" fontId="9" fillId="19" borderId="36" xfId="1" applyFont="1" applyFill="1" applyBorder="1" applyAlignment="1" applyProtection="1">
      <alignment vertical="center"/>
      <protection locked="0"/>
    </xf>
    <xf numFmtId="49" fontId="9" fillId="0" borderId="6" xfId="4" applyNumberFormat="1" applyFont="1" applyBorder="1" applyAlignment="1" applyProtection="1">
      <alignment horizontal="left" vertical="center"/>
    </xf>
    <xf numFmtId="0" fontId="9" fillId="0" borderId="6" xfId="4" applyFont="1" applyBorder="1" applyAlignment="1" applyProtection="1">
      <alignment vertical="center"/>
    </xf>
    <xf numFmtId="0" fontId="9" fillId="11" borderId="6" xfId="4" applyFont="1" applyFill="1" applyBorder="1" applyAlignment="1" applyProtection="1">
      <alignment vertical="center"/>
      <protection locked="0"/>
    </xf>
    <xf numFmtId="0" fontId="9" fillId="0" borderId="6" xfId="4" applyFont="1" applyBorder="1" applyAlignment="1" applyProtection="1">
      <alignment vertical="center"/>
      <protection locked="0"/>
    </xf>
    <xf numFmtId="43" fontId="9" fillId="0" borderId="6" xfId="1" applyFont="1" applyBorder="1" applyAlignment="1" applyProtection="1">
      <alignment vertical="center"/>
    </xf>
    <xf numFmtId="43" fontId="9" fillId="0" borderId="24" xfId="1" applyFont="1" applyBorder="1" applyAlignment="1" applyProtection="1">
      <alignment vertical="center"/>
      <protection locked="0"/>
    </xf>
    <xf numFmtId="43" fontId="9" fillId="0" borderId="6" xfId="1" applyFont="1" applyFill="1" applyBorder="1" applyAlignment="1" applyProtection="1">
      <alignment vertical="center"/>
    </xf>
    <xf numFmtId="43" fontId="9" fillId="0" borderId="6" xfId="1" applyFont="1" applyFill="1" applyBorder="1" applyAlignment="1" applyProtection="1">
      <alignment vertical="center"/>
      <protection locked="0"/>
    </xf>
    <xf numFmtId="43" fontId="9" fillId="0" borderId="6" xfId="1" applyFont="1" applyBorder="1" applyAlignment="1" applyProtection="1">
      <alignment vertical="center"/>
      <protection locked="0"/>
    </xf>
    <xf numFmtId="43" fontId="9" fillId="19" borderId="1" xfId="1" applyFont="1" applyFill="1" applyBorder="1" applyAlignment="1" applyProtection="1">
      <alignment vertical="center"/>
      <protection locked="0"/>
    </xf>
    <xf numFmtId="43" fontId="8" fillId="18" borderId="1" xfId="1" applyFont="1" applyFill="1" applyBorder="1" applyAlignment="1" applyProtection="1">
      <alignment vertical="center"/>
      <protection locked="0"/>
    </xf>
    <xf numFmtId="0" fontId="8" fillId="17" borderId="1" xfId="4" applyFont="1" applyFill="1" applyBorder="1" applyAlignment="1" applyProtection="1">
      <alignment horizontal="left" vertical="center"/>
      <protection locked="0"/>
    </xf>
    <xf numFmtId="0" fontId="9" fillId="11" borderId="2" xfId="4" applyFont="1" applyFill="1" applyBorder="1" applyAlignment="1" applyProtection="1">
      <alignment vertical="center"/>
      <protection locked="0"/>
    </xf>
    <xf numFmtId="0" fontId="9" fillId="0" borderId="2" xfId="4" applyNumberFormat="1" applyFont="1" applyBorder="1" applyAlignment="1" applyProtection="1">
      <alignment vertical="center"/>
      <protection locked="0"/>
    </xf>
    <xf numFmtId="0" fontId="9" fillId="0" borderId="6" xfId="4" applyNumberFormat="1" applyFont="1" applyBorder="1" applyAlignment="1" applyProtection="1">
      <alignment vertical="center"/>
      <protection locked="0"/>
    </xf>
    <xf numFmtId="49" fontId="9" fillId="0" borderId="29" xfId="4" applyNumberFormat="1" applyFont="1" applyBorder="1" applyAlignment="1" applyProtection="1">
      <alignment horizontal="left" vertical="center"/>
    </xf>
    <xf numFmtId="43" fontId="9" fillId="0" borderId="29" xfId="1" applyFont="1" applyBorder="1" applyAlignment="1" applyProtection="1">
      <alignment vertical="center"/>
    </xf>
    <xf numFmtId="0" fontId="9" fillId="11" borderId="29" xfId="4" applyFont="1" applyFill="1" applyBorder="1" applyAlignment="1" applyProtection="1">
      <alignment vertical="center"/>
      <protection locked="0"/>
    </xf>
    <xf numFmtId="0" fontId="9" fillId="0" borderId="29" xfId="4" applyNumberFormat="1" applyFont="1" applyBorder="1" applyAlignment="1" applyProtection="1">
      <alignment vertical="center"/>
      <protection locked="0"/>
    </xf>
    <xf numFmtId="43" fontId="9" fillId="0" borderId="29" xfId="1" applyFont="1" applyBorder="1" applyAlignment="1" applyProtection="1">
      <alignment vertical="center"/>
      <protection locked="0"/>
    </xf>
    <xf numFmtId="0" fontId="9" fillId="0" borderId="8" xfId="4" applyNumberFormat="1" applyFont="1" applyBorder="1" applyAlignment="1" applyProtection="1">
      <alignment vertical="center"/>
      <protection locked="0"/>
    </xf>
    <xf numFmtId="43" fontId="9" fillId="0" borderId="25" xfId="1" applyFont="1" applyBorder="1" applyAlignment="1" applyProtection="1">
      <alignment vertical="center"/>
      <protection locked="0"/>
    </xf>
    <xf numFmtId="49" fontId="9" fillId="19" borderId="2" xfId="4" applyNumberFormat="1" applyFont="1" applyFill="1" applyBorder="1" applyAlignment="1" applyProtection="1">
      <alignment horizontal="left" vertical="center"/>
    </xf>
    <xf numFmtId="49" fontId="9" fillId="19" borderId="2" xfId="4" applyNumberFormat="1" applyFont="1" applyFill="1" applyBorder="1" applyAlignment="1" applyProtection="1">
      <alignment horizontal="left" vertical="center"/>
      <protection locked="0"/>
    </xf>
    <xf numFmtId="43" fontId="9" fillId="19" borderId="2" xfId="1" applyFont="1" applyFill="1" applyBorder="1" applyAlignment="1" applyProtection="1">
      <alignment vertical="center"/>
    </xf>
    <xf numFmtId="43" fontId="9" fillId="19" borderId="2" xfId="1" applyFont="1" applyFill="1" applyBorder="1" applyAlignment="1" applyProtection="1">
      <alignment vertical="center"/>
      <protection locked="0"/>
    </xf>
    <xf numFmtId="0" fontId="9" fillId="0" borderId="2" xfId="4" applyFont="1" applyBorder="1" applyAlignment="1" applyProtection="1">
      <alignment vertical="center"/>
      <protection locked="0"/>
    </xf>
    <xf numFmtId="49" fontId="9" fillId="0" borderId="2" xfId="4" applyNumberFormat="1" applyFont="1" applyBorder="1" applyAlignment="1" applyProtection="1">
      <alignment horizontal="left" vertical="center"/>
    </xf>
    <xf numFmtId="0" fontId="9" fillId="0" borderId="2" xfId="4" applyNumberFormat="1" applyFont="1" applyBorder="1" applyAlignment="1" applyProtection="1">
      <alignment horizontal="left" vertical="center"/>
    </xf>
    <xf numFmtId="43" fontId="9" fillId="0" borderId="2" xfId="1" applyFont="1" applyBorder="1" applyAlignment="1" applyProtection="1">
      <alignment vertical="center"/>
    </xf>
    <xf numFmtId="0" fontId="9" fillId="0" borderId="6" xfId="4" applyNumberFormat="1" applyFont="1" applyBorder="1" applyAlignment="1" applyProtection="1">
      <alignment horizontal="left" vertical="center"/>
    </xf>
    <xf numFmtId="0" fontId="8" fillId="17" borderId="29" xfId="4" applyFont="1" applyFill="1" applyBorder="1" applyAlignment="1" applyProtection="1">
      <alignment horizontal="left" vertical="center"/>
    </xf>
    <xf numFmtId="0" fontId="8" fillId="17" borderId="29" xfId="4" applyFont="1" applyFill="1" applyBorder="1" applyAlignment="1" applyProtection="1">
      <alignment horizontal="left" vertical="center"/>
      <protection locked="0"/>
    </xf>
    <xf numFmtId="43" fontId="8" fillId="17" borderId="29" xfId="1" applyFont="1" applyFill="1" applyBorder="1" applyAlignment="1" applyProtection="1">
      <alignment vertical="center"/>
    </xf>
    <xf numFmtId="43" fontId="8" fillId="17" borderId="29" xfId="1" applyFont="1" applyFill="1" applyBorder="1" applyAlignment="1" applyProtection="1">
      <alignment vertical="center"/>
      <protection locked="0"/>
    </xf>
    <xf numFmtId="0" fontId="8" fillId="20" borderId="1" xfId="0" applyFont="1" applyFill="1" applyBorder="1" applyAlignment="1" applyProtection="1">
      <alignment horizontal="left" vertical="center"/>
    </xf>
    <xf numFmtId="0" fontId="9" fillId="21" borderId="6" xfId="4" applyFont="1" applyFill="1" applyBorder="1" applyAlignment="1" applyProtection="1">
      <alignment vertical="center"/>
      <protection locked="0"/>
    </xf>
    <xf numFmtId="0" fontId="8" fillId="20" borderId="1" xfId="0" applyFont="1" applyFill="1" applyBorder="1" applyAlignment="1" applyProtection="1">
      <alignment vertical="center"/>
      <protection locked="0"/>
    </xf>
    <xf numFmtId="43" fontId="8" fillId="20" borderId="1" xfId="1" applyFont="1" applyFill="1" applyBorder="1" applyAlignment="1" applyProtection="1">
      <alignment vertical="center"/>
    </xf>
    <xf numFmtId="43" fontId="8" fillId="20" borderId="1" xfId="1" applyFont="1" applyFill="1" applyBorder="1" applyAlignment="1" applyProtection="1">
      <alignment vertical="center"/>
      <protection locked="0"/>
    </xf>
    <xf numFmtId="164" fontId="0" fillId="11" borderId="1" xfId="1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64" fontId="2" fillId="9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9" fontId="0" fillId="0" borderId="2" xfId="2" applyFont="1" applyBorder="1" applyAlignment="1">
      <alignment horizontal="center"/>
    </xf>
    <xf numFmtId="164" fontId="4" fillId="0" borderId="2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7" fontId="0" fillId="0" borderId="2" xfId="0" applyNumberFormat="1" applyBorder="1" applyAlignment="1">
      <alignment horizontal="center" vertical="center"/>
    </xf>
    <xf numFmtId="164" fontId="2" fillId="9" borderId="2" xfId="0" applyNumberFormat="1" applyFont="1" applyFill="1" applyBorder="1" applyAlignment="1">
      <alignment vertical="center"/>
    </xf>
    <xf numFmtId="9" fontId="0" fillId="0" borderId="1" xfId="2" applyFont="1" applyBorder="1" applyAlignment="1"/>
    <xf numFmtId="164" fontId="0" fillId="0" borderId="0" xfId="0" applyNumberFormat="1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center" vertical="center" wrapText="1"/>
    </xf>
    <xf numFmtId="3" fontId="0" fillId="0" borderId="27" xfId="0" applyNumberFormat="1" applyBorder="1" applyAlignment="1">
      <alignment horizontal="center" vertical="center" wrapText="1"/>
    </xf>
    <xf numFmtId="3" fontId="0" fillId="0" borderId="17" xfId="0" applyNumberFormat="1" applyBorder="1" applyAlignment="1">
      <alignment horizontal="center" vertical="center" wrapText="1"/>
    </xf>
    <xf numFmtId="3" fontId="0" fillId="0" borderId="19" xfId="0" applyNumberFormat="1" applyBorder="1" applyAlignment="1">
      <alignment horizontal="center" vertical="center" wrapText="1"/>
    </xf>
    <xf numFmtId="3" fontId="0" fillId="0" borderId="15" xfId="0" applyNumberFormat="1" applyBorder="1" applyAlignment="1">
      <alignment horizontal="center" vertical="center" wrapText="1"/>
    </xf>
    <xf numFmtId="0" fontId="2" fillId="12" borderId="8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  <xf numFmtId="0" fontId="2" fillId="12" borderId="5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21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2" borderId="23" xfId="0" applyFont="1" applyFill="1" applyBorder="1" applyAlignment="1">
      <alignment horizontal="center" vertical="center" wrapText="1"/>
    </xf>
    <xf numFmtId="0" fontId="2" fillId="12" borderId="24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2" fillId="12" borderId="25" xfId="0" applyFont="1" applyFill="1" applyBorder="1" applyAlignment="1">
      <alignment horizontal="center" vertical="center" wrapText="1"/>
    </xf>
    <xf numFmtId="0" fontId="2" fillId="12" borderId="11" xfId="0" applyFont="1" applyFill="1" applyBorder="1" applyAlignment="1">
      <alignment horizontal="center" vertical="center" wrapText="1"/>
    </xf>
    <xf numFmtId="0" fontId="2" fillId="12" borderId="1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9" borderId="1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2" fillId="0" borderId="30" xfId="0" applyFont="1" applyBorder="1" applyAlignment="1">
      <alignment horizontal="left"/>
    </xf>
    <xf numFmtId="0" fontId="2" fillId="0" borderId="31" xfId="0" applyFont="1" applyBorder="1" applyAlignment="1">
      <alignment horizontal="left"/>
    </xf>
    <xf numFmtId="0" fontId="2" fillId="0" borderId="32" xfId="0" applyFont="1" applyBorder="1" applyAlignment="1">
      <alignment horizontal="left"/>
    </xf>
    <xf numFmtId="43" fontId="0" fillId="0" borderId="0" xfId="0" applyNumberFormat="1"/>
    <xf numFmtId="164" fontId="2" fillId="0" borderId="0" xfId="0" applyNumberFormat="1" applyFont="1"/>
  </cellXfs>
  <cellStyles count="5">
    <cellStyle name="Comma" xfId="1" builtinId="3"/>
    <cellStyle name="Comma 2" xfId="3" xr:uid="{00000000-0005-0000-0000-00002F000000}"/>
    <cellStyle name="Normal" xfId="0" builtinId="0"/>
    <cellStyle name="Normal_Follow up July 2002" xfId="4" xr:uid="{4BC7DE88-AC91-4A7E-8199-6D328AA535D7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0A16-A70B-45CA-9316-5833B1B59CED}">
  <dimension ref="B3:G20"/>
  <sheetViews>
    <sheetView tabSelected="1" workbookViewId="0">
      <selection activeCell="G16" sqref="C3:G16"/>
    </sheetView>
  </sheetViews>
  <sheetFormatPr defaultRowHeight="14.4"/>
  <cols>
    <col min="3" max="3" width="29.109375" customWidth="1"/>
    <col min="4" max="4" width="26.77734375" customWidth="1"/>
    <col min="5" max="5" width="19.21875" customWidth="1"/>
    <col min="6" max="6" width="34" customWidth="1"/>
    <col min="7" max="7" width="14.5546875" customWidth="1"/>
    <col min="8" max="8" width="10.109375" bestFit="1" customWidth="1"/>
  </cols>
  <sheetData>
    <row r="3" spans="2:7">
      <c r="C3" s="72" t="s">
        <v>32</v>
      </c>
      <c r="D3" s="73" t="s">
        <v>33</v>
      </c>
      <c r="E3" s="73" t="s">
        <v>43</v>
      </c>
      <c r="F3" s="73" t="s">
        <v>44</v>
      </c>
      <c r="G3" s="73" t="s">
        <v>8</v>
      </c>
    </row>
    <row r="4" spans="2:7">
      <c r="C4" s="244" t="s">
        <v>34</v>
      </c>
      <c r="D4" s="245">
        <f>SUM(D5:D11)</f>
        <v>1722626.3</v>
      </c>
      <c r="E4" s="245">
        <f>SUM(E5:E11)</f>
        <v>250000.00000000003</v>
      </c>
      <c r="F4" s="245">
        <f>SUM(F5:F11)</f>
        <v>472626.3</v>
      </c>
      <c r="G4" s="245">
        <f>SUM(G5:G11)</f>
        <v>1000000</v>
      </c>
    </row>
    <row r="5" spans="2:7">
      <c r="B5" t="s">
        <v>319</v>
      </c>
      <c r="C5" s="74" t="s">
        <v>323</v>
      </c>
      <c r="D5" s="52">
        <f>E5+F5+G5</f>
        <v>90056.562429628699</v>
      </c>
      <c r="E5" s="243">
        <f>SUMIF('JER '!$L:$L,B5,'JER '!$I:$I)</f>
        <v>90056.562429628699</v>
      </c>
      <c r="F5" s="52">
        <f>'NAb + Jer'!O5</f>
        <v>0</v>
      </c>
      <c r="G5" s="52">
        <f>'Gaza '!V5</f>
        <v>0</v>
      </c>
    </row>
    <row r="6" spans="2:7" s="134" customFormat="1">
      <c r="B6" s="134" t="s">
        <v>324</v>
      </c>
      <c r="C6" s="75" t="s">
        <v>322</v>
      </c>
      <c r="D6" s="52">
        <f t="shared" ref="D6:D15" si="0">E6+F6+G6</f>
        <v>96219.350426014003</v>
      </c>
      <c r="E6" s="243">
        <f>SUMIF('JER '!$L:$L,B6,'JER '!$I:$I)</f>
        <v>96219.350426014003</v>
      </c>
      <c r="F6" s="52"/>
      <c r="G6" s="52"/>
    </row>
    <row r="7" spans="2:7">
      <c r="C7" s="74" t="s">
        <v>23</v>
      </c>
      <c r="D7" s="52">
        <f t="shared" si="0"/>
        <v>221620</v>
      </c>
      <c r="E7" s="243">
        <f>SUMIF('JER '!$L:$L,B7,'JER '!$I:$I)</f>
        <v>0</v>
      </c>
      <c r="F7" s="246">
        <f>'NAb + Jer'!O10</f>
        <v>119824</v>
      </c>
      <c r="G7" s="246">
        <f>'Gaza '!V10</f>
        <v>101796</v>
      </c>
    </row>
    <row r="8" spans="2:7">
      <c r="B8" t="s">
        <v>325</v>
      </c>
      <c r="C8" s="74" t="s">
        <v>24</v>
      </c>
      <c r="D8" s="52">
        <f t="shared" si="0"/>
        <v>637377.00960764824</v>
      </c>
      <c r="E8" s="243">
        <f>SUMIF('JER '!$L:$L,B8,'JER '!$I:$I)</f>
        <v>41293.009607648266</v>
      </c>
      <c r="F8" s="246">
        <f>'NAb + Jer'!O17</f>
        <v>261288</v>
      </c>
      <c r="G8" s="246">
        <f>'Gaza '!V17</f>
        <v>334796</v>
      </c>
    </row>
    <row r="9" spans="2:7">
      <c r="C9" s="74" t="s">
        <v>35</v>
      </c>
      <c r="D9" s="52">
        <f t="shared" si="0"/>
        <v>61951.199999999997</v>
      </c>
      <c r="E9" s="243">
        <f>SUMIF('JER '!$L:$L,B9,'JER '!$I:$I)</f>
        <v>0</v>
      </c>
      <c r="F9" s="246">
        <f>'NAb + Jer'!O36</f>
        <v>12877.2</v>
      </c>
      <c r="G9" s="246">
        <f>'Gaza '!V38</f>
        <v>49074</v>
      </c>
    </row>
    <row r="10" spans="2:7">
      <c r="B10" t="s">
        <v>326</v>
      </c>
      <c r="C10" s="74" t="s">
        <v>36</v>
      </c>
      <c r="D10" s="52">
        <f t="shared" si="0"/>
        <v>101312.78987520117</v>
      </c>
      <c r="E10" s="243">
        <f>SUMIF('JER '!$L:$L,B10,'JER '!$I:$I)</f>
        <v>22431.077536709046</v>
      </c>
      <c r="F10" s="246">
        <f>'NAb + Jer'!O45</f>
        <v>40008</v>
      </c>
      <c r="G10" s="246">
        <f>'Gaza '!V47</f>
        <v>38873.712338492121</v>
      </c>
    </row>
    <row r="11" spans="2:7">
      <c r="C11" s="74" t="s">
        <v>31</v>
      </c>
      <c r="D11" s="52">
        <f t="shared" si="0"/>
        <v>514089.38766150776</v>
      </c>
      <c r="E11" s="243">
        <f>SUMIF('JER '!$L:$L,B11,'JER '!$I:$I)</f>
        <v>0</v>
      </c>
      <c r="F11" s="246">
        <f>'NAb + Jer'!O48</f>
        <v>38629.099999999977</v>
      </c>
      <c r="G11" s="246">
        <f>'Gaza '!V51</f>
        <v>475460.28766150778</v>
      </c>
    </row>
    <row r="12" spans="2:7" s="134" customFormat="1">
      <c r="C12" s="244" t="s">
        <v>328</v>
      </c>
      <c r="D12" s="245">
        <f>SUM(D13:D15)</f>
        <v>177373.7</v>
      </c>
      <c r="E12" s="245">
        <f>SUM(E13:E15)</f>
        <v>0</v>
      </c>
      <c r="F12" s="245">
        <f>SUM(F13:F15)</f>
        <v>177373.7</v>
      </c>
      <c r="G12" s="245">
        <f>SUM(G13:G15)</f>
        <v>0</v>
      </c>
    </row>
    <row r="13" spans="2:7">
      <c r="C13" s="74" t="s">
        <v>198</v>
      </c>
      <c r="D13" s="52">
        <f t="shared" si="0"/>
        <v>87600</v>
      </c>
      <c r="E13" s="243">
        <f>SUMIF('JER '!$L:$L,B13,'JER '!$I:$I)</f>
        <v>0</v>
      </c>
      <c r="F13" s="52">
        <f>'Partners Sub-Grant '!E16</f>
        <v>87600</v>
      </c>
      <c r="G13" s="52">
        <v>0</v>
      </c>
    </row>
    <row r="14" spans="2:7">
      <c r="C14" s="74" t="s">
        <v>199</v>
      </c>
      <c r="D14" s="52">
        <f t="shared" si="0"/>
        <v>74240</v>
      </c>
      <c r="E14" s="243">
        <f>SUMIF('JER '!$L:$L,B14,'JER '!$I:$I)</f>
        <v>0</v>
      </c>
      <c r="F14" s="52">
        <f>'Partners Sub-Grant '!E31</f>
        <v>74240</v>
      </c>
      <c r="G14" s="52">
        <v>0</v>
      </c>
    </row>
    <row r="15" spans="2:7">
      <c r="C15" s="75" t="s">
        <v>200</v>
      </c>
      <c r="D15" s="52">
        <f t="shared" si="0"/>
        <v>15533.7</v>
      </c>
      <c r="E15" s="243">
        <f>SUMIF('JER '!$L:$L,B15,'JER '!$I:$I)</f>
        <v>0</v>
      </c>
      <c r="F15" s="52">
        <f>'Partners Sub-Grant '!E32</f>
        <v>15533.7</v>
      </c>
      <c r="G15" s="52">
        <v>0</v>
      </c>
    </row>
    <row r="16" spans="2:7">
      <c r="C16" s="76" t="s">
        <v>91</v>
      </c>
      <c r="D16" s="77">
        <f>D12+D4</f>
        <v>1900000</v>
      </c>
      <c r="E16" s="77">
        <f t="shared" ref="E16:G16" si="1">E12+E4</f>
        <v>250000.00000000003</v>
      </c>
      <c r="F16" s="77">
        <f t="shared" si="1"/>
        <v>650000</v>
      </c>
      <c r="G16" s="77">
        <f t="shared" si="1"/>
        <v>1000000</v>
      </c>
    </row>
    <row r="17" spans="3:7">
      <c r="C17" s="53"/>
      <c r="D17" s="54"/>
      <c r="E17" s="54"/>
      <c r="F17" s="54"/>
      <c r="G17" s="54"/>
    </row>
    <row r="18" spans="3:7">
      <c r="C18" s="55"/>
      <c r="D18" s="54"/>
      <c r="E18" s="288"/>
      <c r="F18" s="86"/>
      <c r="G18" s="55"/>
    </row>
    <row r="19" spans="3:7">
      <c r="D19" s="287"/>
      <c r="F19" s="85"/>
      <c r="G19" s="85"/>
    </row>
    <row r="20" spans="3:7">
      <c r="D20" s="85"/>
      <c r="F20" s="8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206C-6DFF-4294-8B86-DD4208D6C48B}">
  <dimension ref="A1:L59"/>
  <sheetViews>
    <sheetView topLeftCell="B1" workbookViewId="0">
      <selection activeCell="G3" sqref="G3:I59"/>
    </sheetView>
  </sheetViews>
  <sheetFormatPr defaultRowHeight="14.4"/>
  <cols>
    <col min="1" max="1" width="16.5546875" style="134" customWidth="1"/>
    <col min="2" max="2" width="6.6640625" style="134" bestFit="1" customWidth="1"/>
    <col min="3" max="3" width="19.6640625" style="134" customWidth="1"/>
    <col min="4" max="4" width="16.5546875" style="134" customWidth="1"/>
    <col min="5" max="5" width="32.44140625" style="134" customWidth="1"/>
    <col min="6" max="6" width="20.88671875" style="134" customWidth="1"/>
    <col min="7" max="7" width="19.109375" style="134" customWidth="1"/>
    <col min="8" max="9" width="21.109375" style="134" customWidth="1"/>
    <col min="10" max="11" width="18.44140625" style="134" customWidth="1"/>
    <col min="12" max="16384" width="8.88671875" style="134"/>
  </cols>
  <sheetData>
    <row r="1" spans="1:12" ht="18" thickBot="1">
      <c r="A1" s="174"/>
      <c r="B1" s="175"/>
      <c r="C1" s="175"/>
      <c r="D1" s="176"/>
      <c r="E1" s="175"/>
      <c r="F1" s="175"/>
      <c r="G1" s="175"/>
      <c r="H1" s="175"/>
      <c r="I1" s="175"/>
      <c r="J1" s="177"/>
      <c r="K1" s="178"/>
    </row>
    <row r="2" spans="1:12">
      <c r="A2" s="179" t="s">
        <v>214</v>
      </c>
      <c r="B2" s="179" t="s">
        <v>214</v>
      </c>
      <c r="C2" s="179"/>
      <c r="D2" s="179"/>
      <c r="E2" s="180" t="s">
        <v>215</v>
      </c>
      <c r="F2" s="181" t="s">
        <v>216</v>
      </c>
      <c r="G2" s="182" t="s">
        <v>217</v>
      </c>
      <c r="H2" s="182" t="s">
        <v>218</v>
      </c>
      <c r="I2" s="183" t="s">
        <v>219</v>
      </c>
      <c r="J2" s="184" t="s">
        <v>220</v>
      </c>
      <c r="K2" s="185" t="s">
        <v>221</v>
      </c>
    </row>
    <row r="3" spans="1:12">
      <c r="A3" s="186">
        <v>61</v>
      </c>
      <c r="B3" s="186">
        <v>61</v>
      </c>
      <c r="C3" s="186"/>
      <c r="D3" s="186"/>
      <c r="E3" s="187"/>
      <c r="F3" s="188" t="s">
        <v>222</v>
      </c>
      <c r="G3" s="189">
        <v>35673.911685361352</v>
      </c>
      <c r="H3" s="189">
        <v>118513.59187499998</v>
      </c>
      <c r="I3" s="189">
        <v>154187.50356036134</v>
      </c>
      <c r="J3" s="189"/>
      <c r="K3" s="190"/>
    </row>
    <row r="4" spans="1:12">
      <c r="A4" s="191">
        <v>61</v>
      </c>
      <c r="B4" s="191">
        <v>61</v>
      </c>
      <c r="C4" s="191"/>
      <c r="D4" s="191"/>
      <c r="E4" s="192"/>
      <c r="F4" s="193" t="s">
        <v>223</v>
      </c>
      <c r="G4" s="194">
        <v>18396.955842680676</v>
      </c>
      <c r="H4" s="194">
        <v>39571.197291666664</v>
      </c>
      <c r="I4" s="194">
        <v>57968.15313434734</v>
      </c>
      <c r="J4" s="195"/>
      <c r="K4" s="196"/>
      <c r="L4" s="134" t="s">
        <v>319</v>
      </c>
    </row>
    <row r="5" spans="1:12">
      <c r="A5" s="197">
        <v>610</v>
      </c>
      <c r="B5" s="197">
        <v>610</v>
      </c>
      <c r="C5" s="197"/>
      <c r="D5" s="197"/>
      <c r="E5" s="198"/>
      <c r="F5" s="199" t="s">
        <v>224</v>
      </c>
      <c r="G5" s="200">
        <v>12796.955842680676</v>
      </c>
      <c r="H5" s="200">
        <v>39571.197291666664</v>
      </c>
      <c r="I5" s="200">
        <v>52368.15313434734</v>
      </c>
      <c r="J5" s="201"/>
      <c r="K5" s="202"/>
    </row>
    <row r="6" spans="1:12">
      <c r="A6" s="203">
        <v>6100</v>
      </c>
      <c r="B6" s="203">
        <v>6100</v>
      </c>
      <c r="C6" s="203" t="s">
        <v>225</v>
      </c>
      <c r="D6" s="204" t="s">
        <v>226</v>
      </c>
      <c r="E6" s="205" t="s">
        <v>227</v>
      </c>
      <c r="F6" s="206" t="s">
        <v>228</v>
      </c>
      <c r="G6" s="207">
        <v>6076.9558426806761</v>
      </c>
      <c r="H6" s="207"/>
      <c r="I6" s="207">
        <v>6076.9558426806761</v>
      </c>
      <c r="J6" s="208"/>
      <c r="K6" s="208" t="s">
        <v>229</v>
      </c>
    </row>
    <row r="7" spans="1:12">
      <c r="A7" s="203">
        <v>6102</v>
      </c>
      <c r="B7" s="203">
        <v>6102</v>
      </c>
      <c r="C7" s="203" t="s">
        <v>225</v>
      </c>
      <c r="D7" s="204" t="s">
        <v>226</v>
      </c>
      <c r="E7" s="205" t="s">
        <v>230</v>
      </c>
      <c r="F7" s="206" t="s">
        <v>231</v>
      </c>
      <c r="G7" s="207"/>
      <c r="H7" s="207">
        <v>39421.197291666664</v>
      </c>
      <c r="I7" s="207">
        <v>39421.197291666664</v>
      </c>
      <c r="J7" s="209">
        <v>4.333333333333333</v>
      </c>
      <c r="K7" s="210"/>
    </row>
    <row r="8" spans="1:12">
      <c r="A8" s="203">
        <v>6103</v>
      </c>
      <c r="B8" s="203">
        <v>6103</v>
      </c>
      <c r="C8" s="203" t="s">
        <v>225</v>
      </c>
      <c r="D8" s="204" t="s">
        <v>226</v>
      </c>
      <c r="E8" s="205" t="s">
        <v>232</v>
      </c>
      <c r="F8" s="206" t="s">
        <v>233</v>
      </c>
      <c r="G8" s="207"/>
      <c r="H8" s="207">
        <v>150</v>
      </c>
      <c r="I8" s="207">
        <v>150</v>
      </c>
      <c r="J8" s="211"/>
      <c r="K8" s="211"/>
    </row>
    <row r="9" spans="1:12">
      <c r="A9" s="203">
        <v>6104</v>
      </c>
      <c r="B9" s="203">
        <v>6104</v>
      </c>
      <c r="C9" s="203" t="s">
        <v>225</v>
      </c>
      <c r="D9" s="204" t="s">
        <v>226</v>
      </c>
      <c r="E9" s="205" t="s">
        <v>234</v>
      </c>
      <c r="F9" s="206" t="s">
        <v>235</v>
      </c>
      <c r="G9" s="207">
        <v>6720</v>
      </c>
      <c r="H9" s="207"/>
      <c r="I9" s="207">
        <v>6720</v>
      </c>
      <c r="J9" s="211"/>
      <c r="K9" s="211"/>
    </row>
    <row r="10" spans="1:12">
      <c r="A10" s="197">
        <v>612</v>
      </c>
      <c r="B10" s="197">
        <v>612</v>
      </c>
      <c r="C10" s="197"/>
      <c r="D10" s="197"/>
      <c r="E10" s="198"/>
      <c r="F10" s="199" t="s">
        <v>236</v>
      </c>
      <c r="G10" s="200">
        <v>5600</v>
      </c>
      <c r="H10" s="200">
        <v>0</v>
      </c>
      <c r="I10" s="200">
        <v>5600</v>
      </c>
      <c r="J10" s="200"/>
      <c r="K10" s="212"/>
    </row>
    <row r="11" spans="1:12">
      <c r="A11" s="203">
        <v>6121</v>
      </c>
      <c r="B11" s="203">
        <v>6121</v>
      </c>
      <c r="C11" s="203" t="s">
        <v>225</v>
      </c>
      <c r="D11" s="204" t="s">
        <v>226</v>
      </c>
      <c r="E11" s="205" t="s">
        <v>237</v>
      </c>
      <c r="F11" s="206" t="s">
        <v>238</v>
      </c>
      <c r="G11" s="207">
        <v>5600</v>
      </c>
      <c r="H11" s="207"/>
      <c r="I11" s="207">
        <v>5600</v>
      </c>
      <c r="J11" s="211"/>
      <c r="K11" s="211"/>
    </row>
    <row r="12" spans="1:12">
      <c r="A12" s="191">
        <v>61</v>
      </c>
      <c r="B12" s="191">
        <v>61</v>
      </c>
      <c r="C12" s="191"/>
      <c r="D12" s="191"/>
      <c r="E12" s="192"/>
      <c r="F12" s="193" t="s">
        <v>223</v>
      </c>
      <c r="G12" s="194">
        <v>8638.4779213403381</v>
      </c>
      <c r="H12" s="194">
        <v>39471.197291666664</v>
      </c>
      <c r="I12" s="194">
        <v>48109.675213007002</v>
      </c>
      <c r="J12" s="194"/>
      <c r="K12" s="213"/>
      <c r="L12" s="134" t="s">
        <v>327</v>
      </c>
    </row>
    <row r="13" spans="1:12">
      <c r="A13" s="197">
        <v>610</v>
      </c>
      <c r="B13" s="197">
        <v>610</v>
      </c>
      <c r="C13" s="197"/>
      <c r="D13" s="197"/>
      <c r="E13" s="198"/>
      <c r="F13" s="199" t="s">
        <v>224</v>
      </c>
      <c r="G13" s="200">
        <v>3038.4779213403381</v>
      </c>
      <c r="H13" s="200">
        <v>39471.197291666664</v>
      </c>
      <c r="I13" s="200">
        <v>42509.675213007002</v>
      </c>
      <c r="J13" s="200"/>
      <c r="K13" s="212"/>
    </row>
    <row r="14" spans="1:12">
      <c r="A14" s="203">
        <v>6100</v>
      </c>
      <c r="B14" s="203">
        <v>6100</v>
      </c>
      <c r="C14" s="203" t="s">
        <v>239</v>
      </c>
      <c r="D14" s="204" t="s">
        <v>240</v>
      </c>
      <c r="E14" s="205" t="s">
        <v>241</v>
      </c>
      <c r="F14" s="206" t="s">
        <v>228</v>
      </c>
      <c r="G14" s="207">
        <v>3038.4779213403381</v>
      </c>
      <c r="H14" s="207"/>
      <c r="I14" s="207">
        <v>3038.4779213403381</v>
      </c>
      <c r="J14" s="211"/>
      <c r="K14" s="211" t="s">
        <v>229</v>
      </c>
    </row>
    <row r="15" spans="1:12">
      <c r="A15" s="203">
        <v>6102</v>
      </c>
      <c r="B15" s="203">
        <v>6102</v>
      </c>
      <c r="C15" s="203" t="s">
        <v>239</v>
      </c>
      <c r="D15" s="204" t="s">
        <v>240</v>
      </c>
      <c r="E15" s="205" t="s">
        <v>242</v>
      </c>
      <c r="F15" s="206" t="s">
        <v>231</v>
      </c>
      <c r="G15" s="207"/>
      <c r="H15" s="207">
        <v>39421.197291666664</v>
      </c>
      <c r="I15" s="207">
        <v>39421.197291666664</v>
      </c>
      <c r="J15" s="209">
        <v>4.333333333333333</v>
      </c>
      <c r="K15" s="210"/>
    </row>
    <row r="16" spans="1:12">
      <c r="A16" s="203">
        <v>6103</v>
      </c>
      <c r="B16" s="203">
        <v>6103</v>
      </c>
      <c r="C16" s="203" t="s">
        <v>239</v>
      </c>
      <c r="D16" s="204" t="s">
        <v>240</v>
      </c>
      <c r="E16" s="205" t="s">
        <v>243</v>
      </c>
      <c r="F16" s="206" t="s">
        <v>233</v>
      </c>
      <c r="G16" s="207"/>
      <c r="H16" s="207">
        <v>50</v>
      </c>
      <c r="I16" s="207">
        <v>50</v>
      </c>
      <c r="J16" s="211"/>
      <c r="K16" s="211"/>
    </row>
    <row r="17" spans="1:12">
      <c r="A17" s="197">
        <v>612</v>
      </c>
      <c r="B17" s="197">
        <v>612</v>
      </c>
      <c r="C17" s="197"/>
      <c r="D17" s="197"/>
      <c r="E17" s="198"/>
      <c r="F17" s="199" t="s">
        <v>236</v>
      </c>
      <c r="G17" s="200">
        <v>5600</v>
      </c>
      <c r="H17" s="200">
        <v>0</v>
      </c>
      <c r="I17" s="200">
        <v>5600</v>
      </c>
      <c r="J17" s="200"/>
      <c r="K17" s="212"/>
    </row>
    <row r="18" spans="1:12">
      <c r="A18" s="203">
        <v>6121</v>
      </c>
      <c r="B18" s="203">
        <v>6121</v>
      </c>
      <c r="C18" s="203" t="s">
        <v>239</v>
      </c>
      <c r="D18" s="204" t="s">
        <v>240</v>
      </c>
      <c r="E18" s="205" t="s">
        <v>244</v>
      </c>
      <c r="F18" s="206" t="s">
        <v>238</v>
      </c>
      <c r="G18" s="207">
        <v>5600</v>
      </c>
      <c r="H18" s="207"/>
      <c r="I18" s="207">
        <v>5600</v>
      </c>
      <c r="J18" s="211"/>
      <c r="K18" s="211"/>
    </row>
    <row r="19" spans="1:12">
      <c r="A19" s="191">
        <v>61</v>
      </c>
      <c r="B19" s="191">
        <v>61</v>
      </c>
      <c r="C19" s="191"/>
      <c r="D19" s="191"/>
      <c r="E19" s="192"/>
      <c r="F19" s="193" t="s">
        <v>223</v>
      </c>
      <c r="G19" s="194">
        <v>8638.4779213403381</v>
      </c>
      <c r="H19" s="194">
        <v>39471.197291666664</v>
      </c>
      <c r="I19" s="194">
        <v>48109.675213007002</v>
      </c>
      <c r="J19" s="194"/>
      <c r="K19" s="213"/>
      <c r="L19" s="134" t="s">
        <v>327</v>
      </c>
    </row>
    <row r="20" spans="1:12">
      <c r="A20" s="197">
        <v>610</v>
      </c>
      <c r="B20" s="197">
        <v>610</v>
      </c>
      <c r="C20" s="197"/>
      <c r="D20" s="197"/>
      <c r="E20" s="198"/>
      <c r="F20" s="199" t="s">
        <v>224</v>
      </c>
      <c r="G20" s="200">
        <v>3038.4779213403381</v>
      </c>
      <c r="H20" s="200">
        <v>39471.197291666664</v>
      </c>
      <c r="I20" s="200">
        <v>42509.675213007002</v>
      </c>
      <c r="J20" s="200"/>
      <c r="K20" s="212"/>
    </row>
    <row r="21" spans="1:12">
      <c r="A21" s="203">
        <v>6100</v>
      </c>
      <c r="B21" s="203">
        <v>6100</v>
      </c>
      <c r="C21" s="203" t="s">
        <v>245</v>
      </c>
      <c r="D21" s="204" t="s">
        <v>246</v>
      </c>
      <c r="E21" s="205" t="s">
        <v>247</v>
      </c>
      <c r="F21" s="206" t="s">
        <v>228</v>
      </c>
      <c r="G21" s="207">
        <v>3038.4779213403381</v>
      </c>
      <c r="H21" s="207"/>
      <c r="I21" s="207">
        <v>3038.4779213403381</v>
      </c>
      <c r="J21" s="211"/>
      <c r="K21" s="211" t="s">
        <v>229</v>
      </c>
    </row>
    <row r="22" spans="1:12">
      <c r="A22" s="203">
        <v>6102</v>
      </c>
      <c r="B22" s="203">
        <v>6102</v>
      </c>
      <c r="C22" s="203" t="s">
        <v>245</v>
      </c>
      <c r="D22" s="204" t="s">
        <v>246</v>
      </c>
      <c r="E22" s="205" t="s">
        <v>248</v>
      </c>
      <c r="F22" s="206" t="s">
        <v>231</v>
      </c>
      <c r="G22" s="207"/>
      <c r="H22" s="207">
        <v>39421.197291666664</v>
      </c>
      <c r="I22" s="207">
        <v>39421.197291666664</v>
      </c>
      <c r="J22" s="209">
        <v>4.333333333333333</v>
      </c>
      <c r="K22" s="210"/>
    </row>
    <row r="23" spans="1:12">
      <c r="A23" s="203">
        <v>6103</v>
      </c>
      <c r="B23" s="203">
        <v>6103</v>
      </c>
      <c r="C23" s="203" t="s">
        <v>245</v>
      </c>
      <c r="D23" s="204" t="s">
        <v>246</v>
      </c>
      <c r="E23" s="205" t="s">
        <v>249</v>
      </c>
      <c r="F23" s="206" t="s">
        <v>233</v>
      </c>
      <c r="G23" s="207"/>
      <c r="H23" s="207">
        <v>50</v>
      </c>
      <c r="I23" s="207">
        <v>50</v>
      </c>
      <c r="J23" s="211"/>
      <c r="K23" s="211"/>
    </row>
    <row r="24" spans="1:12">
      <c r="A24" s="197">
        <v>612</v>
      </c>
      <c r="B24" s="197">
        <v>612</v>
      </c>
      <c r="C24" s="197"/>
      <c r="D24" s="197"/>
      <c r="E24" s="198"/>
      <c r="F24" s="199" t="s">
        <v>236</v>
      </c>
      <c r="G24" s="200">
        <v>5600</v>
      </c>
      <c r="H24" s="200">
        <v>0</v>
      </c>
      <c r="I24" s="200">
        <v>5600</v>
      </c>
      <c r="J24" s="200"/>
      <c r="K24" s="212"/>
    </row>
    <row r="25" spans="1:12">
      <c r="A25" s="203">
        <v>6121</v>
      </c>
      <c r="B25" s="203">
        <v>6121</v>
      </c>
      <c r="C25" s="203" t="s">
        <v>245</v>
      </c>
      <c r="D25" s="204" t="s">
        <v>246</v>
      </c>
      <c r="E25" s="205" t="s">
        <v>250</v>
      </c>
      <c r="F25" s="206" t="s">
        <v>238</v>
      </c>
      <c r="G25" s="207">
        <v>5600</v>
      </c>
      <c r="H25" s="207"/>
      <c r="I25" s="207">
        <v>5600</v>
      </c>
      <c r="J25" s="211"/>
      <c r="K25" s="211"/>
    </row>
    <row r="26" spans="1:12">
      <c r="A26" s="186">
        <v>62</v>
      </c>
      <c r="B26" s="186">
        <v>62</v>
      </c>
      <c r="C26" s="186"/>
      <c r="D26" s="186"/>
      <c r="E26" s="214"/>
      <c r="F26" s="188" t="s">
        <v>251</v>
      </c>
      <c r="G26" s="189">
        <v>73381.418902929639</v>
      </c>
      <c r="H26" s="189">
        <v>0</v>
      </c>
      <c r="I26" s="189">
        <v>73381.418902929639</v>
      </c>
      <c r="J26" s="190"/>
      <c r="K26" s="190"/>
    </row>
    <row r="27" spans="1:12">
      <c r="A27" s="197">
        <v>620</v>
      </c>
      <c r="B27" s="197">
        <v>620</v>
      </c>
      <c r="C27" s="197"/>
      <c r="D27" s="197"/>
      <c r="E27" s="198"/>
      <c r="F27" s="199" t="s">
        <v>224</v>
      </c>
      <c r="G27" s="200">
        <v>73381.418902929639</v>
      </c>
      <c r="H27" s="200">
        <v>0</v>
      </c>
      <c r="I27" s="200">
        <v>73381.418902929639</v>
      </c>
      <c r="J27" s="200"/>
      <c r="K27" s="212"/>
    </row>
    <row r="28" spans="1:12">
      <c r="A28" s="203">
        <v>6200</v>
      </c>
      <c r="B28" s="203">
        <v>6200</v>
      </c>
      <c r="C28" s="203" t="s">
        <v>252</v>
      </c>
      <c r="D28" s="207" t="s">
        <v>253</v>
      </c>
      <c r="E28" s="215" t="s">
        <v>254</v>
      </c>
      <c r="F28" s="216" t="s">
        <v>255</v>
      </c>
      <c r="G28" s="207">
        <v>13156.325429504474</v>
      </c>
      <c r="H28" s="207"/>
      <c r="I28" s="207">
        <v>13156.325429504474</v>
      </c>
      <c r="J28" s="211">
        <v>4</v>
      </c>
      <c r="K28" s="211" t="s">
        <v>229</v>
      </c>
      <c r="L28" s="134" t="s">
        <v>319</v>
      </c>
    </row>
    <row r="29" spans="1:12">
      <c r="A29" s="203">
        <v>6204</v>
      </c>
      <c r="B29" s="203">
        <v>6204</v>
      </c>
      <c r="C29" s="203" t="s">
        <v>252</v>
      </c>
      <c r="D29" s="207" t="s">
        <v>253</v>
      </c>
      <c r="E29" s="205" t="s">
        <v>256</v>
      </c>
      <c r="F29" s="217" t="s">
        <v>257</v>
      </c>
      <c r="G29" s="207">
        <v>3597.6335841734117</v>
      </c>
      <c r="H29" s="207"/>
      <c r="I29" s="207">
        <v>3597.6335841734117</v>
      </c>
      <c r="J29" s="211">
        <v>4</v>
      </c>
      <c r="K29" s="211"/>
      <c r="L29" s="134" t="s">
        <v>319</v>
      </c>
    </row>
    <row r="30" spans="1:12">
      <c r="A30" s="203">
        <v>6210</v>
      </c>
      <c r="B30" s="203">
        <v>6210</v>
      </c>
      <c r="C30" s="203" t="s">
        <v>252</v>
      </c>
      <c r="D30" s="207" t="s">
        <v>253</v>
      </c>
      <c r="E30" s="205" t="s">
        <v>258</v>
      </c>
      <c r="F30" s="217" t="s">
        <v>259</v>
      </c>
      <c r="G30" s="207">
        <v>946.56633063561935</v>
      </c>
      <c r="H30" s="207"/>
      <c r="I30" s="207">
        <v>946.56633063561935</v>
      </c>
      <c r="J30" s="211"/>
      <c r="K30" s="211"/>
      <c r="L30" s="134" t="s">
        <v>319</v>
      </c>
    </row>
    <row r="31" spans="1:12">
      <c r="A31" s="218" t="s">
        <v>260</v>
      </c>
      <c r="B31" s="218" t="s">
        <v>260</v>
      </c>
      <c r="C31" s="218" t="s">
        <v>252</v>
      </c>
      <c r="D31" s="219" t="s">
        <v>253</v>
      </c>
      <c r="E31" s="220" t="s">
        <v>261</v>
      </c>
      <c r="F31" s="221" t="s">
        <v>262</v>
      </c>
      <c r="G31" s="219">
        <v>350.22954233517919</v>
      </c>
      <c r="H31" s="219"/>
      <c r="I31" s="219">
        <v>350.22954233517919</v>
      </c>
      <c r="J31" s="222"/>
      <c r="K31" s="222"/>
      <c r="L31" s="134" t="s">
        <v>319</v>
      </c>
    </row>
    <row r="32" spans="1:12">
      <c r="A32" s="203">
        <v>6200</v>
      </c>
      <c r="B32" s="203">
        <v>6200</v>
      </c>
      <c r="C32" s="203" t="s">
        <v>263</v>
      </c>
      <c r="D32" s="207" t="s">
        <v>264</v>
      </c>
      <c r="E32" s="205" t="s">
        <v>265</v>
      </c>
      <c r="F32" s="216" t="s">
        <v>255</v>
      </c>
      <c r="G32" s="207">
        <v>10280.656917033462</v>
      </c>
      <c r="H32" s="207"/>
      <c r="I32" s="207">
        <v>10280.656917033462</v>
      </c>
      <c r="J32" s="211">
        <v>4</v>
      </c>
      <c r="K32" s="211" t="s">
        <v>229</v>
      </c>
      <c r="L32" s="134" t="s">
        <v>319</v>
      </c>
    </row>
    <row r="33" spans="1:12">
      <c r="A33" s="203">
        <v>6204</v>
      </c>
      <c r="B33" s="203">
        <v>6204</v>
      </c>
      <c r="C33" s="203" t="s">
        <v>263</v>
      </c>
      <c r="D33" s="207" t="s">
        <v>264</v>
      </c>
      <c r="E33" s="205" t="s">
        <v>266</v>
      </c>
      <c r="F33" s="217" t="s">
        <v>257</v>
      </c>
      <c r="G33" s="207">
        <v>2838.828150882674</v>
      </c>
      <c r="H33" s="207"/>
      <c r="I33" s="207">
        <v>2838.828150882674</v>
      </c>
      <c r="J33" s="211">
        <v>4</v>
      </c>
      <c r="K33" s="211"/>
      <c r="L33" s="134" t="s">
        <v>319</v>
      </c>
    </row>
    <row r="34" spans="1:12">
      <c r="A34" s="203">
        <v>6210</v>
      </c>
      <c r="B34" s="203">
        <v>6210</v>
      </c>
      <c r="C34" s="203" t="s">
        <v>263</v>
      </c>
      <c r="D34" s="207" t="s">
        <v>264</v>
      </c>
      <c r="E34" s="205" t="s">
        <v>267</v>
      </c>
      <c r="F34" s="217" t="s">
        <v>259</v>
      </c>
      <c r="G34" s="207">
        <v>567.93979838137159</v>
      </c>
      <c r="H34" s="207"/>
      <c r="I34" s="207">
        <v>567.93979838137159</v>
      </c>
      <c r="J34" s="211"/>
      <c r="K34" s="211"/>
      <c r="L34" s="134" t="s">
        <v>319</v>
      </c>
    </row>
    <row r="35" spans="1:12" ht="15" thickBot="1">
      <c r="A35" s="218" t="s">
        <v>260</v>
      </c>
      <c r="B35" s="218" t="s">
        <v>260</v>
      </c>
      <c r="C35" s="218" t="s">
        <v>263</v>
      </c>
      <c r="D35" s="219" t="s">
        <v>264</v>
      </c>
      <c r="E35" s="205" t="s">
        <v>268</v>
      </c>
      <c r="F35" s="221" t="s">
        <v>262</v>
      </c>
      <c r="G35" s="219">
        <v>350.22954233517919</v>
      </c>
      <c r="H35" s="219"/>
      <c r="I35" s="219">
        <v>350.22954233517919</v>
      </c>
      <c r="J35" s="222"/>
      <c r="K35" s="222"/>
      <c r="L35" s="134" t="s">
        <v>319</v>
      </c>
    </row>
    <row r="36" spans="1:12">
      <c r="A36" s="203">
        <v>6201</v>
      </c>
      <c r="B36" s="203">
        <v>6201</v>
      </c>
      <c r="C36" s="203" t="s">
        <v>269</v>
      </c>
      <c r="D36" s="207" t="s">
        <v>270</v>
      </c>
      <c r="E36" s="215" t="s">
        <v>271</v>
      </c>
      <c r="F36" s="223" t="s">
        <v>272</v>
      </c>
      <c r="G36" s="207">
        <v>29272.563774906528</v>
      </c>
      <c r="H36" s="207"/>
      <c r="I36" s="207">
        <v>29272.563774906528</v>
      </c>
      <c r="J36" s="224">
        <v>12</v>
      </c>
      <c r="K36" s="224" t="s">
        <v>273</v>
      </c>
      <c r="L36" s="134" t="s">
        <v>321</v>
      </c>
    </row>
    <row r="37" spans="1:12">
      <c r="A37" s="203">
        <v>6205</v>
      </c>
      <c r="B37" s="203">
        <v>6205</v>
      </c>
      <c r="C37" s="203" t="s">
        <v>269</v>
      </c>
      <c r="D37" s="207" t="s">
        <v>270</v>
      </c>
      <c r="E37" s="205" t="s">
        <v>274</v>
      </c>
      <c r="F37" s="217" t="s">
        <v>275</v>
      </c>
      <c r="G37" s="207">
        <v>8130.0582138293366</v>
      </c>
      <c r="H37" s="207"/>
      <c r="I37" s="207">
        <v>8130.0582138293366</v>
      </c>
      <c r="J37" s="224">
        <v>12</v>
      </c>
      <c r="K37" s="224"/>
      <c r="L37" s="134" t="s">
        <v>321</v>
      </c>
    </row>
    <row r="38" spans="1:12">
      <c r="A38" s="203">
        <v>6210</v>
      </c>
      <c r="B38" s="203">
        <v>6210</v>
      </c>
      <c r="C38" s="203" t="s">
        <v>269</v>
      </c>
      <c r="D38" s="207" t="s">
        <v>270</v>
      </c>
      <c r="E38" s="205" t="s">
        <v>276</v>
      </c>
      <c r="F38" s="217" t="s">
        <v>277</v>
      </c>
      <c r="G38" s="207">
        <v>2839.6989919068583</v>
      </c>
      <c r="H38" s="207"/>
      <c r="I38" s="207">
        <v>2839.6989919068583</v>
      </c>
      <c r="J38" s="224"/>
      <c r="K38" s="224"/>
      <c r="L38" s="134" t="s">
        <v>321</v>
      </c>
    </row>
    <row r="39" spans="1:12">
      <c r="A39" s="218" t="s">
        <v>260</v>
      </c>
      <c r="B39" s="218" t="s">
        <v>260</v>
      </c>
      <c r="C39" s="218" t="s">
        <v>269</v>
      </c>
      <c r="D39" s="219" t="s">
        <v>270</v>
      </c>
      <c r="E39" s="220" t="s">
        <v>278</v>
      </c>
      <c r="F39" s="221" t="s">
        <v>279</v>
      </c>
      <c r="G39" s="219">
        <v>1050.6886270055375</v>
      </c>
      <c r="H39" s="219"/>
      <c r="I39" s="219">
        <v>1050.6886270055375</v>
      </c>
      <c r="J39" s="222"/>
      <c r="K39" s="222"/>
      <c r="L39" s="134" t="s">
        <v>321</v>
      </c>
    </row>
    <row r="40" spans="1:12">
      <c r="A40" s="186">
        <v>65</v>
      </c>
      <c r="B40" s="186">
        <v>65</v>
      </c>
      <c r="C40" s="186"/>
      <c r="D40" s="186"/>
      <c r="E40" s="214"/>
      <c r="F40" s="188" t="s">
        <v>280</v>
      </c>
      <c r="G40" s="189">
        <v>4555.4800167128296</v>
      </c>
      <c r="H40" s="189">
        <v>0</v>
      </c>
      <c r="I40" s="189">
        <v>4555.4800167128296</v>
      </c>
      <c r="J40" s="189"/>
      <c r="K40" s="190"/>
    </row>
    <row r="41" spans="1:12">
      <c r="A41" s="191">
        <v>65</v>
      </c>
      <c r="B41" s="191">
        <v>65</v>
      </c>
      <c r="C41" s="191"/>
      <c r="D41" s="191"/>
      <c r="E41" s="192"/>
      <c r="F41" s="193" t="s">
        <v>281</v>
      </c>
      <c r="G41" s="194">
        <v>4555.4800167128296</v>
      </c>
      <c r="H41" s="194">
        <v>0</v>
      </c>
      <c r="I41" s="194">
        <v>4555.4800167128296</v>
      </c>
      <c r="J41" s="195"/>
      <c r="K41" s="196"/>
    </row>
    <row r="42" spans="1:12">
      <c r="A42" s="197">
        <v>657</v>
      </c>
      <c r="B42" s="197">
        <v>657</v>
      </c>
      <c r="C42" s="197"/>
      <c r="D42" s="197"/>
      <c r="E42" s="198"/>
      <c r="F42" s="199" t="s">
        <v>282</v>
      </c>
      <c r="G42" s="200">
        <v>4555.4800167128296</v>
      </c>
      <c r="H42" s="200"/>
      <c r="I42" s="200">
        <v>4555.4800167128296</v>
      </c>
      <c r="J42" s="200"/>
      <c r="K42" s="212"/>
    </row>
    <row r="43" spans="1:12">
      <c r="A43" s="203">
        <v>6576</v>
      </c>
      <c r="B43" s="203">
        <v>6576</v>
      </c>
      <c r="C43" s="203" t="s">
        <v>283</v>
      </c>
      <c r="D43" s="203"/>
      <c r="E43" s="205" t="s">
        <v>284</v>
      </c>
      <c r="F43" s="206" t="s">
        <v>285</v>
      </c>
      <c r="G43" s="207">
        <v>4555.4800167128296</v>
      </c>
      <c r="H43" s="207"/>
      <c r="I43" s="207">
        <v>4555.4800167128296</v>
      </c>
      <c r="J43" s="211"/>
      <c r="K43" s="211" t="s">
        <v>286</v>
      </c>
      <c r="L43" s="134" t="s">
        <v>320</v>
      </c>
    </row>
    <row r="44" spans="1:12">
      <c r="A44" s="186">
        <v>67</v>
      </c>
      <c r="B44" s="186">
        <v>67</v>
      </c>
      <c r="C44" s="186"/>
      <c r="D44" s="186"/>
      <c r="E44" s="214"/>
      <c r="F44" s="188" t="s">
        <v>287</v>
      </c>
      <c r="G44" s="189">
        <v>14482.464858724976</v>
      </c>
      <c r="H44" s="189">
        <v>0</v>
      </c>
      <c r="I44" s="189">
        <v>14482.464858724976</v>
      </c>
      <c r="J44" s="189"/>
      <c r="K44" s="190"/>
    </row>
    <row r="45" spans="1:12">
      <c r="A45" s="225">
        <v>671</v>
      </c>
      <c r="B45" s="225">
        <v>671</v>
      </c>
      <c r="C45" s="225"/>
      <c r="D45" s="225"/>
      <c r="E45" s="226"/>
      <c r="F45" s="199" t="s">
        <v>288</v>
      </c>
      <c r="G45" s="227">
        <v>141.9849495953429</v>
      </c>
      <c r="H45" s="227"/>
      <c r="I45" s="227">
        <v>141.9849495953429</v>
      </c>
      <c r="J45" s="227"/>
      <c r="K45" s="228"/>
    </row>
    <row r="46" spans="1:12">
      <c r="A46" s="203">
        <v>6713</v>
      </c>
      <c r="B46" s="203">
        <v>6713</v>
      </c>
      <c r="C46" s="203" t="s">
        <v>225</v>
      </c>
      <c r="D46" s="203" t="s">
        <v>289</v>
      </c>
      <c r="E46" s="205" t="s">
        <v>290</v>
      </c>
      <c r="F46" s="229" t="s">
        <v>291</v>
      </c>
      <c r="G46" s="207">
        <v>141.9849495953429</v>
      </c>
      <c r="H46" s="207"/>
      <c r="I46" s="207">
        <v>141.9849495953429</v>
      </c>
      <c r="J46" s="211"/>
      <c r="K46" s="211" t="s">
        <v>292</v>
      </c>
      <c r="L46" s="134" t="s">
        <v>320</v>
      </c>
    </row>
    <row r="47" spans="1:12">
      <c r="A47" s="197">
        <v>672</v>
      </c>
      <c r="B47" s="197">
        <v>672</v>
      </c>
      <c r="C47" s="197"/>
      <c r="D47" s="197"/>
      <c r="E47" s="198"/>
      <c r="F47" s="199" t="s">
        <v>293</v>
      </c>
      <c r="G47" s="200">
        <v>14340.479909129634</v>
      </c>
      <c r="H47" s="200">
        <v>0</v>
      </c>
      <c r="I47" s="200">
        <v>14340.479909129634</v>
      </c>
      <c r="J47" s="200"/>
      <c r="K47" s="212"/>
    </row>
    <row r="48" spans="1:12">
      <c r="A48" s="230">
        <v>6710</v>
      </c>
      <c r="B48" s="230">
        <v>6710</v>
      </c>
      <c r="C48" s="230" t="s">
        <v>225</v>
      </c>
      <c r="D48" s="231" t="s">
        <v>289</v>
      </c>
      <c r="E48" s="205" t="s">
        <v>294</v>
      </c>
      <c r="F48" s="229" t="s">
        <v>295</v>
      </c>
      <c r="G48" s="232">
        <v>8519.0969757205748</v>
      </c>
      <c r="H48" s="232"/>
      <c r="I48" s="232">
        <v>8519.0969757205748</v>
      </c>
      <c r="J48" s="209">
        <v>12</v>
      </c>
      <c r="K48" s="210"/>
      <c r="L48" s="134" t="s">
        <v>320</v>
      </c>
    </row>
    <row r="49" spans="1:12">
      <c r="A49" s="203">
        <v>6720</v>
      </c>
      <c r="B49" s="203">
        <v>6720</v>
      </c>
      <c r="C49" s="203" t="s">
        <v>225</v>
      </c>
      <c r="D49" s="203" t="s">
        <v>289</v>
      </c>
      <c r="E49" s="205" t="s">
        <v>296</v>
      </c>
      <c r="F49" s="206" t="s">
        <v>297</v>
      </c>
      <c r="G49" s="207">
        <v>5679.3979838137166</v>
      </c>
      <c r="H49" s="207"/>
      <c r="I49" s="207">
        <v>5679.3979838137166</v>
      </c>
      <c r="J49" s="211"/>
      <c r="K49" s="211"/>
      <c r="L49" s="134" t="s">
        <v>320</v>
      </c>
    </row>
    <row r="50" spans="1:12">
      <c r="A50" s="203">
        <v>6721</v>
      </c>
      <c r="B50" s="203">
        <v>6721</v>
      </c>
      <c r="C50" s="203" t="s">
        <v>225</v>
      </c>
      <c r="D50" s="203" t="s">
        <v>289</v>
      </c>
      <c r="E50" s="205" t="s">
        <v>298</v>
      </c>
      <c r="F50" s="206" t="s">
        <v>299</v>
      </c>
      <c r="G50" s="207">
        <v>141.9849495953429</v>
      </c>
      <c r="H50" s="207"/>
      <c r="I50" s="207">
        <v>141.9849495953429</v>
      </c>
      <c r="J50" s="211"/>
      <c r="K50" s="211"/>
      <c r="L50" s="134" t="s">
        <v>320</v>
      </c>
    </row>
    <row r="51" spans="1:12">
      <c r="A51" s="186">
        <v>68</v>
      </c>
      <c r="B51" s="186">
        <v>68</v>
      </c>
      <c r="C51" s="186"/>
      <c r="D51" s="186"/>
      <c r="E51" s="214"/>
      <c r="F51" s="188" t="s">
        <v>300</v>
      </c>
      <c r="G51" s="189">
        <v>3303.1326612712387</v>
      </c>
      <c r="H51" s="189">
        <v>0</v>
      </c>
      <c r="I51" s="189">
        <v>3303.1326612712387</v>
      </c>
      <c r="J51" s="189"/>
      <c r="K51" s="190"/>
    </row>
    <row r="52" spans="1:12">
      <c r="A52" s="197">
        <v>681</v>
      </c>
      <c r="B52" s="197">
        <v>681</v>
      </c>
      <c r="C52" s="197"/>
      <c r="D52" s="197"/>
      <c r="E52" s="198"/>
      <c r="F52" s="199" t="s">
        <v>301</v>
      </c>
      <c r="G52" s="200">
        <v>1410</v>
      </c>
      <c r="H52" s="200">
        <v>0</v>
      </c>
      <c r="I52" s="200">
        <v>1410</v>
      </c>
      <c r="J52" s="212"/>
      <c r="K52" s="212"/>
    </row>
    <row r="53" spans="1:12">
      <c r="A53" s="203">
        <v>6810</v>
      </c>
      <c r="B53" s="203">
        <v>6810</v>
      </c>
      <c r="C53" s="203" t="s">
        <v>283</v>
      </c>
      <c r="D53" s="203"/>
      <c r="E53" s="205" t="s">
        <v>302</v>
      </c>
      <c r="F53" s="206" t="s">
        <v>303</v>
      </c>
      <c r="G53" s="207">
        <v>500</v>
      </c>
      <c r="H53" s="207"/>
      <c r="I53" s="207">
        <v>500</v>
      </c>
      <c r="J53" s="211"/>
      <c r="K53" s="211" t="s">
        <v>304</v>
      </c>
      <c r="L53" s="134" t="s">
        <v>320</v>
      </c>
    </row>
    <row r="54" spans="1:12">
      <c r="A54" s="203">
        <v>6811</v>
      </c>
      <c r="B54" s="203">
        <v>6811</v>
      </c>
      <c r="C54" s="203" t="s">
        <v>283</v>
      </c>
      <c r="D54" s="203"/>
      <c r="E54" s="205" t="s">
        <v>305</v>
      </c>
      <c r="F54" s="206" t="s">
        <v>301</v>
      </c>
      <c r="G54" s="207">
        <v>910</v>
      </c>
      <c r="H54" s="207">
        <v>0</v>
      </c>
      <c r="I54" s="207">
        <v>910</v>
      </c>
      <c r="J54" s="211"/>
      <c r="K54" s="211" t="s">
        <v>306</v>
      </c>
      <c r="L54" s="134" t="s">
        <v>320</v>
      </c>
    </row>
    <row r="55" spans="1:12">
      <c r="A55" s="197">
        <v>684</v>
      </c>
      <c r="B55" s="197">
        <v>684</v>
      </c>
      <c r="C55" s="197"/>
      <c r="D55" s="197"/>
      <c r="E55" s="198"/>
      <c r="F55" s="199" t="s">
        <v>307</v>
      </c>
      <c r="G55" s="200">
        <v>1893.1326612712387</v>
      </c>
      <c r="H55" s="200">
        <v>0</v>
      </c>
      <c r="I55" s="200">
        <v>1893.1326612712387</v>
      </c>
      <c r="J55" s="212"/>
      <c r="K55" s="212"/>
    </row>
    <row r="56" spans="1:12">
      <c r="A56" s="203">
        <v>6840</v>
      </c>
      <c r="B56" s="203">
        <v>6840</v>
      </c>
      <c r="C56" s="203" t="s">
        <v>283</v>
      </c>
      <c r="D56" s="233" t="s">
        <v>308</v>
      </c>
      <c r="E56" s="205" t="s">
        <v>309</v>
      </c>
      <c r="F56" s="206" t="s">
        <v>310</v>
      </c>
      <c r="G56" s="207">
        <v>1893.1326612712387</v>
      </c>
      <c r="H56" s="207"/>
      <c r="I56" s="207">
        <v>1893.1326612712387</v>
      </c>
      <c r="J56" s="211"/>
      <c r="K56" s="211" t="s">
        <v>311</v>
      </c>
      <c r="L56" s="134" t="s">
        <v>320</v>
      </c>
    </row>
    <row r="57" spans="1:12">
      <c r="A57" s="234">
        <v>69</v>
      </c>
      <c r="B57" s="234">
        <v>69</v>
      </c>
      <c r="C57" s="234"/>
      <c r="D57" s="234"/>
      <c r="E57" s="235"/>
      <c r="F57" s="188" t="s">
        <v>312</v>
      </c>
      <c r="G57" s="236">
        <v>0</v>
      </c>
      <c r="H57" s="236">
        <v>90</v>
      </c>
      <c r="I57" s="236">
        <v>90</v>
      </c>
      <c r="J57" s="236"/>
      <c r="K57" s="237"/>
    </row>
    <row r="58" spans="1:12">
      <c r="A58" s="203" t="s">
        <v>313</v>
      </c>
      <c r="B58" s="203" t="s">
        <v>313</v>
      </c>
      <c r="C58" s="203" t="s">
        <v>283</v>
      </c>
      <c r="D58" s="203"/>
      <c r="E58" s="205" t="s">
        <v>314</v>
      </c>
      <c r="F58" s="206" t="s">
        <v>315</v>
      </c>
      <c r="G58" s="207"/>
      <c r="H58" s="207">
        <v>90</v>
      </c>
      <c r="I58" s="207">
        <v>90</v>
      </c>
      <c r="J58" s="211"/>
      <c r="K58" s="211"/>
      <c r="L58" s="134" t="s">
        <v>320</v>
      </c>
    </row>
    <row r="59" spans="1:12">
      <c r="A59" s="238" t="s">
        <v>316</v>
      </c>
      <c r="B59" s="238" t="s">
        <v>316</v>
      </c>
      <c r="C59" s="238"/>
      <c r="D59" s="238"/>
      <c r="E59" s="239" t="s">
        <v>317</v>
      </c>
      <c r="F59" s="240" t="s">
        <v>318</v>
      </c>
      <c r="G59" s="241">
        <v>131396.40812500002</v>
      </c>
      <c r="H59" s="241">
        <v>118603.59187499998</v>
      </c>
      <c r="I59" s="241">
        <v>250000</v>
      </c>
      <c r="J59" s="241"/>
      <c r="K59" s="242"/>
    </row>
  </sheetData>
  <autoFilter ref="B2:K59" xr:uid="{4023BAFD-5199-4997-86B3-293BD5EBCE1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FF0A-2D67-4BBC-B17F-EA83F7C09559}">
  <dimension ref="C1:L33"/>
  <sheetViews>
    <sheetView topLeftCell="C19" workbookViewId="0">
      <selection activeCell="D37" sqref="D37"/>
    </sheetView>
  </sheetViews>
  <sheetFormatPr defaultRowHeight="14.4"/>
  <cols>
    <col min="1" max="2" width="8.88671875" style="87"/>
    <col min="3" max="3" width="42" style="87" customWidth="1"/>
    <col min="4" max="4" width="12.109375" style="87" bestFit="1" customWidth="1"/>
    <col min="5" max="5" width="11.5546875" style="87" customWidth="1"/>
    <col min="6" max="6" width="17.21875" style="87" bestFit="1" customWidth="1"/>
    <col min="7" max="7" width="16.88671875" style="87" bestFit="1" customWidth="1"/>
    <col min="8" max="9" width="25.44140625" style="87" customWidth="1"/>
    <col min="10" max="10" width="22.77734375" style="87" customWidth="1"/>
    <col min="11" max="11" width="20" style="87" customWidth="1"/>
    <col min="12" max="16384" width="8.88671875" style="87"/>
  </cols>
  <sheetData>
    <row r="1" spans="3:12" ht="15" thickBot="1"/>
    <row r="2" spans="3:12">
      <c r="C2" s="267"/>
      <c r="D2" s="264" t="s">
        <v>101</v>
      </c>
      <c r="E2" s="264" t="s">
        <v>95</v>
      </c>
      <c r="F2" s="264" t="s">
        <v>93</v>
      </c>
      <c r="G2" s="264" t="s">
        <v>104</v>
      </c>
      <c r="H2" s="264" t="s">
        <v>94</v>
      </c>
      <c r="I2" s="270" t="s">
        <v>98</v>
      </c>
      <c r="J2" s="271"/>
      <c r="K2" s="271"/>
      <c r="L2" s="272"/>
    </row>
    <row r="3" spans="3:12">
      <c r="C3" s="268"/>
      <c r="D3" s="265"/>
      <c r="E3" s="265"/>
      <c r="F3" s="265"/>
      <c r="G3" s="265"/>
      <c r="H3" s="265"/>
      <c r="I3" s="273" t="s">
        <v>99</v>
      </c>
      <c r="J3" s="274"/>
      <c r="K3" s="275"/>
      <c r="L3" s="276" t="s">
        <v>100</v>
      </c>
    </row>
    <row r="4" spans="3:12" ht="15" thickBot="1">
      <c r="C4" s="269"/>
      <c r="D4" s="266"/>
      <c r="E4" s="266"/>
      <c r="F4" s="266"/>
      <c r="G4" s="266"/>
      <c r="H4" s="266"/>
      <c r="I4" s="95" t="s">
        <v>106</v>
      </c>
      <c r="J4" s="88" t="s">
        <v>102</v>
      </c>
      <c r="K4" s="88" t="s">
        <v>103</v>
      </c>
      <c r="L4" s="277"/>
    </row>
    <row r="5" spans="3:12">
      <c r="C5" s="104" t="s">
        <v>92</v>
      </c>
      <c r="D5" s="105">
        <f>SUM(D6:D9)</f>
        <v>69312.319560793228</v>
      </c>
      <c r="E5" s="106" t="s">
        <v>8</v>
      </c>
      <c r="F5" s="106">
        <v>15</v>
      </c>
      <c r="G5" s="106">
        <v>32</v>
      </c>
      <c r="H5" s="106" t="s">
        <v>97</v>
      </c>
      <c r="I5" s="106"/>
      <c r="J5" s="106"/>
      <c r="K5" s="106"/>
      <c r="L5" s="261">
        <v>2000000</v>
      </c>
    </row>
    <row r="6" spans="3:12">
      <c r="C6" s="110" t="str">
        <f>'NAb + Jer'!A49</f>
        <v xml:space="preserve">R1 A1 : Digital mapping of Des </v>
      </c>
      <c r="D6" s="107">
        <f>'Gaza '!V52</f>
        <v>2839.6989919068583</v>
      </c>
      <c r="E6" s="108" t="s">
        <v>8</v>
      </c>
      <c r="F6" s="96">
        <v>15</v>
      </c>
      <c r="G6" s="96">
        <v>32</v>
      </c>
      <c r="H6" s="96" t="s">
        <v>96</v>
      </c>
      <c r="I6" s="96">
        <v>0</v>
      </c>
      <c r="J6" s="96">
        <v>0</v>
      </c>
      <c r="K6" s="96">
        <v>0</v>
      </c>
      <c r="L6" s="262"/>
    </row>
    <row r="7" spans="3:12">
      <c r="C7" s="110" t="str">
        <f>'NAb + Jer'!A51</f>
        <v xml:space="preserve">R1 A2 : Medical need assessment </v>
      </c>
      <c r="D7" s="107">
        <f>'Gaza '!V54</f>
        <v>5655.7338255478262</v>
      </c>
      <c r="E7" s="96" t="s">
        <v>8</v>
      </c>
      <c r="F7" s="96">
        <v>15</v>
      </c>
      <c r="G7" s="96">
        <v>32</v>
      </c>
      <c r="H7" s="96" t="s">
        <v>96</v>
      </c>
      <c r="I7" s="96">
        <v>0</v>
      </c>
      <c r="J7" s="96">
        <v>0</v>
      </c>
      <c r="K7" s="96">
        <v>0</v>
      </c>
      <c r="L7" s="262"/>
    </row>
    <row r="8" spans="3:12">
      <c r="C8" s="110" t="str">
        <f>'NAb + Jer'!A55</f>
        <v xml:space="preserve">R1 A3: Rehabilitation of spaces  in Shelters </v>
      </c>
      <c r="D8" s="107">
        <f>'Gaza '!V58</f>
        <v>58687.112499408402</v>
      </c>
      <c r="E8" s="96" t="s">
        <v>8</v>
      </c>
      <c r="F8" s="96">
        <v>15</v>
      </c>
      <c r="G8" s="96">
        <v>32</v>
      </c>
      <c r="H8" s="96" t="s">
        <v>96</v>
      </c>
      <c r="I8" s="96">
        <v>0</v>
      </c>
      <c r="J8" s="96">
        <v>0</v>
      </c>
      <c r="K8" s="96">
        <v>0</v>
      </c>
      <c r="L8" s="262"/>
    </row>
    <row r="9" spans="3:12" ht="15" thickBot="1">
      <c r="C9" s="111" t="str">
        <f>'NAb + Jer'!A57</f>
        <v xml:space="preserve">R1 A4 : Coordination with others cluster </v>
      </c>
      <c r="D9" s="109">
        <f>'Gaza '!V60</f>
        <v>2129.7742439301437</v>
      </c>
      <c r="E9" s="97" t="s">
        <v>8</v>
      </c>
      <c r="F9" s="97"/>
      <c r="G9" s="97"/>
      <c r="H9" s="97"/>
      <c r="I9" s="97">
        <v>0</v>
      </c>
      <c r="J9" s="97">
        <v>0</v>
      </c>
      <c r="K9" s="97">
        <v>0</v>
      </c>
      <c r="L9" s="262"/>
    </row>
    <row r="10" spans="3:12">
      <c r="C10" s="89" t="s">
        <v>105</v>
      </c>
      <c r="D10" s="90">
        <f>SUM(D11:D14)</f>
        <v>234133.18188272047</v>
      </c>
      <c r="E10" s="91" t="s">
        <v>8</v>
      </c>
      <c r="F10" s="91">
        <v>15</v>
      </c>
      <c r="G10" s="91">
        <v>32</v>
      </c>
      <c r="H10" s="91" t="s">
        <v>97</v>
      </c>
      <c r="I10" s="91">
        <v>50</v>
      </c>
      <c r="J10" s="91">
        <v>180</v>
      </c>
      <c r="K10" s="91">
        <v>0</v>
      </c>
      <c r="L10" s="262"/>
    </row>
    <row r="11" spans="3:12" ht="28.8">
      <c r="C11" s="92" t="str">
        <f>'NAb + Jer'!A59</f>
        <v xml:space="preserve">R2 A1 : workshops with MOH and PHD and PHC directorate </v>
      </c>
      <c r="D11" s="101">
        <f>'Gaza '!V62</f>
        <v>6389.3227317904311</v>
      </c>
      <c r="E11" s="102" t="s">
        <v>8</v>
      </c>
      <c r="F11" s="98">
        <v>15</v>
      </c>
      <c r="G11" s="98">
        <v>0</v>
      </c>
      <c r="H11" s="98" t="s">
        <v>96</v>
      </c>
      <c r="I11" s="98">
        <v>50</v>
      </c>
      <c r="J11" s="98">
        <v>0</v>
      </c>
      <c r="K11" s="98">
        <v>0</v>
      </c>
      <c r="L11" s="262"/>
    </row>
    <row r="12" spans="3:12">
      <c r="C12" s="92" t="str">
        <f>'NAb + Jer'!A63</f>
        <v>R2 A2 : workshops with PHC</v>
      </c>
      <c r="D12" s="101">
        <f>'Gaza '!V68</f>
        <v>4259.5484878602874</v>
      </c>
      <c r="E12" s="98" t="s">
        <v>8</v>
      </c>
      <c r="F12" s="98">
        <v>15</v>
      </c>
      <c r="G12" s="98">
        <v>0</v>
      </c>
      <c r="H12" s="98" t="s">
        <v>96</v>
      </c>
      <c r="I12" s="98">
        <v>0</v>
      </c>
      <c r="J12" s="98">
        <v>180</v>
      </c>
      <c r="K12" s="98">
        <v>0</v>
      </c>
      <c r="L12" s="262"/>
    </row>
    <row r="13" spans="3:12">
      <c r="C13" s="92" t="str">
        <f>'NAb + Jer'!A65</f>
        <v xml:space="preserve">R2 A3 : procurement of medical stock </v>
      </c>
      <c r="D13" s="101">
        <f>'Gaza '!V77</f>
        <v>209427.80065313081</v>
      </c>
      <c r="E13" s="98" t="s">
        <v>8</v>
      </c>
      <c r="F13" s="98">
        <v>15</v>
      </c>
      <c r="G13" s="98">
        <v>0</v>
      </c>
      <c r="H13" s="98" t="s">
        <v>96</v>
      </c>
      <c r="I13" s="98">
        <v>0</v>
      </c>
      <c r="J13" s="98">
        <v>0</v>
      </c>
      <c r="K13" s="98">
        <v>0</v>
      </c>
      <c r="L13" s="262"/>
    </row>
    <row r="14" spans="3:12" ht="39" customHeight="1">
      <c r="C14" s="92" t="str">
        <f>'NAb + Jer'!A70</f>
        <v>R2 A4.1  and R3. A4  : production of specific tools for EWS on epidemic in crises (3 days training )</v>
      </c>
      <c r="D14" s="101">
        <f>'Gaza '!V70</f>
        <v>14056.510009938949</v>
      </c>
      <c r="E14" s="98" t="s">
        <v>8</v>
      </c>
      <c r="F14" s="98">
        <v>15</v>
      </c>
      <c r="G14" s="98">
        <v>0</v>
      </c>
      <c r="H14" s="98" t="s">
        <v>107</v>
      </c>
      <c r="I14" s="98">
        <v>0</v>
      </c>
      <c r="J14" s="98">
        <v>180</v>
      </c>
      <c r="K14" s="98">
        <v>0</v>
      </c>
      <c r="L14" s="262"/>
    </row>
    <row r="15" spans="3:12" ht="28.8">
      <c r="C15" s="92" t="str">
        <f>'NAb + Jer'!A73</f>
        <v>R2 A4.2 and R3. A4 : Training of operation and and technical supervisors (5 days training )</v>
      </c>
      <c r="D15" s="101">
        <f>'Gaza '!V73</f>
        <v>1183.2079132945244</v>
      </c>
      <c r="E15" s="98" t="s">
        <v>8</v>
      </c>
      <c r="F15" s="98">
        <v>15</v>
      </c>
      <c r="G15" s="98">
        <v>0</v>
      </c>
      <c r="H15" s="98" t="s">
        <v>107</v>
      </c>
      <c r="I15" s="98">
        <v>10</v>
      </c>
      <c r="J15" s="98">
        <v>0</v>
      </c>
      <c r="K15" s="98">
        <v>0</v>
      </c>
      <c r="L15" s="262"/>
    </row>
    <row r="16" spans="3:12" ht="15" thickBot="1">
      <c r="C16" s="93" t="str">
        <f>'NAb + Jer'!A77</f>
        <v>R2 A5  and R3. A6: Drills  ( 1 day)</v>
      </c>
      <c r="D16" s="101">
        <f>'Gaza '!V82</f>
        <v>35496.237398835729</v>
      </c>
      <c r="E16" s="103" t="s">
        <v>8</v>
      </c>
      <c r="F16" s="103">
        <v>15</v>
      </c>
      <c r="G16" s="103"/>
      <c r="H16" s="103"/>
      <c r="I16" s="103"/>
      <c r="J16" s="103">
        <v>180</v>
      </c>
      <c r="K16" s="103"/>
      <c r="L16" s="262"/>
    </row>
    <row r="17" spans="3:12">
      <c r="C17" s="89" t="s">
        <v>108</v>
      </c>
      <c r="D17" s="90">
        <f>SUM(D18:D21)</f>
        <v>75436.603720005689</v>
      </c>
      <c r="E17" s="91" t="s">
        <v>8</v>
      </c>
      <c r="F17" s="91">
        <v>15</v>
      </c>
      <c r="G17" s="91">
        <v>0</v>
      </c>
      <c r="H17" s="91" t="s">
        <v>107</v>
      </c>
      <c r="I17" s="91">
        <v>0</v>
      </c>
      <c r="J17" s="91">
        <v>180</v>
      </c>
      <c r="K17" s="91">
        <v>0</v>
      </c>
      <c r="L17" s="262"/>
    </row>
    <row r="18" spans="3:12">
      <c r="C18" s="92" t="str">
        <f>'NAb + Jer'!A79</f>
        <v>R3 A1. ACLS training ( 2 days training )</v>
      </c>
      <c r="D18" s="101">
        <f>'Gaza '!V84</f>
        <v>14695.442283117991</v>
      </c>
      <c r="E18" s="102" t="s">
        <v>8</v>
      </c>
      <c r="F18" s="98">
        <v>15</v>
      </c>
      <c r="G18" s="98">
        <v>0</v>
      </c>
      <c r="H18" s="98" t="s">
        <v>96</v>
      </c>
      <c r="I18" s="98">
        <v>0</v>
      </c>
      <c r="J18" s="98">
        <v>180</v>
      </c>
      <c r="K18" s="98">
        <v>0</v>
      </c>
      <c r="L18" s="262"/>
    </row>
    <row r="19" spans="3:12" ht="28.8">
      <c r="C19" s="92" t="str">
        <f>'NAb + Jer'!A84</f>
        <v>R3 A2 refreshment training of PHC ( 5 days training )</v>
      </c>
      <c r="D19" s="101">
        <f>'Gaza '!V89</f>
        <v>7141.8429646457489</v>
      </c>
      <c r="E19" s="98" t="s">
        <v>8</v>
      </c>
      <c r="F19" s="98">
        <v>15</v>
      </c>
      <c r="G19" s="98">
        <v>0</v>
      </c>
      <c r="H19" s="98" t="s">
        <v>96</v>
      </c>
      <c r="I19" s="98">
        <v>0</v>
      </c>
      <c r="J19" s="98">
        <v>180</v>
      </c>
      <c r="K19" s="98">
        <v>0</v>
      </c>
      <c r="L19" s="262"/>
    </row>
    <row r="20" spans="3:12">
      <c r="C20" s="92" t="str">
        <f>'NAb + Jer'!A90</f>
        <v>R3 A3. Mental health Gap ( 5 days training )</v>
      </c>
      <c r="D20" s="101">
        <f>'Gaza '!V95</f>
        <v>33153.48573051257</v>
      </c>
      <c r="E20" s="98" t="s">
        <v>8</v>
      </c>
      <c r="F20" s="98">
        <v>15</v>
      </c>
      <c r="G20" s="98">
        <v>0</v>
      </c>
      <c r="H20" s="98" t="s">
        <v>96</v>
      </c>
      <c r="I20" s="98">
        <v>0</v>
      </c>
      <c r="J20" s="98">
        <v>180</v>
      </c>
      <c r="K20" s="98">
        <v>0</v>
      </c>
      <c r="L20" s="262"/>
    </row>
    <row r="21" spans="3:12" ht="15" thickBot="1">
      <c r="C21" s="93" t="str">
        <f>'NAb + Jer'!A96</f>
        <v>R3 A5. GBV training ( 3days training )</v>
      </c>
      <c r="D21" s="112">
        <f>'Gaza '!V101</f>
        <v>20445.83274172938</v>
      </c>
      <c r="E21" s="103" t="s">
        <v>8</v>
      </c>
      <c r="F21" s="103">
        <v>15</v>
      </c>
      <c r="G21" s="103">
        <v>0</v>
      </c>
      <c r="H21" s="103" t="s">
        <v>96</v>
      </c>
      <c r="I21" s="103">
        <v>0</v>
      </c>
      <c r="J21" s="103">
        <v>180</v>
      </c>
      <c r="K21" s="103">
        <v>0</v>
      </c>
      <c r="L21" s="262"/>
    </row>
    <row r="22" spans="3:12">
      <c r="C22" s="89" t="s">
        <v>109</v>
      </c>
      <c r="D22" s="90">
        <f>SUM(D23:D25)</f>
        <v>47695.110984902269</v>
      </c>
      <c r="E22" s="91" t="s">
        <v>8</v>
      </c>
      <c r="F22" s="91">
        <v>0</v>
      </c>
      <c r="G22" s="91">
        <v>0</v>
      </c>
      <c r="H22" s="91" t="s">
        <v>97</v>
      </c>
      <c r="I22" s="91">
        <v>0</v>
      </c>
      <c r="J22" s="91">
        <v>0</v>
      </c>
      <c r="K22" s="91">
        <v>4800</v>
      </c>
      <c r="L22" s="262"/>
    </row>
    <row r="23" spans="3:12">
      <c r="C23" s="92" t="str">
        <f>'NAb + Jer'!A103</f>
        <v>R4 A2. BLS training ( 5 days training )</v>
      </c>
      <c r="D23" s="101">
        <f>'Gaza '!V108</f>
        <v>17097.354347105873</v>
      </c>
      <c r="E23" s="102" t="s">
        <v>8</v>
      </c>
      <c r="F23" s="98">
        <v>0</v>
      </c>
      <c r="G23" s="98">
        <v>0</v>
      </c>
      <c r="H23" s="98" t="s">
        <v>96</v>
      </c>
      <c r="I23" s="98">
        <v>0</v>
      </c>
      <c r="J23" s="98">
        <v>0</v>
      </c>
      <c r="K23" s="98">
        <f>300+1000</f>
        <v>1300</v>
      </c>
      <c r="L23" s="262"/>
    </row>
    <row r="24" spans="3:12">
      <c r="C24" s="92" t="str">
        <f>'NAb + Jer'!A108</f>
        <v>R4 A3.PFA ( 2 days )</v>
      </c>
      <c r="D24" s="101">
        <f>'Gaza '!V116</f>
        <v>15192.389606701692</v>
      </c>
      <c r="E24" s="98" t="s">
        <v>8</v>
      </c>
      <c r="F24" s="98">
        <v>0</v>
      </c>
      <c r="G24" s="98">
        <v>0</v>
      </c>
      <c r="H24" s="98" t="s">
        <v>96</v>
      </c>
      <c r="I24" s="98">
        <v>0</v>
      </c>
      <c r="J24" s="98">
        <v>0</v>
      </c>
      <c r="K24" s="98">
        <v>0</v>
      </c>
      <c r="L24" s="262"/>
    </row>
    <row r="25" spans="3:12">
      <c r="C25" s="92" t="str">
        <f>'NAb + Jer'!A115</f>
        <v>R4 A4.EPD trigger ( 2 days )</v>
      </c>
      <c r="D25" s="101">
        <f>'Gaza '!V123</f>
        <v>15405.367031094705</v>
      </c>
      <c r="E25" s="98" t="s">
        <v>8</v>
      </c>
      <c r="F25" s="98">
        <v>0</v>
      </c>
      <c r="G25" s="98">
        <v>0</v>
      </c>
      <c r="H25" s="98" t="s">
        <v>96</v>
      </c>
      <c r="I25" s="98">
        <v>0</v>
      </c>
      <c r="J25" s="98">
        <v>0</v>
      </c>
      <c r="K25" s="98">
        <v>0</v>
      </c>
      <c r="L25" s="262"/>
    </row>
    <row r="26" spans="3:12">
      <c r="C26" s="92" t="str">
        <f>'NAb + Jer'!A130</f>
        <v xml:space="preserve">R4 A7.1  :  To organize mass media campaigns </v>
      </c>
      <c r="D26" s="101">
        <f>'Gaza '!V129</f>
        <v>3549.6237398835729</v>
      </c>
      <c r="E26" s="98" t="s">
        <v>8</v>
      </c>
      <c r="F26" s="98">
        <v>0</v>
      </c>
      <c r="G26" s="98">
        <v>0</v>
      </c>
      <c r="H26" s="98" t="s">
        <v>107</v>
      </c>
      <c r="I26" s="98">
        <v>0</v>
      </c>
      <c r="J26" s="98">
        <v>0</v>
      </c>
      <c r="K26" s="257">
        <v>3500</v>
      </c>
      <c r="L26" s="262"/>
    </row>
    <row r="27" spans="3:12" ht="15" thickBot="1">
      <c r="C27" s="99" t="str">
        <f>'NAb + Jer'!A132</f>
        <v xml:space="preserve">R4 A7.2 : Operational Advocacy </v>
      </c>
      <c r="D27" s="114">
        <f>'Gaza '!V131</f>
        <v>2028.0381466229401</v>
      </c>
      <c r="E27" s="113" t="s">
        <v>8</v>
      </c>
      <c r="F27" s="113">
        <v>0</v>
      </c>
      <c r="G27" s="113">
        <v>0</v>
      </c>
      <c r="H27" s="113"/>
      <c r="I27" s="113"/>
      <c r="J27" s="113">
        <v>0</v>
      </c>
      <c r="K27" s="258"/>
      <c r="L27" s="263"/>
    </row>
    <row r="28" spans="3:12">
      <c r="C28" s="89" t="s">
        <v>110</v>
      </c>
      <c r="D28" s="90">
        <f>SUM(D29:D32)</f>
        <v>33100</v>
      </c>
      <c r="E28" s="91" t="s">
        <v>113</v>
      </c>
      <c r="F28" s="91"/>
      <c r="G28" s="91"/>
      <c r="H28" s="91"/>
      <c r="I28" s="91"/>
      <c r="J28" s="91"/>
      <c r="K28" s="91"/>
      <c r="L28" s="259"/>
    </row>
    <row r="29" spans="3:12">
      <c r="C29" s="92" t="str">
        <f>'NAb + Jer'!A134</f>
        <v>R5 A1 MHPSS emergency intervention .</v>
      </c>
      <c r="D29" s="101">
        <f>'NAb + Jer'!O134</f>
        <v>8700</v>
      </c>
      <c r="E29" s="102" t="s">
        <v>113</v>
      </c>
      <c r="F29" s="98"/>
      <c r="G29" s="98"/>
      <c r="H29" s="98"/>
      <c r="I29" s="98"/>
      <c r="J29" s="98"/>
      <c r="K29" s="98"/>
      <c r="L29" s="260"/>
    </row>
    <row r="30" spans="3:12">
      <c r="C30" s="92" t="str">
        <f>'NAb + Jer'!A138</f>
        <v xml:space="preserve">R5 A2 &amp;3 .Identification , referral and follow up </v>
      </c>
      <c r="D30" s="101">
        <f>'NAb + Jer'!O138</f>
        <v>6000</v>
      </c>
      <c r="E30" s="98" t="s">
        <v>113</v>
      </c>
      <c r="F30" s="98"/>
      <c r="G30" s="98"/>
      <c r="H30" s="98"/>
      <c r="I30" s="98"/>
      <c r="J30" s="98"/>
      <c r="K30" s="98"/>
      <c r="L30" s="260"/>
    </row>
    <row r="31" spans="3:12">
      <c r="C31" s="92" t="str">
        <f>'NAb + Jer'!A141</f>
        <v xml:space="preserve">R5 A4.Psychoeducation </v>
      </c>
      <c r="D31" s="101">
        <f>'NAb + Jer'!O141</f>
        <v>18400</v>
      </c>
      <c r="E31" s="98" t="s">
        <v>113</v>
      </c>
      <c r="F31" s="98"/>
      <c r="G31" s="98"/>
      <c r="H31" s="98"/>
      <c r="I31" s="98"/>
      <c r="J31" s="98"/>
      <c r="K31" s="98"/>
      <c r="L31" s="260"/>
    </row>
    <row r="32" spans="3:12" ht="15" thickBot="1">
      <c r="C32" s="93"/>
      <c r="D32" s="94">
        <f>'NAb + Jer'!O148</f>
        <v>0</v>
      </c>
      <c r="E32" s="115" t="s">
        <v>7</v>
      </c>
      <c r="F32" s="94"/>
      <c r="G32" s="94"/>
      <c r="H32" s="94"/>
      <c r="I32" s="94"/>
      <c r="J32" s="94"/>
      <c r="K32" s="94"/>
      <c r="L32" s="100"/>
    </row>
    <row r="33" spans="4:4">
      <c r="D33" s="256">
        <f>D5+D10+D17+D22+D28</f>
        <v>459677.21614842163</v>
      </c>
    </row>
  </sheetData>
  <mergeCells count="12">
    <mergeCell ref="C2:C4"/>
    <mergeCell ref="I2:L2"/>
    <mergeCell ref="I3:K3"/>
    <mergeCell ref="L3:L4"/>
    <mergeCell ref="H2:H4"/>
    <mergeCell ref="G2:G4"/>
    <mergeCell ref="F2:F4"/>
    <mergeCell ref="K26:K27"/>
    <mergeCell ref="L28:L31"/>
    <mergeCell ref="L5:L27"/>
    <mergeCell ref="E2:E4"/>
    <mergeCell ref="D2:D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2A4F-E0C8-403D-A793-A39B9F592156}">
  <sheetPr filterMode="1"/>
  <dimension ref="A1:X334"/>
  <sheetViews>
    <sheetView topLeftCell="A137" zoomScaleNormal="100" workbookViewId="0">
      <pane xSplit="1" topLeftCell="H1" activePane="topRight" state="frozen"/>
      <selection pane="topRight" activeCell="J155" sqref="J155"/>
    </sheetView>
  </sheetViews>
  <sheetFormatPr defaultRowHeight="14.4"/>
  <cols>
    <col min="1" max="1" width="40.33203125" customWidth="1"/>
    <col min="2" max="2" width="13.77734375" style="32" hidden="1" customWidth="1"/>
    <col min="3" max="4" width="8.88671875" hidden="1" customWidth="1"/>
    <col min="5" max="5" width="12.33203125" style="1" hidden="1" customWidth="1"/>
    <col min="6" max="6" width="12.33203125" style="20" hidden="1" customWidth="1"/>
    <col min="7" max="7" width="11.88671875" hidden="1" customWidth="1"/>
    <col min="8" max="8" width="0.109375" customWidth="1"/>
    <col min="9" max="9" width="13.109375" customWidth="1"/>
    <col min="10" max="10" width="9" customWidth="1"/>
    <col min="11" max="11" width="8.6640625" style="20" customWidth="1"/>
    <col min="12" max="12" width="12.33203125" customWidth="1"/>
    <col min="13" max="13" width="12.109375" customWidth="1"/>
    <col min="14" max="14" width="17.21875" customWidth="1"/>
    <col min="15" max="15" width="12.33203125" customWidth="1"/>
    <col min="16" max="16" width="13.109375" hidden="1" customWidth="1"/>
    <col min="17" max="17" width="9" hidden="1" customWidth="1"/>
    <col min="18" max="18" width="8.6640625" hidden="1" customWidth="1"/>
    <col min="19" max="19" width="12.33203125" hidden="1" customWidth="1"/>
    <col min="20" max="20" width="12.109375" hidden="1" customWidth="1"/>
    <col min="21" max="21" width="12.77734375" hidden="1" customWidth="1"/>
    <col min="22" max="22" width="12.33203125" hidden="1" customWidth="1"/>
    <col min="23" max="23" width="19.109375" style="24" hidden="1" customWidth="1"/>
  </cols>
  <sheetData>
    <row r="1" spans="1:23">
      <c r="O1">
        <v>4.2</v>
      </c>
    </row>
    <row r="3" spans="1:23">
      <c r="A3" s="281" t="s">
        <v>0</v>
      </c>
      <c r="B3" s="278" t="s">
        <v>37</v>
      </c>
      <c r="C3" s="278"/>
      <c r="D3" s="278"/>
      <c r="E3" s="278"/>
      <c r="F3" s="278"/>
      <c r="G3" s="278"/>
      <c r="H3" s="278"/>
      <c r="I3" s="279" t="s">
        <v>7</v>
      </c>
      <c r="J3" s="279"/>
      <c r="K3" s="279"/>
      <c r="L3" s="279"/>
      <c r="M3" s="279"/>
      <c r="N3" s="279"/>
      <c r="O3" s="279"/>
      <c r="P3" s="280" t="s">
        <v>8</v>
      </c>
      <c r="Q3" s="280"/>
      <c r="R3" s="280"/>
      <c r="S3" s="280"/>
      <c r="T3" s="280"/>
      <c r="U3" s="280"/>
      <c r="V3" s="280"/>
      <c r="W3" s="282" t="s">
        <v>38</v>
      </c>
    </row>
    <row r="4" spans="1:23">
      <c r="A4" s="281"/>
      <c r="B4" s="27" t="s">
        <v>1</v>
      </c>
      <c r="C4" s="2" t="s">
        <v>2</v>
      </c>
      <c r="D4" s="2" t="s">
        <v>3</v>
      </c>
      <c r="E4" s="15" t="s">
        <v>4</v>
      </c>
      <c r="F4" s="7" t="s">
        <v>9</v>
      </c>
      <c r="G4" s="2" t="s">
        <v>5</v>
      </c>
      <c r="H4" s="2" t="s">
        <v>6</v>
      </c>
      <c r="I4" s="3" t="s">
        <v>1</v>
      </c>
      <c r="J4" s="3" t="s">
        <v>2</v>
      </c>
      <c r="K4" s="48" t="s">
        <v>3</v>
      </c>
      <c r="L4" s="3" t="s">
        <v>4</v>
      </c>
      <c r="M4" s="3" t="s">
        <v>9</v>
      </c>
      <c r="N4" s="3" t="s">
        <v>5</v>
      </c>
      <c r="O4" s="3" t="s">
        <v>6</v>
      </c>
      <c r="P4" s="4" t="s">
        <v>1</v>
      </c>
      <c r="Q4" s="4" t="s">
        <v>2</v>
      </c>
      <c r="R4" s="4" t="s">
        <v>3</v>
      </c>
      <c r="S4" s="4" t="s">
        <v>4</v>
      </c>
      <c r="T4" s="4" t="s">
        <v>9</v>
      </c>
      <c r="U4" s="4" t="s">
        <v>5</v>
      </c>
      <c r="V4" s="4" t="s">
        <v>6</v>
      </c>
      <c r="W4" s="283"/>
    </row>
    <row r="5" spans="1:23" hidden="1">
      <c r="A5" s="25" t="s">
        <v>22</v>
      </c>
      <c r="B5" s="28"/>
      <c r="C5" s="8"/>
      <c r="D5" s="8"/>
      <c r="E5" s="16"/>
      <c r="F5" s="9"/>
      <c r="G5" s="23">
        <f>SUM(G6:G9)</f>
        <v>0</v>
      </c>
      <c r="H5" s="36">
        <f>H6+H7+H8+H9</f>
        <v>0</v>
      </c>
      <c r="I5" s="8"/>
      <c r="J5" s="8"/>
      <c r="K5" s="9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35">
        <f>SUM(W6:W9)</f>
        <v>0</v>
      </c>
    </row>
    <row r="6" spans="1:23" ht="15" hidden="1" thickBot="1">
      <c r="A6" s="10" t="s">
        <v>10</v>
      </c>
      <c r="B6" s="29">
        <v>0.3</v>
      </c>
      <c r="C6" s="14"/>
      <c r="D6" s="5" t="s">
        <v>25</v>
      </c>
      <c r="E6" s="17">
        <v>12</v>
      </c>
      <c r="F6" s="18">
        <v>43617</v>
      </c>
      <c r="G6" s="22">
        <f>B6*C6*E6</f>
        <v>0</v>
      </c>
      <c r="H6" s="22">
        <f>G6</f>
        <v>0</v>
      </c>
      <c r="I6" s="6">
        <v>0</v>
      </c>
      <c r="J6" s="5"/>
      <c r="K6" s="19"/>
      <c r="L6" s="5"/>
      <c r="M6" s="5"/>
      <c r="N6" s="5"/>
      <c r="O6" s="5"/>
      <c r="P6" s="6">
        <v>0</v>
      </c>
      <c r="Q6" s="5"/>
      <c r="R6" s="5"/>
      <c r="S6" s="5"/>
      <c r="T6" s="5"/>
      <c r="U6" s="5"/>
      <c r="V6" s="5"/>
      <c r="W6" s="26">
        <f>H6+O6+V6</f>
        <v>0</v>
      </c>
    </row>
    <row r="7" spans="1:23" ht="15" hidden="1" thickBot="1">
      <c r="A7" s="11" t="s">
        <v>11</v>
      </c>
      <c r="B7" s="29">
        <v>0.3</v>
      </c>
      <c r="C7" s="14"/>
      <c r="D7" s="5" t="s">
        <v>25</v>
      </c>
      <c r="E7" s="17">
        <v>12</v>
      </c>
      <c r="F7" s="18">
        <v>43617</v>
      </c>
      <c r="G7" s="22">
        <f>B7*C7*E7</f>
        <v>0</v>
      </c>
      <c r="H7" s="22">
        <f>G7</f>
        <v>0</v>
      </c>
      <c r="I7" s="6">
        <v>0</v>
      </c>
      <c r="J7" s="5"/>
      <c r="K7" s="19"/>
      <c r="L7" s="5"/>
      <c r="M7" s="5"/>
      <c r="N7" s="5"/>
      <c r="O7" s="5"/>
      <c r="P7" s="6">
        <v>0</v>
      </c>
      <c r="Q7" s="5"/>
      <c r="R7" s="5"/>
      <c r="S7" s="5"/>
      <c r="T7" s="5"/>
      <c r="U7" s="5"/>
      <c r="V7" s="5"/>
      <c r="W7" s="26">
        <f>H7+O7+V7</f>
        <v>0</v>
      </c>
    </row>
    <row r="8" spans="1:23" ht="15" hidden="1" thickBot="1">
      <c r="A8" s="11" t="s">
        <v>12</v>
      </c>
      <c r="B8" s="29">
        <v>0.3</v>
      </c>
      <c r="C8" s="14"/>
      <c r="D8" s="5" t="s">
        <v>25</v>
      </c>
      <c r="E8" s="17">
        <v>12</v>
      </c>
      <c r="F8" s="18">
        <v>43617</v>
      </c>
      <c r="G8" s="22">
        <f>B8*C8*E8</f>
        <v>0</v>
      </c>
      <c r="H8" s="22">
        <f>G8</f>
        <v>0</v>
      </c>
      <c r="I8" s="6">
        <v>0</v>
      </c>
      <c r="J8" s="5"/>
      <c r="K8" s="19"/>
      <c r="L8" s="5"/>
      <c r="M8" s="5"/>
      <c r="N8" s="5"/>
      <c r="O8" s="5"/>
      <c r="P8" s="6">
        <v>0</v>
      </c>
      <c r="Q8" s="5"/>
      <c r="R8" s="5"/>
      <c r="S8" s="5"/>
      <c r="T8" s="5"/>
      <c r="U8" s="5"/>
      <c r="V8" s="5"/>
      <c r="W8" s="26">
        <f>H8+O8+V8</f>
        <v>0</v>
      </c>
    </row>
    <row r="9" spans="1:23" ht="15" hidden="1" thickBot="1">
      <c r="A9" s="11" t="s">
        <v>13</v>
      </c>
      <c r="B9" s="29">
        <v>0.3</v>
      </c>
      <c r="C9" s="14"/>
      <c r="D9" s="5" t="s">
        <v>25</v>
      </c>
      <c r="E9" s="17">
        <v>12</v>
      </c>
      <c r="F9" s="18">
        <v>43617</v>
      </c>
      <c r="G9" s="22">
        <f>B9*C9*E9</f>
        <v>0</v>
      </c>
      <c r="H9" s="22">
        <f>G9</f>
        <v>0</v>
      </c>
      <c r="I9" s="6">
        <v>0</v>
      </c>
      <c r="J9" s="5"/>
      <c r="K9" s="19"/>
      <c r="L9" s="5"/>
      <c r="M9" s="5"/>
      <c r="N9" s="5"/>
      <c r="O9" s="5"/>
      <c r="P9" s="6">
        <v>0</v>
      </c>
      <c r="Q9" s="5"/>
      <c r="R9" s="5"/>
      <c r="S9" s="5"/>
      <c r="T9" s="5"/>
      <c r="U9" s="5"/>
      <c r="V9" s="5"/>
      <c r="W9" s="26">
        <f>H9+O9+V9</f>
        <v>0</v>
      </c>
    </row>
    <row r="10" spans="1:23" ht="15" thickBot="1">
      <c r="A10" s="25" t="s">
        <v>23</v>
      </c>
      <c r="B10" s="28"/>
      <c r="C10" s="8"/>
      <c r="D10" s="8"/>
      <c r="E10" s="16"/>
      <c r="F10" s="9"/>
      <c r="G10" s="23">
        <f>G11+G12+G13+G14+G15+G16</f>
        <v>0</v>
      </c>
      <c r="H10" s="8"/>
      <c r="I10" s="8"/>
      <c r="J10" s="8"/>
      <c r="K10" s="9"/>
      <c r="L10" s="8"/>
      <c r="M10" s="8"/>
      <c r="N10" s="23"/>
      <c r="O10" s="23">
        <f>SUM(O11:O16)</f>
        <v>119824</v>
      </c>
      <c r="P10" s="8"/>
      <c r="Q10" s="8"/>
      <c r="R10" s="8"/>
      <c r="S10" s="8"/>
      <c r="T10" s="8"/>
      <c r="U10" s="23"/>
      <c r="V10" s="23">
        <f>SUM(V11:V16)</f>
        <v>0</v>
      </c>
      <c r="W10" s="23">
        <f>SUM(W11:W16)</f>
        <v>119824</v>
      </c>
    </row>
    <row r="11" spans="1:23" ht="15" thickBot="1">
      <c r="A11" s="10" t="s">
        <v>14</v>
      </c>
      <c r="B11" s="29"/>
      <c r="C11" s="5"/>
      <c r="D11" s="5"/>
      <c r="E11" s="17"/>
      <c r="F11" s="18"/>
      <c r="G11" s="5"/>
      <c r="H11" s="5"/>
      <c r="I11" s="6">
        <v>1</v>
      </c>
      <c r="J11" s="14">
        <v>3486</v>
      </c>
      <c r="K11" s="19" t="s">
        <v>25</v>
      </c>
      <c r="L11" s="17">
        <v>11</v>
      </c>
      <c r="M11" s="18">
        <v>43556</v>
      </c>
      <c r="N11" s="22">
        <f t="shared" ref="N11:N16" si="0">I11*J11*L11</f>
        <v>38346</v>
      </c>
      <c r="O11" s="22">
        <f>N11</f>
        <v>38346</v>
      </c>
      <c r="P11" s="6">
        <v>0.3</v>
      </c>
      <c r="Q11" s="14"/>
      <c r="R11" s="5" t="s">
        <v>25</v>
      </c>
      <c r="S11" s="17">
        <v>12</v>
      </c>
      <c r="T11" s="18">
        <v>43556</v>
      </c>
      <c r="U11" s="22">
        <f>P11*Q11*S11</f>
        <v>0</v>
      </c>
      <c r="V11" s="22">
        <f>U11</f>
        <v>0</v>
      </c>
      <c r="W11" s="26">
        <f t="shared" ref="W11:W16" si="1">H11+O11+V11</f>
        <v>38346</v>
      </c>
    </row>
    <row r="12" spans="1:23" ht="15" thickBot="1">
      <c r="A12" s="11" t="s">
        <v>15</v>
      </c>
      <c r="B12" s="29"/>
      <c r="C12" s="5"/>
      <c r="D12" s="5"/>
      <c r="E12" s="17"/>
      <c r="F12" s="18"/>
      <c r="G12" s="5"/>
      <c r="H12" s="5"/>
      <c r="I12" s="6">
        <v>1</v>
      </c>
      <c r="J12" s="14">
        <v>2454</v>
      </c>
      <c r="K12" s="19" t="s">
        <v>25</v>
      </c>
      <c r="L12" s="17">
        <v>10</v>
      </c>
      <c r="M12" s="18">
        <v>43556</v>
      </c>
      <c r="N12" s="22">
        <f t="shared" si="0"/>
        <v>24540</v>
      </c>
      <c r="O12" s="22">
        <f t="shared" ref="O12:O16" si="2">N12</f>
        <v>24540</v>
      </c>
      <c r="P12" s="6">
        <v>0.3</v>
      </c>
      <c r="Q12" s="14"/>
      <c r="R12" s="5" t="s">
        <v>25</v>
      </c>
      <c r="S12" s="17">
        <v>12</v>
      </c>
      <c r="T12" s="18">
        <v>43556</v>
      </c>
      <c r="U12" s="22">
        <f t="shared" ref="U12:U16" si="3">P12*Q12*S12</f>
        <v>0</v>
      </c>
      <c r="V12" s="22">
        <f>U12</f>
        <v>0</v>
      </c>
      <c r="W12" s="26">
        <f t="shared" si="1"/>
        <v>24540</v>
      </c>
    </row>
    <row r="13" spans="1:23" ht="15" thickBot="1">
      <c r="A13" s="11" t="s">
        <v>16</v>
      </c>
      <c r="B13" s="29"/>
      <c r="C13" s="5"/>
      <c r="D13" s="5"/>
      <c r="E13" s="17"/>
      <c r="F13" s="18"/>
      <c r="G13" s="5"/>
      <c r="H13" s="5"/>
      <c r="I13" s="6">
        <v>1</v>
      </c>
      <c r="J13" s="14">
        <v>2567</v>
      </c>
      <c r="K13" s="19" t="s">
        <v>25</v>
      </c>
      <c r="L13" s="17">
        <v>10</v>
      </c>
      <c r="M13" s="18">
        <v>43556</v>
      </c>
      <c r="N13" s="22">
        <f t="shared" si="0"/>
        <v>25670</v>
      </c>
      <c r="O13" s="22">
        <f t="shared" si="2"/>
        <v>25670</v>
      </c>
      <c r="P13" s="6">
        <v>0.3</v>
      </c>
      <c r="Q13" s="14"/>
      <c r="R13" s="5" t="s">
        <v>25</v>
      </c>
      <c r="S13" s="17">
        <v>12</v>
      </c>
      <c r="T13" s="18">
        <v>43556</v>
      </c>
      <c r="U13" s="22">
        <f t="shared" si="3"/>
        <v>0</v>
      </c>
      <c r="V13" s="22">
        <f t="shared" ref="V13:V16" si="4">U13</f>
        <v>0</v>
      </c>
      <c r="W13" s="26">
        <f t="shared" si="1"/>
        <v>25670</v>
      </c>
    </row>
    <row r="14" spans="1:23" ht="15" hidden="1" thickBot="1">
      <c r="A14" s="12" t="s">
        <v>17</v>
      </c>
      <c r="B14" s="29"/>
      <c r="C14" s="5"/>
      <c r="D14" s="5"/>
      <c r="E14" s="17"/>
      <c r="F14" s="18"/>
      <c r="G14" s="5"/>
      <c r="H14" s="5"/>
      <c r="I14" s="6">
        <v>1</v>
      </c>
      <c r="J14" s="14"/>
      <c r="K14" s="19" t="s">
        <v>25</v>
      </c>
      <c r="L14" s="17">
        <v>0</v>
      </c>
      <c r="M14" s="18">
        <v>43556</v>
      </c>
      <c r="N14" s="22">
        <f t="shared" si="0"/>
        <v>0</v>
      </c>
      <c r="O14" s="22">
        <f t="shared" si="2"/>
        <v>0</v>
      </c>
      <c r="P14" s="6">
        <v>0.3</v>
      </c>
      <c r="Q14" s="14"/>
      <c r="R14" s="5" t="s">
        <v>25</v>
      </c>
      <c r="S14" s="17">
        <v>12</v>
      </c>
      <c r="T14" s="18">
        <v>43556</v>
      </c>
      <c r="U14" s="22">
        <f t="shared" si="3"/>
        <v>0</v>
      </c>
      <c r="V14" s="22">
        <f t="shared" si="4"/>
        <v>0</v>
      </c>
      <c r="W14" s="26">
        <f t="shared" si="1"/>
        <v>0</v>
      </c>
    </row>
    <row r="15" spans="1:23" ht="15" thickBot="1">
      <c r="A15" s="11" t="s">
        <v>18</v>
      </c>
      <c r="B15" s="29"/>
      <c r="C15" s="5"/>
      <c r="D15" s="5"/>
      <c r="E15" s="17"/>
      <c r="F15" s="18"/>
      <c r="G15" s="5"/>
      <c r="H15" s="5"/>
      <c r="I15" s="6">
        <v>1</v>
      </c>
      <c r="J15" s="14">
        <v>1374</v>
      </c>
      <c r="K15" s="19" t="s">
        <v>25</v>
      </c>
      <c r="L15" s="17">
        <v>12</v>
      </c>
      <c r="M15" s="18">
        <v>43556</v>
      </c>
      <c r="N15" s="22">
        <f t="shared" si="0"/>
        <v>16488</v>
      </c>
      <c r="O15" s="22">
        <f t="shared" si="2"/>
        <v>16488</v>
      </c>
      <c r="P15" s="6">
        <v>0.3</v>
      </c>
      <c r="Q15" s="14"/>
      <c r="R15" s="5" t="s">
        <v>25</v>
      </c>
      <c r="S15" s="17">
        <v>12</v>
      </c>
      <c r="T15" s="18">
        <v>43556</v>
      </c>
      <c r="U15" s="22">
        <f t="shared" si="3"/>
        <v>0</v>
      </c>
      <c r="V15" s="22">
        <f t="shared" si="4"/>
        <v>0</v>
      </c>
      <c r="W15" s="26">
        <f t="shared" si="1"/>
        <v>16488</v>
      </c>
    </row>
    <row r="16" spans="1:23" ht="15" thickBot="1">
      <c r="A16" s="11" t="s">
        <v>19</v>
      </c>
      <c r="B16" s="29"/>
      <c r="C16" s="5"/>
      <c r="D16" s="5"/>
      <c r="E16" s="17"/>
      <c r="F16" s="18"/>
      <c r="G16" s="5"/>
      <c r="H16" s="5"/>
      <c r="I16" s="6">
        <v>1</v>
      </c>
      <c r="J16" s="14">
        <v>1478</v>
      </c>
      <c r="K16" s="19" t="s">
        <v>25</v>
      </c>
      <c r="L16" s="17">
        <v>10</v>
      </c>
      <c r="M16" s="18">
        <v>43556</v>
      </c>
      <c r="N16" s="22">
        <f t="shared" si="0"/>
        <v>14780</v>
      </c>
      <c r="O16" s="22">
        <f t="shared" si="2"/>
        <v>14780</v>
      </c>
      <c r="P16" s="6">
        <v>0.3</v>
      </c>
      <c r="Q16" s="14"/>
      <c r="R16" s="5" t="s">
        <v>25</v>
      </c>
      <c r="S16" s="17">
        <v>12</v>
      </c>
      <c r="T16" s="18">
        <v>43556</v>
      </c>
      <c r="U16" s="22">
        <f t="shared" si="3"/>
        <v>0</v>
      </c>
      <c r="V16" s="22">
        <f t="shared" si="4"/>
        <v>0</v>
      </c>
      <c r="W16" s="26">
        <f t="shared" si="1"/>
        <v>14780</v>
      </c>
    </row>
    <row r="17" spans="1:23" ht="15" thickBot="1">
      <c r="A17" s="25" t="s">
        <v>24</v>
      </c>
      <c r="B17" s="28"/>
      <c r="C17" s="8"/>
      <c r="D17" s="8"/>
      <c r="E17" s="16"/>
      <c r="F17" s="9"/>
      <c r="G17" s="23"/>
      <c r="H17" s="8"/>
      <c r="I17" s="8"/>
      <c r="J17" s="8"/>
      <c r="K17" s="9"/>
      <c r="L17" s="8"/>
      <c r="M17" s="8"/>
      <c r="N17" s="23"/>
      <c r="O17" s="23">
        <f>SUM(O18:O35)</f>
        <v>261288</v>
      </c>
      <c r="P17" s="8"/>
      <c r="Q17" s="8"/>
      <c r="R17" s="8"/>
      <c r="S17" s="8"/>
      <c r="T17" s="8"/>
      <c r="U17" s="35"/>
      <c r="V17" s="23">
        <f>SUM(V18:V35)</f>
        <v>0</v>
      </c>
      <c r="W17" s="23">
        <f>SUM(W18:W32)</f>
        <v>189288</v>
      </c>
    </row>
    <row r="18" spans="1:23" ht="15" hidden="1" thickBot="1">
      <c r="A18" s="10" t="s">
        <v>60</v>
      </c>
      <c r="B18" s="30"/>
      <c r="C18" s="5"/>
      <c r="D18" s="5"/>
      <c r="E18" s="5"/>
      <c r="F18" s="5"/>
      <c r="G18" s="5"/>
      <c r="H18" s="5"/>
      <c r="I18" s="168"/>
      <c r="J18" s="169"/>
      <c r="K18" s="170"/>
      <c r="L18" s="171"/>
      <c r="M18" s="172"/>
      <c r="N18" s="173">
        <f t="shared" ref="N18:N22" si="5">I18*J18*L18</f>
        <v>0</v>
      </c>
      <c r="O18" s="173">
        <f>N18</f>
        <v>0</v>
      </c>
      <c r="P18" s="13">
        <v>1</v>
      </c>
      <c r="Q18" s="14"/>
      <c r="R18" s="17" t="s">
        <v>25</v>
      </c>
      <c r="S18" s="17">
        <v>12</v>
      </c>
      <c r="T18" s="18">
        <v>43556</v>
      </c>
      <c r="U18" s="21">
        <f>P18*Q18*S18</f>
        <v>0</v>
      </c>
      <c r="V18" s="21">
        <f>U18</f>
        <v>0</v>
      </c>
      <c r="W18" s="26">
        <f t="shared" ref="W18:W35" si="6">H18+O18+V18</f>
        <v>0</v>
      </c>
    </row>
    <row r="19" spans="1:23" ht="15" thickBot="1">
      <c r="A19" s="10" t="s">
        <v>156</v>
      </c>
      <c r="B19" s="30"/>
      <c r="C19" s="5"/>
      <c r="D19" s="5"/>
      <c r="E19" s="5"/>
      <c r="F19" s="5"/>
      <c r="G19" s="5"/>
      <c r="H19" s="5"/>
      <c r="I19" s="13">
        <v>1</v>
      </c>
      <c r="J19" s="14">
        <v>3400</v>
      </c>
      <c r="K19" s="19" t="s">
        <v>25</v>
      </c>
      <c r="L19" s="17">
        <v>12</v>
      </c>
      <c r="M19" s="18">
        <v>43556</v>
      </c>
      <c r="N19" s="21">
        <f t="shared" si="5"/>
        <v>40800</v>
      </c>
      <c r="O19" s="21">
        <f>N19</f>
        <v>40800</v>
      </c>
      <c r="P19" s="13"/>
      <c r="Q19" s="14"/>
      <c r="R19" s="17"/>
      <c r="S19" s="17"/>
      <c r="T19" s="18"/>
      <c r="U19" s="21"/>
      <c r="V19" s="21"/>
      <c r="W19" s="26">
        <f t="shared" si="6"/>
        <v>40800</v>
      </c>
    </row>
    <row r="20" spans="1:23" ht="15" thickBot="1">
      <c r="A20" s="10" t="s">
        <v>61</v>
      </c>
      <c r="B20" s="30"/>
      <c r="C20" s="5"/>
      <c r="D20" s="5"/>
      <c r="E20" s="5"/>
      <c r="F20" s="5"/>
      <c r="G20" s="5"/>
      <c r="H20" s="5"/>
      <c r="I20" s="13">
        <v>1</v>
      </c>
      <c r="J20" s="14">
        <v>2000</v>
      </c>
      <c r="K20" s="19" t="s">
        <v>25</v>
      </c>
      <c r="L20" s="17">
        <v>12</v>
      </c>
      <c r="M20" s="18">
        <v>43617</v>
      </c>
      <c r="N20" s="21">
        <f t="shared" si="5"/>
        <v>24000</v>
      </c>
      <c r="O20" s="21">
        <f t="shared" ref="O20:O22" si="7">N20</f>
        <v>24000</v>
      </c>
      <c r="P20" s="13">
        <v>1</v>
      </c>
      <c r="Q20" s="14"/>
      <c r="R20" s="17" t="s">
        <v>25</v>
      </c>
      <c r="S20" s="17">
        <v>10</v>
      </c>
      <c r="T20" s="18">
        <v>43617</v>
      </c>
      <c r="U20" s="21">
        <f t="shared" ref="U20:U22" si="8">P20*Q20*S20</f>
        <v>0</v>
      </c>
      <c r="V20" s="21">
        <f t="shared" ref="V20:V22" si="9">U20</f>
        <v>0</v>
      </c>
      <c r="W20" s="26">
        <f t="shared" si="6"/>
        <v>24000</v>
      </c>
    </row>
    <row r="21" spans="1:23" ht="15" thickBot="1">
      <c r="A21" s="10" t="s">
        <v>20</v>
      </c>
      <c r="B21" s="30"/>
      <c r="C21" s="5"/>
      <c r="D21" s="5"/>
      <c r="E21" s="5"/>
      <c r="F21" s="5"/>
      <c r="G21" s="5"/>
      <c r="H21" s="5"/>
      <c r="I21" s="13">
        <v>1</v>
      </c>
      <c r="J21" s="14">
        <v>2000</v>
      </c>
      <c r="K21" s="19" t="s">
        <v>25</v>
      </c>
      <c r="L21" s="17">
        <v>12</v>
      </c>
      <c r="M21" s="18">
        <v>43617</v>
      </c>
      <c r="N21" s="21">
        <f t="shared" si="5"/>
        <v>24000</v>
      </c>
      <c r="O21" s="21">
        <f t="shared" si="7"/>
        <v>24000</v>
      </c>
      <c r="P21" s="13">
        <v>1</v>
      </c>
      <c r="Q21" s="14"/>
      <c r="R21" s="17" t="s">
        <v>25</v>
      </c>
      <c r="S21" s="17">
        <v>12</v>
      </c>
      <c r="T21" s="18">
        <v>43617</v>
      </c>
      <c r="U21" s="21">
        <f t="shared" si="8"/>
        <v>0</v>
      </c>
      <c r="V21" s="21">
        <f t="shared" si="9"/>
        <v>0</v>
      </c>
      <c r="W21" s="26">
        <f t="shared" si="6"/>
        <v>24000</v>
      </c>
    </row>
    <row r="22" spans="1:23" ht="15" hidden="1" thickBot="1">
      <c r="A22" s="10" t="s">
        <v>21</v>
      </c>
      <c r="B22" s="30"/>
      <c r="C22" s="5"/>
      <c r="D22" s="5"/>
      <c r="E22" s="5"/>
      <c r="F22" s="5"/>
      <c r="G22" s="5"/>
      <c r="H22" s="5"/>
      <c r="I22" s="168"/>
      <c r="J22" s="169"/>
      <c r="K22" s="170"/>
      <c r="L22" s="171"/>
      <c r="M22" s="172"/>
      <c r="N22" s="173">
        <f t="shared" si="5"/>
        <v>0</v>
      </c>
      <c r="O22" s="173">
        <f t="shared" si="7"/>
        <v>0</v>
      </c>
      <c r="P22" s="13">
        <v>0.3</v>
      </c>
      <c r="Q22" s="14"/>
      <c r="R22" s="17" t="s">
        <v>25</v>
      </c>
      <c r="S22" s="17">
        <v>12</v>
      </c>
      <c r="T22" s="18">
        <v>43617</v>
      </c>
      <c r="U22" s="21">
        <f t="shared" si="8"/>
        <v>0</v>
      </c>
      <c r="V22" s="21">
        <f t="shared" si="9"/>
        <v>0</v>
      </c>
      <c r="W22" s="26">
        <f t="shared" si="6"/>
        <v>0</v>
      </c>
    </row>
    <row r="23" spans="1:23" ht="15" hidden="1" thickBot="1">
      <c r="A23" s="10" t="s">
        <v>62</v>
      </c>
      <c r="B23" s="30"/>
      <c r="C23" s="5"/>
      <c r="D23" s="5"/>
      <c r="E23" s="22"/>
      <c r="F23" s="5"/>
      <c r="G23" s="5"/>
      <c r="H23" s="5"/>
      <c r="I23" s="168"/>
      <c r="J23" s="169"/>
      <c r="K23" s="170"/>
      <c r="L23" s="171"/>
      <c r="M23" s="172"/>
      <c r="N23" s="173">
        <f t="shared" ref="N23:N25" si="10">I23*J23*L23</f>
        <v>0</v>
      </c>
      <c r="O23" s="173">
        <f t="shared" ref="O23:O25" si="11">N23</f>
        <v>0</v>
      </c>
      <c r="P23" s="13">
        <v>1</v>
      </c>
      <c r="Q23" s="14"/>
      <c r="R23" s="19" t="s">
        <v>25</v>
      </c>
      <c r="S23" s="17">
        <v>10</v>
      </c>
      <c r="T23" s="18">
        <v>43617</v>
      </c>
      <c r="U23" s="21">
        <f t="shared" ref="U23:U25" si="12">P23*Q23*S23</f>
        <v>0</v>
      </c>
      <c r="V23" s="21">
        <f t="shared" ref="V23:V25" si="13">U23</f>
        <v>0</v>
      </c>
      <c r="W23" s="26">
        <f t="shared" ref="W23:W25" si="14">H23+O23+V23</f>
        <v>0</v>
      </c>
    </row>
    <row r="24" spans="1:23" ht="15" hidden="1" thickBot="1">
      <c r="A24" s="10" t="s">
        <v>63</v>
      </c>
      <c r="B24" s="30"/>
      <c r="C24" s="5"/>
      <c r="D24" s="5"/>
      <c r="E24" s="5"/>
      <c r="F24" s="5"/>
      <c r="G24" s="5"/>
      <c r="H24" s="5"/>
      <c r="I24" s="168"/>
      <c r="J24" s="169"/>
      <c r="K24" s="170"/>
      <c r="L24" s="171"/>
      <c r="M24" s="172"/>
      <c r="N24" s="173">
        <f t="shared" si="10"/>
        <v>0</v>
      </c>
      <c r="O24" s="173">
        <f t="shared" si="11"/>
        <v>0</v>
      </c>
      <c r="P24" s="13">
        <v>1</v>
      </c>
      <c r="Q24" s="14"/>
      <c r="R24" s="19" t="s">
        <v>25</v>
      </c>
      <c r="S24" s="17">
        <v>10</v>
      </c>
      <c r="T24" s="18">
        <v>43617</v>
      </c>
      <c r="U24" s="21">
        <f t="shared" si="12"/>
        <v>0</v>
      </c>
      <c r="V24" s="21">
        <f t="shared" si="13"/>
        <v>0</v>
      </c>
      <c r="W24" s="26">
        <f t="shared" si="14"/>
        <v>0</v>
      </c>
    </row>
    <row r="25" spans="1:23" ht="15" hidden="1" thickBot="1">
      <c r="A25" s="10" t="s">
        <v>64</v>
      </c>
      <c r="B25" s="30"/>
      <c r="C25" s="5"/>
      <c r="D25" s="5"/>
      <c r="E25" s="5"/>
      <c r="F25" s="5"/>
      <c r="G25" s="5"/>
      <c r="H25" s="5"/>
      <c r="I25" s="168"/>
      <c r="J25" s="169"/>
      <c r="K25" s="170"/>
      <c r="L25" s="171"/>
      <c r="M25" s="172"/>
      <c r="N25" s="173">
        <f t="shared" si="10"/>
        <v>0</v>
      </c>
      <c r="O25" s="173">
        <f t="shared" si="11"/>
        <v>0</v>
      </c>
      <c r="P25" s="13">
        <v>1</v>
      </c>
      <c r="Q25" s="14"/>
      <c r="R25" s="19" t="s">
        <v>25</v>
      </c>
      <c r="S25" s="17">
        <v>10</v>
      </c>
      <c r="T25" s="18">
        <v>43617</v>
      </c>
      <c r="U25" s="21">
        <f t="shared" si="12"/>
        <v>0</v>
      </c>
      <c r="V25" s="21">
        <f t="shared" si="13"/>
        <v>0</v>
      </c>
      <c r="W25" s="26">
        <f t="shared" si="14"/>
        <v>0</v>
      </c>
    </row>
    <row r="26" spans="1:23" ht="15" hidden="1" thickBot="1">
      <c r="A26" s="10" t="s">
        <v>67</v>
      </c>
      <c r="B26" s="30"/>
      <c r="C26" s="5"/>
      <c r="D26" s="5"/>
      <c r="E26" s="5"/>
      <c r="F26" s="5"/>
      <c r="G26" s="5"/>
      <c r="H26" s="5"/>
      <c r="I26" s="168"/>
      <c r="J26" s="169"/>
      <c r="K26" s="170"/>
      <c r="L26" s="171"/>
      <c r="M26" s="172"/>
      <c r="N26" s="173">
        <f t="shared" ref="N26:N31" si="15">I26*J26*L26</f>
        <v>0</v>
      </c>
      <c r="O26" s="173">
        <f t="shared" ref="O26:O31" si="16">N26</f>
        <v>0</v>
      </c>
      <c r="P26" s="13">
        <v>1</v>
      </c>
      <c r="Q26" s="14"/>
      <c r="R26" s="19" t="s">
        <v>25</v>
      </c>
      <c r="S26" s="17">
        <v>10</v>
      </c>
      <c r="T26" s="18">
        <v>43617</v>
      </c>
      <c r="U26" s="21">
        <f t="shared" ref="U26:U31" si="17">P26*Q26*S26</f>
        <v>0</v>
      </c>
      <c r="V26" s="21">
        <f t="shared" ref="V26:V28" si="18">U26</f>
        <v>0</v>
      </c>
      <c r="W26" s="26">
        <f t="shared" si="6"/>
        <v>0</v>
      </c>
    </row>
    <row r="27" spans="1:23" ht="15" hidden="1" thickBot="1">
      <c r="A27" s="10" t="s">
        <v>65</v>
      </c>
      <c r="B27" s="30"/>
      <c r="C27" s="5"/>
      <c r="D27" s="5"/>
      <c r="E27" s="5"/>
      <c r="F27" s="5"/>
      <c r="G27" s="5"/>
      <c r="H27" s="5"/>
      <c r="I27" s="168"/>
      <c r="J27" s="169"/>
      <c r="K27" s="170"/>
      <c r="L27" s="171"/>
      <c r="M27" s="172"/>
      <c r="N27" s="173">
        <f t="shared" si="15"/>
        <v>0</v>
      </c>
      <c r="O27" s="173">
        <f t="shared" si="16"/>
        <v>0</v>
      </c>
      <c r="P27" s="13">
        <v>1</v>
      </c>
      <c r="Q27" s="14"/>
      <c r="R27" s="19" t="s">
        <v>25</v>
      </c>
      <c r="S27" s="17">
        <v>10</v>
      </c>
      <c r="T27" s="18">
        <v>43617</v>
      </c>
      <c r="U27" s="21">
        <f t="shared" si="17"/>
        <v>0</v>
      </c>
      <c r="V27" s="21">
        <f t="shared" si="18"/>
        <v>0</v>
      </c>
      <c r="W27" s="26">
        <f t="shared" si="6"/>
        <v>0</v>
      </c>
    </row>
    <row r="28" spans="1:23" ht="15" thickBot="1">
      <c r="A28" s="10" t="s">
        <v>211</v>
      </c>
      <c r="B28" s="30"/>
      <c r="C28" s="5"/>
      <c r="D28" s="5"/>
      <c r="E28" s="5"/>
      <c r="F28" s="5"/>
      <c r="G28" s="5"/>
      <c r="H28" s="5"/>
      <c r="I28" s="13">
        <v>1</v>
      </c>
      <c r="J28" s="14">
        <v>2000</v>
      </c>
      <c r="K28" s="19" t="s">
        <v>25</v>
      </c>
      <c r="L28" s="171">
        <f>12*2</f>
        <v>24</v>
      </c>
      <c r="M28" s="18">
        <v>43556</v>
      </c>
      <c r="N28" s="21">
        <f t="shared" si="15"/>
        <v>48000</v>
      </c>
      <c r="O28" s="21">
        <f t="shared" si="16"/>
        <v>48000</v>
      </c>
      <c r="P28" s="13">
        <v>1</v>
      </c>
      <c r="Q28" s="14"/>
      <c r="R28" s="19" t="s">
        <v>25</v>
      </c>
      <c r="S28" s="17">
        <v>10</v>
      </c>
      <c r="T28" s="18">
        <v>43617</v>
      </c>
      <c r="U28" s="21">
        <f t="shared" si="17"/>
        <v>0</v>
      </c>
      <c r="V28" s="21">
        <f t="shared" si="18"/>
        <v>0</v>
      </c>
      <c r="W28" s="26">
        <f t="shared" si="6"/>
        <v>48000</v>
      </c>
    </row>
    <row r="29" spans="1:23" s="134" customFormat="1" ht="15" thickBot="1">
      <c r="A29" s="10" t="s">
        <v>212</v>
      </c>
      <c r="B29" s="30"/>
      <c r="C29" s="137"/>
      <c r="D29" s="137"/>
      <c r="E29" s="137"/>
      <c r="F29" s="137"/>
      <c r="G29" s="137"/>
      <c r="H29" s="137"/>
      <c r="I29" s="13">
        <v>1</v>
      </c>
      <c r="J29" s="14">
        <v>1500</v>
      </c>
      <c r="K29" s="19" t="s">
        <v>25</v>
      </c>
      <c r="L29" s="17">
        <v>12</v>
      </c>
      <c r="M29" s="18">
        <v>43556</v>
      </c>
      <c r="N29" s="21">
        <f t="shared" si="15"/>
        <v>18000</v>
      </c>
      <c r="O29" s="21">
        <f t="shared" si="16"/>
        <v>18000</v>
      </c>
      <c r="P29" s="13"/>
      <c r="Q29" s="14"/>
      <c r="R29" s="19"/>
      <c r="S29" s="17"/>
      <c r="T29" s="18"/>
      <c r="U29" s="21"/>
      <c r="V29" s="21"/>
      <c r="W29" s="26"/>
    </row>
    <row r="30" spans="1:23" ht="16.8" customHeight="1" thickBot="1">
      <c r="A30" s="10" t="s">
        <v>68</v>
      </c>
      <c r="B30" s="30"/>
      <c r="C30" s="5"/>
      <c r="D30" s="5"/>
      <c r="E30" s="5"/>
      <c r="F30" s="5"/>
      <c r="G30" s="5"/>
      <c r="H30" s="5"/>
      <c r="I30" s="13">
        <v>1</v>
      </c>
      <c r="J30" s="14">
        <v>1500</v>
      </c>
      <c r="K30" s="19" t="s">
        <v>25</v>
      </c>
      <c r="L30" s="17">
        <v>12</v>
      </c>
      <c r="M30" s="18">
        <v>43556</v>
      </c>
      <c r="N30" s="21">
        <f t="shared" si="15"/>
        <v>18000</v>
      </c>
      <c r="O30" s="21">
        <f t="shared" si="16"/>
        <v>18000</v>
      </c>
      <c r="P30" s="13">
        <v>1</v>
      </c>
      <c r="Q30" s="14"/>
      <c r="R30" s="19" t="s">
        <v>25</v>
      </c>
      <c r="S30" s="17">
        <v>10</v>
      </c>
      <c r="T30" s="18">
        <v>43617</v>
      </c>
      <c r="U30" s="21">
        <f t="shared" si="17"/>
        <v>0</v>
      </c>
      <c r="V30" s="21">
        <f t="shared" ref="V30:V31" si="19">U30</f>
        <v>0</v>
      </c>
      <c r="W30" s="26">
        <f t="shared" ref="W30:W31" si="20">H30+O30+V30</f>
        <v>18000</v>
      </c>
    </row>
    <row r="31" spans="1:23" ht="18" customHeight="1" thickBot="1">
      <c r="A31" s="10" t="s">
        <v>68</v>
      </c>
      <c r="B31" s="30"/>
      <c r="C31" s="5"/>
      <c r="D31" s="5"/>
      <c r="E31" s="5"/>
      <c r="F31" s="5"/>
      <c r="G31" s="5"/>
      <c r="H31" s="5"/>
      <c r="I31" s="13">
        <v>1</v>
      </c>
      <c r="J31" s="14">
        <v>1500</v>
      </c>
      <c r="K31" s="19" t="s">
        <v>25</v>
      </c>
      <c r="L31" s="17">
        <v>12</v>
      </c>
      <c r="M31" s="18">
        <v>43556</v>
      </c>
      <c r="N31" s="21">
        <f t="shared" si="15"/>
        <v>18000</v>
      </c>
      <c r="O31" s="21">
        <f t="shared" si="16"/>
        <v>18000</v>
      </c>
      <c r="P31" s="13">
        <v>0</v>
      </c>
      <c r="Q31" s="14"/>
      <c r="R31" s="19" t="s">
        <v>25</v>
      </c>
      <c r="S31" s="17">
        <v>10</v>
      </c>
      <c r="T31" s="18">
        <v>43617</v>
      </c>
      <c r="U31" s="21">
        <f t="shared" si="17"/>
        <v>0</v>
      </c>
      <c r="V31" s="21">
        <f t="shared" si="19"/>
        <v>0</v>
      </c>
      <c r="W31" s="26">
        <f t="shared" si="20"/>
        <v>18000</v>
      </c>
    </row>
    <row r="32" spans="1:23" ht="15" thickBot="1">
      <c r="A32" s="10" t="s">
        <v>45</v>
      </c>
      <c r="B32" s="30"/>
      <c r="C32" s="5"/>
      <c r="D32" s="5"/>
      <c r="E32" s="5"/>
      <c r="F32" s="5"/>
      <c r="G32" s="5"/>
      <c r="H32" s="5"/>
      <c r="I32" s="13">
        <v>1</v>
      </c>
      <c r="J32" s="82">
        <v>1347</v>
      </c>
      <c r="K32" s="19" t="s">
        <v>25</v>
      </c>
      <c r="L32" s="17">
        <v>12</v>
      </c>
      <c r="M32" s="18">
        <v>43556</v>
      </c>
      <c r="N32" s="21">
        <f>I32*J33*L32</f>
        <v>16488</v>
      </c>
      <c r="O32" s="21">
        <f>N32</f>
        <v>16488</v>
      </c>
      <c r="P32" s="13">
        <v>1</v>
      </c>
      <c r="Q32" s="82"/>
      <c r="R32" s="19" t="s">
        <v>25</v>
      </c>
      <c r="S32" s="17">
        <v>10</v>
      </c>
      <c r="T32" s="18">
        <v>43617</v>
      </c>
      <c r="U32" s="21">
        <f>P32*Q33*S32</f>
        <v>0</v>
      </c>
      <c r="V32" s="21">
        <f>U32</f>
        <v>0</v>
      </c>
      <c r="W32" s="26">
        <f t="shared" si="6"/>
        <v>16488</v>
      </c>
    </row>
    <row r="33" spans="1:23" ht="15" thickBot="1">
      <c r="A33" s="10" t="s">
        <v>66</v>
      </c>
      <c r="B33" s="78"/>
      <c r="C33" s="79"/>
      <c r="D33" s="79"/>
      <c r="E33" s="79"/>
      <c r="F33" s="79"/>
      <c r="G33" s="79"/>
      <c r="H33" s="79"/>
      <c r="I33" s="80">
        <v>1</v>
      </c>
      <c r="J33" s="14">
        <v>1374</v>
      </c>
      <c r="K33" s="19" t="s">
        <v>25</v>
      </c>
      <c r="L33" s="81">
        <v>12</v>
      </c>
      <c r="M33" s="18">
        <v>43617</v>
      </c>
      <c r="N33" s="21">
        <f>I33*J34*L33</f>
        <v>18000</v>
      </c>
      <c r="O33" s="21">
        <f t="shared" ref="O33:O35" si="21">N33</f>
        <v>18000</v>
      </c>
      <c r="P33" s="80">
        <v>1</v>
      </c>
      <c r="Q33" s="14"/>
      <c r="R33" s="19" t="s">
        <v>25</v>
      </c>
      <c r="S33" s="81">
        <v>10</v>
      </c>
      <c r="T33" s="18">
        <v>43617</v>
      </c>
      <c r="U33" s="21">
        <f>P33*Q34*S33</f>
        <v>0</v>
      </c>
      <c r="V33" s="21">
        <f t="shared" ref="V33:V35" si="22">U33</f>
        <v>0</v>
      </c>
      <c r="W33" s="26">
        <f t="shared" si="6"/>
        <v>18000</v>
      </c>
    </row>
    <row r="34" spans="1:23" ht="15" thickBot="1">
      <c r="A34" s="10" t="s">
        <v>124</v>
      </c>
      <c r="B34" s="78"/>
      <c r="C34" s="79"/>
      <c r="D34" s="79"/>
      <c r="E34" s="79"/>
      <c r="F34" s="79"/>
      <c r="G34" s="79"/>
      <c r="H34" s="79"/>
      <c r="I34" s="13">
        <v>1</v>
      </c>
      <c r="J34" s="14">
        <v>1500</v>
      </c>
      <c r="K34" s="19" t="s">
        <v>25</v>
      </c>
      <c r="L34" s="17">
        <v>12</v>
      </c>
      <c r="M34" s="18">
        <v>43617</v>
      </c>
      <c r="N34" s="21">
        <f t="shared" ref="N34:N35" si="23">I34*J34*L34</f>
        <v>18000</v>
      </c>
      <c r="O34" s="21">
        <f t="shared" si="21"/>
        <v>18000</v>
      </c>
      <c r="P34" s="13">
        <v>1</v>
      </c>
      <c r="Q34" s="14"/>
      <c r="R34" s="19" t="s">
        <v>25</v>
      </c>
      <c r="S34" s="17">
        <v>10</v>
      </c>
      <c r="T34" s="18">
        <v>43617</v>
      </c>
      <c r="U34" s="21">
        <f t="shared" ref="U34:U35" si="24">P34*Q34*S34</f>
        <v>0</v>
      </c>
      <c r="V34" s="21">
        <f t="shared" si="22"/>
        <v>0</v>
      </c>
      <c r="W34" s="26">
        <f t="shared" si="6"/>
        <v>18000</v>
      </c>
    </row>
    <row r="35" spans="1:23" ht="15" thickBot="1">
      <c r="A35" s="10" t="s">
        <v>69</v>
      </c>
      <c r="B35" s="78"/>
      <c r="C35" s="79"/>
      <c r="D35" s="79"/>
      <c r="E35" s="79"/>
      <c r="F35" s="79"/>
      <c r="G35" s="79"/>
      <c r="H35" s="79"/>
      <c r="I35" s="13">
        <v>1</v>
      </c>
      <c r="J35" s="14">
        <v>1500</v>
      </c>
      <c r="K35" s="19" t="s">
        <v>25</v>
      </c>
      <c r="L35" s="17">
        <v>12</v>
      </c>
      <c r="M35" s="18">
        <v>43617</v>
      </c>
      <c r="N35" s="21">
        <f t="shared" si="23"/>
        <v>18000</v>
      </c>
      <c r="O35" s="21">
        <f t="shared" si="21"/>
        <v>18000</v>
      </c>
      <c r="P35" s="13">
        <v>1</v>
      </c>
      <c r="Q35" s="14"/>
      <c r="R35" s="19" t="s">
        <v>25</v>
      </c>
      <c r="S35" s="17">
        <v>10</v>
      </c>
      <c r="T35" s="18">
        <v>43617</v>
      </c>
      <c r="U35" s="21">
        <f t="shared" si="24"/>
        <v>0</v>
      </c>
      <c r="V35" s="21">
        <f t="shared" si="22"/>
        <v>0</v>
      </c>
      <c r="W35" s="26">
        <f t="shared" si="6"/>
        <v>18000</v>
      </c>
    </row>
    <row r="36" spans="1:23" ht="15" thickBot="1">
      <c r="A36" s="25" t="s">
        <v>35</v>
      </c>
      <c r="B36" s="28"/>
      <c r="C36" s="8"/>
      <c r="D36" s="8"/>
      <c r="E36" s="16"/>
      <c r="F36" s="9"/>
      <c r="G36" s="35">
        <f>G37+G38+G39+G40+G41+G42+G43+G44</f>
        <v>0</v>
      </c>
      <c r="H36" s="36">
        <f>SUM(H37:H44)</f>
        <v>0</v>
      </c>
      <c r="I36" s="8"/>
      <c r="J36" s="8"/>
      <c r="K36" s="9"/>
      <c r="L36" s="8"/>
      <c r="M36" s="8"/>
      <c r="N36" s="8"/>
      <c r="O36" s="35">
        <f>O37+O38+O39+O40+O41+O42+O43+O44</f>
        <v>12877.2</v>
      </c>
      <c r="P36" s="8"/>
      <c r="Q36" s="8"/>
      <c r="R36" s="8"/>
      <c r="S36" s="8"/>
      <c r="T36" s="8"/>
      <c r="U36" s="8"/>
      <c r="V36" s="35">
        <f>V37+V38+V39+V40+V41+V42+V43+V44</f>
        <v>0</v>
      </c>
      <c r="W36" s="35">
        <f>W37+W38+W39+W40+W41+W42+W43+W44</f>
        <v>12877.2</v>
      </c>
    </row>
    <row r="37" spans="1:23" ht="15" thickBot="1">
      <c r="A37" s="10" t="s">
        <v>26</v>
      </c>
      <c r="B37" s="30">
        <v>0.2</v>
      </c>
      <c r="C37" s="14"/>
      <c r="D37" s="5" t="s">
        <v>25</v>
      </c>
      <c r="E37" s="17">
        <v>12</v>
      </c>
      <c r="F37" s="18">
        <v>43617</v>
      </c>
      <c r="G37" s="21">
        <f t="shared" ref="G37:G44" si="25">B37*C37*E37</f>
        <v>0</v>
      </c>
      <c r="H37" s="21">
        <f t="shared" ref="H37:H50" si="26">G37</f>
        <v>0</v>
      </c>
      <c r="I37" s="13">
        <v>0.3</v>
      </c>
      <c r="J37" s="14">
        <v>746</v>
      </c>
      <c r="K37" s="19" t="s">
        <v>25</v>
      </c>
      <c r="L37" s="19">
        <v>12</v>
      </c>
      <c r="M37" s="18">
        <v>43617</v>
      </c>
      <c r="N37" s="21">
        <f t="shared" ref="N37:N44" si="27">I37*J37*L37</f>
        <v>2685.6</v>
      </c>
      <c r="O37" s="21">
        <f>N37</f>
        <v>2685.6</v>
      </c>
      <c r="P37" s="13">
        <v>0.3</v>
      </c>
      <c r="Q37" s="14"/>
      <c r="R37" s="17" t="s">
        <v>25</v>
      </c>
      <c r="S37" s="19">
        <v>12</v>
      </c>
      <c r="T37" s="18">
        <v>43617</v>
      </c>
      <c r="U37" s="21">
        <f>P37*Q37*S37</f>
        <v>0</v>
      </c>
      <c r="V37" s="21">
        <f>U37</f>
        <v>0</v>
      </c>
      <c r="W37" s="26">
        <f t="shared" ref="W37:W44" si="28">H37+O37+V37</f>
        <v>2685.6</v>
      </c>
    </row>
    <row r="38" spans="1:23" ht="15" thickBot="1">
      <c r="A38" s="10" t="s">
        <v>39</v>
      </c>
      <c r="B38" s="30">
        <v>0.2</v>
      </c>
      <c r="C38" s="14"/>
      <c r="D38" s="5" t="s">
        <v>25</v>
      </c>
      <c r="E38" s="17">
        <v>12</v>
      </c>
      <c r="F38" s="18">
        <v>43617</v>
      </c>
      <c r="G38" s="21">
        <f t="shared" si="25"/>
        <v>0</v>
      </c>
      <c r="H38" s="21">
        <f t="shared" si="26"/>
        <v>0</v>
      </c>
      <c r="I38" s="13">
        <v>0.3</v>
      </c>
      <c r="J38" s="14">
        <v>835</v>
      </c>
      <c r="K38" s="19" t="s">
        <v>25</v>
      </c>
      <c r="L38" s="19">
        <v>12</v>
      </c>
      <c r="M38" s="18">
        <v>43617</v>
      </c>
      <c r="N38" s="21">
        <f t="shared" si="27"/>
        <v>3006</v>
      </c>
      <c r="O38" s="21">
        <f>N38</f>
        <v>3006</v>
      </c>
      <c r="P38" s="13">
        <v>0.3</v>
      </c>
      <c r="Q38" s="14"/>
      <c r="R38" s="17" t="s">
        <v>25</v>
      </c>
      <c r="S38" s="19">
        <v>12</v>
      </c>
      <c r="T38" s="18">
        <v>43617</v>
      </c>
      <c r="U38" s="21">
        <f>P38*Q38*S38</f>
        <v>0</v>
      </c>
      <c r="V38" s="21">
        <f>U38</f>
        <v>0</v>
      </c>
      <c r="W38" s="26">
        <f t="shared" si="28"/>
        <v>3006</v>
      </c>
    </row>
    <row r="39" spans="1:23" ht="15" thickBot="1">
      <c r="A39" s="10" t="s">
        <v>40</v>
      </c>
      <c r="B39" s="30">
        <v>0</v>
      </c>
      <c r="C39" s="14"/>
      <c r="D39" s="5" t="s">
        <v>25</v>
      </c>
      <c r="E39" s="17">
        <v>12</v>
      </c>
      <c r="F39" s="18">
        <v>43617</v>
      </c>
      <c r="G39" s="21">
        <f t="shared" si="25"/>
        <v>0</v>
      </c>
      <c r="H39" s="21">
        <f t="shared" si="26"/>
        <v>0</v>
      </c>
      <c r="I39" s="13">
        <v>0.3</v>
      </c>
      <c r="J39" s="14">
        <v>100</v>
      </c>
      <c r="K39" s="19" t="s">
        <v>25</v>
      </c>
      <c r="L39" s="19">
        <v>12</v>
      </c>
      <c r="M39" s="18">
        <v>43617</v>
      </c>
      <c r="N39" s="21">
        <f t="shared" si="27"/>
        <v>360</v>
      </c>
      <c r="O39" s="21">
        <f t="shared" ref="O39:O44" si="29">N39</f>
        <v>360</v>
      </c>
      <c r="P39" s="13">
        <v>0.3</v>
      </c>
      <c r="Q39" s="14"/>
      <c r="R39" s="17" t="s">
        <v>25</v>
      </c>
      <c r="S39" s="19">
        <v>12</v>
      </c>
      <c r="T39" s="18">
        <v>43617</v>
      </c>
      <c r="U39" s="21">
        <f t="shared" ref="U39:U44" si="30">P39*Q39*S39</f>
        <v>0</v>
      </c>
      <c r="V39" s="21">
        <f t="shared" ref="V39:V44" si="31">U39</f>
        <v>0</v>
      </c>
      <c r="W39" s="26">
        <f t="shared" si="28"/>
        <v>360</v>
      </c>
    </row>
    <row r="40" spans="1:23" ht="15" thickBot="1">
      <c r="A40" s="10" t="s">
        <v>41</v>
      </c>
      <c r="B40" s="30">
        <v>0</v>
      </c>
      <c r="C40" s="14"/>
      <c r="D40" s="5" t="s">
        <v>25</v>
      </c>
      <c r="E40" s="17">
        <v>12</v>
      </c>
      <c r="F40" s="18">
        <v>43617</v>
      </c>
      <c r="G40" s="21">
        <f t="shared" si="25"/>
        <v>0</v>
      </c>
      <c r="H40" s="21">
        <f t="shared" si="26"/>
        <v>0</v>
      </c>
      <c r="I40" s="13">
        <v>0.3</v>
      </c>
      <c r="J40" s="14">
        <v>100</v>
      </c>
      <c r="K40" s="19" t="s">
        <v>25</v>
      </c>
      <c r="L40" s="19">
        <v>12</v>
      </c>
      <c r="M40" s="18">
        <v>43617</v>
      </c>
      <c r="N40" s="21">
        <f t="shared" si="27"/>
        <v>360</v>
      </c>
      <c r="O40" s="21">
        <f t="shared" si="29"/>
        <v>360</v>
      </c>
      <c r="P40" s="13">
        <v>0.3</v>
      </c>
      <c r="Q40" s="14"/>
      <c r="R40" s="17" t="s">
        <v>25</v>
      </c>
      <c r="S40" s="19">
        <v>12</v>
      </c>
      <c r="T40" s="18">
        <v>43617</v>
      </c>
      <c r="U40" s="21">
        <f t="shared" si="30"/>
        <v>0</v>
      </c>
      <c r="V40" s="21">
        <f t="shared" si="31"/>
        <v>0</v>
      </c>
      <c r="W40" s="26">
        <f t="shared" si="28"/>
        <v>360</v>
      </c>
    </row>
    <row r="41" spans="1:23" ht="15" thickBot="1">
      <c r="A41" s="10" t="s">
        <v>42</v>
      </c>
      <c r="B41" s="30">
        <v>0</v>
      </c>
      <c r="C41" s="14"/>
      <c r="D41" s="5" t="s">
        <v>25</v>
      </c>
      <c r="E41" s="17">
        <v>12</v>
      </c>
      <c r="F41" s="18">
        <v>43617</v>
      </c>
      <c r="G41" s="21">
        <f t="shared" si="25"/>
        <v>0</v>
      </c>
      <c r="H41" s="21">
        <f t="shared" si="26"/>
        <v>0</v>
      </c>
      <c r="I41" s="13">
        <v>0.3</v>
      </c>
      <c r="J41" s="14">
        <v>285</v>
      </c>
      <c r="K41" s="19" t="s">
        <v>25</v>
      </c>
      <c r="L41" s="19">
        <v>12</v>
      </c>
      <c r="M41" s="18">
        <v>43617</v>
      </c>
      <c r="N41" s="21">
        <f t="shared" si="27"/>
        <v>1026</v>
      </c>
      <c r="O41" s="21">
        <f t="shared" si="29"/>
        <v>1026</v>
      </c>
      <c r="P41" s="13">
        <v>0.3</v>
      </c>
      <c r="Q41" s="14"/>
      <c r="R41" s="17" t="s">
        <v>25</v>
      </c>
      <c r="S41" s="19">
        <v>12</v>
      </c>
      <c r="T41" s="18">
        <v>43617</v>
      </c>
      <c r="U41" s="21">
        <f t="shared" si="30"/>
        <v>0</v>
      </c>
      <c r="V41" s="21">
        <f t="shared" si="31"/>
        <v>0</v>
      </c>
      <c r="W41" s="26">
        <f t="shared" si="28"/>
        <v>1026</v>
      </c>
    </row>
    <row r="42" spans="1:23" ht="15" thickBot="1">
      <c r="A42" s="10" t="s">
        <v>29</v>
      </c>
      <c r="B42" s="30">
        <v>0.2</v>
      </c>
      <c r="C42" s="14"/>
      <c r="D42" s="5" t="s">
        <v>25</v>
      </c>
      <c r="E42" s="17">
        <v>12</v>
      </c>
      <c r="F42" s="18">
        <v>43617</v>
      </c>
      <c r="G42" s="21">
        <f t="shared" si="25"/>
        <v>0</v>
      </c>
      <c r="H42" s="21">
        <f t="shared" si="26"/>
        <v>0</v>
      </c>
      <c r="I42" s="13">
        <v>0.3</v>
      </c>
      <c r="J42" s="14">
        <v>385</v>
      </c>
      <c r="K42" s="19" t="s">
        <v>25</v>
      </c>
      <c r="L42" s="19">
        <v>12</v>
      </c>
      <c r="M42" s="18">
        <v>43617</v>
      </c>
      <c r="N42" s="21">
        <f t="shared" si="27"/>
        <v>1386</v>
      </c>
      <c r="O42" s="21">
        <f t="shared" si="29"/>
        <v>1386</v>
      </c>
      <c r="P42" s="13">
        <v>0.3</v>
      </c>
      <c r="Q42" s="14"/>
      <c r="R42" s="17" t="s">
        <v>25</v>
      </c>
      <c r="S42" s="19">
        <v>12</v>
      </c>
      <c r="T42" s="18">
        <v>43617</v>
      </c>
      <c r="U42" s="21">
        <f t="shared" si="30"/>
        <v>0</v>
      </c>
      <c r="V42" s="21">
        <f t="shared" si="31"/>
        <v>0</v>
      </c>
      <c r="W42" s="26">
        <f t="shared" si="28"/>
        <v>1386</v>
      </c>
    </row>
    <row r="43" spans="1:23" ht="15" thickBot="1">
      <c r="A43" s="10" t="s">
        <v>27</v>
      </c>
      <c r="B43" s="30">
        <v>0.2</v>
      </c>
      <c r="C43" s="14"/>
      <c r="D43" s="5" t="s">
        <v>25</v>
      </c>
      <c r="E43" s="17">
        <v>12</v>
      </c>
      <c r="F43" s="18">
        <v>43617</v>
      </c>
      <c r="G43" s="21">
        <f t="shared" si="25"/>
        <v>0</v>
      </c>
      <c r="H43" s="21">
        <f t="shared" si="26"/>
        <v>0</v>
      </c>
      <c r="I43" s="13">
        <v>0.3</v>
      </c>
      <c r="J43" s="14">
        <v>226</v>
      </c>
      <c r="K43" s="19" t="s">
        <v>25</v>
      </c>
      <c r="L43" s="19">
        <v>12</v>
      </c>
      <c r="M43" s="18">
        <v>43617</v>
      </c>
      <c r="N43" s="21">
        <f t="shared" si="27"/>
        <v>813.59999999999991</v>
      </c>
      <c r="O43" s="21">
        <f t="shared" si="29"/>
        <v>813.59999999999991</v>
      </c>
      <c r="P43" s="13">
        <v>0.3</v>
      </c>
      <c r="Q43" s="14"/>
      <c r="R43" s="17" t="s">
        <v>25</v>
      </c>
      <c r="S43" s="19">
        <v>12</v>
      </c>
      <c r="T43" s="18">
        <v>43617</v>
      </c>
      <c r="U43" s="21">
        <f t="shared" si="30"/>
        <v>0</v>
      </c>
      <c r="V43" s="21">
        <f t="shared" si="31"/>
        <v>0</v>
      </c>
      <c r="W43" s="26">
        <f t="shared" si="28"/>
        <v>813.59999999999991</v>
      </c>
    </row>
    <row r="44" spans="1:23" ht="15" thickBot="1">
      <c r="A44" s="10" t="s">
        <v>28</v>
      </c>
      <c r="B44" s="30">
        <v>0.2</v>
      </c>
      <c r="C44" s="14"/>
      <c r="D44" s="5" t="s">
        <v>25</v>
      </c>
      <c r="E44" s="17">
        <v>12</v>
      </c>
      <c r="F44" s="18">
        <v>43617</v>
      </c>
      <c r="G44" s="21">
        <f t="shared" si="25"/>
        <v>0</v>
      </c>
      <c r="H44" s="21">
        <f t="shared" si="26"/>
        <v>0</v>
      </c>
      <c r="I44" s="13">
        <v>0.3</v>
      </c>
      <c r="J44" s="14">
        <v>900</v>
      </c>
      <c r="K44" s="19" t="s">
        <v>25</v>
      </c>
      <c r="L44" s="19">
        <v>12</v>
      </c>
      <c r="M44" s="18">
        <v>43617</v>
      </c>
      <c r="N44" s="21">
        <f t="shared" si="27"/>
        <v>3240</v>
      </c>
      <c r="O44" s="21">
        <f t="shared" si="29"/>
        <v>3240</v>
      </c>
      <c r="P44" s="13">
        <v>0.3</v>
      </c>
      <c r="Q44" s="14"/>
      <c r="R44" s="17" t="s">
        <v>25</v>
      </c>
      <c r="S44" s="19">
        <v>12</v>
      </c>
      <c r="T44" s="18">
        <v>43617</v>
      </c>
      <c r="U44" s="21">
        <f t="shared" si="30"/>
        <v>0</v>
      </c>
      <c r="V44" s="21">
        <f t="shared" si="31"/>
        <v>0</v>
      </c>
      <c r="W44" s="26">
        <f t="shared" si="28"/>
        <v>3240</v>
      </c>
    </row>
    <row r="45" spans="1:23" ht="17.399999999999999" customHeight="1" thickBot="1">
      <c r="A45" s="25" t="s">
        <v>36</v>
      </c>
      <c r="B45" s="28"/>
      <c r="C45" s="8"/>
      <c r="D45" s="8"/>
      <c r="E45" s="16"/>
      <c r="F45" s="9"/>
      <c r="G45" s="35">
        <f>G46+G47</f>
        <v>0</v>
      </c>
      <c r="H45" s="8">
        <f t="shared" si="26"/>
        <v>0</v>
      </c>
      <c r="I45" s="8"/>
      <c r="J45" s="8"/>
      <c r="K45" s="9"/>
      <c r="L45" s="9"/>
      <c r="M45" s="9"/>
      <c r="N45" s="8"/>
      <c r="O45" s="35">
        <f>O46+O47</f>
        <v>40008</v>
      </c>
      <c r="P45" s="8"/>
      <c r="Q45" s="8"/>
      <c r="R45" s="8"/>
      <c r="S45" s="8"/>
      <c r="T45" s="8"/>
      <c r="U45" s="8"/>
      <c r="V45" s="35">
        <f>V46+V47</f>
        <v>0</v>
      </c>
      <c r="W45" s="35">
        <f>W46+W47</f>
        <v>40008</v>
      </c>
    </row>
    <row r="46" spans="1:23" ht="15" thickBot="1">
      <c r="A46" s="10" t="s">
        <v>28</v>
      </c>
      <c r="B46" s="31"/>
      <c r="C46" s="14"/>
      <c r="D46" s="5"/>
      <c r="E46" s="17"/>
      <c r="F46" s="19"/>
      <c r="G46" s="21"/>
      <c r="H46" s="21">
        <f t="shared" si="26"/>
        <v>0</v>
      </c>
      <c r="I46" s="13">
        <v>1</v>
      </c>
      <c r="J46" s="14">
        <v>3000</v>
      </c>
      <c r="K46" s="19" t="s">
        <v>25</v>
      </c>
      <c r="L46" s="19">
        <v>12</v>
      </c>
      <c r="M46" s="18">
        <v>43617</v>
      </c>
      <c r="N46" s="21">
        <f>I46*J46*L46</f>
        <v>36000</v>
      </c>
      <c r="O46" s="21">
        <f>N46</f>
        <v>36000</v>
      </c>
      <c r="P46" s="30">
        <v>1</v>
      </c>
      <c r="Q46" s="14"/>
      <c r="R46" s="17" t="s">
        <v>25</v>
      </c>
      <c r="S46" s="19">
        <v>12</v>
      </c>
      <c r="T46" s="18">
        <v>43617</v>
      </c>
      <c r="U46" s="21">
        <f>P46*Q46*S46</f>
        <v>0</v>
      </c>
      <c r="V46" s="21">
        <f>U46</f>
        <v>0</v>
      </c>
      <c r="W46" s="26">
        <f>H46+O46+V46</f>
        <v>36000</v>
      </c>
    </row>
    <row r="47" spans="1:23" s="1" customFormat="1" ht="15" thickBot="1">
      <c r="A47" s="10" t="s">
        <v>30</v>
      </c>
      <c r="B47" s="29"/>
      <c r="C47" s="33"/>
      <c r="D47" s="17"/>
      <c r="E47" s="17"/>
      <c r="F47" s="19"/>
      <c r="G47" s="34"/>
      <c r="H47" s="34">
        <f t="shared" si="26"/>
        <v>0</v>
      </c>
      <c r="I47" s="13">
        <v>1</v>
      </c>
      <c r="J47" s="33">
        <v>334</v>
      </c>
      <c r="K47" s="19" t="s">
        <v>25</v>
      </c>
      <c r="L47" s="19">
        <v>12</v>
      </c>
      <c r="M47" s="18">
        <v>43617</v>
      </c>
      <c r="N47" s="34">
        <f>I47*J47*L47</f>
        <v>4008</v>
      </c>
      <c r="O47" s="34">
        <f>N47</f>
        <v>4008</v>
      </c>
      <c r="P47" s="30">
        <v>1</v>
      </c>
      <c r="Q47" s="33"/>
      <c r="R47" s="17" t="s">
        <v>25</v>
      </c>
      <c r="S47" s="19">
        <v>12</v>
      </c>
      <c r="T47" s="18">
        <v>43617</v>
      </c>
      <c r="U47" s="34">
        <f>P47*Q47*S47</f>
        <v>0</v>
      </c>
      <c r="V47" s="21">
        <f>U47</f>
        <v>0</v>
      </c>
      <c r="W47" s="26">
        <f>H47+O47+V47</f>
        <v>4008</v>
      </c>
    </row>
    <row r="48" spans="1:23" ht="15" thickBot="1">
      <c r="A48" s="25" t="s">
        <v>31</v>
      </c>
      <c r="B48" s="28"/>
      <c r="C48" s="8"/>
      <c r="D48" s="8"/>
      <c r="E48" s="16"/>
      <c r="F48" s="9"/>
      <c r="G48" s="35">
        <v>0</v>
      </c>
      <c r="H48" s="8">
        <f t="shared" si="26"/>
        <v>0</v>
      </c>
      <c r="I48" s="8"/>
      <c r="J48" s="8"/>
      <c r="K48" s="9"/>
      <c r="L48" s="8"/>
      <c r="M48" s="8"/>
      <c r="N48" s="8"/>
      <c r="O48" s="35">
        <f>O49+O51+O55+O57+O59+O63+O65+O70+O73+O77+O79+O84+O90+O96+O103+O108+O115+O121+O125+O130+O132+O134+O138+O141+O148+O153</f>
        <v>38629.099999999977</v>
      </c>
      <c r="P48" s="35"/>
      <c r="Q48" s="35"/>
      <c r="R48" s="35"/>
      <c r="S48" s="35"/>
      <c r="T48" s="8"/>
      <c r="U48" s="35"/>
      <c r="V48" s="35">
        <f>V49+V51+V55+V57+V59+V63+V65+V70+V73+V77+V79+V84+V90+V96+V103+V108+V115+V121+V125+V130+V132+V134+V138+V141+V148+V153</f>
        <v>0</v>
      </c>
      <c r="W48" s="35">
        <f>W49+W51+W55+W57+W59+W63+W65+W70+W73+W77+W79+W84+W90+W96+W103+W108+W115+W121+W125+W130+W132+W134+W138+W141+W148+W153</f>
        <v>38629.099999999977</v>
      </c>
    </row>
    <row r="49" spans="1:24" ht="15" hidden="1" thickBot="1">
      <c r="A49" s="37" t="s">
        <v>125</v>
      </c>
      <c r="B49" s="38"/>
      <c r="C49" s="39"/>
      <c r="D49" s="40"/>
      <c r="E49" s="41"/>
      <c r="F49" s="42"/>
      <c r="G49" s="49">
        <f>SUM(G50:G50)</f>
        <v>0</v>
      </c>
      <c r="H49" s="43">
        <f t="shared" si="26"/>
        <v>0</v>
      </c>
      <c r="I49" s="44"/>
      <c r="J49" s="39"/>
      <c r="K49" s="42"/>
      <c r="L49" s="42"/>
      <c r="M49" s="42"/>
      <c r="N49" s="40"/>
      <c r="O49" s="49">
        <f>SUM(O50:O50)</f>
        <v>0</v>
      </c>
      <c r="P49" s="40"/>
      <c r="Q49" s="39"/>
      <c r="R49" s="40"/>
      <c r="S49" s="40"/>
      <c r="T49" s="42"/>
      <c r="U49" s="40"/>
      <c r="V49" s="49">
        <f>SUM(V50:V50)</f>
        <v>0</v>
      </c>
      <c r="W49" s="49">
        <f>SUM(W50:W50)</f>
        <v>0</v>
      </c>
      <c r="X49" s="57"/>
    </row>
    <row r="50" spans="1:24" s="69" customFormat="1" ht="15" hidden="1" thickBot="1">
      <c r="A50" s="58" t="s">
        <v>126</v>
      </c>
      <c r="B50" s="59"/>
      <c r="C50" s="60"/>
      <c r="D50" s="61"/>
      <c r="E50" s="62"/>
      <c r="F50" s="63"/>
      <c r="G50" s="64">
        <f t="shared" ref="G50" si="32">B50*C50*E50</f>
        <v>0</v>
      </c>
      <c r="H50" s="64">
        <f t="shared" si="26"/>
        <v>0</v>
      </c>
      <c r="I50" s="65">
        <v>0</v>
      </c>
      <c r="J50" s="60">
        <v>0</v>
      </c>
      <c r="K50" s="63" t="s">
        <v>46</v>
      </c>
      <c r="L50" s="63">
        <v>0</v>
      </c>
      <c r="M50" s="66"/>
      <c r="N50" s="64">
        <f>I50*J50*L50</f>
        <v>0</v>
      </c>
      <c r="O50" s="67">
        <f>N50/$O$1</f>
        <v>0</v>
      </c>
      <c r="P50" s="65">
        <v>1</v>
      </c>
      <c r="Q50" s="60"/>
      <c r="R50" s="63" t="s">
        <v>46</v>
      </c>
      <c r="S50" s="63">
        <v>1</v>
      </c>
      <c r="T50" s="66">
        <v>43556</v>
      </c>
      <c r="U50" s="64">
        <f>P50*Q50*S50</f>
        <v>0</v>
      </c>
      <c r="V50" s="67">
        <f>U50/$O$1</f>
        <v>0</v>
      </c>
      <c r="W50" s="68">
        <f>O50+V50</f>
        <v>0</v>
      </c>
      <c r="X50" s="57"/>
    </row>
    <row r="51" spans="1:24" ht="15" hidden="1" thickBot="1">
      <c r="A51" s="37" t="s">
        <v>127</v>
      </c>
      <c r="B51" s="38"/>
      <c r="C51" s="39"/>
      <c r="D51" s="40"/>
      <c r="E51" s="41"/>
      <c r="F51" s="42"/>
      <c r="G51" s="49">
        <f>SUM(G52:G52)</f>
        <v>0</v>
      </c>
      <c r="H51" s="43">
        <f t="shared" ref="H51" si="33">G51</f>
        <v>0</v>
      </c>
      <c r="I51" s="44"/>
      <c r="J51" s="39"/>
      <c r="K51" s="42"/>
      <c r="L51" s="42"/>
      <c r="M51" s="42"/>
      <c r="N51" s="40"/>
      <c r="O51" s="49">
        <f>SUM(O52:O54)</f>
        <v>0</v>
      </c>
      <c r="P51" s="40"/>
      <c r="Q51" s="39"/>
      <c r="R51" s="40"/>
      <c r="S51" s="40"/>
      <c r="T51" s="42"/>
      <c r="U51" s="40"/>
      <c r="V51" s="49">
        <f>SUM(V52:V54)</f>
        <v>0</v>
      </c>
      <c r="W51" s="49">
        <f>SUM(W52:W54)</f>
        <v>0</v>
      </c>
      <c r="X51" s="57"/>
    </row>
    <row r="52" spans="1:24" s="69" customFormat="1" ht="15" hidden="1" thickBot="1">
      <c r="A52" s="58" t="s">
        <v>128</v>
      </c>
      <c r="B52" s="59"/>
      <c r="C52" s="60"/>
      <c r="D52" s="61"/>
      <c r="E52" s="62"/>
      <c r="F52" s="63"/>
      <c r="G52" s="64"/>
      <c r="H52" s="64"/>
      <c r="I52" s="65"/>
      <c r="J52" s="60"/>
      <c r="K52" s="63"/>
      <c r="L52" s="63"/>
      <c r="M52" s="66"/>
      <c r="N52" s="64"/>
      <c r="O52" s="67"/>
      <c r="P52" s="65">
        <v>1</v>
      </c>
      <c r="Q52" s="60"/>
      <c r="R52" s="63" t="s">
        <v>48</v>
      </c>
      <c r="S52" s="63">
        <v>1</v>
      </c>
      <c r="T52" s="18">
        <v>43617</v>
      </c>
      <c r="U52" s="64">
        <f t="shared" ref="U52:U54" si="34">P52*Q52*S52</f>
        <v>0</v>
      </c>
      <c r="V52" s="67">
        <f t="shared" ref="V52:V54" si="35">U52/$O$1</f>
        <v>0</v>
      </c>
      <c r="W52" s="68">
        <f t="shared" ref="W52:W54" si="36">O52+V52</f>
        <v>0</v>
      </c>
      <c r="X52" s="57"/>
    </row>
    <row r="53" spans="1:24" s="69" customFormat="1" ht="15" hidden="1" thickBot="1">
      <c r="A53" s="58" t="s">
        <v>90</v>
      </c>
      <c r="B53" s="59"/>
      <c r="C53" s="60"/>
      <c r="D53" s="61"/>
      <c r="E53" s="62"/>
      <c r="F53" s="63"/>
      <c r="G53" s="64"/>
      <c r="H53" s="64"/>
      <c r="I53" s="65"/>
      <c r="J53" s="60"/>
      <c r="K53" s="63"/>
      <c r="L53" s="63"/>
      <c r="M53" s="66"/>
      <c r="N53" s="64"/>
      <c r="O53" s="67"/>
      <c r="P53" s="65">
        <v>1</v>
      </c>
      <c r="Q53" s="60"/>
      <c r="R53" s="63" t="s">
        <v>48</v>
      </c>
      <c r="S53" s="63">
        <v>1</v>
      </c>
      <c r="T53" s="18">
        <v>43617</v>
      </c>
      <c r="U53" s="64">
        <f t="shared" si="34"/>
        <v>0</v>
      </c>
      <c r="V53" s="67">
        <f t="shared" si="35"/>
        <v>0</v>
      </c>
      <c r="W53" s="68">
        <f t="shared" si="36"/>
        <v>0</v>
      </c>
      <c r="X53" s="57"/>
    </row>
    <row r="54" spans="1:24" s="69" customFormat="1" ht="15" hidden="1" thickBot="1">
      <c r="A54" s="58" t="s">
        <v>129</v>
      </c>
      <c r="B54" s="59"/>
      <c r="C54" s="60"/>
      <c r="D54" s="61"/>
      <c r="E54" s="62"/>
      <c r="F54" s="63"/>
      <c r="G54" s="64"/>
      <c r="H54" s="64"/>
      <c r="I54" s="65"/>
      <c r="J54" s="60"/>
      <c r="K54" s="63"/>
      <c r="L54" s="63"/>
      <c r="M54" s="66"/>
      <c r="N54" s="64"/>
      <c r="O54" s="67"/>
      <c r="P54" s="65">
        <v>1</v>
      </c>
      <c r="Q54" s="60"/>
      <c r="R54" s="63" t="s">
        <v>48</v>
      </c>
      <c r="S54" s="63">
        <v>1</v>
      </c>
      <c r="T54" s="18">
        <v>43678</v>
      </c>
      <c r="U54" s="64">
        <f t="shared" si="34"/>
        <v>0</v>
      </c>
      <c r="V54" s="67">
        <f t="shared" si="35"/>
        <v>0</v>
      </c>
      <c r="W54" s="68">
        <f t="shared" si="36"/>
        <v>0</v>
      </c>
      <c r="X54" s="57"/>
    </row>
    <row r="55" spans="1:24" s="20" customFormat="1" ht="41.4" hidden="1" customHeight="1" thickBot="1">
      <c r="A55" s="37" t="s">
        <v>70</v>
      </c>
      <c r="B55" s="45"/>
      <c r="C55" s="46"/>
      <c r="D55" s="42"/>
      <c r="E55" s="42"/>
      <c r="F55" s="42"/>
      <c r="G55" s="50">
        <f>SUM(G56:G56)</f>
        <v>0</v>
      </c>
      <c r="H55" s="47">
        <f>G55</f>
        <v>0</v>
      </c>
      <c r="I55" s="44"/>
      <c r="J55" s="46"/>
      <c r="K55" s="42"/>
      <c r="L55" s="42"/>
      <c r="M55" s="42"/>
      <c r="N55" s="42"/>
      <c r="O55" s="50">
        <f>SUM(O56:O56)</f>
        <v>0</v>
      </c>
      <c r="P55" s="42"/>
      <c r="Q55" s="46"/>
      <c r="R55" s="42"/>
      <c r="S55" s="42"/>
      <c r="T55" s="42"/>
      <c r="U55" s="42"/>
      <c r="V55" s="50">
        <f>SUM(V56:V56)</f>
        <v>0</v>
      </c>
      <c r="W55" s="50">
        <f>SUM(W56:W56)</f>
        <v>0</v>
      </c>
      <c r="X55" s="71"/>
    </row>
    <row r="56" spans="1:24" ht="15" hidden="1" thickBot="1">
      <c r="A56" s="10" t="s">
        <v>54</v>
      </c>
      <c r="B56" s="31"/>
      <c r="C56" s="14"/>
      <c r="D56" s="5"/>
      <c r="E56" s="17"/>
      <c r="F56" s="19"/>
      <c r="G56" s="21">
        <f>B56*C56*E56</f>
        <v>0</v>
      </c>
      <c r="H56" s="21">
        <f>G56</f>
        <v>0</v>
      </c>
      <c r="I56" s="30"/>
      <c r="J56" s="60">
        <v>0</v>
      </c>
      <c r="K56" s="19"/>
      <c r="L56" s="19"/>
      <c r="M56" s="18"/>
      <c r="N56" s="21">
        <f>I56*J56*L56</f>
        <v>0</v>
      </c>
      <c r="O56" s="22">
        <f>N56/$O$1</f>
        <v>0</v>
      </c>
      <c r="P56" s="30">
        <v>1</v>
      </c>
      <c r="Q56" s="14"/>
      <c r="R56" s="19" t="s">
        <v>46</v>
      </c>
      <c r="S56" s="19">
        <v>1</v>
      </c>
      <c r="T56" s="18">
        <v>43678</v>
      </c>
      <c r="U56" s="21">
        <f>P56*Q56*S56</f>
        <v>0</v>
      </c>
      <c r="V56" s="22">
        <f>U56/$O$1</f>
        <v>0</v>
      </c>
      <c r="W56" s="26">
        <f>O56+V56</f>
        <v>0</v>
      </c>
      <c r="X56" s="57"/>
    </row>
    <row r="57" spans="1:24" ht="15" hidden="1" thickBot="1">
      <c r="A57" s="37" t="s">
        <v>72</v>
      </c>
      <c r="B57" s="38"/>
      <c r="C57" s="39"/>
      <c r="D57" s="40"/>
      <c r="E57" s="41"/>
      <c r="F57" s="42"/>
      <c r="G57" s="49">
        <f>SUM(G58:G58)</f>
        <v>0</v>
      </c>
      <c r="H57" s="43">
        <f t="shared" ref="H57:H58" si="37">G57</f>
        <v>0</v>
      </c>
      <c r="I57" s="44"/>
      <c r="J57" s="39"/>
      <c r="K57" s="42"/>
      <c r="L57" s="42"/>
      <c r="M57" s="42"/>
      <c r="N57" s="40"/>
      <c r="O57" s="49">
        <f>SUM(O58:O58)</f>
        <v>0</v>
      </c>
      <c r="P57" s="40"/>
      <c r="Q57" s="39"/>
      <c r="R57" s="40"/>
      <c r="S57" s="40"/>
      <c r="T57" s="42"/>
      <c r="U57" s="40"/>
      <c r="V57" s="49">
        <f>SUM(V58:V58)</f>
        <v>0</v>
      </c>
      <c r="W57" s="49">
        <f>SUM(W58:W58)</f>
        <v>0</v>
      </c>
      <c r="X57" s="57"/>
    </row>
    <row r="58" spans="1:24" s="69" customFormat="1" ht="15" hidden="1" thickBot="1">
      <c r="A58" s="58" t="s">
        <v>71</v>
      </c>
      <c r="B58" s="59"/>
      <c r="C58" s="60"/>
      <c r="D58" s="61"/>
      <c r="E58" s="62"/>
      <c r="F58" s="63"/>
      <c r="G58" s="64">
        <f t="shared" ref="G58" si="38">B58*C58*E58</f>
        <v>0</v>
      </c>
      <c r="H58" s="64">
        <f t="shared" si="37"/>
        <v>0</v>
      </c>
      <c r="I58" s="65"/>
      <c r="J58" s="60">
        <v>0</v>
      </c>
      <c r="K58" s="63"/>
      <c r="L58" s="63"/>
      <c r="M58" s="66"/>
      <c r="N58" s="64">
        <f>I58*J58*L58</f>
        <v>0</v>
      </c>
      <c r="O58" s="67">
        <f>N58/$O$1</f>
        <v>0</v>
      </c>
      <c r="P58" s="65">
        <v>1</v>
      </c>
      <c r="Q58" s="60"/>
      <c r="R58" s="63" t="s">
        <v>46</v>
      </c>
      <c r="S58" s="63">
        <v>1</v>
      </c>
      <c r="T58" s="66">
        <v>43770</v>
      </c>
      <c r="U58" s="64">
        <f>P58*Q58*S58</f>
        <v>0</v>
      </c>
      <c r="V58" s="64">
        <f>U58/$O$1</f>
        <v>0</v>
      </c>
      <c r="W58" s="68">
        <f>O58+V58</f>
        <v>0</v>
      </c>
      <c r="X58" s="57"/>
    </row>
    <row r="59" spans="1:24" ht="27" hidden="1" thickBot="1">
      <c r="A59" s="37" t="s">
        <v>73</v>
      </c>
      <c r="B59" s="38"/>
      <c r="C59" s="39"/>
      <c r="D59" s="40"/>
      <c r="E59" s="41"/>
      <c r="F59" s="42"/>
      <c r="G59" s="49">
        <f>SUM(G60:G61)</f>
        <v>0</v>
      </c>
      <c r="H59" s="43">
        <f t="shared" ref="H59:H60" si="39">G59</f>
        <v>0</v>
      </c>
      <c r="I59" s="44"/>
      <c r="J59" s="39"/>
      <c r="K59" s="42"/>
      <c r="L59" s="42"/>
      <c r="M59" s="42"/>
      <c r="N59" s="40"/>
      <c r="O59" s="49">
        <f>SUM(O60:O62)</f>
        <v>0</v>
      </c>
      <c r="P59" s="40"/>
      <c r="Q59" s="39"/>
      <c r="R59" s="40"/>
      <c r="S59" s="40"/>
      <c r="T59" s="42"/>
      <c r="U59" s="40"/>
      <c r="V59" s="49">
        <f>SUM(V60:V62)</f>
        <v>0</v>
      </c>
      <c r="W59" s="49">
        <f>SUM(W60:W62)</f>
        <v>0</v>
      </c>
      <c r="X59" s="57"/>
    </row>
    <row r="60" spans="1:24" s="69" customFormat="1" ht="15" hidden="1" thickBot="1">
      <c r="A60" s="58" t="s">
        <v>74</v>
      </c>
      <c r="B60" s="59"/>
      <c r="C60" s="60"/>
      <c r="D60" s="61"/>
      <c r="E60" s="62"/>
      <c r="F60" s="63"/>
      <c r="G60" s="64">
        <f t="shared" ref="G60" si="40">B60*C60*E60</f>
        <v>0</v>
      </c>
      <c r="H60" s="64">
        <f t="shared" si="39"/>
        <v>0</v>
      </c>
      <c r="I60" s="65"/>
      <c r="J60" s="60">
        <v>0</v>
      </c>
      <c r="K60" s="63"/>
      <c r="L60" s="63"/>
      <c r="M60" s="66"/>
      <c r="N60" s="64">
        <f>I60*J60*L60</f>
        <v>0</v>
      </c>
      <c r="O60" s="67">
        <f>N60/$O$1</f>
        <v>0</v>
      </c>
      <c r="P60" s="65">
        <v>1</v>
      </c>
      <c r="Q60" s="60"/>
      <c r="R60" s="63" t="s">
        <v>46</v>
      </c>
      <c r="S60" s="63">
        <v>1</v>
      </c>
      <c r="T60" s="66">
        <v>43800</v>
      </c>
      <c r="U60" s="64">
        <f>P60*Q60*S60</f>
        <v>0</v>
      </c>
      <c r="V60" s="67">
        <f>U60/$O$1</f>
        <v>0</v>
      </c>
      <c r="W60" s="68">
        <f>O60+V60</f>
        <v>0</v>
      </c>
      <c r="X60" s="57"/>
    </row>
    <row r="61" spans="1:24" s="69" customFormat="1" ht="15" hidden="1" thickBot="1">
      <c r="A61" s="58" t="s">
        <v>75</v>
      </c>
      <c r="B61" s="59"/>
      <c r="C61" s="60"/>
      <c r="D61" s="61"/>
      <c r="E61" s="62"/>
      <c r="F61" s="63"/>
      <c r="G61" s="64">
        <f>B61*C61*E61</f>
        <v>0</v>
      </c>
      <c r="H61" s="64">
        <f>G61</f>
        <v>0</v>
      </c>
      <c r="I61" s="70"/>
      <c r="J61" s="60">
        <v>0</v>
      </c>
      <c r="K61" s="63"/>
      <c r="L61" s="63"/>
      <c r="M61" s="66"/>
      <c r="N61" s="64">
        <f t="shared" ref="N61:N62" si="41">I61*J61*L61</f>
        <v>0</v>
      </c>
      <c r="O61" s="67">
        <f t="shared" ref="O61:O62" si="42">N61/$O$1</f>
        <v>0</v>
      </c>
      <c r="P61" s="70">
        <v>1</v>
      </c>
      <c r="Q61" s="60"/>
      <c r="R61" s="63" t="s">
        <v>48</v>
      </c>
      <c r="S61" s="63">
        <v>1</v>
      </c>
      <c r="T61" s="66">
        <v>43831</v>
      </c>
      <c r="U61" s="64">
        <f t="shared" ref="U61:U62" si="43">P61*Q61*S61</f>
        <v>0</v>
      </c>
      <c r="V61" s="67">
        <f t="shared" ref="V61:V62" si="44">U61/$O$1</f>
        <v>0</v>
      </c>
      <c r="W61" s="68">
        <f t="shared" ref="W61:W62" si="45">O61+V61</f>
        <v>0</v>
      </c>
      <c r="X61" s="57"/>
    </row>
    <row r="62" spans="1:24" s="69" customFormat="1" ht="15" hidden="1" thickBot="1">
      <c r="A62" s="58" t="s">
        <v>76</v>
      </c>
      <c r="B62" s="59"/>
      <c r="C62" s="60"/>
      <c r="D62" s="61"/>
      <c r="E62" s="62"/>
      <c r="F62" s="63"/>
      <c r="G62" s="64"/>
      <c r="H62" s="64"/>
      <c r="I62" s="70"/>
      <c r="J62" s="60">
        <v>0</v>
      </c>
      <c r="K62" s="63"/>
      <c r="L62" s="63"/>
      <c r="M62" s="66"/>
      <c r="N62" s="64">
        <f t="shared" si="41"/>
        <v>0</v>
      </c>
      <c r="O62" s="67">
        <f t="shared" si="42"/>
        <v>0</v>
      </c>
      <c r="P62" s="70">
        <v>1</v>
      </c>
      <c r="Q62" s="60"/>
      <c r="R62" s="63" t="s">
        <v>46</v>
      </c>
      <c r="S62" s="63">
        <v>1</v>
      </c>
      <c r="T62" s="66">
        <v>43862</v>
      </c>
      <c r="U62" s="64">
        <f t="shared" si="43"/>
        <v>0</v>
      </c>
      <c r="V62" s="67">
        <f t="shared" si="44"/>
        <v>0</v>
      </c>
      <c r="W62" s="68">
        <f t="shared" si="45"/>
        <v>0</v>
      </c>
      <c r="X62" s="57"/>
    </row>
    <row r="63" spans="1:24" ht="15" hidden="1" thickBot="1">
      <c r="A63" s="37" t="s">
        <v>77</v>
      </c>
      <c r="B63" s="38"/>
      <c r="C63" s="39"/>
      <c r="D63" s="40"/>
      <c r="E63" s="41"/>
      <c r="F63" s="42"/>
      <c r="G63" s="49">
        <f>SUM(G64:G64)</f>
        <v>0</v>
      </c>
      <c r="H63" s="43">
        <f t="shared" ref="H63:H64" si="46">G63</f>
        <v>0</v>
      </c>
      <c r="I63" s="44"/>
      <c r="J63" s="39"/>
      <c r="K63" s="42"/>
      <c r="L63" s="42"/>
      <c r="M63" s="42"/>
      <c r="N63" s="40"/>
      <c r="O63" s="49">
        <f>SUM(O64:O64)</f>
        <v>0</v>
      </c>
      <c r="P63" s="40"/>
      <c r="Q63" s="39"/>
      <c r="R63" s="40"/>
      <c r="S63" s="40"/>
      <c r="T63" s="42"/>
      <c r="U63" s="40"/>
      <c r="V63" s="49">
        <f>SUM(V64:V64)</f>
        <v>0</v>
      </c>
      <c r="W63" s="49">
        <f>SUM(W64:W64)</f>
        <v>0</v>
      </c>
      <c r="X63" s="57"/>
    </row>
    <row r="64" spans="1:24" s="69" customFormat="1" ht="15" hidden="1" thickBot="1">
      <c r="A64" s="58" t="s">
        <v>74</v>
      </c>
      <c r="B64" s="59"/>
      <c r="C64" s="60"/>
      <c r="D64" s="61"/>
      <c r="E64" s="62"/>
      <c r="F64" s="63"/>
      <c r="G64" s="64">
        <f t="shared" ref="G64" si="47">B64*C64*E64</f>
        <v>0</v>
      </c>
      <c r="H64" s="64">
        <f t="shared" si="46"/>
        <v>0</v>
      </c>
      <c r="I64" s="65"/>
      <c r="J64" s="60">
        <v>0</v>
      </c>
      <c r="K64" s="63"/>
      <c r="L64" s="63"/>
      <c r="M64" s="66"/>
      <c r="N64" s="64">
        <f>I64*J64*L64</f>
        <v>0</v>
      </c>
      <c r="O64" s="67">
        <f>N64/$O$1</f>
        <v>0</v>
      </c>
      <c r="P64" s="65">
        <v>1</v>
      </c>
      <c r="Q64" s="60"/>
      <c r="R64" s="63" t="s">
        <v>46</v>
      </c>
      <c r="S64" s="63">
        <v>1</v>
      </c>
      <c r="T64" s="66">
        <v>43831</v>
      </c>
      <c r="U64" s="64">
        <f>P64*Q64*S64</f>
        <v>0</v>
      </c>
      <c r="V64" s="67">
        <f>U64/$O$1</f>
        <v>0</v>
      </c>
      <c r="W64" s="68">
        <f>O64+V64</f>
        <v>0</v>
      </c>
      <c r="X64" s="57"/>
    </row>
    <row r="65" spans="1:24" ht="15" hidden="1" thickBot="1">
      <c r="A65" s="37" t="s">
        <v>130</v>
      </c>
      <c r="B65" s="38"/>
      <c r="C65" s="39"/>
      <c r="D65" s="40"/>
      <c r="E65" s="41"/>
      <c r="F65" s="42"/>
      <c r="G65" s="49">
        <f>SUM(G66:G66)</f>
        <v>0</v>
      </c>
      <c r="H65" s="43">
        <f t="shared" ref="H65:H66" si="48">G65</f>
        <v>0</v>
      </c>
      <c r="I65" s="44"/>
      <c r="J65" s="39"/>
      <c r="K65" s="42"/>
      <c r="L65" s="42"/>
      <c r="M65" s="42"/>
      <c r="N65" s="40"/>
      <c r="O65" s="49">
        <f>SUM(O66:O69)</f>
        <v>0</v>
      </c>
      <c r="P65" s="40"/>
      <c r="Q65" s="39"/>
      <c r="R65" s="40"/>
      <c r="S65" s="40"/>
      <c r="T65" s="42"/>
      <c r="U65" s="40"/>
      <c r="V65" s="49">
        <f>SUM(V66:V69)</f>
        <v>0</v>
      </c>
      <c r="W65" s="49">
        <f>SUM(W66:W69)</f>
        <v>0</v>
      </c>
      <c r="X65" s="57"/>
    </row>
    <row r="66" spans="1:24" s="69" customFormat="1" ht="15" hidden="1" thickBot="1">
      <c r="A66" s="58" t="s">
        <v>78</v>
      </c>
      <c r="B66" s="59"/>
      <c r="C66" s="60"/>
      <c r="D66" s="61"/>
      <c r="E66" s="62"/>
      <c r="F66" s="63"/>
      <c r="G66" s="64">
        <f t="shared" ref="G66" si="49">B66*C66*E66</f>
        <v>0</v>
      </c>
      <c r="H66" s="64">
        <f t="shared" si="48"/>
        <v>0</v>
      </c>
      <c r="I66" s="65"/>
      <c r="J66" s="60">
        <v>0</v>
      </c>
      <c r="K66" s="63"/>
      <c r="L66" s="63"/>
      <c r="M66" s="66"/>
      <c r="N66" s="64">
        <f>I66*J66*L66</f>
        <v>0</v>
      </c>
      <c r="O66" s="67">
        <f>N66/$O$1</f>
        <v>0</v>
      </c>
      <c r="P66" s="65">
        <v>1</v>
      </c>
      <c r="Q66" s="60"/>
      <c r="R66" s="63" t="s">
        <v>46</v>
      </c>
      <c r="S66" s="63">
        <v>1</v>
      </c>
      <c r="T66" s="18">
        <v>43678</v>
      </c>
      <c r="U66" s="64">
        <f>P66*Q66*S66</f>
        <v>0</v>
      </c>
      <c r="V66" s="67">
        <f>U66/$O$1</f>
        <v>0</v>
      </c>
      <c r="W66" s="68">
        <f>O66+V66</f>
        <v>0</v>
      </c>
      <c r="X66" s="57"/>
    </row>
    <row r="67" spans="1:24" ht="15" hidden="1" thickBot="1">
      <c r="A67" s="10" t="s">
        <v>131</v>
      </c>
      <c r="B67" s="31"/>
      <c r="C67" s="14"/>
      <c r="D67" s="5"/>
      <c r="E67" s="17"/>
      <c r="F67" s="19"/>
      <c r="G67" s="21"/>
      <c r="H67" s="21"/>
      <c r="I67" s="30"/>
      <c r="J67" s="60">
        <v>0</v>
      </c>
      <c r="K67" s="19"/>
      <c r="L67" s="19"/>
      <c r="M67" s="18"/>
      <c r="N67" s="21">
        <f t="shared" ref="N67:N69" si="50">I67*J67*L67</f>
        <v>0</v>
      </c>
      <c r="O67" s="22">
        <f t="shared" ref="O67:O69" si="51">N67/$O$1</f>
        <v>0</v>
      </c>
      <c r="P67" s="30">
        <v>1</v>
      </c>
      <c r="Q67" s="14"/>
      <c r="R67" s="19" t="s">
        <v>46</v>
      </c>
      <c r="S67" s="19">
        <v>1</v>
      </c>
      <c r="T67" s="18">
        <v>43678</v>
      </c>
      <c r="U67" s="21">
        <f t="shared" ref="U67" si="52">P67*Q67*S67</f>
        <v>0</v>
      </c>
      <c r="V67" s="22">
        <f t="shared" ref="V67" si="53">U67/$O$1</f>
        <v>0</v>
      </c>
      <c r="W67" s="26">
        <f t="shared" ref="W67:W69" si="54">O67+V67</f>
        <v>0</v>
      </c>
      <c r="X67" s="57"/>
    </row>
    <row r="68" spans="1:24" ht="15" hidden="1" thickBot="1">
      <c r="A68" s="10" t="s">
        <v>132</v>
      </c>
      <c r="B68" s="31"/>
      <c r="C68" s="14"/>
      <c r="D68" s="5"/>
      <c r="E68" s="17"/>
      <c r="F68" s="19"/>
      <c r="G68" s="21"/>
      <c r="H68" s="21"/>
      <c r="I68" s="30"/>
      <c r="J68" s="60">
        <v>0</v>
      </c>
      <c r="K68" s="19"/>
      <c r="L68" s="19"/>
      <c r="M68" s="18"/>
      <c r="N68" s="21">
        <f t="shared" si="50"/>
        <v>0</v>
      </c>
      <c r="O68" s="22">
        <f t="shared" si="51"/>
        <v>0</v>
      </c>
      <c r="P68" s="30">
        <v>1</v>
      </c>
      <c r="Q68" s="14"/>
      <c r="R68" s="19" t="s">
        <v>46</v>
      </c>
      <c r="S68" s="19">
        <v>1</v>
      </c>
      <c r="T68" s="18">
        <v>43678</v>
      </c>
      <c r="U68" s="21">
        <f t="shared" ref="U68:U69" si="55">P68*Q68*S68</f>
        <v>0</v>
      </c>
      <c r="V68" s="22">
        <f t="shared" ref="V68:V69" si="56">U68/$O$1</f>
        <v>0</v>
      </c>
      <c r="W68" s="26">
        <f t="shared" si="54"/>
        <v>0</v>
      </c>
      <c r="X68" s="57"/>
    </row>
    <row r="69" spans="1:24" ht="15" hidden="1" thickBot="1">
      <c r="A69" s="10" t="s">
        <v>133</v>
      </c>
      <c r="B69" s="31"/>
      <c r="C69" s="14"/>
      <c r="D69" s="5"/>
      <c r="E69" s="17"/>
      <c r="F69" s="19"/>
      <c r="G69" s="21"/>
      <c r="H69" s="21"/>
      <c r="I69" s="30"/>
      <c r="J69" s="60">
        <v>0</v>
      </c>
      <c r="K69" s="19"/>
      <c r="L69" s="19"/>
      <c r="M69" s="18"/>
      <c r="N69" s="21">
        <f t="shared" si="50"/>
        <v>0</v>
      </c>
      <c r="O69" s="22">
        <f t="shared" si="51"/>
        <v>0</v>
      </c>
      <c r="P69" s="30">
        <v>1</v>
      </c>
      <c r="Q69" s="14"/>
      <c r="R69" s="19" t="s">
        <v>48</v>
      </c>
      <c r="S69" s="19">
        <v>1</v>
      </c>
      <c r="T69" s="18">
        <v>43678</v>
      </c>
      <c r="U69" s="21">
        <f t="shared" si="55"/>
        <v>0</v>
      </c>
      <c r="V69" s="22">
        <f t="shared" si="56"/>
        <v>0</v>
      </c>
      <c r="W69" s="26">
        <f t="shared" si="54"/>
        <v>0</v>
      </c>
      <c r="X69" s="57"/>
    </row>
    <row r="70" spans="1:24" ht="40.200000000000003" hidden="1" thickBot="1">
      <c r="A70" s="37" t="s">
        <v>134</v>
      </c>
      <c r="B70" s="38"/>
      <c r="C70" s="39"/>
      <c r="D70" s="40"/>
      <c r="E70" s="41"/>
      <c r="F70" s="42"/>
      <c r="G70" s="49">
        <f>SUM(G71:G71)</f>
        <v>0</v>
      </c>
      <c r="H70" s="43">
        <f t="shared" ref="H70:H71" si="57">G70</f>
        <v>0</v>
      </c>
      <c r="I70" s="44"/>
      <c r="J70" s="39"/>
      <c r="K70" s="42"/>
      <c r="L70" s="42"/>
      <c r="M70" s="42"/>
      <c r="N70" s="40"/>
      <c r="O70" s="49">
        <f>SUM(O71:O72)</f>
        <v>0</v>
      </c>
      <c r="P70" s="40"/>
      <c r="Q70" s="39"/>
      <c r="R70" s="40"/>
      <c r="S70" s="40"/>
      <c r="T70" s="42"/>
      <c r="U70" s="40"/>
      <c r="V70" s="49">
        <f>SUM(V71:V72)</f>
        <v>0</v>
      </c>
      <c r="W70" s="49">
        <f>SUM(W71:W72)</f>
        <v>0</v>
      </c>
      <c r="X70" s="57"/>
    </row>
    <row r="71" spans="1:24" s="69" customFormat="1" ht="15" hidden="1" thickBot="1">
      <c r="A71" s="58" t="s">
        <v>79</v>
      </c>
      <c r="B71" s="59"/>
      <c r="C71" s="60"/>
      <c r="D71" s="61"/>
      <c r="E71" s="62"/>
      <c r="F71" s="63"/>
      <c r="G71" s="64">
        <f t="shared" ref="G71" si="58">B71*C71*E71</f>
        <v>0</v>
      </c>
      <c r="H71" s="64">
        <f t="shared" si="57"/>
        <v>0</v>
      </c>
      <c r="I71" s="65"/>
      <c r="J71" s="60">
        <v>0</v>
      </c>
      <c r="K71" s="63"/>
      <c r="L71" s="63"/>
      <c r="M71" s="66"/>
      <c r="N71" s="64">
        <f>I71*J71*L71</f>
        <v>0</v>
      </c>
      <c r="O71" s="67">
        <f>N71/$O$1</f>
        <v>0</v>
      </c>
      <c r="P71" s="65">
        <v>1</v>
      </c>
      <c r="Q71" s="60"/>
      <c r="R71" s="63" t="s">
        <v>46</v>
      </c>
      <c r="S71" s="63">
        <v>1</v>
      </c>
      <c r="T71" s="66">
        <v>43831</v>
      </c>
      <c r="U71" s="64">
        <f>P71*Q71*S71</f>
        <v>0</v>
      </c>
      <c r="V71" s="67">
        <f>U71/$O$1</f>
        <v>0</v>
      </c>
      <c r="W71" s="68">
        <f>O71+V71</f>
        <v>0</v>
      </c>
      <c r="X71" s="57"/>
    </row>
    <row r="72" spans="1:24" ht="15" hidden="1" thickBot="1">
      <c r="A72" s="10" t="s">
        <v>114</v>
      </c>
      <c r="B72" s="31"/>
      <c r="C72" s="14"/>
      <c r="D72" s="5"/>
      <c r="E72" s="17"/>
      <c r="F72" s="19"/>
      <c r="G72" s="21"/>
      <c r="H72" s="21"/>
      <c r="I72" s="30"/>
      <c r="J72" s="60">
        <v>0</v>
      </c>
      <c r="K72" s="19"/>
      <c r="L72" s="19"/>
      <c r="M72" s="18"/>
      <c r="N72" s="21">
        <f t="shared" ref="N72" si="59">I72*J72*L72</f>
        <v>0</v>
      </c>
      <c r="O72" s="22">
        <f t="shared" ref="O72" si="60">N72/$O$1</f>
        <v>0</v>
      </c>
      <c r="P72" s="30">
        <v>1</v>
      </c>
      <c r="Q72" s="14"/>
      <c r="R72" s="19" t="s">
        <v>46</v>
      </c>
      <c r="S72" s="19">
        <v>1</v>
      </c>
      <c r="T72" s="66">
        <v>43831</v>
      </c>
      <c r="U72" s="21">
        <f t="shared" ref="U72" si="61">P72*Q72*S72</f>
        <v>0</v>
      </c>
      <c r="V72" s="22">
        <f t="shared" ref="V72" si="62">U72/$O$1</f>
        <v>0</v>
      </c>
      <c r="W72" s="26">
        <f t="shared" ref="W72" si="63">O72+V72</f>
        <v>0</v>
      </c>
      <c r="X72" s="57"/>
    </row>
    <row r="73" spans="1:24" ht="27" hidden="1" thickBot="1">
      <c r="A73" s="37" t="s">
        <v>135</v>
      </c>
      <c r="B73" s="38"/>
      <c r="C73" s="39"/>
      <c r="D73" s="40"/>
      <c r="E73" s="41"/>
      <c r="F73" s="42"/>
      <c r="G73" s="51">
        <f>SUM(G74:G75)</f>
        <v>0</v>
      </c>
      <c r="H73" s="43"/>
      <c r="I73" s="44"/>
      <c r="J73" s="39"/>
      <c r="K73" s="42"/>
      <c r="L73" s="42"/>
      <c r="M73" s="42"/>
      <c r="N73" s="40"/>
      <c r="O73" s="51">
        <f>SUM(O74:O76)</f>
        <v>0</v>
      </c>
      <c r="P73" s="40"/>
      <c r="Q73" s="39"/>
      <c r="R73" s="40"/>
      <c r="S73" s="40"/>
      <c r="T73" s="42"/>
      <c r="U73" s="40"/>
      <c r="V73" s="51">
        <f>SUM(V74:V76)</f>
        <v>0</v>
      </c>
      <c r="W73" s="51">
        <f>SUM(W74:W76)</f>
        <v>0</v>
      </c>
    </row>
    <row r="74" spans="1:24" ht="15" hidden="1" thickBot="1">
      <c r="A74" s="10" t="s">
        <v>136</v>
      </c>
      <c r="B74" s="13"/>
      <c r="C74" s="14"/>
      <c r="D74" s="17"/>
      <c r="E74" s="19"/>
      <c r="F74" s="18"/>
      <c r="G74" s="21">
        <f>B74*C74*E74</f>
        <v>0</v>
      </c>
      <c r="H74" s="5"/>
      <c r="I74" s="13"/>
      <c r="J74" s="60">
        <v>0</v>
      </c>
      <c r="K74" s="19"/>
      <c r="L74" s="19"/>
      <c r="M74" s="19"/>
      <c r="N74" s="21">
        <f>I74*J74*L74</f>
        <v>0</v>
      </c>
      <c r="O74" s="22">
        <f>N74/$O$1</f>
        <v>0</v>
      </c>
      <c r="P74" s="13">
        <v>1</v>
      </c>
      <c r="Q74" s="14"/>
      <c r="R74" s="19" t="s">
        <v>46</v>
      </c>
      <c r="S74" s="56">
        <v>1</v>
      </c>
      <c r="T74" s="66">
        <v>43831</v>
      </c>
      <c r="U74" s="21">
        <f>P74*Q74*S74</f>
        <v>0</v>
      </c>
      <c r="V74" s="22">
        <f>U74/$O$1</f>
        <v>0</v>
      </c>
      <c r="W74" s="26">
        <f>O74+V74</f>
        <v>0</v>
      </c>
    </row>
    <row r="75" spans="1:24" ht="15" hidden="1" thickBot="1">
      <c r="A75" s="10" t="s">
        <v>137</v>
      </c>
      <c r="B75" s="13"/>
      <c r="C75" s="14"/>
      <c r="D75" s="17"/>
      <c r="E75" s="19"/>
      <c r="F75" s="18"/>
      <c r="G75" s="21">
        <f>B75*C75*E75</f>
        <v>0</v>
      </c>
      <c r="H75" s="5"/>
      <c r="I75" s="13"/>
      <c r="J75" s="60">
        <v>0</v>
      </c>
      <c r="K75" s="19"/>
      <c r="L75" s="19"/>
      <c r="M75" s="19"/>
      <c r="N75" s="21">
        <f t="shared" ref="N75:N76" si="64">I75*J75*L75</f>
        <v>0</v>
      </c>
      <c r="O75" s="22">
        <f>N75/$O$1</f>
        <v>0</v>
      </c>
      <c r="P75" s="13">
        <v>1</v>
      </c>
      <c r="Q75" s="14"/>
      <c r="R75" s="19" t="s">
        <v>46</v>
      </c>
      <c r="S75" s="56">
        <v>1</v>
      </c>
      <c r="T75" s="66">
        <v>43831</v>
      </c>
      <c r="U75" s="21">
        <f>P75*Q75*S75</f>
        <v>0</v>
      </c>
      <c r="V75" s="22">
        <f>U75/$O$1</f>
        <v>0</v>
      </c>
      <c r="W75" s="26">
        <f>O75+V75</f>
        <v>0</v>
      </c>
    </row>
    <row r="76" spans="1:24" ht="15" hidden="1" thickBot="1">
      <c r="A76" s="10" t="s">
        <v>138</v>
      </c>
      <c r="B76" s="13"/>
      <c r="C76" s="14"/>
      <c r="D76" s="17"/>
      <c r="E76" s="19"/>
      <c r="F76" s="18"/>
      <c r="G76" s="21"/>
      <c r="H76" s="5"/>
      <c r="I76" s="13"/>
      <c r="J76" s="60">
        <v>0</v>
      </c>
      <c r="K76" s="19"/>
      <c r="L76" s="19"/>
      <c r="M76" s="19"/>
      <c r="N76" s="21">
        <f t="shared" si="64"/>
        <v>0</v>
      </c>
      <c r="O76" s="22">
        <f>N76/$O$1</f>
        <v>0</v>
      </c>
      <c r="P76" s="13">
        <v>1</v>
      </c>
      <c r="Q76" s="14"/>
      <c r="R76" s="19" t="s">
        <v>46</v>
      </c>
      <c r="S76" s="56">
        <v>1</v>
      </c>
      <c r="T76" s="66">
        <v>43831</v>
      </c>
      <c r="U76" s="21">
        <f>P76*Q76*S76</f>
        <v>0</v>
      </c>
      <c r="V76" s="22">
        <f>U76/$O$1</f>
        <v>0</v>
      </c>
      <c r="W76" s="26">
        <f>O76+V76</f>
        <v>0</v>
      </c>
    </row>
    <row r="77" spans="1:24" s="83" customFormat="1" ht="15" hidden="1" thickBot="1">
      <c r="A77" s="37" t="s">
        <v>115</v>
      </c>
      <c r="B77" s="38"/>
      <c r="C77" s="39"/>
      <c r="D77" s="40"/>
      <c r="E77" s="41"/>
      <c r="F77" s="42"/>
      <c r="G77" s="49">
        <f>SUM(G78:G78)</f>
        <v>0</v>
      </c>
      <c r="H77" s="43">
        <f t="shared" ref="H77:H78" si="65">G77</f>
        <v>0</v>
      </c>
      <c r="I77" s="44"/>
      <c r="J77" s="39"/>
      <c r="K77" s="42"/>
      <c r="L77" s="42"/>
      <c r="M77" s="42"/>
      <c r="N77" s="40"/>
      <c r="O77" s="49">
        <f>SUM(O78:O78)</f>
        <v>0</v>
      </c>
      <c r="P77" s="40"/>
      <c r="Q77" s="39"/>
      <c r="R77" s="40"/>
      <c r="S77" s="40"/>
      <c r="T77" s="42"/>
      <c r="U77" s="40"/>
      <c r="V77" s="49">
        <f>SUM(V78:V78)</f>
        <v>0</v>
      </c>
      <c r="W77" s="49">
        <f>SUM(W78:W78)</f>
        <v>0</v>
      </c>
    </row>
    <row r="78" spans="1:24" s="69" customFormat="1" ht="15" hidden="1" thickBot="1">
      <c r="A78" s="58" t="s">
        <v>80</v>
      </c>
      <c r="B78" s="59"/>
      <c r="C78" s="60"/>
      <c r="D78" s="61"/>
      <c r="E78" s="62"/>
      <c r="F78" s="63"/>
      <c r="G78" s="64">
        <f t="shared" ref="G78" si="66">B78*C78*E78</f>
        <v>0</v>
      </c>
      <c r="H78" s="64">
        <f t="shared" si="65"/>
        <v>0</v>
      </c>
      <c r="I78" s="65"/>
      <c r="J78" s="60">
        <v>0</v>
      </c>
      <c r="K78" s="63"/>
      <c r="L78" s="63"/>
      <c r="M78" s="66"/>
      <c r="N78" s="64">
        <f>I78*J78*L78</f>
        <v>0</v>
      </c>
      <c r="O78" s="67">
        <f>N78/$O$1</f>
        <v>0</v>
      </c>
      <c r="P78" s="65">
        <v>1</v>
      </c>
      <c r="Q78" s="60"/>
      <c r="R78" s="63" t="s">
        <v>46</v>
      </c>
      <c r="S78" s="63">
        <v>1</v>
      </c>
      <c r="T78" s="66">
        <v>43862</v>
      </c>
      <c r="U78" s="64">
        <f>P78*Q78*S78</f>
        <v>0</v>
      </c>
      <c r="V78" s="67">
        <f>U78/$O$1</f>
        <v>0</v>
      </c>
      <c r="W78" s="68">
        <f>O78+V78</f>
        <v>0</v>
      </c>
      <c r="X78" s="57"/>
    </row>
    <row r="79" spans="1:24" s="20" customFormat="1" ht="41.4" hidden="1" customHeight="1" thickBot="1">
      <c r="A79" s="37" t="s">
        <v>116</v>
      </c>
      <c r="B79" s="45"/>
      <c r="C79" s="46"/>
      <c r="D79" s="42"/>
      <c r="E79" s="42"/>
      <c r="F79" s="42"/>
      <c r="G79" s="50">
        <f>SUM(G80:G83)</f>
        <v>0</v>
      </c>
      <c r="H79" s="47">
        <f>G79</f>
        <v>0</v>
      </c>
      <c r="I79" s="44"/>
      <c r="J79" s="46"/>
      <c r="K79" s="42"/>
      <c r="L79" s="42"/>
      <c r="M79" s="42"/>
      <c r="N79" s="42">
        <f t="shared" ref="N79:N83" si="67">I79*J79*L79</f>
        <v>0</v>
      </c>
      <c r="O79" s="50">
        <f>SUM(O80:O83)</f>
        <v>0</v>
      </c>
      <c r="P79" s="42"/>
      <c r="Q79" s="46"/>
      <c r="R79" s="42"/>
      <c r="S79" s="42"/>
      <c r="T79" s="42"/>
      <c r="U79" s="42"/>
      <c r="V79" s="50">
        <f>SUM(V80:V83)</f>
        <v>0</v>
      </c>
      <c r="W79" s="50">
        <f>SUM(W80:W83)</f>
        <v>0</v>
      </c>
      <c r="X79" s="71"/>
    </row>
    <row r="80" spans="1:24" ht="27" hidden="1" thickBot="1">
      <c r="A80" s="10" t="s">
        <v>50</v>
      </c>
      <c r="B80" s="31"/>
      <c r="C80" s="14"/>
      <c r="D80" s="5"/>
      <c r="E80" s="17"/>
      <c r="F80" s="19"/>
      <c r="G80" s="21"/>
      <c r="H80" s="21"/>
      <c r="I80" s="30"/>
      <c r="J80" s="60">
        <v>0</v>
      </c>
      <c r="K80" s="19"/>
      <c r="L80" s="19"/>
      <c r="M80" s="18"/>
      <c r="N80" s="21">
        <f t="shared" si="67"/>
        <v>0</v>
      </c>
      <c r="O80" s="22">
        <f t="shared" ref="O80:O83" si="68">N80/$O$1</f>
        <v>0</v>
      </c>
      <c r="P80" s="30">
        <v>1</v>
      </c>
      <c r="Q80" s="14"/>
      <c r="R80" s="19" t="s">
        <v>48</v>
      </c>
      <c r="S80" s="19">
        <v>1</v>
      </c>
      <c r="T80" s="18">
        <v>43770</v>
      </c>
      <c r="U80" s="21">
        <f t="shared" ref="U80:U83" si="69">P80*Q80*S80</f>
        <v>0</v>
      </c>
      <c r="V80" s="22">
        <f t="shared" ref="V80:V83" si="70">U80/$O$1</f>
        <v>0</v>
      </c>
      <c r="W80" s="26">
        <f>O80+V80</f>
        <v>0</v>
      </c>
      <c r="X80" s="57"/>
    </row>
    <row r="81" spans="1:24" ht="33.6" hidden="1" customHeight="1" thickBot="1">
      <c r="A81" s="10" t="s">
        <v>51</v>
      </c>
      <c r="B81" s="31"/>
      <c r="C81" s="14"/>
      <c r="D81" s="5"/>
      <c r="E81" s="17"/>
      <c r="F81" s="19"/>
      <c r="G81" s="21"/>
      <c r="H81" s="21"/>
      <c r="I81" s="30"/>
      <c r="J81" s="60">
        <v>0</v>
      </c>
      <c r="K81" s="19"/>
      <c r="L81" s="19"/>
      <c r="M81" s="18"/>
      <c r="N81" s="21">
        <f t="shared" si="67"/>
        <v>0</v>
      </c>
      <c r="O81" s="22">
        <f t="shared" si="68"/>
        <v>0</v>
      </c>
      <c r="P81" s="30">
        <v>1</v>
      </c>
      <c r="Q81" s="14"/>
      <c r="R81" s="19" t="s">
        <v>46</v>
      </c>
      <c r="S81" s="19">
        <v>1</v>
      </c>
      <c r="T81" s="18">
        <v>43770</v>
      </c>
      <c r="U81" s="21">
        <f t="shared" si="69"/>
        <v>0</v>
      </c>
      <c r="V81" s="22">
        <f t="shared" si="70"/>
        <v>0</v>
      </c>
      <c r="W81" s="26">
        <f t="shared" ref="W81:W83" si="71">O81+V81</f>
        <v>0</v>
      </c>
      <c r="X81" s="57"/>
    </row>
    <row r="82" spans="1:24" ht="15" hidden="1" thickBot="1">
      <c r="A82" s="10" t="s">
        <v>52</v>
      </c>
      <c r="B82" s="31"/>
      <c r="C82" s="14"/>
      <c r="D82" s="5"/>
      <c r="E82" s="17"/>
      <c r="F82" s="19"/>
      <c r="G82" s="21"/>
      <c r="H82" s="21"/>
      <c r="I82" s="30"/>
      <c r="J82" s="60">
        <v>0</v>
      </c>
      <c r="K82" s="19"/>
      <c r="L82" s="19"/>
      <c r="M82" s="18"/>
      <c r="N82" s="21">
        <f t="shared" si="67"/>
        <v>0</v>
      </c>
      <c r="O82" s="22">
        <f t="shared" si="68"/>
        <v>0</v>
      </c>
      <c r="P82" s="30">
        <v>1</v>
      </c>
      <c r="Q82" s="14"/>
      <c r="R82" s="19" t="s">
        <v>46</v>
      </c>
      <c r="S82" s="19">
        <v>1</v>
      </c>
      <c r="T82" s="18">
        <v>43770</v>
      </c>
      <c r="U82" s="21">
        <f t="shared" si="69"/>
        <v>0</v>
      </c>
      <c r="V82" s="22">
        <f t="shared" si="70"/>
        <v>0</v>
      </c>
      <c r="W82" s="26">
        <f t="shared" si="71"/>
        <v>0</v>
      </c>
      <c r="X82" s="57"/>
    </row>
    <row r="83" spans="1:24" ht="15" hidden="1" thickBot="1">
      <c r="A83" s="10" t="s">
        <v>53</v>
      </c>
      <c r="B83" s="31"/>
      <c r="C83" s="14"/>
      <c r="D83" s="5"/>
      <c r="E83" s="17"/>
      <c r="F83" s="19"/>
      <c r="G83" s="21"/>
      <c r="H83" s="21"/>
      <c r="I83" s="30"/>
      <c r="J83" s="60">
        <v>0</v>
      </c>
      <c r="K83" s="19"/>
      <c r="L83" s="19"/>
      <c r="M83" s="18"/>
      <c r="N83" s="21">
        <f t="shared" si="67"/>
        <v>0</v>
      </c>
      <c r="O83" s="22">
        <f t="shared" si="68"/>
        <v>0</v>
      </c>
      <c r="P83" s="30">
        <v>1</v>
      </c>
      <c r="Q83" s="14"/>
      <c r="R83" s="19" t="s">
        <v>48</v>
      </c>
      <c r="S83" s="19">
        <v>1</v>
      </c>
      <c r="T83" s="18">
        <v>43770</v>
      </c>
      <c r="U83" s="21">
        <f t="shared" si="69"/>
        <v>0</v>
      </c>
      <c r="V83" s="22">
        <f t="shared" si="70"/>
        <v>0</v>
      </c>
      <c r="W83" s="26">
        <f t="shared" si="71"/>
        <v>0</v>
      </c>
      <c r="X83" s="57"/>
    </row>
    <row r="84" spans="1:24" s="20" customFormat="1" ht="41.4" hidden="1" customHeight="1" thickBot="1">
      <c r="A84" s="37" t="s">
        <v>117</v>
      </c>
      <c r="B84" s="45"/>
      <c r="C84" s="46"/>
      <c r="D84" s="42"/>
      <c r="E84" s="42"/>
      <c r="F84" s="42"/>
      <c r="G84" s="50">
        <f>SUM(G85:G89)</f>
        <v>0</v>
      </c>
      <c r="H84" s="47">
        <f>G84</f>
        <v>0</v>
      </c>
      <c r="I84" s="44"/>
      <c r="J84" s="46"/>
      <c r="K84" s="42"/>
      <c r="L84" s="42"/>
      <c r="M84" s="42"/>
      <c r="N84" s="42"/>
      <c r="O84" s="50">
        <f>SUM(O85:O89)</f>
        <v>0</v>
      </c>
      <c r="P84" s="42"/>
      <c r="Q84" s="46"/>
      <c r="R84" s="42"/>
      <c r="S84" s="42"/>
      <c r="T84" s="42"/>
      <c r="U84" s="42"/>
      <c r="V84" s="50">
        <f>SUM(V85:V89)</f>
        <v>0</v>
      </c>
      <c r="W84" s="50">
        <f>SUM(W85:W89)</f>
        <v>0</v>
      </c>
      <c r="X84" s="71"/>
    </row>
    <row r="85" spans="1:24" ht="15" hidden="1" thickBot="1">
      <c r="A85" s="10" t="s">
        <v>49</v>
      </c>
      <c r="B85" s="31"/>
      <c r="C85" s="14"/>
      <c r="D85" s="5"/>
      <c r="E85" s="17"/>
      <c r="F85" s="19"/>
      <c r="G85" s="21"/>
      <c r="H85" s="21"/>
      <c r="I85" s="30"/>
      <c r="J85" s="60">
        <v>0</v>
      </c>
      <c r="K85" s="19"/>
      <c r="L85" s="19"/>
      <c r="M85" s="18"/>
      <c r="N85" s="21">
        <f t="shared" ref="N85:N89" si="72">I85*J85*L85</f>
        <v>0</v>
      </c>
      <c r="O85" s="22">
        <f t="shared" ref="O85:O89" si="73">N85/$O$1</f>
        <v>0</v>
      </c>
      <c r="P85" s="30">
        <v>1</v>
      </c>
      <c r="Q85" s="14"/>
      <c r="R85" s="19" t="s">
        <v>46</v>
      </c>
      <c r="S85" s="19">
        <v>1</v>
      </c>
      <c r="T85" s="18">
        <v>43770</v>
      </c>
      <c r="U85" s="21">
        <f t="shared" ref="U85:U89" si="74">P85*Q85*S85</f>
        <v>0</v>
      </c>
      <c r="V85" s="22">
        <f t="shared" ref="V85:V89" si="75">U85/$O$1</f>
        <v>0</v>
      </c>
      <c r="W85" s="26">
        <f t="shared" ref="W85:W89" si="76">O85+V85</f>
        <v>0</v>
      </c>
      <c r="X85" s="57"/>
    </row>
    <row r="86" spans="1:24" ht="27" hidden="1" thickBot="1">
      <c r="A86" s="10" t="s">
        <v>50</v>
      </c>
      <c r="B86" s="31"/>
      <c r="C86" s="14"/>
      <c r="D86" s="5"/>
      <c r="E86" s="17"/>
      <c r="F86" s="19"/>
      <c r="G86" s="21"/>
      <c r="H86" s="21"/>
      <c r="I86" s="30"/>
      <c r="J86" s="60">
        <v>0</v>
      </c>
      <c r="K86" s="19"/>
      <c r="L86" s="19"/>
      <c r="M86" s="18"/>
      <c r="N86" s="21">
        <f t="shared" si="72"/>
        <v>0</v>
      </c>
      <c r="O86" s="22">
        <f t="shared" si="73"/>
        <v>0</v>
      </c>
      <c r="P86" s="30">
        <v>1</v>
      </c>
      <c r="Q86" s="14"/>
      <c r="R86" s="19" t="s">
        <v>48</v>
      </c>
      <c r="S86" s="19">
        <v>1</v>
      </c>
      <c r="T86" s="18">
        <v>43770</v>
      </c>
      <c r="U86" s="21">
        <f t="shared" si="74"/>
        <v>0</v>
      </c>
      <c r="V86" s="22">
        <f t="shared" si="75"/>
        <v>0</v>
      </c>
      <c r="W86" s="26">
        <f t="shared" si="76"/>
        <v>0</v>
      </c>
      <c r="X86" s="57"/>
    </row>
    <row r="87" spans="1:24" ht="33.6" hidden="1" customHeight="1" thickBot="1">
      <c r="A87" s="10" t="s">
        <v>51</v>
      </c>
      <c r="B87" s="31"/>
      <c r="C87" s="14"/>
      <c r="D87" s="5"/>
      <c r="E87" s="17"/>
      <c r="F87" s="19"/>
      <c r="G87" s="21"/>
      <c r="H87" s="21"/>
      <c r="I87" s="30"/>
      <c r="J87" s="60">
        <v>0</v>
      </c>
      <c r="K87" s="19"/>
      <c r="L87" s="19"/>
      <c r="M87" s="18"/>
      <c r="N87" s="21">
        <f t="shared" si="72"/>
        <v>0</v>
      </c>
      <c r="O87" s="22">
        <f t="shared" si="73"/>
        <v>0</v>
      </c>
      <c r="P87" s="30">
        <v>1</v>
      </c>
      <c r="Q87" s="14"/>
      <c r="R87" s="19" t="s">
        <v>46</v>
      </c>
      <c r="S87" s="19">
        <v>1</v>
      </c>
      <c r="T87" s="18">
        <v>43770</v>
      </c>
      <c r="U87" s="21">
        <f t="shared" si="74"/>
        <v>0</v>
      </c>
      <c r="V87" s="22">
        <f t="shared" si="75"/>
        <v>0</v>
      </c>
      <c r="W87" s="26">
        <f t="shared" si="76"/>
        <v>0</v>
      </c>
      <c r="X87" s="57"/>
    </row>
    <row r="88" spans="1:24" ht="15" hidden="1" thickBot="1">
      <c r="A88" s="10" t="s">
        <v>52</v>
      </c>
      <c r="B88" s="31"/>
      <c r="C88" s="14"/>
      <c r="D88" s="5"/>
      <c r="E88" s="17"/>
      <c r="F88" s="19"/>
      <c r="G88" s="21"/>
      <c r="H88" s="21"/>
      <c r="I88" s="30"/>
      <c r="J88" s="60">
        <v>0</v>
      </c>
      <c r="K88" s="19"/>
      <c r="L88" s="19"/>
      <c r="M88" s="18"/>
      <c r="N88" s="21">
        <f t="shared" si="72"/>
        <v>0</v>
      </c>
      <c r="O88" s="22">
        <f t="shared" si="73"/>
        <v>0</v>
      </c>
      <c r="P88" s="30">
        <v>1</v>
      </c>
      <c r="Q88" s="14"/>
      <c r="R88" s="19" t="s">
        <v>46</v>
      </c>
      <c r="S88" s="19">
        <v>1</v>
      </c>
      <c r="T88" s="18">
        <v>43770</v>
      </c>
      <c r="U88" s="21">
        <f t="shared" si="74"/>
        <v>0</v>
      </c>
      <c r="V88" s="22">
        <f t="shared" si="75"/>
        <v>0</v>
      </c>
      <c r="W88" s="26">
        <f t="shared" si="76"/>
        <v>0</v>
      </c>
      <c r="X88" s="57"/>
    </row>
    <row r="89" spans="1:24" ht="15" hidden="1" thickBot="1">
      <c r="A89" s="10" t="s">
        <v>53</v>
      </c>
      <c r="B89" s="31"/>
      <c r="C89" s="14"/>
      <c r="D89" s="5"/>
      <c r="E89" s="17"/>
      <c r="F89" s="19"/>
      <c r="G89" s="21"/>
      <c r="H89" s="21"/>
      <c r="I89" s="30"/>
      <c r="J89" s="60">
        <v>0</v>
      </c>
      <c r="K89" s="19"/>
      <c r="L89" s="19"/>
      <c r="M89" s="18"/>
      <c r="N89" s="21">
        <f t="shared" si="72"/>
        <v>0</v>
      </c>
      <c r="O89" s="22">
        <f t="shared" si="73"/>
        <v>0</v>
      </c>
      <c r="P89" s="30">
        <v>1</v>
      </c>
      <c r="Q89" s="14"/>
      <c r="R89" s="19" t="s">
        <v>48</v>
      </c>
      <c r="S89" s="19">
        <v>1</v>
      </c>
      <c r="T89" s="18">
        <v>43770</v>
      </c>
      <c r="U89" s="21">
        <f t="shared" si="74"/>
        <v>0</v>
      </c>
      <c r="V89" s="22">
        <f t="shared" si="75"/>
        <v>0</v>
      </c>
      <c r="W89" s="26">
        <f t="shared" si="76"/>
        <v>0</v>
      </c>
      <c r="X89" s="57"/>
    </row>
    <row r="90" spans="1:24" s="20" customFormat="1" ht="41.4" hidden="1" customHeight="1" thickBot="1">
      <c r="A90" s="37" t="s">
        <v>139</v>
      </c>
      <c r="B90" s="45"/>
      <c r="C90" s="46"/>
      <c r="D90" s="42"/>
      <c r="E90" s="42"/>
      <c r="F90" s="42"/>
      <c r="G90" s="50">
        <f>SUM(G91:G95)</f>
        <v>0</v>
      </c>
      <c r="H90" s="47">
        <f>G90</f>
        <v>0</v>
      </c>
      <c r="I90" s="44"/>
      <c r="J90" s="46"/>
      <c r="K90" s="42"/>
      <c r="L90" s="42"/>
      <c r="M90" s="42"/>
      <c r="N90" s="42">
        <f t="shared" ref="N90" si="77">I90*J90*L90</f>
        <v>0</v>
      </c>
      <c r="O90" s="50">
        <f>SUM(O91:O95)</f>
        <v>0</v>
      </c>
      <c r="P90" s="42"/>
      <c r="Q90" s="46"/>
      <c r="R90" s="42"/>
      <c r="S90" s="42"/>
      <c r="T90" s="42"/>
      <c r="U90" s="42"/>
      <c r="V90" s="50">
        <f>SUM(V91:V95)</f>
        <v>0</v>
      </c>
      <c r="W90" s="50">
        <f>SUM(W91:W95)</f>
        <v>0</v>
      </c>
      <c r="X90" s="71"/>
    </row>
    <row r="91" spans="1:24" ht="15" hidden="1" thickBot="1">
      <c r="A91" s="10" t="s">
        <v>49</v>
      </c>
      <c r="B91" s="31"/>
      <c r="C91" s="14"/>
      <c r="D91" s="5"/>
      <c r="E91" s="17"/>
      <c r="F91" s="19"/>
      <c r="G91" s="21"/>
      <c r="H91" s="21"/>
      <c r="I91" s="30"/>
      <c r="J91" s="60">
        <v>0</v>
      </c>
      <c r="K91" s="19"/>
      <c r="L91" s="19"/>
      <c r="M91" s="18"/>
      <c r="N91" s="21">
        <f t="shared" ref="N91:N96" si="78">I91*J91*L91</f>
        <v>0</v>
      </c>
      <c r="O91" s="22">
        <f t="shared" ref="O91:O95" si="79">N91/$O$1</f>
        <v>0</v>
      </c>
      <c r="P91" s="30">
        <v>1</v>
      </c>
      <c r="Q91" s="14"/>
      <c r="R91" s="19" t="s">
        <v>46</v>
      </c>
      <c r="S91" s="19">
        <v>1</v>
      </c>
      <c r="T91" s="18">
        <v>43770</v>
      </c>
      <c r="U91" s="21">
        <f t="shared" ref="U91:U95" si="80">P91*Q91*S91</f>
        <v>0</v>
      </c>
      <c r="V91" s="22">
        <f t="shared" ref="V91:V95" si="81">U91/$O$1</f>
        <v>0</v>
      </c>
      <c r="W91" s="26">
        <f t="shared" ref="W91:W95" si="82">O91+V91</f>
        <v>0</v>
      </c>
      <c r="X91" s="57"/>
    </row>
    <row r="92" spans="1:24" ht="27" hidden="1" thickBot="1">
      <c r="A92" s="10" t="s">
        <v>50</v>
      </c>
      <c r="B92" s="31"/>
      <c r="C92" s="14"/>
      <c r="D92" s="5"/>
      <c r="E92" s="17"/>
      <c r="F92" s="19"/>
      <c r="G92" s="21"/>
      <c r="H92" s="21"/>
      <c r="I92" s="30"/>
      <c r="J92" s="60">
        <v>0</v>
      </c>
      <c r="K92" s="19"/>
      <c r="L92" s="19"/>
      <c r="M92" s="18"/>
      <c r="N92" s="21">
        <f t="shared" si="78"/>
        <v>0</v>
      </c>
      <c r="O92" s="22">
        <f t="shared" si="79"/>
        <v>0</v>
      </c>
      <c r="P92" s="30">
        <v>1</v>
      </c>
      <c r="Q92" s="14"/>
      <c r="R92" s="19" t="s">
        <v>48</v>
      </c>
      <c r="S92" s="19">
        <v>1</v>
      </c>
      <c r="T92" s="18">
        <v>43770</v>
      </c>
      <c r="U92" s="21">
        <f t="shared" si="80"/>
        <v>0</v>
      </c>
      <c r="V92" s="22">
        <f t="shared" si="81"/>
        <v>0</v>
      </c>
      <c r="W92" s="26">
        <f t="shared" si="82"/>
        <v>0</v>
      </c>
      <c r="X92" s="57"/>
    </row>
    <row r="93" spans="1:24" ht="33.6" hidden="1" customHeight="1" thickBot="1">
      <c r="A93" s="10" t="s">
        <v>51</v>
      </c>
      <c r="B93" s="31"/>
      <c r="C93" s="14"/>
      <c r="D93" s="5"/>
      <c r="E93" s="17"/>
      <c r="F93" s="19"/>
      <c r="G93" s="21"/>
      <c r="H93" s="21"/>
      <c r="I93" s="30"/>
      <c r="J93" s="60">
        <v>0</v>
      </c>
      <c r="K93" s="19"/>
      <c r="L93" s="19"/>
      <c r="M93" s="18"/>
      <c r="N93" s="21">
        <f t="shared" si="78"/>
        <v>0</v>
      </c>
      <c r="O93" s="22">
        <f t="shared" si="79"/>
        <v>0</v>
      </c>
      <c r="P93" s="30">
        <v>1</v>
      </c>
      <c r="Q93" s="14"/>
      <c r="R93" s="19" t="s">
        <v>46</v>
      </c>
      <c r="S93" s="19">
        <v>1</v>
      </c>
      <c r="T93" s="18">
        <v>43770</v>
      </c>
      <c r="U93" s="21">
        <f t="shared" si="80"/>
        <v>0</v>
      </c>
      <c r="V93" s="22">
        <f t="shared" si="81"/>
        <v>0</v>
      </c>
      <c r="W93" s="26">
        <f t="shared" si="82"/>
        <v>0</v>
      </c>
      <c r="X93" s="57"/>
    </row>
    <row r="94" spans="1:24" ht="15" hidden="1" thickBot="1">
      <c r="A94" s="10" t="s">
        <v>52</v>
      </c>
      <c r="B94" s="31"/>
      <c r="C94" s="14"/>
      <c r="D94" s="5"/>
      <c r="E94" s="17"/>
      <c r="F94" s="19"/>
      <c r="G94" s="21"/>
      <c r="H94" s="21"/>
      <c r="I94" s="30"/>
      <c r="J94" s="60">
        <v>0</v>
      </c>
      <c r="K94" s="19"/>
      <c r="L94" s="19"/>
      <c r="M94" s="18"/>
      <c r="N94" s="21">
        <f t="shared" si="78"/>
        <v>0</v>
      </c>
      <c r="O94" s="22">
        <f t="shared" si="79"/>
        <v>0</v>
      </c>
      <c r="P94" s="30">
        <v>1</v>
      </c>
      <c r="Q94" s="14"/>
      <c r="R94" s="19" t="s">
        <v>46</v>
      </c>
      <c r="S94" s="19">
        <v>1</v>
      </c>
      <c r="T94" s="18">
        <v>43770</v>
      </c>
      <c r="U94" s="21">
        <f t="shared" si="80"/>
        <v>0</v>
      </c>
      <c r="V94" s="22">
        <f t="shared" si="81"/>
        <v>0</v>
      </c>
      <c r="W94" s="26">
        <f t="shared" si="82"/>
        <v>0</v>
      </c>
      <c r="X94" s="57"/>
    </row>
    <row r="95" spans="1:24" ht="15" hidden="1" thickBot="1">
      <c r="A95" s="10" t="s">
        <v>53</v>
      </c>
      <c r="B95" s="31"/>
      <c r="C95" s="14"/>
      <c r="D95" s="5"/>
      <c r="E95" s="17"/>
      <c r="F95" s="19"/>
      <c r="G95" s="21"/>
      <c r="H95" s="21"/>
      <c r="I95" s="30"/>
      <c r="J95" s="60">
        <v>0</v>
      </c>
      <c r="K95" s="19"/>
      <c r="L95" s="19"/>
      <c r="M95" s="18"/>
      <c r="N95" s="21">
        <f t="shared" si="78"/>
        <v>0</v>
      </c>
      <c r="O95" s="22">
        <f t="shared" si="79"/>
        <v>0</v>
      </c>
      <c r="P95" s="30">
        <v>1</v>
      </c>
      <c r="Q95" s="14"/>
      <c r="R95" s="19" t="s">
        <v>48</v>
      </c>
      <c r="S95" s="19">
        <v>1</v>
      </c>
      <c r="T95" s="18">
        <v>43770</v>
      </c>
      <c r="U95" s="21">
        <f t="shared" si="80"/>
        <v>0</v>
      </c>
      <c r="V95" s="22">
        <f t="shared" si="81"/>
        <v>0</v>
      </c>
      <c r="W95" s="26">
        <f t="shared" si="82"/>
        <v>0</v>
      </c>
      <c r="X95" s="57"/>
    </row>
    <row r="96" spans="1:24" s="20" customFormat="1" ht="41.4" hidden="1" customHeight="1" thickBot="1">
      <c r="A96" s="37" t="s">
        <v>118</v>
      </c>
      <c r="B96" s="45"/>
      <c r="C96" s="46"/>
      <c r="D96" s="42"/>
      <c r="E96" s="42"/>
      <c r="F96" s="42"/>
      <c r="G96" s="50">
        <f>SUM(G97:G102)</f>
        <v>0</v>
      </c>
      <c r="H96" s="47">
        <f>G96</f>
        <v>0</v>
      </c>
      <c r="I96" s="44"/>
      <c r="J96" s="46"/>
      <c r="K96" s="42"/>
      <c r="L96" s="42"/>
      <c r="M96" s="42"/>
      <c r="N96" s="42">
        <f t="shared" si="78"/>
        <v>0</v>
      </c>
      <c r="O96" s="50">
        <f>SUM(O97:O102)</f>
        <v>0</v>
      </c>
      <c r="P96" s="42"/>
      <c r="Q96" s="46"/>
      <c r="R96" s="42"/>
      <c r="S96" s="42"/>
      <c r="T96" s="42"/>
      <c r="U96" s="42"/>
      <c r="V96" s="50">
        <f>SUM(V97:V102)</f>
        <v>0</v>
      </c>
      <c r="W96" s="50">
        <f>SUM(W97:W102)</f>
        <v>0</v>
      </c>
      <c r="X96" s="71"/>
    </row>
    <row r="97" spans="1:24" ht="15" hidden="1" thickBot="1">
      <c r="A97" s="10" t="s">
        <v>47</v>
      </c>
      <c r="B97" s="31"/>
      <c r="C97" s="14"/>
      <c r="D97" s="5"/>
      <c r="E97" s="17"/>
      <c r="F97" s="19"/>
      <c r="G97" s="21">
        <f>B97*C97*E97</f>
        <v>0</v>
      </c>
      <c r="H97" s="21">
        <f>G97</f>
        <v>0</v>
      </c>
      <c r="I97" s="30"/>
      <c r="J97" s="60">
        <v>0</v>
      </c>
      <c r="K97" s="19"/>
      <c r="L97" s="19"/>
      <c r="M97" s="18"/>
      <c r="N97" s="21">
        <f t="shared" ref="N97:N102" si="83">I97*J97*L97</f>
        <v>0</v>
      </c>
      <c r="O97" s="22">
        <f t="shared" ref="O97:O102" si="84">N97/$O$1</f>
        <v>0</v>
      </c>
      <c r="P97" s="30">
        <v>0.5</v>
      </c>
      <c r="Q97" s="14"/>
      <c r="R97" s="19" t="s">
        <v>48</v>
      </c>
      <c r="S97" s="19">
        <v>1</v>
      </c>
      <c r="T97" s="18">
        <v>43770</v>
      </c>
      <c r="U97" s="21">
        <f t="shared" ref="U97:U102" si="85">P97*Q97*S97</f>
        <v>0</v>
      </c>
      <c r="V97" s="22">
        <f t="shared" ref="V97:V102" si="86">U97/$O$1</f>
        <v>0</v>
      </c>
      <c r="W97" s="26">
        <f t="shared" ref="W97:W102" si="87">O97+V97</f>
        <v>0</v>
      </c>
      <c r="X97" s="57"/>
    </row>
    <row r="98" spans="1:24" ht="15" hidden="1" thickBot="1">
      <c r="A98" s="10" t="s">
        <v>49</v>
      </c>
      <c r="B98" s="31"/>
      <c r="C98" s="14"/>
      <c r="D98" s="5"/>
      <c r="E98" s="17"/>
      <c r="F98" s="19"/>
      <c r="G98" s="21"/>
      <c r="H98" s="21"/>
      <c r="I98" s="30"/>
      <c r="J98" s="60">
        <v>0</v>
      </c>
      <c r="K98" s="19"/>
      <c r="L98" s="19"/>
      <c r="M98" s="18"/>
      <c r="N98" s="21">
        <f t="shared" si="83"/>
        <v>0</v>
      </c>
      <c r="O98" s="22">
        <f t="shared" si="84"/>
        <v>0</v>
      </c>
      <c r="P98" s="30">
        <v>1</v>
      </c>
      <c r="Q98" s="14"/>
      <c r="R98" s="19" t="s">
        <v>46</v>
      </c>
      <c r="S98" s="19">
        <v>1</v>
      </c>
      <c r="T98" s="18">
        <v>43770</v>
      </c>
      <c r="U98" s="21">
        <f t="shared" si="85"/>
        <v>0</v>
      </c>
      <c r="V98" s="22">
        <f t="shared" si="86"/>
        <v>0</v>
      </c>
      <c r="W98" s="26">
        <f t="shared" si="87"/>
        <v>0</v>
      </c>
      <c r="X98" s="57"/>
    </row>
    <row r="99" spans="1:24" ht="27" hidden="1" thickBot="1">
      <c r="A99" s="10" t="s">
        <v>50</v>
      </c>
      <c r="B99" s="31"/>
      <c r="C99" s="14"/>
      <c r="D99" s="5"/>
      <c r="E99" s="17"/>
      <c r="F99" s="19"/>
      <c r="G99" s="21"/>
      <c r="H99" s="21"/>
      <c r="I99" s="30"/>
      <c r="J99" s="60">
        <v>0</v>
      </c>
      <c r="K99" s="19"/>
      <c r="L99" s="19"/>
      <c r="M99" s="18"/>
      <c r="N99" s="21">
        <f t="shared" si="83"/>
        <v>0</v>
      </c>
      <c r="O99" s="22">
        <f t="shared" si="84"/>
        <v>0</v>
      </c>
      <c r="P99" s="30">
        <v>1</v>
      </c>
      <c r="Q99" s="14"/>
      <c r="R99" s="19" t="s">
        <v>48</v>
      </c>
      <c r="S99" s="19">
        <v>1</v>
      </c>
      <c r="T99" s="18">
        <v>43770</v>
      </c>
      <c r="U99" s="21">
        <f t="shared" si="85"/>
        <v>0</v>
      </c>
      <c r="V99" s="22">
        <f t="shared" si="86"/>
        <v>0</v>
      </c>
      <c r="W99" s="26">
        <f t="shared" si="87"/>
        <v>0</v>
      </c>
      <c r="X99" s="57"/>
    </row>
    <row r="100" spans="1:24" ht="33.6" hidden="1" customHeight="1" thickBot="1">
      <c r="A100" s="10" t="s">
        <v>51</v>
      </c>
      <c r="B100" s="31"/>
      <c r="C100" s="14"/>
      <c r="D100" s="5"/>
      <c r="E100" s="17"/>
      <c r="F100" s="19"/>
      <c r="G100" s="21"/>
      <c r="H100" s="21"/>
      <c r="I100" s="30"/>
      <c r="J100" s="60">
        <v>0</v>
      </c>
      <c r="K100" s="19"/>
      <c r="L100" s="19"/>
      <c r="M100" s="18"/>
      <c r="N100" s="21">
        <f t="shared" si="83"/>
        <v>0</v>
      </c>
      <c r="O100" s="22">
        <f t="shared" si="84"/>
        <v>0</v>
      </c>
      <c r="P100" s="30">
        <v>1</v>
      </c>
      <c r="Q100" s="14"/>
      <c r="R100" s="19" t="s">
        <v>46</v>
      </c>
      <c r="S100" s="19">
        <v>1</v>
      </c>
      <c r="T100" s="18">
        <v>43770</v>
      </c>
      <c r="U100" s="21">
        <f t="shared" si="85"/>
        <v>0</v>
      </c>
      <c r="V100" s="22">
        <f t="shared" si="86"/>
        <v>0</v>
      </c>
      <c r="W100" s="26">
        <f t="shared" si="87"/>
        <v>0</v>
      </c>
      <c r="X100" s="57"/>
    </row>
    <row r="101" spans="1:24" ht="15" hidden="1" thickBot="1">
      <c r="A101" s="10" t="s">
        <v>52</v>
      </c>
      <c r="B101" s="31"/>
      <c r="C101" s="14"/>
      <c r="D101" s="5"/>
      <c r="E101" s="17"/>
      <c r="F101" s="19"/>
      <c r="G101" s="21"/>
      <c r="H101" s="21"/>
      <c r="I101" s="30"/>
      <c r="J101" s="60">
        <v>0</v>
      </c>
      <c r="K101" s="19"/>
      <c r="L101" s="19"/>
      <c r="M101" s="18"/>
      <c r="N101" s="21">
        <f t="shared" si="83"/>
        <v>0</v>
      </c>
      <c r="O101" s="22">
        <f t="shared" si="84"/>
        <v>0</v>
      </c>
      <c r="P101" s="30">
        <v>1</v>
      </c>
      <c r="Q101" s="14"/>
      <c r="R101" s="19" t="s">
        <v>46</v>
      </c>
      <c r="S101" s="19">
        <v>1</v>
      </c>
      <c r="T101" s="18">
        <v>43770</v>
      </c>
      <c r="U101" s="21">
        <f t="shared" si="85"/>
        <v>0</v>
      </c>
      <c r="V101" s="22">
        <f t="shared" si="86"/>
        <v>0</v>
      </c>
      <c r="W101" s="26">
        <f t="shared" si="87"/>
        <v>0</v>
      </c>
      <c r="X101" s="57"/>
    </row>
    <row r="102" spans="1:24" ht="15" hidden="1" thickBot="1">
      <c r="A102" s="10" t="s">
        <v>53</v>
      </c>
      <c r="B102" s="31"/>
      <c r="C102" s="14"/>
      <c r="D102" s="5"/>
      <c r="E102" s="17"/>
      <c r="F102" s="19"/>
      <c r="G102" s="21"/>
      <c r="H102" s="21"/>
      <c r="I102" s="30"/>
      <c r="J102" s="60">
        <v>0</v>
      </c>
      <c r="K102" s="19"/>
      <c r="L102" s="19"/>
      <c r="M102" s="18"/>
      <c r="N102" s="21">
        <f t="shared" si="83"/>
        <v>0</v>
      </c>
      <c r="O102" s="22">
        <f t="shared" si="84"/>
        <v>0</v>
      </c>
      <c r="P102" s="30">
        <v>1</v>
      </c>
      <c r="Q102" s="14"/>
      <c r="R102" s="19" t="s">
        <v>48</v>
      </c>
      <c r="S102" s="19">
        <v>1</v>
      </c>
      <c r="T102" s="18">
        <v>43770</v>
      </c>
      <c r="U102" s="21">
        <f t="shared" si="85"/>
        <v>0</v>
      </c>
      <c r="V102" s="22">
        <f t="shared" si="86"/>
        <v>0</v>
      </c>
      <c r="W102" s="26">
        <f t="shared" si="87"/>
        <v>0</v>
      </c>
      <c r="X102" s="57"/>
    </row>
    <row r="103" spans="1:24" s="20" customFormat="1" ht="41.4" hidden="1" customHeight="1" thickBot="1">
      <c r="A103" s="84" t="s">
        <v>119</v>
      </c>
      <c r="B103" s="45"/>
      <c r="C103" s="46"/>
      <c r="D103" s="42"/>
      <c r="E103" s="42"/>
      <c r="F103" s="42"/>
      <c r="G103" s="50">
        <f>SUM(G104:G107)</f>
        <v>0</v>
      </c>
      <c r="H103" s="47">
        <f>G103</f>
        <v>0</v>
      </c>
      <c r="I103" s="44"/>
      <c r="J103" s="46"/>
      <c r="K103" s="42"/>
      <c r="L103" s="42"/>
      <c r="M103" s="42"/>
      <c r="N103" s="42"/>
      <c r="O103" s="50">
        <f>SUM(O104:O107)</f>
        <v>0</v>
      </c>
      <c r="P103" s="42"/>
      <c r="Q103" s="46"/>
      <c r="R103" s="42"/>
      <c r="S103" s="42"/>
      <c r="T103" s="42"/>
      <c r="U103" s="42"/>
      <c r="V103" s="50">
        <f>SUM(V104:V107)</f>
        <v>0</v>
      </c>
      <c r="W103" s="50">
        <f>SUM(W104:W107)</f>
        <v>0</v>
      </c>
      <c r="X103" s="71"/>
    </row>
    <row r="104" spans="1:24" ht="15" hidden="1" thickBot="1">
      <c r="A104" s="10" t="s">
        <v>81</v>
      </c>
      <c r="B104" s="31"/>
      <c r="C104" s="14"/>
      <c r="D104" s="5"/>
      <c r="E104" s="17"/>
      <c r="F104" s="19"/>
      <c r="G104" s="21"/>
      <c r="H104" s="21"/>
      <c r="I104" s="30"/>
      <c r="J104" s="60">
        <v>0</v>
      </c>
      <c r="K104" s="19"/>
      <c r="L104" s="19"/>
      <c r="M104" s="18"/>
      <c r="N104" s="21">
        <f t="shared" ref="N104:N114" si="88">I104*J104*L104</f>
        <v>0</v>
      </c>
      <c r="O104" s="22">
        <f t="shared" ref="O104:O107" si="89">N104/$O$1</f>
        <v>0</v>
      </c>
      <c r="P104" s="30">
        <v>1</v>
      </c>
      <c r="Q104" s="14"/>
      <c r="R104" s="19" t="s">
        <v>46</v>
      </c>
      <c r="S104" s="19">
        <v>1</v>
      </c>
      <c r="T104" s="18">
        <v>43770</v>
      </c>
      <c r="U104" s="21">
        <f t="shared" ref="U104:U107" si="90">P104*Q104*S104</f>
        <v>0</v>
      </c>
      <c r="V104" s="22">
        <f t="shared" ref="V104:V107" si="91">U104/$O$1</f>
        <v>0</v>
      </c>
      <c r="W104" s="26">
        <f t="shared" ref="W104:W107" si="92">O104+V104</f>
        <v>0</v>
      </c>
      <c r="X104" s="57"/>
    </row>
    <row r="105" spans="1:24" ht="27" hidden="1" thickBot="1">
      <c r="A105" s="10" t="s">
        <v>82</v>
      </c>
      <c r="B105" s="31"/>
      <c r="C105" s="14"/>
      <c r="D105" s="5"/>
      <c r="E105" s="17"/>
      <c r="F105" s="19"/>
      <c r="G105" s="21"/>
      <c r="H105" s="21"/>
      <c r="I105" s="30"/>
      <c r="J105" s="60">
        <v>0</v>
      </c>
      <c r="K105" s="19"/>
      <c r="L105" s="19"/>
      <c r="M105" s="18"/>
      <c r="N105" s="21">
        <f t="shared" si="88"/>
        <v>0</v>
      </c>
      <c r="O105" s="22">
        <f t="shared" si="89"/>
        <v>0</v>
      </c>
      <c r="P105" s="30">
        <v>1</v>
      </c>
      <c r="Q105" s="14"/>
      <c r="R105" s="19" t="s">
        <v>48</v>
      </c>
      <c r="S105" s="19">
        <v>1</v>
      </c>
      <c r="T105" s="18">
        <v>43770</v>
      </c>
      <c r="U105" s="21">
        <f t="shared" si="90"/>
        <v>0</v>
      </c>
      <c r="V105" s="22">
        <f t="shared" si="91"/>
        <v>0</v>
      </c>
      <c r="W105" s="26">
        <f t="shared" si="92"/>
        <v>0</v>
      </c>
      <c r="X105" s="57"/>
    </row>
    <row r="106" spans="1:24" ht="15" hidden="1" thickBot="1">
      <c r="A106" s="10" t="s">
        <v>52</v>
      </c>
      <c r="B106" s="31"/>
      <c r="C106" s="14"/>
      <c r="D106" s="5"/>
      <c r="E106" s="17"/>
      <c r="F106" s="19"/>
      <c r="G106" s="21"/>
      <c r="H106" s="21"/>
      <c r="I106" s="30"/>
      <c r="J106" s="60">
        <v>0</v>
      </c>
      <c r="K106" s="19"/>
      <c r="L106" s="19"/>
      <c r="M106" s="18"/>
      <c r="N106" s="21">
        <f t="shared" si="88"/>
        <v>0</v>
      </c>
      <c r="O106" s="22">
        <f t="shared" si="89"/>
        <v>0</v>
      </c>
      <c r="P106" s="30">
        <v>1</v>
      </c>
      <c r="Q106" s="14"/>
      <c r="R106" s="19" t="s">
        <v>46</v>
      </c>
      <c r="S106" s="19">
        <v>1</v>
      </c>
      <c r="T106" s="18">
        <v>43770</v>
      </c>
      <c r="U106" s="21">
        <f t="shared" si="90"/>
        <v>0</v>
      </c>
      <c r="V106" s="22">
        <f t="shared" si="91"/>
        <v>0</v>
      </c>
      <c r="W106" s="26">
        <f t="shared" si="92"/>
        <v>0</v>
      </c>
      <c r="X106" s="57"/>
    </row>
    <row r="107" spans="1:24" ht="15" hidden="1" thickBot="1">
      <c r="A107" s="10" t="s">
        <v>83</v>
      </c>
      <c r="B107" s="31"/>
      <c r="C107" s="14"/>
      <c r="D107" s="5"/>
      <c r="E107" s="17"/>
      <c r="F107" s="19"/>
      <c r="G107" s="21"/>
      <c r="H107" s="21"/>
      <c r="I107" s="30"/>
      <c r="J107" s="60">
        <v>0</v>
      </c>
      <c r="K107" s="19"/>
      <c r="L107" s="19"/>
      <c r="M107" s="18"/>
      <c r="N107" s="21">
        <f t="shared" si="88"/>
        <v>0</v>
      </c>
      <c r="O107" s="22">
        <f t="shared" si="89"/>
        <v>0</v>
      </c>
      <c r="P107" s="30">
        <v>1</v>
      </c>
      <c r="Q107" s="14"/>
      <c r="R107" s="19" t="s">
        <v>48</v>
      </c>
      <c r="S107" s="19">
        <v>1</v>
      </c>
      <c r="T107" s="18">
        <v>43770</v>
      </c>
      <c r="U107" s="21">
        <f t="shared" si="90"/>
        <v>0</v>
      </c>
      <c r="V107" s="22">
        <f t="shared" si="91"/>
        <v>0</v>
      </c>
      <c r="W107" s="26">
        <f t="shared" si="92"/>
        <v>0</v>
      </c>
      <c r="X107" s="57"/>
    </row>
    <row r="108" spans="1:24" s="20" customFormat="1" ht="41.4" hidden="1" customHeight="1" thickBot="1">
      <c r="A108" s="37" t="s">
        <v>120</v>
      </c>
      <c r="B108" s="45"/>
      <c r="C108" s="46"/>
      <c r="D108" s="42"/>
      <c r="E108" s="42"/>
      <c r="F108" s="42"/>
      <c r="G108" s="50">
        <f>SUM(G109:G114)</f>
        <v>0</v>
      </c>
      <c r="H108" s="47">
        <f>G108</f>
        <v>0</v>
      </c>
      <c r="I108" s="44"/>
      <c r="J108" s="46"/>
      <c r="K108" s="42"/>
      <c r="L108" s="42"/>
      <c r="M108" s="42"/>
      <c r="N108" s="42">
        <f t="shared" si="88"/>
        <v>0</v>
      </c>
      <c r="O108" s="50">
        <f>SUM(O109:O114)</f>
        <v>0</v>
      </c>
      <c r="P108" s="42"/>
      <c r="Q108" s="46"/>
      <c r="R108" s="42"/>
      <c r="S108" s="42"/>
      <c r="T108" s="42"/>
      <c r="U108" s="42"/>
      <c r="V108" s="50">
        <f>SUM(V109:V114)</f>
        <v>0</v>
      </c>
      <c r="W108" s="50">
        <f>SUM(W109:W114)</f>
        <v>0</v>
      </c>
      <c r="X108" s="71"/>
    </row>
    <row r="109" spans="1:24" ht="15" hidden="1" thickBot="1">
      <c r="A109" s="10" t="s">
        <v>47</v>
      </c>
      <c r="B109" s="31"/>
      <c r="C109" s="14"/>
      <c r="D109" s="5"/>
      <c r="E109" s="17"/>
      <c r="F109" s="19"/>
      <c r="G109" s="21">
        <f>B109*C109*E109</f>
        <v>0</v>
      </c>
      <c r="H109" s="21">
        <f>G109</f>
        <v>0</v>
      </c>
      <c r="I109" s="30"/>
      <c r="J109" s="60">
        <v>0</v>
      </c>
      <c r="K109" s="19"/>
      <c r="L109" s="19"/>
      <c r="M109" s="18"/>
      <c r="N109" s="21">
        <f t="shared" si="88"/>
        <v>0</v>
      </c>
      <c r="O109" s="22">
        <f t="shared" ref="O109:O114" si="93">N109/$O$1</f>
        <v>0</v>
      </c>
      <c r="P109" s="30">
        <v>0.5</v>
      </c>
      <c r="Q109" s="14"/>
      <c r="R109" s="19" t="s">
        <v>48</v>
      </c>
      <c r="S109" s="19">
        <v>1</v>
      </c>
      <c r="T109" s="18">
        <v>43770</v>
      </c>
      <c r="U109" s="21">
        <f t="shared" ref="U109:U114" si="94">P109*Q109*S109</f>
        <v>0</v>
      </c>
      <c r="V109" s="22">
        <f t="shared" ref="V109:V114" si="95">U109/$O$1</f>
        <v>0</v>
      </c>
      <c r="W109" s="26">
        <f t="shared" ref="W109:W114" si="96">O109+V109</f>
        <v>0</v>
      </c>
      <c r="X109" s="57"/>
    </row>
    <row r="110" spans="1:24" ht="15" hidden="1" thickBot="1">
      <c r="A110" s="10" t="s">
        <v>49</v>
      </c>
      <c r="B110" s="31"/>
      <c r="C110" s="14"/>
      <c r="D110" s="5"/>
      <c r="E110" s="17"/>
      <c r="F110" s="19"/>
      <c r="G110" s="21"/>
      <c r="H110" s="21"/>
      <c r="I110" s="30"/>
      <c r="J110" s="60">
        <v>0</v>
      </c>
      <c r="K110" s="19"/>
      <c r="L110" s="19"/>
      <c r="M110" s="18"/>
      <c r="N110" s="21">
        <f t="shared" si="88"/>
        <v>0</v>
      </c>
      <c r="O110" s="22">
        <f t="shared" si="93"/>
        <v>0</v>
      </c>
      <c r="P110" s="30">
        <v>1</v>
      </c>
      <c r="Q110" s="14"/>
      <c r="R110" s="19" t="s">
        <v>46</v>
      </c>
      <c r="S110" s="19">
        <v>1</v>
      </c>
      <c r="T110" s="18">
        <v>43770</v>
      </c>
      <c r="U110" s="21">
        <f t="shared" si="94"/>
        <v>0</v>
      </c>
      <c r="V110" s="22">
        <f t="shared" si="95"/>
        <v>0</v>
      </c>
      <c r="W110" s="26">
        <f t="shared" si="96"/>
        <v>0</v>
      </c>
      <c r="X110" s="57"/>
    </row>
    <row r="111" spans="1:24" ht="15" hidden="1" thickBot="1">
      <c r="A111" s="10" t="s">
        <v>84</v>
      </c>
      <c r="B111" s="31"/>
      <c r="C111" s="14"/>
      <c r="D111" s="5"/>
      <c r="E111" s="17"/>
      <c r="F111" s="19"/>
      <c r="G111" s="21"/>
      <c r="H111" s="21"/>
      <c r="I111" s="30"/>
      <c r="J111" s="60">
        <v>0</v>
      </c>
      <c r="K111" s="19"/>
      <c r="L111" s="19"/>
      <c r="M111" s="18"/>
      <c r="N111" s="21">
        <f t="shared" si="88"/>
        <v>0</v>
      </c>
      <c r="O111" s="22">
        <f t="shared" si="93"/>
        <v>0</v>
      </c>
      <c r="P111" s="30">
        <v>1</v>
      </c>
      <c r="Q111" s="14"/>
      <c r="R111" s="19" t="s">
        <v>48</v>
      </c>
      <c r="S111" s="19">
        <v>1</v>
      </c>
      <c r="T111" s="18">
        <v>43770</v>
      </c>
      <c r="U111" s="21">
        <f t="shared" si="94"/>
        <v>0</v>
      </c>
      <c r="V111" s="22">
        <f t="shared" si="95"/>
        <v>0</v>
      </c>
      <c r="W111" s="26">
        <f t="shared" si="96"/>
        <v>0</v>
      </c>
      <c r="X111" s="57"/>
    </row>
    <row r="112" spans="1:24" ht="33.6" hidden="1" customHeight="1" thickBot="1">
      <c r="A112" s="10" t="s">
        <v>51</v>
      </c>
      <c r="B112" s="31"/>
      <c r="C112" s="14"/>
      <c r="D112" s="5"/>
      <c r="E112" s="17"/>
      <c r="F112" s="19"/>
      <c r="G112" s="21"/>
      <c r="H112" s="21"/>
      <c r="I112" s="30"/>
      <c r="J112" s="60">
        <v>0</v>
      </c>
      <c r="K112" s="19"/>
      <c r="L112" s="19"/>
      <c r="M112" s="18"/>
      <c r="N112" s="21">
        <f t="shared" si="88"/>
        <v>0</v>
      </c>
      <c r="O112" s="22">
        <f t="shared" si="93"/>
        <v>0</v>
      </c>
      <c r="P112" s="30">
        <v>1</v>
      </c>
      <c r="Q112" s="14"/>
      <c r="R112" s="19" t="s">
        <v>46</v>
      </c>
      <c r="S112" s="19">
        <v>1</v>
      </c>
      <c r="T112" s="18">
        <v>43770</v>
      </c>
      <c r="U112" s="21">
        <f t="shared" si="94"/>
        <v>0</v>
      </c>
      <c r="V112" s="22">
        <f t="shared" si="95"/>
        <v>0</v>
      </c>
      <c r="W112" s="26">
        <f t="shared" si="96"/>
        <v>0</v>
      </c>
      <c r="X112" s="57"/>
    </row>
    <row r="113" spans="1:24" ht="15" hidden="1" thickBot="1">
      <c r="A113" s="10" t="s">
        <v>52</v>
      </c>
      <c r="B113" s="31"/>
      <c r="C113" s="14"/>
      <c r="D113" s="5"/>
      <c r="E113" s="17"/>
      <c r="F113" s="19"/>
      <c r="G113" s="21"/>
      <c r="H113" s="21"/>
      <c r="I113" s="30"/>
      <c r="J113" s="60">
        <v>0</v>
      </c>
      <c r="K113" s="19"/>
      <c r="L113" s="19"/>
      <c r="M113" s="18"/>
      <c r="N113" s="21">
        <f t="shared" si="88"/>
        <v>0</v>
      </c>
      <c r="O113" s="22">
        <f t="shared" si="93"/>
        <v>0</v>
      </c>
      <c r="P113" s="30">
        <v>1</v>
      </c>
      <c r="Q113" s="14"/>
      <c r="R113" s="19" t="s">
        <v>46</v>
      </c>
      <c r="S113" s="19">
        <v>1</v>
      </c>
      <c r="T113" s="18">
        <v>43770</v>
      </c>
      <c r="U113" s="21">
        <f t="shared" si="94"/>
        <v>0</v>
      </c>
      <c r="V113" s="22">
        <f t="shared" si="95"/>
        <v>0</v>
      </c>
      <c r="W113" s="26">
        <f t="shared" si="96"/>
        <v>0</v>
      </c>
      <c r="X113" s="57"/>
    </row>
    <row r="114" spans="1:24" ht="15" hidden="1" thickBot="1">
      <c r="A114" s="10" t="s">
        <v>53</v>
      </c>
      <c r="B114" s="31"/>
      <c r="C114" s="14"/>
      <c r="D114" s="5"/>
      <c r="E114" s="17"/>
      <c r="F114" s="19"/>
      <c r="G114" s="21"/>
      <c r="H114" s="21"/>
      <c r="I114" s="30"/>
      <c r="J114" s="60">
        <v>0</v>
      </c>
      <c r="K114" s="19"/>
      <c r="L114" s="19"/>
      <c r="M114" s="18"/>
      <c r="N114" s="21">
        <f t="shared" si="88"/>
        <v>0</v>
      </c>
      <c r="O114" s="22">
        <f t="shared" si="93"/>
        <v>0</v>
      </c>
      <c r="P114" s="30">
        <v>1</v>
      </c>
      <c r="Q114" s="14"/>
      <c r="R114" s="19" t="s">
        <v>48</v>
      </c>
      <c r="S114" s="19">
        <v>1</v>
      </c>
      <c r="T114" s="18">
        <v>43770</v>
      </c>
      <c r="U114" s="21">
        <f t="shared" si="94"/>
        <v>0</v>
      </c>
      <c r="V114" s="22">
        <f t="shared" si="95"/>
        <v>0</v>
      </c>
      <c r="W114" s="26">
        <f t="shared" si="96"/>
        <v>0</v>
      </c>
      <c r="X114" s="57"/>
    </row>
    <row r="115" spans="1:24" s="20" customFormat="1" ht="41.4" hidden="1" customHeight="1" thickBot="1">
      <c r="A115" s="37" t="s">
        <v>121</v>
      </c>
      <c r="B115" s="45"/>
      <c r="C115" s="46"/>
      <c r="D115" s="42"/>
      <c r="E115" s="42"/>
      <c r="F115" s="42"/>
      <c r="G115" s="50">
        <f>SUM(G116:G120)</f>
        <v>0</v>
      </c>
      <c r="H115" s="47">
        <f>G115</f>
        <v>0</v>
      </c>
      <c r="I115" s="44"/>
      <c r="J115" s="46"/>
      <c r="K115" s="42"/>
      <c r="L115" s="42"/>
      <c r="M115" s="42"/>
      <c r="N115" s="42">
        <f t="shared" ref="N115:N120" si="97">I115*J115*L115</f>
        <v>0</v>
      </c>
      <c r="O115" s="50">
        <f>SUM(O116:O120)</f>
        <v>0</v>
      </c>
      <c r="P115" s="42"/>
      <c r="Q115" s="46"/>
      <c r="R115" s="42"/>
      <c r="S115" s="42"/>
      <c r="T115" s="42"/>
      <c r="U115" s="42"/>
      <c r="V115" s="50">
        <f>SUM(V116:V120)</f>
        <v>0</v>
      </c>
      <c r="W115" s="50">
        <f>SUM(W116:W120)</f>
        <v>0</v>
      </c>
      <c r="X115" s="71"/>
    </row>
    <row r="116" spans="1:24" ht="15" hidden="1" thickBot="1">
      <c r="A116" s="10" t="s">
        <v>49</v>
      </c>
      <c r="B116" s="31"/>
      <c r="C116" s="14"/>
      <c r="D116" s="5"/>
      <c r="E116" s="17"/>
      <c r="F116" s="19"/>
      <c r="G116" s="21"/>
      <c r="H116" s="21"/>
      <c r="I116" s="30"/>
      <c r="J116" s="60">
        <v>0</v>
      </c>
      <c r="K116" s="19"/>
      <c r="L116" s="19"/>
      <c r="M116" s="18"/>
      <c r="N116" s="21">
        <f t="shared" si="97"/>
        <v>0</v>
      </c>
      <c r="O116" s="22">
        <f t="shared" ref="O116:O120" si="98">N116/$O$1</f>
        <v>0</v>
      </c>
      <c r="P116" s="30">
        <v>1</v>
      </c>
      <c r="Q116" s="14"/>
      <c r="R116" s="19" t="s">
        <v>46</v>
      </c>
      <c r="S116" s="19">
        <v>1</v>
      </c>
      <c r="T116" s="18">
        <v>43770</v>
      </c>
      <c r="U116" s="21">
        <f t="shared" ref="U116:U120" si="99">P116*Q116*S116</f>
        <v>0</v>
      </c>
      <c r="V116" s="22">
        <f t="shared" ref="V116:V120" si="100">U116/$O$1</f>
        <v>0</v>
      </c>
      <c r="W116" s="26">
        <f t="shared" ref="W116:W120" si="101">O116+V116</f>
        <v>0</v>
      </c>
      <c r="X116" s="57"/>
    </row>
    <row r="117" spans="1:24" ht="15" hidden="1" thickBot="1">
      <c r="A117" s="10" t="s">
        <v>84</v>
      </c>
      <c r="B117" s="31"/>
      <c r="C117" s="14"/>
      <c r="D117" s="5"/>
      <c r="E117" s="17"/>
      <c r="F117" s="19"/>
      <c r="G117" s="21"/>
      <c r="H117" s="21"/>
      <c r="I117" s="30"/>
      <c r="J117" s="60">
        <v>0</v>
      </c>
      <c r="K117" s="19"/>
      <c r="L117" s="19"/>
      <c r="M117" s="18"/>
      <c r="N117" s="21">
        <f t="shared" si="97"/>
        <v>0</v>
      </c>
      <c r="O117" s="22">
        <f t="shared" si="98"/>
        <v>0</v>
      </c>
      <c r="P117" s="30">
        <v>1</v>
      </c>
      <c r="Q117" s="14"/>
      <c r="R117" s="19" t="s">
        <v>48</v>
      </c>
      <c r="S117" s="19">
        <v>1</v>
      </c>
      <c r="T117" s="18">
        <v>43770</v>
      </c>
      <c r="U117" s="21">
        <f t="shared" si="99"/>
        <v>0</v>
      </c>
      <c r="V117" s="22">
        <f t="shared" si="100"/>
        <v>0</v>
      </c>
      <c r="W117" s="26">
        <f t="shared" si="101"/>
        <v>0</v>
      </c>
      <c r="X117" s="57"/>
    </row>
    <row r="118" spans="1:24" ht="33.6" hidden="1" customHeight="1" thickBot="1">
      <c r="A118" s="10" t="s">
        <v>51</v>
      </c>
      <c r="B118" s="31"/>
      <c r="C118" s="14"/>
      <c r="D118" s="5"/>
      <c r="E118" s="17"/>
      <c r="F118" s="19"/>
      <c r="G118" s="21"/>
      <c r="H118" s="21"/>
      <c r="I118" s="30"/>
      <c r="J118" s="60">
        <v>0</v>
      </c>
      <c r="K118" s="19"/>
      <c r="L118" s="19"/>
      <c r="M118" s="18"/>
      <c r="N118" s="21">
        <f t="shared" si="97"/>
        <v>0</v>
      </c>
      <c r="O118" s="22">
        <f t="shared" si="98"/>
        <v>0</v>
      </c>
      <c r="P118" s="30">
        <v>1</v>
      </c>
      <c r="Q118" s="14"/>
      <c r="R118" s="19" t="s">
        <v>46</v>
      </c>
      <c r="S118" s="19">
        <v>1</v>
      </c>
      <c r="T118" s="18">
        <v>43770</v>
      </c>
      <c r="U118" s="21">
        <f t="shared" si="99"/>
        <v>0</v>
      </c>
      <c r="V118" s="22">
        <f t="shared" si="100"/>
        <v>0</v>
      </c>
      <c r="W118" s="26">
        <f t="shared" si="101"/>
        <v>0</v>
      </c>
      <c r="X118" s="57"/>
    </row>
    <row r="119" spans="1:24" ht="15" hidden="1" thickBot="1">
      <c r="A119" s="10" t="s">
        <v>52</v>
      </c>
      <c r="B119" s="31"/>
      <c r="C119" s="14"/>
      <c r="D119" s="5"/>
      <c r="E119" s="17"/>
      <c r="F119" s="19"/>
      <c r="G119" s="21"/>
      <c r="H119" s="21"/>
      <c r="I119" s="30"/>
      <c r="J119" s="60">
        <v>0</v>
      </c>
      <c r="K119" s="19"/>
      <c r="L119" s="19"/>
      <c r="M119" s="18"/>
      <c r="N119" s="21">
        <f t="shared" si="97"/>
        <v>0</v>
      </c>
      <c r="O119" s="22">
        <f t="shared" si="98"/>
        <v>0</v>
      </c>
      <c r="P119" s="30">
        <v>1</v>
      </c>
      <c r="Q119" s="14"/>
      <c r="R119" s="19" t="s">
        <v>46</v>
      </c>
      <c r="S119" s="19">
        <v>1</v>
      </c>
      <c r="T119" s="18">
        <v>43770</v>
      </c>
      <c r="U119" s="21">
        <f t="shared" si="99"/>
        <v>0</v>
      </c>
      <c r="V119" s="22">
        <f t="shared" si="100"/>
        <v>0</v>
      </c>
      <c r="W119" s="26">
        <f t="shared" si="101"/>
        <v>0</v>
      </c>
      <c r="X119" s="57"/>
    </row>
    <row r="120" spans="1:24" ht="15" hidden="1" thickBot="1">
      <c r="A120" s="10" t="s">
        <v>53</v>
      </c>
      <c r="B120" s="31"/>
      <c r="C120" s="14"/>
      <c r="D120" s="5"/>
      <c r="E120" s="17"/>
      <c r="F120" s="19"/>
      <c r="G120" s="21"/>
      <c r="H120" s="21"/>
      <c r="I120" s="30"/>
      <c r="J120" s="60">
        <v>0</v>
      </c>
      <c r="K120" s="19"/>
      <c r="L120" s="19"/>
      <c r="M120" s="18"/>
      <c r="N120" s="21">
        <f t="shared" si="97"/>
        <v>0</v>
      </c>
      <c r="O120" s="22">
        <f t="shared" si="98"/>
        <v>0</v>
      </c>
      <c r="P120" s="30">
        <v>1</v>
      </c>
      <c r="Q120" s="14"/>
      <c r="R120" s="19" t="s">
        <v>48</v>
      </c>
      <c r="S120" s="19">
        <v>1</v>
      </c>
      <c r="T120" s="18">
        <v>43770</v>
      </c>
      <c r="U120" s="21">
        <f t="shared" si="99"/>
        <v>0</v>
      </c>
      <c r="V120" s="22">
        <f t="shared" si="100"/>
        <v>0</v>
      </c>
      <c r="W120" s="26">
        <f t="shared" si="101"/>
        <v>0</v>
      </c>
      <c r="X120" s="57"/>
    </row>
    <row r="121" spans="1:24" s="20" customFormat="1" ht="41.4" hidden="1" customHeight="1" thickBot="1">
      <c r="A121" s="37" t="s">
        <v>140</v>
      </c>
      <c r="B121" s="45"/>
      <c r="C121" s="46"/>
      <c r="D121" s="42"/>
      <c r="E121" s="42"/>
      <c r="F121" s="42"/>
      <c r="G121" s="50">
        <f>SUM(G122)</f>
        <v>0</v>
      </c>
      <c r="H121" s="47">
        <f t="shared" ref="H121:H128" si="102">G121</f>
        <v>0</v>
      </c>
      <c r="I121" s="44"/>
      <c r="J121" s="46"/>
      <c r="K121" s="42"/>
      <c r="L121" s="42"/>
      <c r="M121" s="42"/>
      <c r="N121" s="42"/>
      <c r="O121" s="50">
        <f>SUM(O122:O124)</f>
        <v>0</v>
      </c>
      <c r="P121" s="42"/>
      <c r="Q121" s="46"/>
      <c r="R121" s="42"/>
      <c r="S121" s="42"/>
      <c r="T121" s="42"/>
      <c r="U121" s="42"/>
      <c r="V121" s="50">
        <f>SUM(V122:V124)</f>
        <v>0</v>
      </c>
      <c r="W121" s="50">
        <f>SUM(W122:W124)</f>
        <v>0</v>
      </c>
    </row>
    <row r="122" spans="1:24" ht="15" hidden="1" thickBot="1">
      <c r="A122" s="10" t="s">
        <v>55</v>
      </c>
      <c r="B122" s="31"/>
      <c r="C122" s="14"/>
      <c r="D122" s="5"/>
      <c r="E122" s="17"/>
      <c r="F122" s="19"/>
      <c r="G122" s="21">
        <f t="shared" ref="G122:G128" si="103">B122*C122*E122</f>
        <v>0</v>
      </c>
      <c r="H122" s="21">
        <f t="shared" si="102"/>
        <v>0</v>
      </c>
      <c r="I122" s="30"/>
      <c r="J122" s="14"/>
      <c r="K122" s="19"/>
      <c r="L122" s="19"/>
      <c r="M122" s="18"/>
      <c r="N122" s="21">
        <f t="shared" ref="N122" si="104">I122*J122*L122</f>
        <v>0</v>
      </c>
      <c r="O122" s="22">
        <f t="shared" ref="O122:O131" si="105">N122/$O$1</f>
        <v>0</v>
      </c>
      <c r="P122" s="30">
        <v>1</v>
      </c>
      <c r="Q122" s="14"/>
      <c r="R122" s="19" t="s">
        <v>46</v>
      </c>
      <c r="S122" s="19">
        <v>2</v>
      </c>
      <c r="T122" s="18">
        <v>43770</v>
      </c>
      <c r="U122" s="21">
        <f t="shared" ref="U122" si="106">P122*Q122*S122</f>
        <v>0</v>
      </c>
      <c r="V122" s="22">
        <f t="shared" ref="V122:V129" si="107">U122/$O$1</f>
        <v>0</v>
      </c>
      <c r="W122" s="26">
        <f t="shared" ref="W122:W131" si="108">O122+V122</f>
        <v>0</v>
      </c>
    </row>
    <row r="123" spans="1:24" ht="15" hidden="1" thickBot="1">
      <c r="A123" s="10" t="s">
        <v>56</v>
      </c>
      <c r="B123" s="31"/>
      <c r="C123" s="14"/>
      <c r="D123" s="5"/>
      <c r="E123" s="17"/>
      <c r="F123" s="19"/>
      <c r="G123" s="21"/>
      <c r="H123" s="21"/>
      <c r="I123" s="30"/>
      <c r="J123" s="14"/>
      <c r="K123" s="19"/>
      <c r="L123" s="19"/>
      <c r="M123" s="18"/>
      <c r="N123" s="21">
        <f t="shared" ref="N123:N124" si="109">I123*J123*L123</f>
        <v>0</v>
      </c>
      <c r="O123" s="22">
        <f t="shared" ref="O123:O124" si="110">N123/$O$1</f>
        <v>0</v>
      </c>
      <c r="P123" s="30">
        <v>1</v>
      </c>
      <c r="Q123" s="14"/>
      <c r="R123" s="19" t="s">
        <v>46</v>
      </c>
      <c r="S123" s="19">
        <v>2</v>
      </c>
      <c r="T123" s="18">
        <v>43770</v>
      </c>
      <c r="U123" s="21">
        <f t="shared" ref="U123:U124" si="111">P123*Q123*S123</f>
        <v>0</v>
      </c>
      <c r="V123" s="22">
        <f t="shared" ref="V123:V124" si="112">U123/$O$1</f>
        <v>0</v>
      </c>
      <c r="W123" s="26">
        <f t="shared" si="108"/>
        <v>0</v>
      </c>
    </row>
    <row r="124" spans="1:24" ht="15" hidden="1" thickBot="1">
      <c r="A124" s="10" t="s">
        <v>141</v>
      </c>
      <c r="B124" s="31"/>
      <c r="C124" s="14"/>
      <c r="D124" s="5"/>
      <c r="E124" s="17"/>
      <c r="F124" s="19"/>
      <c r="G124" s="21"/>
      <c r="H124" s="21"/>
      <c r="I124" s="30"/>
      <c r="J124" s="14"/>
      <c r="K124" s="19"/>
      <c r="L124" s="19"/>
      <c r="M124" s="18"/>
      <c r="N124" s="21">
        <f t="shared" si="109"/>
        <v>0</v>
      </c>
      <c r="O124" s="22">
        <f t="shared" si="110"/>
        <v>0</v>
      </c>
      <c r="P124" s="30">
        <v>1</v>
      </c>
      <c r="Q124" s="14"/>
      <c r="R124" s="19" t="s">
        <v>46</v>
      </c>
      <c r="S124" s="19">
        <v>2</v>
      </c>
      <c r="T124" s="18">
        <v>43770</v>
      </c>
      <c r="U124" s="21">
        <f t="shared" si="111"/>
        <v>0</v>
      </c>
      <c r="V124" s="22">
        <f t="shared" si="112"/>
        <v>0</v>
      </c>
      <c r="W124" s="26">
        <f t="shared" si="108"/>
        <v>0</v>
      </c>
    </row>
    <row r="125" spans="1:24" s="20" customFormat="1" ht="41.4" hidden="1" customHeight="1" thickBot="1">
      <c r="A125" s="37" t="s">
        <v>122</v>
      </c>
      <c r="B125" s="45"/>
      <c r="C125" s="46"/>
      <c r="D125" s="42"/>
      <c r="E125" s="42"/>
      <c r="F125" s="42"/>
      <c r="G125" s="50">
        <f>SUM(G126:G129)</f>
        <v>0</v>
      </c>
      <c r="H125" s="47">
        <f t="shared" si="102"/>
        <v>0</v>
      </c>
      <c r="I125" s="44"/>
      <c r="J125" s="46"/>
      <c r="K125" s="42"/>
      <c r="L125" s="42"/>
      <c r="M125" s="42"/>
      <c r="N125" s="42"/>
      <c r="O125" s="50">
        <f>SUM(O126:O129)</f>
        <v>0</v>
      </c>
      <c r="P125" s="42"/>
      <c r="Q125" s="46"/>
      <c r="R125" s="42"/>
      <c r="S125" s="42"/>
      <c r="T125" s="42"/>
      <c r="U125" s="42"/>
      <c r="V125" s="50">
        <f>SUM(V126:V129)</f>
        <v>0</v>
      </c>
      <c r="W125" s="50">
        <f>SUM(W126:W129)</f>
        <v>0</v>
      </c>
    </row>
    <row r="126" spans="1:24" ht="15" hidden="1" thickBot="1">
      <c r="A126" s="10" t="s">
        <v>57</v>
      </c>
      <c r="B126" s="31"/>
      <c r="C126" s="14"/>
      <c r="D126" s="5"/>
      <c r="E126" s="17"/>
      <c r="F126" s="19"/>
      <c r="G126" s="21">
        <f t="shared" si="103"/>
        <v>0</v>
      </c>
      <c r="H126" s="21">
        <f t="shared" si="102"/>
        <v>0</v>
      </c>
      <c r="I126" s="30"/>
      <c r="J126" s="14"/>
      <c r="K126" s="19"/>
      <c r="L126" s="19"/>
      <c r="M126" s="18"/>
      <c r="N126" s="21">
        <f>I126*J126*L126</f>
        <v>0</v>
      </c>
      <c r="O126" s="22">
        <f t="shared" si="105"/>
        <v>0</v>
      </c>
      <c r="P126" s="30">
        <v>1</v>
      </c>
      <c r="Q126" s="14"/>
      <c r="R126" s="19" t="s">
        <v>46</v>
      </c>
      <c r="S126" s="19">
        <v>1</v>
      </c>
      <c r="T126" s="18">
        <v>43922</v>
      </c>
      <c r="U126" s="21">
        <f>P126*Q126*S126</f>
        <v>0</v>
      </c>
      <c r="V126" s="22">
        <f t="shared" si="107"/>
        <v>0</v>
      </c>
      <c r="W126" s="26">
        <f t="shared" si="108"/>
        <v>0</v>
      </c>
    </row>
    <row r="127" spans="1:24" ht="15" hidden="1" thickBot="1">
      <c r="A127" s="10" t="s">
        <v>58</v>
      </c>
      <c r="B127" s="31"/>
      <c r="C127" s="14"/>
      <c r="D127" s="5"/>
      <c r="E127" s="17"/>
      <c r="F127" s="19"/>
      <c r="G127" s="21">
        <f t="shared" si="103"/>
        <v>0</v>
      </c>
      <c r="H127" s="21">
        <f t="shared" si="102"/>
        <v>0</v>
      </c>
      <c r="I127" s="30"/>
      <c r="J127" s="14"/>
      <c r="K127" s="19"/>
      <c r="L127" s="19"/>
      <c r="M127" s="18"/>
      <c r="N127" s="21">
        <f t="shared" ref="N127:N129" si="113">I127*J127*L127</f>
        <v>0</v>
      </c>
      <c r="O127" s="22">
        <f t="shared" si="105"/>
        <v>0</v>
      </c>
      <c r="P127" s="30">
        <v>1</v>
      </c>
      <c r="Q127" s="14"/>
      <c r="R127" s="19" t="s">
        <v>48</v>
      </c>
      <c r="S127" s="19">
        <v>1</v>
      </c>
      <c r="T127" s="18">
        <v>43952</v>
      </c>
      <c r="U127" s="21">
        <f t="shared" ref="U127:U129" si="114">P127*Q127*S127</f>
        <v>0</v>
      </c>
      <c r="V127" s="22">
        <f t="shared" si="107"/>
        <v>0</v>
      </c>
      <c r="W127" s="26">
        <f t="shared" si="108"/>
        <v>0</v>
      </c>
    </row>
    <row r="128" spans="1:24" ht="15" hidden="1" thickBot="1">
      <c r="A128" s="10" t="s">
        <v>142</v>
      </c>
      <c r="B128" s="31"/>
      <c r="C128" s="14"/>
      <c r="D128" s="5"/>
      <c r="E128" s="17"/>
      <c r="F128" s="19"/>
      <c r="G128" s="21">
        <f t="shared" si="103"/>
        <v>0</v>
      </c>
      <c r="H128" s="21">
        <f t="shared" si="102"/>
        <v>0</v>
      </c>
      <c r="I128" s="30"/>
      <c r="J128" s="14"/>
      <c r="K128" s="19"/>
      <c r="L128" s="19"/>
      <c r="M128" s="18"/>
      <c r="N128" s="21">
        <f t="shared" si="113"/>
        <v>0</v>
      </c>
      <c r="O128" s="22">
        <f t="shared" si="105"/>
        <v>0</v>
      </c>
      <c r="P128" s="30">
        <v>1</v>
      </c>
      <c r="Q128" s="14"/>
      <c r="R128" s="19" t="s">
        <v>48</v>
      </c>
      <c r="S128" s="19">
        <v>1</v>
      </c>
      <c r="T128" s="18">
        <v>43983</v>
      </c>
      <c r="U128" s="21">
        <f t="shared" si="114"/>
        <v>0</v>
      </c>
      <c r="V128" s="22">
        <f t="shared" si="107"/>
        <v>0</v>
      </c>
      <c r="W128" s="26">
        <f t="shared" si="108"/>
        <v>0</v>
      </c>
    </row>
    <row r="129" spans="1:24" ht="15" hidden="1" thickBot="1">
      <c r="A129" s="10" t="s">
        <v>143</v>
      </c>
      <c r="B129" s="31"/>
      <c r="C129" s="14"/>
      <c r="D129" s="5"/>
      <c r="E129" s="17"/>
      <c r="F129" s="19"/>
      <c r="G129" s="21"/>
      <c r="H129" s="21"/>
      <c r="I129" s="30"/>
      <c r="J129" s="14"/>
      <c r="K129" s="19"/>
      <c r="L129" s="19"/>
      <c r="M129" s="18"/>
      <c r="N129" s="21">
        <f t="shared" si="113"/>
        <v>0</v>
      </c>
      <c r="O129" s="22">
        <f t="shared" si="105"/>
        <v>0</v>
      </c>
      <c r="P129" s="30">
        <v>1</v>
      </c>
      <c r="Q129" s="14"/>
      <c r="R129" s="19" t="s">
        <v>46</v>
      </c>
      <c r="S129" s="19">
        <v>1</v>
      </c>
      <c r="T129" s="18">
        <v>44013</v>
      </c>
      <c r="U129" s="21">
        <f t="shared" si="114"/>
        <v>0</v>
      </c>
      <c r="V129" s="22">
        <f t="shared" si="107"/>
        <v>0</v>
      </c>
      <c r="W129" s="26">
        <f t="shared" si="108"/>
        <v>0</v>
      </c>
    </row>
    <row r="130" spans="1:24" s="20" customFormat="1" ht="59.4" hidden="1" customHeight="1" thickBot="1">
      <c r="A130" s="37" t="s">
        <v>85</v>
      </c>
      <c r="B130" s="45"/>
      <c r="C130" s="46"/>
      <c r="D130" s="42"/>
      <c r="E130" s="42"/>
      <c r="F130" s="42"/>
      <c r="G130" s="50">
        <f>SUM(G131:G131)</f>
        <v>0</v>
      </c>
      <c r="H130" s="47"/>
      <c r="I130" s="44"/>
      <c r="J130" s="46"/>
      <c r="K130" s="42"/>
      <c r="L130" s="42"/>
      <c r="M130" s="42"/>
      <c r="N130" s="42"/>
      <c r="O130" s="50">
        <f>SUM(O131:O131)</f>
        <v>0</v>
      </c>
      <c r="P130" s="42"/>
      <c r="Q130" s="46"/>
      <c r="R130" s="42"/>
      <c r="S130" s="42"/>
      <c r="T130" s="42"/>
      <c r="U130" s="42"/>
      <c r="V130" s="50">
        <f>SUM(V131:V131)</f>
        <v>0</v>
      </c>
      <c r="W130" s="50">
        <f>SUM(W131:W131)</f>
        <v>0</v>
      </c>
    </row>
    <row r="131" spans="1:24" ht="15" hidden="1" thickBot="1">
      <c r="A131" s="10" t="s">
        <v>123</v>
      </c>
      <c r="B131" s="31"/>
      <c r="C131" s="14"/>
      <c r="D131" s="5"/>
      <c r="E131" s="17"/>
      <c r="F131" s="19"/>
      <c r="G131" s="21">
        <f>B131*C131*E131</f>
        <v>0</v>
      </c>
      <c r="H131" s="21">
        <f>G131</f>
        <v>0</v>
      </c>
      <c r="I131" s="13"/>
      <c r="J131" s="14"/>
      <c r="K131" s="5"/>
      <c r="L131" s="19"/>
      <c r="M131" s="18"/>
      <c r="N131" s="21">
        <f t="shared" ref="N131" si="115">I131*J131*L131</f>
        <v>0</v>
      </c>
      <c r="O131" s="22">
        <f t="shared" si="105"/>
        <v>0</v>
      </c>
      <c r="P131" s="13">
        <v>1</v>
      </c>
      <c r="Q131" s="14"/>
      <c r="R131" s="5" t="s">
        <v>46</v>
      </c>
      <c r="S131" s="19">
        <v>1</v>
      </c>
      <c r="T131" s="18">
        <v>43952</v>
      </c>
      <c r="U131" s="21">
        <f t="shared" ref="U131" si="116">P131*Q131*S131</f>
        <v>0</v>
      </c>
      <c r="V131" s="22">
        <f t="shared" ref="V131" si="117">U131/$O$1</f>
        <v>0</v>
      </c>
      <c r="W131" s="26">
        <f t="shared" si="108"/>
        <v>0</v>
      </c>
    </row>
    <row r="132" spans="1:24" s="20" customFormat="1" ht="59.4" hidden="1" customHeight="1" thickBot="1">
      <c r="A132" s="37" t="s">
        <v>86</v>
      </c>
      <c r="B132" s="45"/>
      <c r="C132" s="46"/>
      <c r="D132" s="42"/>
      <c r="E132" s="42"/>
      <c r="F132" s="42"/>
      <c r="G132" s="50">
        <f>SUM(G133)</f>
        <v>0</v>
      </c>
      <c r="H132" s="47"/>
      <c r="I132" s="44"/>
      <c r="J132" s="46"/>
      <c r="K132" s="42"/>
      <c r="L132" s="42"/>
      <c r="M132" s="42"/>
      <c r="N132" s="42"/>
      <c r="O132" s="50">
        <f>SUM(O133:O133)</f>
        <v>0</v>
      </c>
      <c r="P132" s="42"/>
      <c r="Q132" s="46"/>
      <c r="R132" s="42"/>
      <c r="S132" s="42"/>
      <c r="T132" s="42"/>
      <c r="U132" s="42"/>
      <c r="V132" s="50">
        <f>SUM(V133:V133)</f>
        <v>0</v>
      </c>
      <c r="W132" s="50">
        <f>SUM(W133:W133)</f>
        <v>0</v>
      </c>
    </row>
    <row r="133" spans="1:24" ht="15" hidden="1" thickBot="1">
      <c r="A133" s="10" t="s">
        <v>59</v>
      </c>
      <c r="B133" s="31"/>
      <c r="C133" s="14"/>
      <c r="D133" s="5"/>
      <c r="E133" s="17"/>
      <c r="F133" s="19"/>
      <c r="G133" s="21">
        <f>B133*C133*E133</f>
        <v>0</v>
      </c>
      <c r="H133" s="21">
        <f>G133</f>
        <v>0</v>
      </c>
      <c r="I133" s="13"/>
      <c r="J133" s="14"/>
      <c r="K133" s="17"/>
      <c r="L133" s="19"/>
      <c r="M133" s="18"/>
      <c r="N133" s="21">
        <f>I133*J133*L133</f>
        <v>0</v>
      </c>
      <c r="O133" s="22">
        <f>N133/$O$1</f>
        <v>0</v>
      </c>
      <c r="P133" s="13">
        <v>1</v>
      </c>
      <c r="Q133" s="14"/>
      <c r="R133" s="17" t="s">
        <v>46</v>
      </c>
      <c r="S133" s="19">
        <v>1</v>
      </c>
      <c r="T133" s="18">
        <v>43770</v>
      </c>
      <c r="U133" s="21">
        <f>P133*Q133*S133</f>
        <v>0</v>
      </c>
      <c r="V133" s="22">
        <f>U133/$O$1</f>
        <v>0</v>
      </c>
      <c r="W133" s="26">
        <f>O133+V133</f>
        <v>0</v>
      </c>
    </row>
    <row r="134" spans="1:24" s="20" customFormat="1" ht="41.4" customHeight="1" thickBot="1">
      <c r="A134" s="37" t="s">
        <v>87</v>
      </c>
      <c r="B134" s="45"/>
      <c r="C134" s="46"/>
      <c r="D134" s="42"/>
      <c r="E134" s="42"/>
      <c r="F134" s="42"/>
      <c r="G134" s="50">
        <f>SUM(G135:G137)</f>
        <v>0</v>
      </c>
      <c r="H134" s="47">
        <f>G134</f>
        <v>0</v>
      </c>
      <c r="I134" s="44"/>
      <c r="J134" s="46"/>
      <c r="K134" s="42"/>
      <c r="L134" s="42"/>
      <c r="M134" s="42"/>
      <c r="N134" s="42"/>
      <c r="O134" s="50">
        <f>SUM(O135:O137)</f>
        <v>8700</v>
      </c>
      <c r="P134" s="42"/>
      <c r="Q134" s="46"/>
      <c r="R134" s="42"/>
      <c r="S134" s="42"/>
      <c r="T134" s="42"/>
      <c r="U134" s="42"/>
      <c r="V134" s="50">
        <f>SUM(V135:V137)</f>
        <v>0</v>
      </c>
      <c r="W134" s="50">
        <f>SUM(W135:W137)</f>
        <v>8700</v>
      </c>
      <c r="X134" s="71"/>
    </row>
    <row r="135" spans="1:24" ht="15" thickBot="1">
      <c r="A135" s="10" t="s">
        <v>201</v>
      </c>
      <c r="G135" s="21"/>
      <c r="H135" s="21">
        <f>G135</f>
        <v>0</v>
      </c>
      <c r="I135" s="31">
        <v>1</v>
      </c>
      <c r="J135" s="14">
        <v>600</v>
      </c>
      <c r="K135" s="5" t="s">
        <v>25</v>
      </c>
      <c r="L135" s="17">
        <v>11</v>
      </c>
      <c r="M135" s="18">
        <v>43556</v>
      </c>
      <c r="N135" s="21">
        <f>I135*J135*L135</f>
        <v>6600</v>
      </c>
      <c r="O135" s="21">
        <f>N135</f>
        <v>6600</v>
      </c>
      <c r="P135" s="30"/>
      <c r="Q135" s="14"/>
      <c r="R135" s="19"/>
      <c r="S135" s="19"/>
      <c r="T135" s="18"/>
      <c r="U135" s="21">
        <f t="shared" ref="U135:U137" si="118">P135*Q135*S135</f>
        <v>0</v>
      </c>
      <c r="V135" s="22">
        <f t="shared" ref="V135:V137" si="119">U135/$O$1</f>
        <v>0</v>
      </c>
      <c r="W135" s="26">
        <f t="shared" ref="W135:W137" si="120">O135+V135</f>
        <v>6600</v>
      </c>
      <c r="X135" s="57"/>
    </row>
    <row r="136" spans="1:24" ht="15" thickBot="1">
      <c r="A136" s="10" t="s">
        <v>202</v>
      </c>
      <c r="G136" s="21"/>
      <c r="H136" s="21"/>
      <c r="I136" s="31">
        <v>1</v>
      </c>
      <c r="J136" s="14">
        <v>100</v>
      </c>
      <c r="K136" s="5" t="s">
        <v>25</v>
      </c>
      <c r="L136" s="17">
        <v>11</v>
      </c>
      <c r="M136" s="18">
        <v>43556</v>
      </c>
      <c r="N136" s="21">
        <f t="shared" ref="N136:N137" si="121">I136*J136*L136</f>
        <v>1100</v>
      </c>
      <c r="O136" s="21">
        <f t="shared" ref="O136:O137" si="122">N136</f>
        <v>1100</v>
      </c>
      <c r="P136" s="30"/>
      <c r="Q136" s="14"/>
      <c r="R136" s="19"/>
      <c r="S136" s="19"/>
      <c r="T136" s="18"/>
      <c r="U136" s="21">
        <f t="shared" si="118"/>
        <v>0</v>
      </c>
      <c r="V136" s="22">
        <f t="shared" si="119"/>
        <v>0</v>
      </c>
      <c r="W136" s="26">
        <f t="shared" si="120"/>
        <v>1100</v>
      </c>
      <c r="X136" s="57"/>
    </row>
    <row r="137" spans="1:24" ht="15" thickBot="1">
      <c r="A137" s="10" t="s">
        <v>207</v>
      </c>
      <c r="G137" s="21"/>
      <c r="H137" s="21"/>
      <c r="I137" s="31">
        <v>1</v>
      </c>
      <c r="J137" s="14">
        <v>1000</v>
      </c>
      <c r="K137" s="5" t="s">
        <v>25</v>
      </c>
      <c r="L137" s="17">
        <v>1</v>
      </c>
      <c r="M137" s="18">
        <v>43556</v>
      </c>
      <c r="N137" s="21">
        <f t="shared" si="121"/>
        <v>1000</v>
      </c>
      <c r="O137" s="21">
        <f t="shared" si="122"/>
        <v>1000</v>
      </c>
      <c r="P137" s="30"/>
      <c r="Q137" s="14"/>
      <c r="R137" s="19"/>
      <c r="S137" s="19"/>
      <c r="T137" s="18"/>
      <c r="U137" s="21">
        <f t="shared" si="118"/>
        <v>0</v>
      </c>
      <c r="V137" s="22">
        <f t="shared" si="119"/>
        <v>0</v>
      </c>
      <c r="W137" s="26">
        <f t="shared" si="120"/>
        <v>1000</v>
      </c>
      <c r="X137" s="57"/>
    </row>
    <row r="138" spans="1:24" s="20" customFormat="1" ht="41.4" customHeight="1" thickBot="1">
      <c r="A138" s="37" t="s">
        <v>88</v>
      </c>
      <c r="B138" s="45"/>
      <c r="C138" s="46"/>
      <c r="D138" s="42"/>
      <c r="E138" s="42"/>
      <c r="F138" s="42"/>
      <c r="G138" s="50">
        <f>SUM(G139:G140)</f>
        <v>0</v>
      </c>
      <c r="H138" s="47">
        <f>G138</f>
        <v>0</v>
      </c>
      <c r="I138" s="44"/>
      <c r="J138" s="46"/>
      <c r="K138" s="42"/>
      <c r="L138" s="42"/>
      <c r="M138" s="42"/>
      <c r="N138" s="42">
        <f t="shared" ref="N138:N140" si="123">I138*J138*L138</f>
        <v>0</v>
      </c>
      <c r="O138" s="50">
        <f>SUM(O139:O140)</f>
        <v>6000</v>
      </c>
      <c r="P138" s="42"/>
      <c r="Q138" s="46"/>
      <c r="R138" s="42"/>
      <c r="S138" s="42"/>
      <c r="T138" s="42"/>
      <c r="U138" s="42"/>
      <c r="V138" s="50">
        <f>SUM(V139:V140)</f>
        <v>0</v>
      </c>
      <c r="W138" s="50">
        <f>SUM(W139:W140)</f>
        <v>6000</v>
      </c>
      <c r="X138" s="71"/>
    </row>
    <row r="139" spans="1:24" ht="15" thickBot="1">
      <c r="A139" s="10" t="s">
        <v>203</v>
      </c>
      <c r="H139" s="21">
        <f>N139</f>
        <v>6000</v>
      </c>
      <c r="I139" s="31">
        <v>1</v>
      </c>
      <c r="J139" s="14">
        <v>3000</v>
      </c>
      <c r="K139" s="137" t="s">
        <v>25</v>
      </c>
      <c r="L139" s="17">
        <v>2</v>
      </c>
      <c r="M139" s="18">
        <v>43586</v>
      </c>
      <c r="N139" s="21">
        <f>I139*J139*L139</f>
        <v>6000</v>
      </c>
      <c r="O139" s="22">
        <f>N139</f>
        <v>6000</v>
      </c>
      <c r="P139" s="30"/>
      <c r="Q139" s="14"/>
      <c r="R139" s="19"/>
      <c r="S139" s="19"/>
      <c r="T139" s="18"/>
      <c r="U139" s="21">
        <f t="shared" ref="U139:U140" si="124">P139*Q139*S139</f>
        <v>0</v>
      </c>
      <c r="V139" s="22">
        <f t="shared" ref="V139:V140" si="125">U139/$O$1</f>
        <v>0</v>
      </c>
      <c r="W139" s="26">
        <f t="shared" ref="W139:W140" si="126">O139+V139</f>
        <v>6000</v>
      </c>
      <c r="X139" s="57"/>
    </row>
    <row r="140" spans="1:24" ht="15" hidden="1" thickBot="1">
      <c r="A140" s="10"/>
      <c r="B140" s="31"/>
      <c r="C140" s="14"/>
      <c r="D140" s="5"/>
      <c r="E140" s="17"/>
      <c r="F140" s="19"/>
      <c r="G140" s="21"/>
      <c r="H140" s="21"/>
      <c r="I140" s="30"/>
      <c r="J140" s="60">
        <v>0</v>
      </c>
      <c r="K140" s="19"/>
      <c r="L140" s="19"/>
      <c r="M140" s="18"/>
      <c r="N140" s="21">
        <f t="shared" si="123"/>
        <v>0</v>
      </c>
      <c r="O140" s="22">
        <f t="shared" ref="O140" si="127">N140/$O$1</f>
        <v>0</v>
      </c>
      <c r="P140" s="30"/>
      <c r="Q140" s="14"/>
      <c r="R140" s="19"/>
      <c r="S140" s="19"/>
      <c r="T140" s="18"/>
      <c r="U140" s="21">
        <f t="shared" si="124"/>
        <v>0</v>
      </c>
      <c r="V140" s="22">
        <f t="shared" si="125"/>
        <v>0</v>
      </c>
      <c r="W140" s="26">
        <f t="shared" si="126"/>
        <v>0</v>
      </c>
      <c r="X140" s="57"/>
    </row>
    <row r="141" spans="1:24" s="20" customFormat="1" ht="41.4" customHeight="1" thickBot="1">
      <c r="A141" s="37" t="s">
        <v>111</v>
      </c>
      <c r="B141" s="45"/>
      <c r="C141" s="46"/>
      <c r="D141" s="42"/>
      <c r="E141" s="42"/>
      <c r="F141" s="42"/>
      <c r="G141" s="50">
        <f>SUM(G142:G147)</f>
        <v>0</v>
      </c>
      <c r="H141" s="47">
        <f>G141</f>
        <v>0</v>
      </c>
      <c r="I141" s="44"/>
      <c r="J141" s="46"/>
      <c r="K141" s="42"/>
      <c r="L141" s="42"/>
      <c r="M141" s="42"/>
      <c r="N141" s="42">
        <f t="shared" ref="N141" si="128">I141*J141*L141</f>
        <v>0</v>
      </c>
      <c r="O141" s="50">
        <f>SUM(O142:O147)</f>
        <v>18400</v>
      </c>
      <c r="P141" s="42"/>
      <c r="Q141" s="46"/>
      <c r="R141" s="42"/>
      <c r="S141" s="42"/>
      <c r="T141" s="42"/>
      <c r="U141" s="42"/>
      <c r="V141" s="50">
        <f>SUM(V142:V147)</f>
        <v>0</v>
      </c>
      <c r="W141" s="50">
        <f>SUM(W142:W147)</f>
        <v>18400</v>
      </c>
      <c r="X141" s="71"/>
    </row>
    <row r="142" spans="1:24" ht="15" thickBot="1">
      <c r="A142" s="10" t="s">
        <v>204</v>
      </c>
      <c r="G142" s="21"/>
      <c r="H142" s="21">
        <f>G142</f>
        <v>0</v>
      </c>
      <c r="I142" s="31">
        <v>1</v>
      </c>
      <c r="J142" s="14">
        <v>3000</v>
      </c>
      <c r="K142" s="137" t="s">
        <v>25</v>
      </c>
      <c r="L142" s="17">
        <v>1</v>
      </c>
      <c r="M142" s="18">
        <v>43586</v>
      </c>
      <c r="N142" s="21">
        <f>I142*J142*L142</f>
        <v>3000</v>
      </c>
      <c r="O142" s="21">
        <f>N142</f>
        <v>3000</v>
      </c>
      <c r="P142" s="30"/>
      <c r="Q142" s="14"/>
      <c r="R142" s="19"/>
      <c r="S142" s="19"/>
      <c r="T142" s="18"/>
      <c r="U142" s="21">
        <f t="shared" ref="U142:U147" si="129">P142*Q142*S142</f>
        <v>0</v>
      </c>
      <c r="V142" s="22">
        <f t="shared" ref="V142:V147" si="130">U142/$O$1</f>
        <v>0</v>
      </c>
      <c r="W142" s="26">
        <f t="shared" ref="W142:W147" si="131">O142+V142</f>
        <v>3000</v>
      </c>
      <c r="X142" s="57"/>
    </row>
    <row r="143" spans="1:24" ht="15" thickBot="1">
      <c r="A143" s="10" t="s">
        <v>205</v>
      </c>
      <c r="G143" s="21"/>
      <c r="H143" s="21"/>
      <c r="I143" s="31">
        <v>1</v>
      </c>
      <c r="J143" s="14">
        <v>10000</v>
      </c>
      <c r="K143" s="5" t="s">
        <v>25</v>
      </c>
      <c r="L143" s="17">
        <v>1</v>
      </c>
      <c r="M143" s="18">
        <v>43739</v>
      </c>
      <c r="N143" s="21">
        <f t="shared" ref="N143:N147" si="132">I143*J143*L143</f>
        <v>10000</v>
      </c>
      <c r="O143" s="21">
        <f t="shared" ref="O143:O147" si="133">N143</f>
        <v>10000</v>
      </c>
      <c r="P143" s="30"/>
      <c r="Q143" s="14"/>
      <c r="R143" s="19"/>
      <c r="S143" s="19"/>
      <c r="T143" s="18"/>
      <c r="U143" s="21">
        <f t="shared" si="129"/>
        <v>0</v>
      </c>
      <c r="V143" s="22">
        <f t="shared" si="130"/>
        <v>0</v>
      </c>
      <c r="W143" s="26">
        <f t="shared" si="131"/>
        <v>10000</v>
      </c>
      <c r="X143" s="57"/>
    </row>
    <row r="144" spans="1:24" ht="15" thickBot="1">
      <c r="A144" s="10" t="s">
        <v>206</v>
      </c>
      <c r="G144" s="21"/>
      <c r="H144" s="21"/>
      <c r="I144" s="31">
        <v>1</v>
      </c>
      <c r="J144" s="14">
        <v>2000</v>
      </c>
      <c r="K144" s="5" t="s">
        <v>25</v>
      </c>
      <c r="L144" s="17">
        <v>1</v>
      </c>
      <c r="M144" s="18">
        <v>43556</v>
      </c>
      <c r="N144" s="21">
        <f t="shared" si="132"/>
        <v>2000</v>
      </c>
      <c r="O144" s="21">
        <f t="shared" si="133"/>
        <v>2000</v>
      </c>
      <c r="P144" s="30"/>
      <c r="Q144" s="14"/>
      <c r="R144" s="19"/>
      <c r="S144" s="19"/>
      <c r="T144" s="18"/>
      <c r="U144" s="21">
        <f t="shared" si="129"/>
        <v>0</v>
      </c>
      <c r="V144" s="22">
        <f t="shared" si="130"/>
        <v>0</v>
      </c>
      <c r="W144" s="26">
        <f t="shared" si="131"/>
        <v>2000</v>
      </c>
      <c r="X144" s="57"/>
    </row>
    <row r="145" spans="1:24" s="20" customFormat="1" ht="33.6" customHeight="1" thickBot="1">
      <c r="A145" s="10" t="s">
        <v>208</v>
      </c>
      <c r="G145" s="156"/>
      <c r="H145" s="156"/>
      <c r="I145" s="30">
        <v>1</v>
      </c>
      <c r="J145" s="33">
        <v>200</v>
      </c>
      <c r="K145" s="19" t="s">
        <v>25</v>
      </c>
      <c r="L145" s="19">
        <v>12</v>
      </c>
      <c r="M145" s="18">
        <v>43556</v>
      </c>
      <c r="N145" s="21">
        <f t="shared" si="132"/>
        <v>2400</v>
      </c>
      <c r="O145" s="21">
        <f t="shared" si="133"/>
        <v>2400</v>
      </c>
      <c r="P145" s="30"/>
      <c r="Q145" s="33"/>
      <c r="R145" s="19"/>
      <c r="S145" s="19"/>
      <c r="T145" s="18"/>
      <c r="U145" s="156">
        <f t="shared" si="129"/>
        <v>0</v>
      </c>
      <c r="V145" s="157">
        <f t="shared" si="130"/>
        <v>0</v>
      </c>
      <c r="W145" s="156">
        <f t="shared" si="131"/>
        <v>2400</v>
      </c>
      <c r="X145" s="71"/>
    </row>
    <row r="146" spans="1:24" ht="15" thickBot="1">
      <c r="A146" s="10" t="s">
        <v>213</v>
      </c>
      <c r="B146" s="31"/>
      <c r="C146" s="14"/>
      <c r="D146" s="5"/>
      <c r="E146" s="17"/>
      <c r="F146" s="19"/>
      <c r="G146" s="21">
        <f t="shared" ref="G146:G147" si="134">B146*C146*E146</f>
        <v>0</v>
      </c>
      <c r="H146" s="21"/>
      <c r="I146" s="30">
        <v>1</v>
      </c>
      <c r="J146" s="60">
        <v>1000</v>
      </c>
      <c r="K146" s="19" t="s">
        <v>25</v>
      </c>
      <c r="L146" s="19">
        <v>1</v>
      </c>
      <c r="M146" s="18">
        <v>43617</v>
      </c>
      <c r="N146" s="21">
        <f t="shared" si="132"/>
        <v>1000</v>
      </c>
      <c r="O146" s="21">
        <f t="shared" si="133"/>
        <v>1000</v>
      </c>
      <c r="P146" s="30"/>
      <c r="Q146" s="14"/>
      <c r="R146" s="19"/>
      <c r="S146" s="19"/>
      <c r="T146" s="18"/>
      <c r="U146" s="21">
        <f t="shared" si="129"/>
        <v>0</v>
      </c>
      <c r="V146" s="22">
        <f t="shared" si="130"/>
        <v>0</v>
      </c>
      <c r="W146" s="26">
        <f t="shared" si="131"/>
        <v>1000</v>
      </c>
      <c r="X146" s="57"/>
    </row>
    <row r="147" spans="1:24" ht="15" hidden="1" thickBot="1">
      <c r="A147" s="10"/>
      <c r="B147" s="31"/>
      <c r="C147" s="14"/>
      <c r="D147" s="5"/>
      <c r="E147" s="17"/>
      <c r="F147" s="19"/>
      <c r="G147" s="21">
        <f t="shared" si="134"/>
        <v>0</v>
      </c>
      <c r="H147" s="21"/>
      <c r="I147" s="30"/>
      <c r="J147" s="60">
        <v>0</v>
      </c>
      <c r="K147" s="19"/>
      <c r="L147" s="19"/>
      <c r="M147" s="18"/>
      <c r="N147" s="21">
        <f t="shared" si="132"/>
        <v>0</v>
      </c>
      <c r="O147" s="21">
        <f t="shared" si="133"/>
        <v>0</v>
      </c>
      <c r="P147" s="30"/>
      <c r="Q147" s="14"/>
      <c r="R147" s="19"/>
      <c r="S147" s="19"/>
      <c r="T147" s="18"/>
      <c r="U147" s="21">
        <f t="shared" si="129"/>
        <v>0</v>
      </c>
      <c r="V147" s="22">
        <f t="shared" si="130"/>
        <v>0</v>
      </c>
      <c r="W147" s="26">
        <f t="shared" si="131"/>
        <v>0</v>
      </c>
      <c r="X147" s="57"/>
    </row>
    <row r="148" spans="1:24" s="20" customFormat="1" ht="41.4" hidden="1" customHeight="1" thickBot="1">
      <c r="A148" s="37" t="s">
        <v>209</v>
      </c>
      <c r="B148" s="45"/>
      <c r="C148" s="46"/>
      <c r="D148" s="42"/>
      <c r="E148" s="42"/>
      <c r="F148" s="42"/>
      <c r="G148" s="50">
        <f>SUM(G149:G152)</f>
        <v>0</v>
      </c>
      <c r="H148" s="47">
        <f>G148</f>
        <v>0</v>
      </c>
      <c r="I148" s="44"/>
      <c r="J148" s="46"/>
      <c r="K148" s="42"/>
      <c r="L148" s="42"/>
      <c r="M148" s="42"/>
      <c r="N148" s="42"/>
      <c r="O148" s="50">
        <f>SUM(O149:O152)</f>
        <v>0</v>
      </c>
      <c r="P148" s="42"/>
      <c r="Q148" s="46"/>
      <c r="R148" s="42"/>
      <c r="S148" s="42"/>
      <c r="T148" s="42"/>
      <c r="U148" s="42"/>
      <c r="V148" s="50">
        <f>SUM(V149)</f>
        <v>0</v>
      </c>
      <c r="W148" s="50">
        <f>SUM(W149)</f>
        <v>0</v>
      </c>
      <c r="X148" s="71"/>
    </row>
    <row r="149" spans="1:24" ht="15" thickBot="1">
      <c r="A149" s="10"/>
      <c r="F149" s="19"/>
      <c r="G149" s="21"/>
      <c r="H149" s="21">
        <f>G149</f>
        <v>0</v>
      </c>
      <c r="I149" s="31"/>
      <c r="J149" s="14"/>
      <c r="K149" s="5"/>
      <c r="L149" s="17"/>
      <c r="M149" s="18"/>
      <c r="N149" s="21">
        <f>I149*J149*L149</f>
        <v>0</v>
      </c>
      <c r="O149" s="21">
        <f>N149</f>
        <v>0</v>
      </c>
      <c r="P149" s="30"/>
      <c r="Q149" s="14">
        <v>0</v>
      </c>
      <c r="R149" s="19" t="s">
        <v>48</v>
      </c>
      <c r="S149" s="19">
        <v>0</v>
      </c>
      <c r="T149" s="18"/>
      <c r="U149" s="21">
        <f t="shared" ref="U149" si="135">P149*Q149*S149</f>
        <v>0</v>
      </c>
      <c r="V149" s="22">
        <f t="shared" ref="V149" si="136">U149/$O$1</f>
        <v>0</v>
      </c>
      <c r="W149" s="26">
        <f t="shared" ref="W149" si="137">O149+V149</f>
        <v>0</v>
      </c>
      <c r="X149" s="57"/>
    </row>
    <row r="150" spans="1:24" s="134" customFormat="1" ht="15" thickBot="1">
      <c r="A150" s="10"/>
      <c r="F150" s="19"/>
      <c r="G150" s="21"/>
      <c r="H150" s="21"/>
      <c r="I150" s="31"/>
      <c r="J150" s="14"/>
      <c r="K150" s="137"/>
      <c r="L150" s="17"/>
      <c r="M150" s="18"/>
      <c r="N150" s="21">
        <f t="shared" ref="N150:N152" si="138">I150*J150*L150</f>
        <v>0</v>
      </c>
      <c r="O150" s="21">
        <f t="shared" ref="O150:O152" si="139">N150</f>
        <v>0</v>
      </c>
      <c r="P150" s="30"/>
      <c r="Q150" s="14"/>
      <c r="R150" s="19"/>
      <c r="S150" s="19"/>
      <c r="T150" s="18"/>
      <c r="U150" s="21"/>
      <c r="V150" s="22"/>
      <c r="W150" s="26"/>
      <c r="X150" s="57"/>
    </row>
    <row r="151" spans="1:24" s="134" customFormat="1" ht="15" thickBot="1">
      <c r="A151" s="10"/>
      <c r="F151" s="19"/>
      <c r="G151" s="21"/>
      <c r="H151" s="21"/>
      <c r="I151" s="31"/>
      <c r="J151" s="14"/>
      <c r="K151" s="137"/>
      <c r="L151" s="17"/>
      <c r="M151" s="18"/>
      <c r="N151" s="21">
        <f t="shared" si="138"/>
        <v>0</v>
      </c>
      <c r="O151" s="21">
        <f t="shared" si="139"/>
        <v>0</v>
      </c>
      <c r="P151" s="30"/>
      <c r="Q151" s="14"/>
      <c r="R151" s="19"/>
      <c r="S151" s="19"/>
      <c r="T151" s="18"/>
      <c r="U151" s="21"/>
      <c r="V151" s="22"/>
      <c r="W151" s="26"/>
      <c r="X151" s="57"/>
    </row>
    <row r="152" spans="1:24" s="134" customFormat="1" ht="15" thickBot="1">
      <c r="A152" s="158"/>
      <c r="F152" s="19"/>
      <c r="G152" s="21"/>
      <c r="H152" s="21"/>
      <c r="I152" s="159"/>
      <c r="J152" s="82"/>
      <c r="K152" s="160"/>
      <c r="L152" s="161"/>
      <c r="M152" s="18"/>
      <c r="N152" s="21">
        <f t="shared" si="138"/>
        <v>0</v>
      </c>
      <c r="O152" s="21">
        <f t="shared" si="139"/>
        <v>0</v>
      </c>
      <c r="P152" s="30"/>
      <c r="Q152" s="14"/>
      <c r="R152" s="19"/>
      <c r="S152" s="19"/>
      <c r="T152" s="18"/>
      <c r="U152" s="21"/>
      <c r="V152" s="22"/>
      <c r="W152" s="26"/>
      <c r="X152" s="57"/>
    </row>
    <row r="153" spans="1:24" s="20" customFormat="1" ht="41.4" customHeight="1" thickBot="1">
      <c r="A153" s="37" t="s">
        <v>210</v>
      </c>
      <c r="B153" s="45"/>
      <c r="C153" s="46"/>
      <c r="D153" s="42"/>
      <c r="E153" s="42"/>
      <c r="F153" s="42"/>
      <c r="G153" s="50">
        <f>SUM(G154:G158)</f>
        <v>0</v>
      </c>
      <c r="H153" s="47">
        <f>G153</f>
        <v>0</v>
      </c>
      <c r="I153" s="44"/>
      <c r="J153" s="46"/>
      <c r="K153" s="42"/>
      <c r="L153" s="42"/>
      <c r="M153" s="42"/>
      <c r="N153" s="42"/>
      <c r="O153" s="50">
        <f>SUM(O154)</f>
        <v>5529.0999999999804</v>
      </c>
      <c r="P153" s="42"/>
      <c r="Q153" s="46"/>
      <c r="R153" s="42"/>
      <c r="S153" s="42"/>
      <c r="T153" s="42"/>
      <c r="U153" s="42"/>
      <c r="V153" s="50">
        <f>SUM(V154)</f>
        <v>0</v>
      </c>
      <c r="W153" s="50">
        <f>SUM(W154)</f>
        <v>5529.0999999999804</v>
      </c>
      <c r="X153" s="71"/>
    </row>
    <row r="154" spans="1:24" ht="55.8" thickBot="1">
      <c r="A154" s="10" t="s">
        <v>89</v>
      </c>
      <c r="B154" s="31">
        <v>1</v>
      </c>
      <c r="C154" s="14"/>
      <c r="D154" s="5" t="s">
        <v>25</v>
      </c>
      <c r="E154" s="17"/>
      <c r="F154" s="19"/>
      <c r="G154" s="21">
        <f>B154*C154*E154</f>
        <v>0</v>
      </c>
      <c r="H154" s="21">
        <f>G154</f>
        <v>0</v>
      </c>
      <c r="I154" s="159">
        <v>1</v>
      </c>
      <c r="J154" s="82">
        <f>5529.09999999998/6</f>
        <v>921.51666666666335</v>
      </c>
      <c r="K154" s="20" t="s">
        <v>25</v>
      </c>
      <c r="L154" s="161">
        <v>6</v>
      </c>
      <c r="M154" s="162">
        <v>43556</v>
      </c>
      <c r="N154" s="21">
        <f>I154*J154*L154</f>
        <v>5529.0999999999804</v>
      </c>
      <c r="O154" s="21">
        <f>N154</f>
        <v>5529.0999999999804</v>
      </c>
      <c r="P154" s="30">
        <v>1</v>
      </c>
      <c r="Q154" s="60"/>
      <c r="R154" s="19" t="s">
        <v>48</v>
      </c>
      <c r="S154" s="19">
        <v>4</v>
      </c>
      <c r="T154" s="18">
        <v>43556</v>
      </c>
      <c r="U154" s="21">
        <f>P154*Q154*S154</f>
        <v>0</v>
      </c>
      <c r="V154" s="22">
        <f t="shared" ref="V154" si="140">U154/$O$1</f>
        <v>0</v>
      </c>
      <c r="W154" s="26">
        <f t="shared" ref="W154" si="141">O154+V154</f>
        <v>5529.0999999999804</v>
      </c>
      <c r="X154" s="57"/>
    </row>
    <row r="155" spans="1:24">
      <c r="B155"/>
      <c r="E155"/>
      <c r="F155"/>
      <c r="K155"/>
      <c r="W155"/>
    </row>
    <row r="156" spans="1:24">
      <c r="B156"/>
      <c r="E156"/>
      <c r="F156"/>
      <c r="K156"/>
      <c r="W156"/>
    </row>
    <row r="157" spans="1:24">
      <c r="B157"/>
      <c r="E157"/>
      <c r="F157"/>
      <c r="K157"/>
      <c r="W157"/>
    </row>
    <row r="158" spans="1:24">
      <c r="B158"/>
      <c r="E158"/>
      <c r="F158"/>
      <c r="K158"/>
      <c r="W158"/>
    </row>
    <row r="159" spans="1:24">
      <c r="B159"/>
      <c r="E159"/>
      <c r="F159"/>
      <c r="K159"/>
      <c r="W159"/>
    </row>
    <row r="160" spans="1:24">
      <c r="B160"/>
      <c r="E160"/>
      <c r="F160"/>
      <c r="K160"/>
      <c r="W160"/>
    </row>
    <row r="161" spans="2:23">
      <c r="B161"/>
      <c r="E161"/>
      <c r="F161"/>
      <c r="K161"/>
      <c r="W161"/>
    </row>
    <row r="162" spans="2:23">
      <c r="B162"/>
      <c r="E162"/>
      <c r="F162"/>
      <c r="K162"/>
      <c r="W162"/>
    </row>
    <row r="163" spans="2:23">
      <c r="B163"/>
      <c r="E163"/>
      <c r="F163"/>
      <c r="K163"/>
      <c r="W163"/>
    </row>
    <row r="164" spans="2:23">
      <c r="B164"/>
      <c r="E164"/>
      <c r="F164"/>
      <c r="K164"/>
      <c r="W164"/>
    </row>
    <row r="165" spans="2:23">
      <c r="B165"/>
      <c r="E165"/>
      <c r="F165"/>
      <c r="K165"/>
      <c r="W165"/>
    </row>
    <row r="166" spans="2:23">
      <c r="B166"/>
      <c r="E166"/>
      <c r="F166"/>
      <c r="K166"/>
      <c r="W166"/>
    </row>
    <row r="167" spans="2:23">
      <c r="B167"/>
      <c r="E167"/>
      <c r="F167"/>
      <c r="K167"/>
      <c r="W167"/>
    </row>
    <row r="168" spans="2:23">
      <c r="B168"/>
      <c r="E168"/>
      <c r="F168"/>
      <c r="K168"/>
      <c r="W168"/>
    </row>
    <row r="169" spans="2:23">
      <c r="B169"/>
      <c r="E169"/>
      <c r="F169"/>
      <c r="K169"/>
      <c r="W169"/>
    </row>
    <row r="170" spans="2:23">
      <c r="B170"/>
      <c r="E170"/>
      <c r="F170"/>
      <c r="K170"/>
      <c r="W170"/>
    </row>
    <row r="171" spans="2:23">
      <c r="B171"/>
      <c r="E171"/>
      <c r="F171"/>
      <c r="K171"/>
      <c r="W171"/>
    </row>
    <row r="172" spans="2:23">
      <c r="B172"/>
      <c r="E172"/>
      <c r="F172"/>
      <c r="K172"/>
      <c r="W172"/>
    </row>
    <row r="173" spans="2:23">
      <c r="B173"/>
      <c r="E173"/>
      <c r="F173"/>
      <c r="K173"/>
      <c r="W173"/>
    </row>
    <row r="174" spans="2:23">
      <c r="B174"/>
      <c r="E174"/>
      <c r="F174"/>
      <c r="K174"/>
      <c r="W174"/>
    </row>
    <row r="175" spans="2:23">
      <c r="B175"/>
      <c r="E175"/>
      <c r="F175"/>
      <c r="K175"/>
      <c r="W175"/>
    </row>
    <row r="176" spans="2:23">
      <c r="B176"/>
      <c r="E176"/>
      <c r="F176"/>
      <c r="K176"/>
      <c r="W176"/>
    </row>
    <row r="177" spans="2:23">
      <c r="B177"/>
      <c r="E177"/>
      <c r="F177"/>
      <c r="K177"/>
      <c r="W177"/>
    </row>
    <row r="178" spans="2:23">
      <c r="B178"/>
      <c r="E178"/>
      <c r="F178"/>
      <c r="K178"/>
      <c r="W178"/>
    </row>
    <row r="179" spans="2:23">
      <c r="B179"/>
      <c r="E179"/>
      <c r="F179"/>
      <c r="K179"/>
      <c r="W179"/>
    </row>
    <row r="180" spans="2:23">
      <c r="B180"/>
      <c r="E180"/>
      <c r="F180"/>
      <c r="K180"/>
      <c r="W180"/>
    </row>
    <row r="181" spans="2:23">
      <c r="B181"/>
      <c r="E181"/>
      <c r="F181"/>
      <c r="K181"/>
      <c r="W181"/>
    </row>
    <row r="182" spans="2:23">
      <c r="B182"/>
      <c r="E182"/>
      <c r="F182"/>
      <c r="K182"/>
      <c r="W182"/>
    </row>
    <row r="183" spans="2:23">
      <c r="B183"/>
      <c r="E183"/>
      <c r="F183"/>
      <c r="K183"/>
      <c r="W183"/>
    </row>
    <row r="184" spans="2:23">
      <c r="B184"/>
      <c r="E184"/>
      <c r="F184"/>
      <c r="K184"/>
      <c r="W184"/>
    </row>
    <row r="185" spans="2:23">
      <c r="B185"/>
      <c r="E185"/>
      <c r="F185"/>
      <c r="K185"/>
      <c r="W185"/>
    </row>
    <row r="186" spans="2:23">
      <c r="B186"/>
      <c r="E186"/>
      <c r="F186"/>
      <c r="K186"/>
      <c r="W186"/>
    </row>
    <row r="187" spans="2:23">
      <c r="B187"/>
      <c r="E187"/>
      <c r="F187"/>
      <c r="K187"/>
      <c r="W187"/>
    </row>
    <row r="188" spans="2:23">
      <c r="B188"/>
      <c r="E188"/>
      <c r="F188"/>
      <c r="K188"/>
      <c r="W188"/>
    </row>
    <row r="189" spans="2:23">
      <c r="B189"/>
      <c r="E189"/>
      <c r="F189"/>
      <c r="K189"/>
      <c r="W189"/>
    </row>
    <row r="190" spans="2:23">
      <c r="B190"/>
      <c r="E190"/>
      <c r="F190"/>
      <c r="K190"/>
      <c r="W190"/>
    </row>
    <row r="191" spans="2:23">
      <c r="B191"/>
      <c r="E191"/>
      <c r="F191"/>
      <c r="K191"/>
      <c r="W191"/>
    </row>
    <row r="192" spans="2:23">
      <c r="B192"/>
      <c r="E192"/>
      <c r="F192"/>
      <c r="K192"/>
      <c r="W192"/>
    </row>
    <row r="193" spans="2:23">
      <c r="B193"/>
      <c r="E193"/>
      <c r="F193"/>
      <c r="K193"/>
      <c r="W193"/>
    </row>
    <row r="194" spans="2:23">
      <c r="B194"/>
      <c r="E194"/>
      <c r="F194"/>
      <c r="K194"/>
      <c r="W194"/>
    </row>
    <row r="195" spans="2:23">
      <c r="B195"/>
      <c r="E195"/>
      <c r="F195"/>
      <c r="K195"/>
      <c r="W195"/>
    </row>
    <row r="196" spans="2:23">
      <c r="B196"/>
      <c r="E196"/>
      <c r="F196"/>
      <c r="K196"/>
      <c r="W196"/>
    </row>
    <row r="197" spans="2:23">
      <c r="B197"/>
      <c r="E197"/>
      <c r="F197"/>
      <c r="K197"/>
      <c r="W197"/>
    </row>
    <row r="198" spans="2:23">
      <c r="B198"/>
      <c r="E198"/>
      <c r="F198"/>
      <c r="K198"/>
      <c r="W198"/>
    </row>
    <row r="199" spans="2:23">
      <c r="B199"/>
      <c r="E199"/>
      <c r="F199"/>
      <c r="K199"/>
      <c r="W199"/>
    </row>
    <row r="200" spans="2:23">
      <c r="B200"/>
      <c r="E200"/>
      <c r="F200"/>
      <c r="K200"/>
      <c r="W200"/>
    </row>
    <row r="201" spans="2:23">
      <c r="B201"/>
      <c r="E201"/>
      <c r="F201"/>
      <c r="K201"/>
      <c r="W201"/>
    </row>
    <row r="202" spans="2:23">
      <c r="B202"/>
      <c r="E202"/>
      <c r="F202"/>
      <c r="K202"/>
      <c r="W202"/>
    </row>
    <row r="203" spans="2:23">
      <c r="B203"/>
      <c r="E203"/>
      <c r="F203"/>
      <c r="K203"/>
      <c r="W203"/>
    </row>
    <row r="204" spans="2:23">
      <c r="B204"/>
      <c r="E204"/>
      <c r="F204"/>
      <c r="K204"/>
      <c r="W204"/>
    </row>
    <row r="205" spans="2:23">
      <c r="B205"/>
      <c r="E205"/>
      <c r="F205"/>
      <c r="K205"/>
      <c r="W205"/>
    </row>
    <row r="206" spans="2:23">
      <c r="B206"/>
      <c r="E206"/>
      <c r="F206"/>
      <c r="K206"/>
      <c r="W206"/>
    </row>
    <row r="207" spans="2:23">
      <c r="B207"/>
      <c r="E207"/>
      <c r="F207"/>
      <c r="K207"/>
      <c r="W207"/>
    </row>
    <row r="208" spans="2:23">
      <c r="B208"/>
      <c r="E208"/>
      <c r="F208"/>
      <c r="K208"/>
      <c r="W208"/>
    </row>
    <row r="209" spans="2:23">
      <c r="B209"/>
      <c r="E209"/>
      <c r="F209"/>
      <c r="K209"/>
      <c r="W209"/>
    </row>
    <row r="210" spans="2:23">
      <c r="B210"/>
      <c r="E210"/>
      <c r="F210"/>
      <c r="K210"/>
      <c r="W210"/>
    </row>
    <row r="211" spans="2:23">
      <c r="B211"/>
      <c r="E211"/>
      <c r="F211"/>
      <c r="K211"/>
      <c r="W211"/>
    </row>
    <row r="212" spans="2:23">
      <c r="B212"/>
      <c r="E212"/>
      <c r="F212"/>
      <c r="K212"/>
      <c r="W212"/>
    </row>
    <row r="213" spans="2:23">
      <c r="B213"/>
      <c r="E213"/>
      <c r="F213"/>
      <c r="K213"/>
      <c r="W213"/>
    </row>
    <row r="214" spans="2:23">
      <c r="B214"/>
      <c r="E214"/>
      <c r="F214"/>
      <c r="K214"/>
      <c r="W214"/>
    </row>
    <row r="215" spans="2:23">
      <c r="B215"/>
      <c r="E215"/>
      <c r="F215"/>
      <c r="K215"/>
      <c r="W215"/>
    </row>
    <row r="216" spans="2:23">
      <c r="B216"/>
      <c r="E216"/>
      <c r="F216"/>
      <c r="K216"/>
      <c r="W216"/>
    </row>
    <row r="217" spans="2:23">
      <c r="B217"/>
      <c r="E217"/>
      <c r="F217"/>
      <c r="K217"/>
      <c r="W217"/>
    </row>
    <row r="218" spans="2:23">
      <c r="B218"/>
      <c r="E218"/>
      <c r="F218"/>
      <c r="K218"/>
      <c r="W218"/>
    </row>
    <row r="219" spans="2:23">
      <c r="B219"/>
      <c r="E219"/>
      <c r="F219"/>
      <c r="K219"/>
      <c r="W219"/>
    </row>
    <row r="220" spans="2:23">
      <c r="B220"/>
      <c r="E220"/>
      <c r="F220"/>
      <c r="K220"/>
      <c r="W220"/>
    </row>
    <row r="221" spans="2:23">
      <c r="B221"/>
      <c r="E221"/>
      <c r="F221"/>
      <c r="K221"/>
      <c r="W221"/>
    </row>
    <row r="222" spans="2:23">
      <c r="B222"/>
      <c r="E222"/>
      <c r="F222"/>
      <c r="K222"/>
      <c r="W222"/>
    </row>
    <row r="223" spans="2:23">
      <c r="B223"/>
      <c r="E223"/>
      <c r="F223"/>
      <c r="K223"/>
      <c r="W223"/>
    </row>
    <row r="224" spans="2:23">
      <c r="B224"/>
      <c r="E224"/>
      <c r="F224"/>
      <c r="K224"/>
      <c r="W224"/>
    </row>
    <row r="225" spans="2:23">
      <c r="B225"/>
      <c r="E225"/>
      <c r="F225"/>
      <c r="K225"/>
      <c r="W225"/>
    </row>
    <row r="226" spans="2:23">
      <c r="B226"/>
      <c r="E226"/>
      <c r="F226"/>
      <c r="K226"/>
      <c r="W226"/>
    </row>
    <row r="227" spans="2:23">
      <c r="B227"/>
      <c r="E227"/>
      <c r="F227"/>
      <c r="K227"/>
      <c r="W227"/>
    </row>
    <row r="228" spans="2:23">
      <c r="B228"/>
      <c r="E228"/>
      <c r="F228"/>
      <c r="K228"/>
      <c r="W228"/>
    </row>
    <row r="229" spans="2:23">
      <c r="B229"/>
      <c r="E229"/>
      <c r="F229"/>
      <c r="K229"/>
      <c r="W229"/>
    </row>
    <row r="230" spans="2:23">
      <c r="B230"/>
      <c r="E230"/>
      <c r="F230"/>
      <c r="K230"/>
      <c r="W230"/>
    </row>
    <row r="231" spans="2:23">
      <c r="B231"/>
      <c r="E231"/>
      <c r="F231"/>
      <c r="K231"/>
      <c r="W231"/>
    </row>
    <row r="232" spans="2:23">
      <c r="B232"/>
      <c r="E232"/>
      <c r="F232"/>
      <c r="K232"/>
      <c r="W232"/>
    </row>
    <row r="233" spans="2:23">
      <c r="B233"/>
      <c r="E233"/>
      <c r="F233"/>
      <c r="K233"/>
      <c r="W233"/>
    </row>
    <row r="234" spans="2:23">
      <c r="B234"/>
      <c r="E234"/>
      <c r="F234"/>
      <c r="K234"/>
      <c r="W234"/>
    </row>
    <row r="235" spans="2:23">
      <c r="B235"/>
      <c r="E235"/>
      <c r="F235"/>
      <c r="K235"/>
      <c r="W235"/>
    </row>
    <row r="236" spans="2:23">
      <c r="B236"/>
      <c r="E236"/>
      <c r="F236"/>
      <c r="K236"/>
      <c r="W236"/>
    </row>
    <row r="237" spans="2:23">
      <c r="B237"/>
      <c r="E237"/>
      <c r="F237"/>
      <c r="K237"/>
      <c r="W237"/>
    </row>
    <row r="238" spans="2:23">
      <c r="B238"/>
      <c r="E238"/>
      <c r="F238"/>
      <c r="K238"/>
      <c r="W238"/>
    </row>
    <row r="239" spans="2:23">
      <c r="B239"/>
      <c r="E239"/>
      <c r="F239"/>
      <c r="K239"/>
      <c r="W239"/>
    </row>
    <row r="240" spans="2:23">
      <c r="B240"/>
      <c r="E240"/>
      <c r="F240"/>
      <c r="K240"/>
      <c r="W240"/>
    </row>
    <row r="241" spans="2:23">
      <c r="B241"/>
      <c r="E241"/>
      <c r="F241"/>
      <c r="K241"/>
      <c r="W241"/>
    </row>
    <row r="242" spans="2:23">
      <c r="B242"/>
      <c r="E242"/>
      <c r="F242"/>
      <c r="K242"/>
      <c r="W242"/>
    </row>
    <row r="243" spans="2:23">
      <c r="B243"/>
      <c r="E243"/>
      <c r="F243"/>
      <c r="K243"/>
      <c r="W243"/>
    </row>
    <row r="244" spans="2:23">
      <c r="B244"/>
      <c r="E244"/>
      <c r="F244"/>
      <c r="K244"/>
      <c r="W244"/>
    </row>
    <row r="245" spans="2:23">
      <c r="B245"/>
      <c r="E245"/>
      <c r="F245"/>
      <c r="K245"/>
      <c r="W245"/>
    </row>
    <row r="246" spans="2:23">
      <c r="B246"/>
      <c r="E246"/>
      <c r="F246"/>
      <c r="K246"/>
      <c r="W246"/>
    </row>
    <row r="247" spans="2:23">
      <c r="B247"/>
      <c r="E247"/>
      <c r="F247"/>
      <c r="K247"/>
      <c r="W247"/>
    </row>
    <row r="248" spans="2:23">
      <c r="B248"/>
      <c r="E248"/>
      <c r="F248"/>
      <c r="K248"/>
      <c r="W248"/>
    </row>
    <row r="249" spans="2:23">
      <c r="B249"/>
      <c r="E249"/>
      <c r="F249"/>
      <c r="K249"/>
      <c r="W249"/>
    </row>
    <row r="250" spans="2:23">
      <c r="B250"/>
      <c r="E250"/>
      <c r="F250"/>
      <c r="K250"/>
      <c r="W250"/>
    </row>
    <row r="251" spans="2:23">
      <c r="B251"/>
      <c r="E251"/>
      <c r="F251"/>
      <c r="K251"/>
      <c r="W251"/>
    </row>
    <row r="252" spans="2:23">
      <c r="B252"/>
      <c r="E252"/>
      <c r="F252"/>
      <c r="K252"/>
      <c r="W252"/>
    </row>
    <row r="253" spans="2:23">
      <c r="B253"/>
      <c r="E253"/>
      <c r="F253"/>
      <c r="K253"/>
      <c r="W253"/>
    </row>
    <row r="254" spans="2:23">
      <c r="B254"/>
      <c r="E254"/>
      <c r="F254"/>
      <c r="K254"/>
      <c r="W254"/>
    </row>
    <row r="255" spans="2:23">
      <c r="B255"/>
      <c r="E255"/>
      <c r="F255"/>
      <c r="K255"/>
      <c r="W255"/>
    </row>
    <row r="256" spans="2:23">
      <c r="B256"/>
      <c r="E256"/>
      <c r="F256"/>
      <c r="K256"/>
      <c r="W256"/>
    </row>
    <row r="257" spans="2:23">
      <c r="B257"/>
      <c r="E257"/>
      <c r="F257"/>
      <c r="K257"/>
      <c r="W257"/>
    </row>
    <row r="258" spans="2:23">
      <c r="B258"/>
      <c r="E258"/>
      <c r="F258"/>
      <c r="K258"/>
      <c r="W258"/>
    </row>
    <row r="259" spans="2:23">
      <c r="B259"/>
      <c r="E259"/>
      <c r="F259"/>
      <c r="K259"/>
      <c r="W259"/>
    </row>
    <row r="260" spans="2:23">
      <c r="B260"/>
      <c r="E260"/>
      <c r="F260"/>
      <c r="K260"/>
      <c r="W260"/>
    </row>
    <row r="261" spans="2:23">
      <c r="B261"/>
      <c r="E261"/>
      <c r="F261"/>
      <c r="K261"/>
      <c r="W261"/>
    </row>
    <row r="262" spans="2:23">
      <c r="B262"/>
      <c r="E262"/>
      <c r="F262"/>
      <c r="K262"/>
      <c r="W262"/>
    </row>
    <row r="263" spans="2:23">
      <c r="B263"/>
      <c r="E263"/>
      <c r="F263"/>
      <c r="K263"/>
      <c r="W263"/>
    </row>
    <row r="264" spans="2:23">
      <c r="B264"/>
      <c r="E264"/>
      <c r="F264"/>
      <c r="K264"/>
      <c r="W264"/>
    </row>
    <row r="265" spans="2:23">
      <c r="B265"/>
      <c r="E265"/>
      <c r="F265"/>
      <c r="K265"/>
      <c r="W265"/>
    </row>
    <row r="266" spans="2:23">
      <c r="B266"/>
      <c r="E266"/>
      <c r="F266"/>
      <c r="K266"/>
      <c r="W266"/>
    </row>
    <row r="267" spans="2:23">
      <c r="B267"/>
      <c r="E267"/>
      <c r="F267"/>
      <c r="K267"/>
      <c r="W267"/>
    </row>
    <row r="268" spans="2:23">
      <c r="B268"/>
      <c r="E268"/>
      <c r="F268"/>
      <c r="K268"/>
      <c r="W268"/>
    </row>
    <row r="269" spans="2:23">
      <c r="B269"/>
      <c r="E269"/>
      <c r="F269"/>
      <c r="K269"/>
      <c r="W269"/>
    </row>
    <row r="270" spans="2:23">
      <c r="B270"/>
      <c r="E270"/>
      <c r="F270"/>
      <c r="K270"/>
      <c r="W270"/>
    </row>
    <row r="271" spans="2:23">
      <c r="B271"/>
      <c r="E271"/>
      <c r="F271"/>
      <c r="K271"/>
      <c r="W271"/>
    </row>
    <row r="272" spans="2:23">
      <c r="B272"/>
      <c r="E272"/>
      <c r="F272"/>
      <c r="K272"/>
      <c r="W272"/>
    </row>
    <row r="273" spans="2:23">
      <c r="B273"/>
      <c r="E273"/>
      <c r="F273"/>
      <c r="K273"/>
      <c r="W273"/>
    </row>
    <row r="274" spans="2:23">
      <c r="B274"/>
      <c r="E274"/>
      <c r="F274"/>
      <c r="K274"/>
      <c r="W274"/>
    </row>
    <row r="275" spans="2:23">
      <c r="B275"/>
      <c r="E275"/>
      <c r="F275"/>
      <c r="K275"/>
      <c r="W275"/>
    </row>
    <row r="276" spans="2:23">
      <c r="B276"/>
      <c r="E276"/>
      <c r="F276"/>
      <c r="K276"/>
      <c r="W276"/>
    </row>
    <row r="277" spans="2:23">
      <c r="B277"/>
      <c r="E277"/>
      <c r="F277"/>
      <c r="K277"/>
      <c r="W277"/>
    </row>
    <row r="278" spans="2:23">
      <c r="B278"/>
      <c r="E278"/>
      <c r="F278"/>
      <c r="K278"/>
      <c r="W278"/>
    </row>
    <row r="279" spans="2:23">
      <c r="B279"/>
      <c r="E279"/>
      <c r="F279"/>
      <c r="K279"/>
      <c r="W279"/>
    </row>
    <row r="280" spans="2:23">
      <c r="B280"/>
      <c r="E280"/>
      <c r="F280"/>
      <c r="K280"/>
      <c r="W280"/>
    </row>
    <row r="281" spans="2:23">
      <c r="B281"/>
      <c r="E281"/>
      <c r="F281"/>
      <c r="K281"/>
      <c r="W281"/>
    </row>
    <row r="282" spans="2:23">
      <c r="B282"/>
      <c r="E282"/>
      <c r="F282"/>
      <c r="K282"/>
      <c r="W282"/>
    </row>
    <row r="283" spans="2:23">
      <c r="B283"/>
      <c r="E283"/>
      <c r="F283"/>
      <c r="K283"/>
      <c r="W283"/>
    </row>
    <row r="284" spans="2:23">
      <c r="B284"/>
      <c r="E284"/>
      <c r="F284"/>
      <c r="K284"/>
      <c r="W284"/>
    </row>
    <row r="285" spans="2:23">
      <c r="B285"/>
      <c r="E285"/>
      <c r="F285"/>
      <c r="K285"/>
      <c r="W285"/>
    </row>
    <row r="286" spans="2:23">
      <c r="B286"/>
      <c r="E286"/>
      <c r="F286"/>
      <c r="K286"/>
      <c r="W286"/>
    </row>
    <row r="287" spans="2:23">
      <c r="B287"/>
      <c r="E287"/>
      <c r="F287"/>
      <c r="K287"/>
      <c r="W287"/>
    </row>
    <row r="288" spans="2:23">
      <c r="B288"/>
      <c r="E288"/>
      <c r="F288"/>
      <c r="K288"/>
      <c r="W288"/>
    </row>
    <row r="289" spans="2:23">
      <c r="B289"/>
      <c r="E289"/>
      <c r="F289"/>
      <c r="K289"/>
      <c r="W289"/>
    </row>
    <row r="290" spans="2:23">
      <c r="B290"/>
      <c r="E290"/>
      <c r="F290"/>
      <c r="K290"/>
      <c r="W290"/>
    </row>
    <row r="291" spans="2:23">
      <c r="B291"/>
      <c r="E291"/>
      <c r="F291"/>
      <c r="K291"/>
      <c r="W291"/>
    </row>
    <row r="292" spans="2:23">
      <c r="B292"/>
      <c r="E292"/>
      <c r="F292"/>
      <c r="K292"/>
      <c r="W292"/>
    </row>
    <row r="293" spans="2:23">
      <c r="B293"/>
      <c r="E293"/>
      <c r="F293"/>
      <c r="K293"/>
      <c r="W293"/>
    </row>
    <row r="294" spans="2:23">
      <c r="B294"/>
      <c r="E294"/>
      <c r="F294"/>
      <c r="K294"/>
      <c r="W294"/>
    </row>
    <row r="295" spans="2:23">
      <c r="B295"/>
      <c r="E295"/>
      <c r="F295"/>
      <c r="K295"/>
      <c r="W295"/>
    </row>
    <row r="296" spans="2:23">
      <c r="B296"/>
      <c r="E296"/>
      <c r="F296"/>
      <c r="K296"/>
      <c r="W296"/>
    </row>
    <row r="297" spans="2:23">
      <c r="B297"/>
      <c r="E297"/>
      <c r="F297"/>
      <c r="K297"/>
      <c r="W297"/>
    </row>
    <row r="298" spans="2:23">
      <c r="B298"/>
      <c r="E298"/>
      <c r="F298"/>
      <c r="K298"/>
      <c r="W298"/>
    </row>
    <row r="299" spans="2:23">
      <c r="B299"/>
      <c r="E299"/>
      <c r="F299"/>
      <c r="K299"/>
      <c r="W299"/>
    </row>
    <row r="300" spans="2:23">
      <c r="B300"/>
      <c r="E300"/>
      <c r="F300"/>
      <c r="K300"/>
      <c r="W300"/>
    </row>
    <row r="301" spans="2:23">
      <c r="B301"/>
      <c r="E301"/>
      <c r="F301"/>
      <c r="K301"/>
      <c r="W301"/>
    </row>
    <row r="302" spans="2:23">
      <c r="B302"/>
      <c r="E302"/>
      <c r="F302"/>
      <c r="K302"/>
      <c r="W302"/>
    </row>
    <row r="303" spans="2:23">
      <c r="B303"/>
      <c r="E303"/>
      <c r="F303"/>
      <c r="K303"/>
      <c r="W303"/>
    </row>
    <row r="304" spans="2:23">
      <c r="B304"/>
      <c r="E304"/>
      <c r="F304"/>
      <c r="K304"/>
      <c r="W304"/>
    </row>
    <row r="305" spans="2:23">
      <c r="B305"/>
      <c r="E305"/>
      <c r="F305"/>
      <c r="K305"/>
      <c r="W305"/>
    </row>
    <row r="306" spans="2:23">
      <c r="B306"/>
      <c r="E306"/>
      <c r="F306"/>
      <c r="K306"/>
      <c r="W306"/>
    </row>
    <row r="307" spans="2:23">
      <c r="B307"/>
      <c r="E307"/>
      <c r="F307"/>
      <c r="K307"/>
      <c r="W307"/>
    </row>
    <row r="308" spans="2:23">
      <c r="B308"/>
      <c r="E308"/>
      <c r="F308"/>
      <c r="K308"/>
      <c r="W308"/>
    </row>
    <row r="309" spans="2:23">
      <c r="B309"/>
      <c r="E309"/>
      <c r="F309"/>
      <c r="K309"/>
      <c r="W309"/>
    </row>
    <row r="310" spans="2:23">
      <c r="B310"/>
      <c r="E310"/>
      <c r="F310"/>
      <c r="K310"/>
      <c r="W310"/>
    </row>
    <row r="311" spans="2:23">
      <c r="B311"/>
      <c r="E311"/>
      <c r="F311"/>
      <c r="K311"/>
      <c r="W311"/>
    </row>
    <row r="312" spans="2:23">
      <c r="B312"/>
      <c r="E312"/>
      <c r="F312"/>
      <c r="K312"/>
      <c r="W312"/>
    </row>
    <row r="313" spans="2:23">
      <c r="B313"/>
      <c r="E313"/>
      <c r="F313"/>
      <c r="K313"/>
      <c r="W313"/>
    </row>
    <row r="314" spans="2:23">
      <c r="B314"/>
      <c r="E314"/>
      <c r="F314"/>
      <c r="K314"/>
      <c r="W314"/>
    </row>
    <row r="315" spans="2:23">
      <c r="B315"/>
      <c r="E315"/>
      <c r="F315"/>
      <c r="K315"/>
      <c r="W315"/>
    </row>
    <row r="316" spans="2:23">
      <c r="B316"/>
      <c r="E316"/>
      <c r="F316"/>
      <c r="K316"/>
      <c r="W316"/>
    </row>
    <row r="317" spans="2:23">
      <c r="B317"/>
      <c r="E317"/>
      <c r="F317"/>
      <c r="K317"/>
      <c r="W317"/>
    </row>
    <row r="318" spans="2:23">
      <c r="B318"/>
      <c r="E318"/>
      <c r="F318"/>
      <c r="K318"/>
      <c r="W318"/>
    </row>
    <row r="319" spans="2:23">
      <c r="B319"/>
      <c r="E319"/>
      <c r="F319"/>
      <c r="K319"/>
      <c r="W319"/>
    </row>
    <row r="320" spans="2:23">
      <c r="B320"/>
      <c r="E320"/>
      <c r="F320"/>
      <c r="K320"/>
      <c r="W320"/>
    </row>
    <row r="321" spans="2:23">
      <c r="B321"/>
      <c r="E321"/>
      <c r="F321"/>
      <c r="K321"/>
      <c r="W321"/>
    </row>
    <row r="322" spans="2:23">
      <c r="B322"/>
      <c r="E322"/>
      <c r="F322"/>
      <c r="K322"/>
      <c r="W322"/>
    </row>
    <row r="323" spans="2:23">
      <c r="B323"/>
      <c r="E323"/>
      <c r="F323"/>
      <c r="K323"/>
      <c r="W323"/>
    </row>
    <row r="324" spans="2:23">
      <c r="B324"/>
      <c r="E324"/>
      <c r="F324"/>
      <c r="K324"/>
      <c r="W324"/>
    </row>
    <row r="325" spans="2:23">
      <c r="B325"/>
      <c r="E325"/>
      <c r="F325"/>
      <c r="K325"/>
      <c r="W325"/>
    </row>
    <row r="326" spans="2:23">
      <c r="B326"/>
      <c r="E326"/>
      <c r="F326"/>
      <c r="K326"/>
      <c r="W326"/>
    </row>
    <row r="327" spans="2:23">
      <c r="B327"/>
      <c r="E327"/>
      <c r="F327"/>
      <c r="K327"/>
      <c r="W327"/>
    </row>
    <row r="328" spans="2:23">
      <c r="B328"/>
      <c r="E328"/>
      <c r="F328"/>
      <c r="K328"/>
      <c r="W328"/>
    </row>
    <row r="329" spans="2:23">
      <c r="B329"/>
      <c r="E329"/>
      <c r="F329"/>
      <c r="K329"/>
      <c r="W329"/>
    </row>
    <row r="330" spans="2:23">
      <c r="B330"/>
      <c r="E330"/>
      <c r="F330"/>
      <c r="K330"/>
      <c r="W330"/>
    </row>
    <row r="331" spans="2:23">
      <c r="B331"/>
      <c r="E331"/>
      <c r="F331"/>
      <c r="K331"/>
      <c r="W331"/>
    </row>
    <row r="332" spans="2:23">
      <c r="B332"/>
      <c r="E332"/>
      <c r="F332"/>
      <c r="K332"/>
      <c r="W332"/>
    </row>
    <row r="333" spans="2:23">
      <c r="B333"/>
      <c r="E333"/>
      <c r="F333"/>
      <c r="K333"/>
      <c r="W333"/>
    </row>
    <row r="334" spans="2:23">
      <c r="B334"/>
      <c r="E334"/>
      <c r="F334"/>
      <c r="K334"/>
      <c r="W334"/>
    </row>
  </sheetData>
  <autoFilter ref="A4:W148" xr:uid="{B382791D-93DE-4D5B-BC3C-8A53037CF2A9}">
    <filterColumn colId="14">
      <filters>
        <filter val="1,000"/>
        <filter val="1,026"/>
        <filter val="1,100"/>
        <filter val="1,386"/>
        <filter val="116,338.00"/>
        <filter val="12,877"/>
        <filter val="13,400"/>
        <filter val="14,780.00"/>
        <filter val="16,488"/>
        <filter val="16,488.00"/>
        <filter val="18,000"/>
        <filter val="2,000"/>
        <filter val="2,000.00"/>
        <filter val="2,400"/>
        <filter val="2,686"/>
        <filter val="237,288.00"/>
        <filter val="24,000"/>
        <filter val="24,540.00"/>
        <filter val="25,670.00"/>
        <filter val="28,100"/>
        <filter val="3,000"/>
        <filter val="3,006"/>
        <filter val="3,240"/>
        <filter val="34,860.00"/>
        <filter val="36,000"/>
        <filter val="360"/>
        <filter val="4,008"/>
        <filter val="40,008"/>
        <filter val="40,800"/>
        <filter val="6,000"/>
        <filter val="6,600"/>
        <filter val="8,700"/>
        <filter val="814"/>
      </filters>
    </filterColumn>
  </autoFilter>
  <mergeCells count="5">
    <mergeCell ref="B3:H3"/>
    <mergeCell ref="I3:O3"/>
    <mergeCell ref="P3:V3"/>
    <mergeCell ref="A3:A4"/>
    <mergeCell ref="W3:W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E062-3BC1-409C-9D43-6FD3047F3670}">
  <dimension ref="A2:O83"/>
  <sheetViews>
    <sheetView zoomScale="110" zoomScaleNormal="110" workbookViewId="0">
      <selection activeCell="D22" sqref="D22"/>
    </sheetView>
  </sheetViews>
  <sheetFormatPr defaultColWidth="8.77734375" defaultRowHeight="14.4"/>
  <cols>
    <col min="1" max="1" width="37.88671875" customWidth="1"/>
    <col min="2" max="2" width="10.6640625" customWidth="1"/>
    <col min="3" max="3" width="8.6640625" customWidth="1"/>
    <col min="4" max="5" width="12.33203125" customWidth="1"/>
    <col min="6" max="6" width="16" customWidth="1"/>
    <col min="7" max="7" width="17.33203125" customWidth="1"/>
    <col min="8" max="8" width="13.109375" hidden="1" customWidth="1"/>
    <col min="9" max="9" width="10.6640625" hidden="1" customWidth="1"/>
    <col min="10" max="10" width="8.6640625" hidden="1" customWidth="1"/>
    <col min="11" max="12" width="12.33203125" hidden="1" customWidth="1"/>
    <col min="13" max="13" width="16" hidden="1" customWidth="1"/>
    <col min="14" max="14" width="17.6640625" hidden="1" customWidth="1"/>
    <col min="15" max="15" width="19.109375" style="24" customWidth="1"/>
  </cols>
  <sheetData>
    <row r="2" spans="1:15">
      <c r="O2"/>
    </row>
    <row r="3" spans="1:15" ht="15" thickBot="1">
      <c r="A3" s="134"/>
      <c r="B3" s="134"/>
      <c r="C3" s="134"/>
      <c r="D3" s="134"/>
      <c r="E3" s="134"/>
      <c r="F3" s="134"/>
      <c r="G3" s="134"/>
      <c r="H3" s="134"/>
      <c r="O3"/>
    </row>
    <row r="4" spans="1:15" ht="15" thickBot="1">
      <c r="A4" s="284" t="s">
        <v>157</v>
      </c>
      <c r="B4" s="285"/>
      <c r="C4" s="285"/>
      <c r="D4" s="285"/>
      <c r="E4" s="286"/>
      <c r="F4" s="134"/>
      <c r="G4" s="134"/>
      <c r="H4" s="134"/>
      <c r="O4"/>
    </row>
    <row r="5" spans="1:15">
      <c r="A5" s="140"/>
      <c r="B5" s="140"/>
      <c r="C5" s="140"/>
      <c r="D5" s="140"/>
      <c r="E5" s="140"/>
      <c r="F5" s="134"/>
      <c r="G5" s="134"/>
      <c r="H5" s="134"/>
      <c r="O5"/>
    </row>
    <row r="6" spans="1:15">
      <c r="A6" s="153" t="s">
        <v>158</v>
      </c>
      <c r="B6" s="140"/>
      <c r="C6" s="140"/>
      <c r="D6" s="140"/>
      <c r="E6" s="140"/>
      <c r="F6" s="134"/>
      <c r="G6" s="134"/>
      <c r="H6" s="134"/>
      <c r="O6"/>
    </row>
    <row r="7" spans="1:15" ht="15" thickBot="1">
      <c r="A7" s="134"/>
      <c r="B7" s="134"/>
      <c r="C7" s="134"/>
      <c r="D7" s="134"/>
      <c r="E7" s="134"/>
      <c r="F7" s="134"/>
      <c r="G7" s="134"/>
      <c r="H7" s="134"/>
      <c r="O7"/>
    </row>
    <row r="8" spans="1:15" ht="15" thickBot="1">
      <c r="A8" s="136" t="s">
        <v>159</v>
      </c>
      <c r="B8" s="136" t="s">
        <v>160</v>
      </c>
      <c r="C8" s="135" t="s">
        <v>161</v>
      </c>
      <c r="D8" s="136" t="s">
        <v>162</v>
      </c>
      <c r="E8" s="136" t="s">
        <v>163</v>
      </c>
      <c r="F8" s="134"/>
      <c r="G8" s="134"/>
      <c r="H8" s="150"/>
      <c r="O8"/>
    </row>
    <row r="9" spans="1:15" ht="15" thickBot="1">
      <c r="A9" s="146" t="s">
        <v>164</v>
      </c>
      <c r="B9" s="147"/>
      <c r="C9" s="147"/>
      <c r="D9" s="148"/>
      <c r="E9" s="149"/>
      <c r="F9" s="134"/>
      <c r="G9" s="134"/>
      <c r="H9" s="151"/>
      <c r="O9"/>
    </row>
    <row r="10" spans="1:15">
      <c r="A10" s="139" t="s">
        <v>165</v>
      </c>
      <c r="B10" s="139" t="s">
        <v>166</v>
      </c>
      <c r="C10" s="166">
        <v>6</v>
      </c>
      <c r="D10" s="141">
        <v>2000</v>
      </c>
      <c r="E10" s="144">
        <f>C10*D10</f>
        <v>12000</v>
      </c>
      <c r="F10" s="134"/>
      <c r="G10" s="134"/>
      <c r="H10" s="151"/>
      <c r="O10"/>
    </row>
    <row r="11" spans="1:15">
      <c r="A11" s="137" t="s">
        <v>167</v>
      </c>
      <c r="B11" s="137" t="s">
        <v>166</v>
      </c>
      <c r="C11" s="137">
        <v>12</v>
      </c>
      <c r="D11" s="141">
        <v>1700</v>
      </c>
      <c r="E11" s="144">
        <f t="shared" ref="E11:E15" si="0">C11*D11</f>
        <v>20400</v>
      </c>
      <c r="F11" s="134"/>
      <c r="G11" s="134"/>
      <c r="H11" s="151"/>
      <c r="O11"/>
    </row>
    <row r="12" spans="1:15">
      <c r="A12" s="137" t="s">
        <v>168</v>
      </c>
      <c r="B12" s="137" t="s">
        <v>166</v>
      </c>
      <c r="C12" s="163">
        <v>6</v>
      </c>
      <c r="D12" s="141">
        <v>1620</v>
      </c>
      <c r="E12" s="144">
        <f t="shared" si="0"/>
        <v>9720</v>
      </c>
      <c r="F12" s="134"/>
      <c r="G12" s="134"/>
      <c r="H12" s="151"/>
      <c r="O12"/>
    </row>
    <row r="13" spans="1:15">
      <c r="A13" s="137" t="s">
        <v>169</v>
      </c>
      <c r="B13" s="137" t="s">
        <v>166</v>
      </c>
      <c r="C13" s="163">
        <v>6</v>
      </c>
      <c r="D13" s="141">
        <v>5400</v>
      </c>
      <c r="E13" s="144">
        <f t="shared" si="0"/>
        <v>32400</v>
      </c>
      <c r="F13" s="134"/>
      <c r="G13" s="134"/>
      <c r="H13" s="151"/>
      <c r="O13"/>
    </row>
    <row r="14" spans="1:15">
      <c r="A14" s="137" t="s">
        <v>170</v>
      </c>
      <c r="B14" s="137" t="s">
        <v>166</v>
      </c>
      <c r="C14" s="137">
        <v>12</v>
      </c>
      <c r="D14" s="141">
        <v>510</v>
      </c>
      <c r="E14" s="144">
        <f t="shared" si="0"/>
        <v>6120</v>
      </c>
      <c r="F14" s="134"/>
      <c r="G14" s="134"/>
      <c r="H14" s="151"/>
      <c r="O14"/>
    </row>
    <row r="15" spans="1:15" ht="15" thickBot="1">
      <c r="A15" s="138" t="s">
        <v>171</v>
      </c>
      <c r="B15" s="138" t="s">
        <v>166</v>
      </c>
      <c r="C15" s="138">
        <v>12</v>
      </c>
      <c r="D15" s="143">
        <v>580</v>
      </c>
      <c r="E15" s="144">
        <f t="shared" si="0"/>
        <v>6960</v>
      </c>
      <c r="F15" s="134"/>
      <c r="G15" s="134"/>
      <c r="H15" s="151"/>
      <c r="O15"/>
    </row>
    <row r="16" spans="1:15" ht="15" thickBot="1">
      <c r="A16" s="146" t="s">
        <v>172</v>
      </c>
      <c r="B16" s="147"/>
      <c r="C16" s="147"/>
      <c r="D16" s="148"/>
      <c r="E16" s="149">
        <f>SUM(E10:E15)</f>
        <v>87600</v>
      </c>
      <c r="F16" s="134"/>
      <c r="G16" s="155"/>
      <c r="H16" s="151"/>
      <c r="O16"/>
    </row>
    <row r="17" spans="1:15" ht="15" thickBot="1">
      <c r="A17" s="146" t="s">
        <v>173</v>
      </c>
      <c r="B17" s="147"/>
      <c r="C17" s="147"/>
      <c r="D17" s="148"/>
      <c r="E17" s="149"/>
      <c r="F17" s="134"/>
      <c r="G17" s="167">
        <v>237000</v>
      </c>
      <c r="H17" s="151"/>
      <c r="O17"/>
    </row>
    <row r="18" spans="1:15">
      <c r="A18" s="137" t="s">
        <v>174</v>
      </c>
      <c r="B18" s="137" t="s">
        <v>175</v>
      </c>
      <c r="C18" s="137">
        <v>3</v>
      </c>
      <c r="D18" s="141">
        <v>600</v>
      </c>
      <c r="E18" s="142">
        <f>C18*D18</f>
        <v>1800</v>
      </c>
      <c r="F18" s="134"/>
      <c r="G18" s="155"/>
      <c r="H18" s="151"/>
      <c r="O18"/>
    </row>
    <row r="19" spans="1:15">
      <c r="A19" s="137" t="s">
        <v>176</v>
      </c>
      <c r="B19" s="137" t="s">
        <v>177</v>
      </c>
      <c r="C19" s="137">
        <v>10</v>
      </c>
      <c r="D19" s="141">
        <v>400</v>
      </c>
      <c r="E19" s="142">
        <f t="shared" ref="E19:E30" si="1">C19*D19</f>
        <v>4000</v>
      </c>
      <c r="F19" s="134"/>
      <c r="G19" s="155"/>
      <c r="H19" s="151"/>
      <c r="O19"/>
    </row>
    <row r="20" spans="1:15">
      <c r="A20" s="137" t="s">
        <v>178</v>
      </c>
      <c r="B20" s="137" t="s">
        <v>166</v>
      </c>
      <c r="C20" s="137">
        <v>6</v>
      </c>
      <c r="D20" s="141">
        <v>220</v>
      </c>
      <c r="E20" s="142">
        <f t="shared" si="1"/>
        <v>1320</v>
      </c>
      <c r="F20" s="134"/>
      <c r="G20" s="155"/>
      <c r="H20" s="151"/>
      <c r="O20"/>
    </row>
    <row r="21" spans="1:15">
      <c r="A21" s="163" t="s">
        <v>179</v>
      </c>
      <c r="B21" s="163" t="s">
        <v>180</v>
      </c>
      <c r="C21" s="163">
        <v>60</v>
      </c>
      <c r="D21" s="164">
        <v>150</v>
      </c>
      <c r="E21" s="165">
        <f t="shared" si="1"/>
        <v>9000</v>
      </c>
      <c r="F21" s="134"/>
      <c r="G21" s="155"/>
      <c r="H21" s="151"/>
      <c r="O21"/>
    </row>
    <row r="22" spans="1:15">
      <c r="A22" s="137" t="s">
        <v>181</v>
      </c>
      <c r="B22" s="137" t="s">
        <v>180</v>
      </c>
      <c r="C22" s="137">
        <v>25</v>
      </c>
      <c r="D22" s="141">
        <v>140</v>
      </c>
      <c r="E22" s="142">
        <f t="shared" si="1"/>
        <v>3500</v>
      </c>
      <c r="F22" s="134"/>
      <c r="G22" s="155"/>
      <c r="H22" s="151"/>
      <c r="O22"/>
    </row>
    <row r="23" spans="1:15">
      <c r="A23" s="137" t="s">
        <v>182</v>
      </c>
      <c r="B23" s="137" t="s">
        <v>183</v>
      </c>
      <c r="C23" s="163">
        <v>50</v>
      </c>
      <c r="D23" s="141">
        <v>27</v>
      </c>
      <c r="E23" s="142">
        <f t="shared" si="1"/>
        <v>1350</v>
      </c>
      <c r="F23" s="134"/>
      <c r="G23" s="155"/>
      <c r="H23" s="151"/>
      <c r="O23"/>
    </row>
    <row r="24" spans="1:15">
      <c r="A24" s="137" t="s">
        <v>184</v>
      </c>
      <c r="B24" s="137" t="s">
        <v>160</v>
      </c>
      <c r="C24" s="163">
        <v>50</v>
      </c>
      <c r="D24" s="141">
        <v>2</v>
      </c>
      <c r="E24" s="142">
        <f t="shared" si="1"/>
        <v>100</v>
      </c>
      <c r="F24" s="134"/>
      <c r="G24" s="155"/>
      <c r="H24" s="151"/>
      <c r="O24"/>
    </row>
    <row r="25" spans="1:15">
      <c r="A25" s="137" t="s">
        <v>185</v>
      </c>
      <c r="B25" s="137" t="s">
        <v>175</v>
      </c>
      <c r="C25" s="137">
        <v>6</v>
      </c>
      <c r="D25" s="141">
        <v>220</v>
      </c>
      <c r="E25" s="142">
        <f t="shared" si="1"/>
        <v>1320</v>
      </c>
      <c r="F25" s="134"/>
      <c r="G25" s="155"/>
      <c r="H25" s="151"/>
      <c r="O25"/>
    </row>
    <row r="26" spans="1:15">
      <c r="A26" s="137" t="s">
        <v>186</v>
      </c>
      <c r="B26" s="137" t="s">
        <v>187</v>
      </c>
      <c r="C26" s="137">
        <v>25</v>
      </c>
      <c r="D26" s="141">
        <v>1000</v>
      </c>
      <c r="E26" s="142">
        <f t="shared" si="1"/>
        <v>25000</v>
      </c>
      <c r="F26" s="134"/>
      <c r="G26" s="155"/>
      <c r="H26" s="151"/>
      <c r="O26"/>
    </row>
    <row r="27" spans="1:15">
      <c r="A27" s="137" t="s">
        <v>188</v>
      </c>
      <c r="B27" s="137" t="s">
        <v>189</v>
      </c>
      <c r="C27" s="137">
        <v>18</v>
      </c>
      <c r="D27" s="141">
        <v>300</v>
      </c>
      <c r="E27" s="142">
        <f t="shared" si="1"/>
        <v>5400</v>
      </c>
      <c r="F27" s="134"/>
      <c r="G27" s="155"/>
      <c r="H27" s="151"/>
      <c r="O27"/>
    </row>
    <row r="28" spans="1:15">
      <c r="A28" s="137" t="s">
        <v>190</v>
      </c>
      <c r="B28" s="137" t="s">
        <v>191</v>
      </c>
      <c r="C28" s="163">
        <v>3</v>
      </c>
      <c r="D28" s="141">
        <v>3500</v>
      </c>
      <c r="E28" s="142">
        <f t="shared" si="1"/>
        <v>10500</v>
      </c>
      <c r="F28" s="134"/>
      <c r="G28" s="155"/>
      <c r="H28" s="151"/>
      <c r="O28"/>
    </row>
    <row r="29" spans="1:15">
      <c r="A29" s="137" t="s">
        <v>192</v>
      </c>
      <c r="B29" s="137" t="s">
        <v>180</v>
      </c>
      <c r="C29" s="137">
        <v>150</v>
      </c>
      <c r="D29" s="141">
        <v>65</v>
      </c>
      <c r="E29" s="142">
        <f t="shared" si="1"/>
        <v>9750</v>
      </c>
      <c r="F29" s="134"/>
      <c r="G29" s="155"/>
      <c r="H29" s="151"/>
      <c r="O29"/>
    </row>
    <row r="30" spans="1:15" ht="15" thickBot="1">
      <c r="A30" s="137" t="s">
        <v>193</v>
      </c>
      <c r="B30" s="137" t="s">
        <v>166</v>
      </c>
      <c r="C30" s="137">
        <v>12</v>
      </c>
      <c r="D30" s="141">
        <v>100</v>
      </c>
      <c r="E30" s="142">
        <f t="shared" si="1"/>
        <v>1200</v>
      </c>
      <c r="F30" s="134"/>
      <c r="G30" s="155"/>
      <c r="H30" s="151"/>
      <c r="O30"/>
    </row>
    <row r="31" spans="1:15" ht="15" thickBot="1">
      <c r="A31" s="146" t="s">
        <v>194</v>
      </c>
      <c r="B31" s="147"/>
      <c r="C31" s="147"/>
      <c r="D31" s="148"/>
      <c r="E31" s="149">
        <f>SUM(E18:E30)</f>
        <v>74240</v>
      </c>
      <c r="F31" s="134"/>
      <c r="G31" s="155"/>
      <c r="H31" s="151"/>
      <c r="O31"/>
    </row>
    <row r="32" spans="1:15" ht="15" thickBot="1">
      <c r="A32" s="146" t="s">
        <v>195</v>
      </c>
      <c r="B32" s="147" t="s">
        <v>196</v>
      </c>
      <c r="C32" s="154">
        <v>7.0000000000000007E-2</v>
      </c>
      <c r="D32" s="149">
        <v>221910</v>
      </c>
      <c r="E32" s="149">
        <v>15533.7</v>
      </c>
      <c r="F32" s="134"/>
      <c r="G32" s="155"/>
      <c r="H32" s="151"/>
      <c r="O32"/>
    </row>
    <row r="33" spans="1:15" ht="15" thickBot="1">
      <c r="A33" s="139"/>
      <c r="B33" s="139"/>
      <c r="C33" s="139"/>
      <c r="D33" s="143"/>
      <c r="E33" s="145"/>
      <c r="F33" s="134"/>
      <c r="G33" s="155"/>
      <c r="H33" s="151"/>
      <c r="O33"/>
    </row>
    <row r="34" spans="1:15" ht="15" thickBot="1">
      <c r="A34" s="146" t="s">
        <v>197</v>
      </c>
      <c r="B34" s="147"/>
      <c r="C34" s="147"/>
      <c r="D34" s="148"/>
      <c r="E34" s="149">
        <f>E16+E31+E32</f>
        <v>177373.7</v>
      </c>
      <c r="F34" s="134"/>
      <c r="G34" s="155">
        <f>G17-E34</f>
        <v>59626.299999999988</v>
      </c>
      <c r="H34" s="151"/>
      <c r="O34"/>
    </row>
    <row r="35" spans="1:15">
      <c r="A35" s="134"/>
      <c r="B35" s="134"/>
      <c r="C35" s="134"/>
      <c r="D35" s="134"/>
      <c r="E35" s="134"/>
      <c r="F35" s="134"/>
      <c r="G35" s="155"/>
      <c r="H35" s="134"/>
      <c r="O35"/>
    </row>
    <row r="36" spans="1:15">
      <c r="A36" s="134"/>
      <c r="B36" s="134"/>
      <c r="C36" s="134"/>
      <c r="D36" s="134"/>
      <c r="E36" s="134"/>
      <c r="F36" s="134"/>
      <c r="G36" s="152"/>
      <c r="H36" s="134"/>
      <c r="O36"/>
    </row>
    <row r="37" spans="1:15">
      <c r="O37"/>
    </row>
    <row r="38" spans="1:15">
      <c r="O38"/>
    </row>
    <row r="39" spans="1:15">
      <c r="O39"/>
    </row>
    <row r="40" spans="1:15">
      <c r="O40"/>
    </row>
    <row r="41" spans="1:15">
      <c r="O41"/>
    </row>
    <row r="42" spans="1:15">
      <c r="O42"/>
    </row>
    <row r="43" spans="1:15">
      <c r="O43"/>
    </row>
    <row r="44" spans="1:15">
      <c r="O44"/>
    </row>
    <row r="45" spans="1:15">
      <c r="O45"/>
    </row>
    <row r="46" spans="1:15">
      <c r="O46"/>
    </row>
    <row r="47" spans="1:15">
      <c r="O47"/>
    </row>
    <row r="48" spans="1:15">
      <c r="O48"/>
    </row>
    <row r="49" spans="15:15">
      <c r="O49"/>
    </row>
    <row r="50" spans="15:15">
      <c r="O50"/>
    </row>
    <row r="51" spans="15:15">
      <c r="O51"/>
    </row>
    <row r="52" spans="15:15">
      <c r="O52"/>
    </row>
    <row r="53" spans="15:15">
      <c r="O53"/>
    </row>
    <row r="54" spans="15:15">
      <c r="O54"/>
    </row>
    <row r="55" spans="15:15">
      <c r="O55"/>
    </row>
    <row r="56" spans="15:15">
      <c r="O56"/>
    </row>
    <row r="57" spans="15:15">
      <c r="O57"/>
    </row>
    <row r="58" spans="15:15">
      <c r="O58"/>
    </row>
    <row r="59" spans="15:15">
      <c r="O59"/>
    </row>
    <row r="60" spans="15:15">
      <c r="O60"/>
    </row>
    <row r="61" spans="15:15">
      <c r="O61"/>
    </row>
    <row r="62" spans="15:15">
      <c r="O62"/>
    </row>
    <row r="63" spans="15:15">
      <c r="O63"/>
    </row>
    <row r="64" spans="15:15">
      <c r="O64"/>
    </row>
    <row r="65" spans="15:15">
      <c r="O65"/>
    </row>
    <row r="66" spans="15:15">
      <c r="O66"/>
    </row>
    <row r="67" spans="15:15">
      <c r="O67"/>
    </row>
    <row r="68" spans="15:15">
      <c r="O68"/>
    </row>
    <row r="69" spans="15:15">
      <c r="O69"/>
    </row>
    <row r="70" spans="15:15">
      <c r="O70"/>
    </row>
    <row r="71" spans="15:15">
      <c r="O71"/>
    </row>
    <row r="72" spans="15:15">
      <c r="O72"/>
    </row>
    <row r="73" spans="15:15">
      <c r="O73"/>
    </row>
    <row r="74" spans="15:15">
      <c r="O74"/>
    </row>
    <row r="75" spans="15:15">
      <c r="O75"/>
    </row>
    <row r="76" spans="15:15">
      <c r="O76"/>
    </row>
    <row r="77" spans="15:15">
      <c r="O77"/>
    </row>
    <row r="78" spans="15:15">
      <c r="O78"/>
    </row>
    <row r="79" spans="15:15">
      <c r="O79"/>
    </row>
    <row r="80" spans="15:15">
      <c r="O80"/>
    </row>
    <row r="81" spans="15:15">
      <c r="O81"/>
    </row>
    <row r="82" spans="15:15">
      <c r="O82"/>
    </row>
    <row r="83" spans="15:15">
      <c r="O83"/>
    </row>
  </sheetData>
  <mergeCells count="1">
    <mergeCell ref="A4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CAEC5-20E0-4323-8E38-03F148F49824}">
  <dimension ref="A2:M31"/>
  <sheetViews>
    <sheetView workbookViewId="0">
      <selection activeCell="G33" sqref="G33"/>
    </sheetView>
  </sheetViews>
  <sheetFormatPr defaultRowHeight="14.4"/>
  <cols>
    <col min="1" max="1" width="42" style="87" customWidth="1"/>
    <col min="2" max="6" width="8.88671875" style="87"/>
    <col min="7" max="7" width="10.44140625" style="87" customWidth="1"/>
    <col min="8" max="8" width="8.88671875" style="87"/>
    <col min="9" max="9" width="11.21875" style="87" customWidth="1"/>
    <col min="10" max="10" width="12.33203125" style="87" customWidth="1"/>
    <col min="11" max="16384" width="8.88671875" style="87"/>
  </cols>
  <sheetData>
    <row r="2" spans="1:13" ht="15" thickBot="1">
      <c r="A2" s="117"/>
      <c r="B2" s="116" t="s">
        <v>144</v>
      </c>
      <c r="C2" s="116" t="s">
        <v>145</v>
      </c>
      <c r="D2" s="116" t="s">
        <v>146</v>
      </c>
      <c r="E2" s="116" t="s">
        <v>147</v>
      </c>
      <c r="F2" s="116" t="s">
        <v>148</v>
      </c>
      <c r="G2" s="116" t="s">
        <v>149</v>
      </c>
      <c r="H2" s="116" t="s">
        <v>150</v>
      </c>
      <c r="I2" s="116" t="s">
        <v>151</v>
      </c>
      <c r="J2" s="116" t="s">
        <v>152</v>
      </c>
      <c r="K2" s="116" t="s">
        <v>153</v>
      </c>
      <c r="L2" s="116" t="s">
        <v>154</v>
      </c>
      <c r="M2" s="116" t="s">
        <v>155</v>
      </c>
    </row>
    <row r="3" spans="1:13">
      <c r="A3" s="122" t="s">
        <v>92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4"/>
    </row>
    <row r="4" spans="1:13">
      <c r="A4" s="110" t="str">
        <f>'NAb + Jer'!A49</f>
        <v xml:space="preserve">R1 A1 : Digital mapping of Des </v>
      </c>
      <c r="B4" s="119"/>
      <c r="C4" s="119"/>
      <c r="D4" s="118"/>
      <c r="E4" s="118"/>
      <c r="F4" s="118"/>
      <c r="G4" s="118"/>
      <c r="H4" s="118"/>
      <c r="I4" s="118"/>
      <c r="J4" s="118"/>
      <c r="K4" s="118"/>
      <c r="L4" s="118"/>
      <c r="M4" s="125"/>
    </row>
    <row r="5" spans="1:13">
      <c r="A5" s="110" t="str">
        <f>'NAb + Jer'!A51</f>
        <v xml:space="preserve">R1 A2 : Medical need assessment </v>
      </c>
      <c r="B5" s="119"/>
      <c r="C5" s="119"/>
      <c r="D5" s="119"/>
      <c r="E5" s="118"/>
      <c r="F5" s="118"/>
      <c r="G5" s="118"/>
      <c r="H5" s="118"/>
      <c r="I5" s="118"/>
      <c r="J5" s="118"/>
      <c r="K5" s="118"/>
      <c r="L5" s="118"/>
      <c r="M5" s="125"/>
    </row>
    <row r="6" spans="1:13">
      <c r="A6" s="110" t="str">
        <f>'NAb + Jer'!A55</f>
        <v xml:space="preserve">R1 A3: Rehabilitation of spaces  in Shelters </v>
      </c>
      <c r="B6" s="118"/>
      <c r="C6" s="118"/>
      <c r="D6" s="119"/>
      <c r="E6" s="119"/>
      <c r="F6" s="119"/>
      <c r="G6" s="119"/>
      <c r="H6" s="119"/>
      <c r="I6" s="118"/>
      <c r="J6" s="118"/>
      <c r="K6" s="118"/>
      <c r="L6" s="118"/>
      <c r="M6" s="125"/>
    </row>
    <row r="7" spans="1:13" ht="15" thickBot="1">
      <c r="A7" s="126" t="str">
        <f>'NAb + Jer'!A57</f>
        <v xml:space="preserve">R1 A4 : Coordination with others cluster </v>
      </c>
      <c r="B7" s="94"/>
      <c r="C7" s="94"/>
      <c r="D7" s="94"/>
      <c r="E7" s="127"/>
      <c r="F7" s="94"/>
      <c r="G7" s="127"/>
      <c r="H7" s="94"/>
      <c r="I7" s="127"/>
      <c r="J7" s="94"/>
      <c r="K7" s="127"/>
      <c r="L7" s="94"/>
      <c r="M7" s="128"/>
    </row>
    <row r="8" spans="1:13">
      <c r="A8" s="129" t="s">
        <v>105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4"/>
    </row>
    <row r="9" spans="1:13" ht="28.8">
      <c r="A9" s="92" t="str">
        <f>'NAb + Jer'!A59</f>
        <v xml:space="preserve">R2 A1 : workshops with MOH and PHD and PHC directorate </v>
      </c>
      <c r="B9" s="118"/>
      <c r="C9" s="118"/>
      <c r="D9" s="118"/>
      <c r="E9" s="119"/>
      <c r="F9" s="118"/>
      <c r="G9" s="118"/>
      <c r="H9" s="118"/>
      <c r="I9" s="118"/>
      <c r="J9" s="118"/>
      <c r="K9" s="118"/>
      <c r="L9" s="118"/>
      <c r="M9" s="125"/>
    </row>
    <row r="10" spans="1:13">
      <c r="A10" s="92" t="str">
        <f>'NAb + Jer'!A63</f>
        <v>R2 A2 : workshops with PHC</v>
      </c>
      <c r="B10" s="118"/>
      <c r="C10" s="118"/>
      <c r="D10" s="118"/>
      <c r="E10" s="119"/>
      <c r="F10" s="118"/>
      <c r="G10" s="118"/>
      <c r="H10" s="118"/>
      <c r="I10" s="118"/>
      <c r="J10" s="118"/>
      <c r="K10" s="118"/>
      <c r="L10" s="118"/>
      <c r="M10" s="125"/>
    </row>
    <row r="11" spans="1:13">
      <c r="A11" s="92" t="str">
        <f>'NAb + Jer'!A65</f>
        <v xml:space="preserve">R2 A3 : procurement of medical stock </v>
      </c>
      <c r="B11" s="118"/>
      <c r="C11" s="118"/>
      <c r="D11" s="118"/>
      <c r="E11" s="118"/>
      <c r="F11" s="119"/>
      <c r="G11" s="119"/>
      <c r="H11" s="119"/>
      <c r="I11" s="119"/>
      <c r="J11" s="119"/>
      <c r="K11" s="118"/>
      <c r="L11" s="118"/>
      <c r="M11" s="125"/>
    </row>
    <row r="12" spans="1:13" ht="39" customHeight="1">
      <c r="A12" s="92" t="str">
        <f>'NAb + Jer'!A70</f>
        <v>R2 A4.1  and R3. A4  : production of specific tools for EWS on epidemic in crises (3 days training )</v>
      </c>
      <c r="B12" s="118"/>
      <c r="C12" s="118"/>
      <c r="D12" s="118"/>
      <c r="E12" s="118"/>
      <c r="F12" s="119"/>
      <c r="G12" s="119"/>
      <c r="H12" s="119"/>
      <c r="I12" s="119"/>
      <c r="J12" s="119"/>
      <c r="K12" s="118"/>
      <c r="L12" s="118"/>
      <c r="M12" s="125"/>
    </row>
    <row r="13" spans="1:13" ht="28.8">
      <c r="A13" s="92" t="str">
        <f>'NAb + Jer'!A73</f>
        <v>R2 A4.2 and R3. A4 : Training of operation and and technical supervisors (5 days training )</v>
      </c>
      <c r="B13" s="118"/>
      <c r="C13" s="118"/>
      <c r="D13" s="118"/>
      <c r="E13" s="118"/>
      <c r="F13" s="119"/>
      <c r="G13" s="119"/>
      <c r="H13" s="119"/>
      <c r="I13" s="119"/>
      <c r="J13" s="119"/>
      <c r="K13" s="118"/>
      <c r="L13" s="118"/>
      <c r="M13" s="125"/>
    </row>
    <row r="14" spans="1:13" ht="15" thickBot="1">
      <c r="A14" s="93" t="str">
        <f>'NAb + Jer'!A77</f>
        <v>R2 A5  and R3. A6: Drills  ( 1 day)</v>
      </c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127"/>
      <c r="M14" s="128"/>
    </row>
    <row r="15" spans="1:13">
      <c r="A15" s="129" t="s">
        <v>108</v>
      </c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4"/>
    </row>
    <row r="16" spans="1:13">
      <c r="A16" s="92" t="str">
        <f>'NAb + Jer'!A79</f>
        <v>R3 A1. ACLS training ( 2 days training )</v>
      </c>
      <c r="B16" s="118"/>
      <c r="C16" s="118"/>
      <c r="D16" s="118"/>
      <c r="E16" s="118"/>
      <c r="F16" s="119"/>
      <c r="G16" s="119"/>
      <c r="H16" s="119"/>
      <c r="I16" s="119"/>
      <c r="J16" s="119"/>
      <c r="K16" s="118"/>
      <c r="L16" s="118"/>
      <c r="M16" s="125"/>
    </row>
    <row r="17" spans="1:13" ht="28.8">
      <c r="A17" s="92" t="str">
        <f>'NAb + Jer'!A84</f>
        <v>R3 A2 refreshment training of PHC ( 5 days training )</v>
      </c>
      <c r="B17" s="118"/>
      <c r="C17" s="118"/>
      <c r="D17" s="118"/>
      <c r="E17" s="118"/>
      <c r="F17" s="119"/>
      <c r="G17" s="119"/>
      <c r="H17" s="119"/>
      <c r="I17" s="119"/>
      <c r="J17" s="119"/>
      <c r="K17" s="118"/>
      <c r="L17" s="118"/>
      <c r="M17" s="125"/>
    </row>
    <row r="18" spans="1:13">
      <c r="A18" s="92" t="str">
        <f>'NAb + Jer'!A90</f>
        <v>R3 A3. Mental health Gap ( 5 days training )</v>
      </c>
      <c r="B18" s="118"/>
      <c r="C18" s="118"/>
      <c r="D18" s="118"/>
      <c r="E18" s="118"/>
      <c r="F18" s="119"/>
      <c r="G18" s="119"/>
      <c r="H18" s="119"/>
      <c r="I18" s="119"/>
      <c r="J18" s="119"/>
      <c r="K18" s="118"/>
      <c r="L18" s="118"/>
      <c r="M18" s="125"/>
    </row>
    <row r="19" spans="1:13" ht="15" thickBot="1">
      <c r="A19" s="93" t="str">
        <f>'NAb + Jer'!A96</f>
        <v>R3 A5. GBV training ( 3days training )</v>
      </c>
      <c r="B19" s="94"/>
      <c r="C19" s="94"/>
      <c r="D19" s="94"/>
      <c r="E19" s="94"/>
      <c r="F19" s="127"/>
      <c r="G19" s="127"/>
      <c r="H19" s="127"/>
      <c r="I19" s="127"/>
      <c r="J19" s="127"/>
      <c r="K19" s="94"/>
      <c r="L19" s="94"/>
      <c r="M19" s="100"/>
    </row>
    <row r="20" spans="1:13">
      <c r="A20" s="120" t="s">
        <v>109</v>
      </c>
      <c r="B20" s="120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</row>
    <row r="21" spans="1:13">
      <c r="A21" s="130" t="str">
        <f>'NAb + Jer'!A103</f>
        <v>R4 A2. BLS training ( 5 days training )</v>
      </c>
      <c r="B21" s="130"/>
      <c r="C21" s="130"/>
      <c r="D21" s="132"/>
      <c r="E21" s="132"/>
      <c r="F21" s="132"/>
      <c r="G21" s="132"/>
      <c r="H21" s="132"/>
      <c r="I21" s="132"/>
      <c r="J21" s="132"/>
      <c r="K21" s="132"/>
      <c r="L21" s="132"/>
      <c r="M21" s="130"/>
    </row>
    <row r="22" spans="1:13">
      <c r="A22" s="130" t="str">
        <f>'NAb + Jer'!A108</f>
        <v>R4 A3.PFA ( 2 days )</v>
      </c>
      <c r="B22" s="130"/>
      <c r="C22" s="130"/>
      <c r="D22" s="132"/>
      <c r="E22" s="132"/>
      <c r="F22" s="132"/>
      <c r="G22" s="132"/>
      <c r="H22" s="132"/>
      <c r="I22" s="132"/>
      <c r="J22" s="132"/>
      <c r="K22" s="132"/>
      <c r="L22" s="132"/>
      <c r="M22" s="130"/>
    </row>
    <row r="23" spans="1:13">
      <c r="A23" s="130" t="str">
        <f>'NAb + Jer'!A115</f>
        <v>R4 A4.EPD trigger ( 2 days )</v>
      </c>
      <c r="B23" s="130"/>
      <c r="C23" s="130"/>
      <c r="D23" s="132"/>
      <c r="E23" s="132"/>
      <c r="F23" s="132"/>
      <c r="G23" s="132"/>
      <c r="H23" s="132"/>
      <c r="I23" s="132"/>
      <c r="J23" s="132"/>
      <c r="K23" s="132"/>
      <c r="L23" s="132"/>
      <c r="M23" s="130"/>
    </row>
    <row r="24" spans="1:13" ht="39" customHeight="1">
      <c r="A24" s="130" t="str">
        <f>'NAb + Jer'!A125</f>
        <v xml:space="preserve">R4 A5.2: Revie , print and training on Referral system ( one day training ) </v>
      </c>
      <c r="B24" s="130"/>
      <c r="C24" s="130"/>
      <c r="D24" s="132"/>
      <c r="E24" s="132"/>
      <c r="F24" s="132"/>
      <c r="G24" s="132"/>
      <c r="H24" s="132"/>
      <c r="I24" s="132"/>
      <c r="J24" s="132"/>
      <c r="K24" s="132"/>
      <c r="L24" s="132"/>
      <c r="M24" s="130"/>
    </row>
    <row r="25" spans="1:13">
      <c r="A25" s="130" t="str">
        <f>'NAb + Jer'!A130</f>
        <v xml:space="preserve">R4 A7.1  :  To organize mass media campaigns </v>
      </c>
      <c r="B25" s="130"/>
      <c r="C25" s="130"/>
      <c r="D25" s="130"/>
      <c r="E25" s="130"/>
      <c r="F25" s="132"/>
      <c r="G25" s="132"/>
      <c r="H25" s="132"/>
      <c r="I25" s="132"/>
      <c r="J25" s="132"/>
      <c r="K25" s="132"/>
      <c r="L25" s="130"/>
      <c r="M25" s="130"/>
    </row>
    <row r="26" spans="1:13" ht="15" thickBot="1">
      <c r="A26" s="131" t="str">
        <f>'NAb + Jer'!A132</f>
        <v xml:space="preserve">R4 A7.2 : Operational Advocacy </v>
      </c>
      <c r="B26" s="131"/>
      <c r="C26" s="131"/>
      <c r="D26" s="131"/>
      <c r="E26" s="131"/>
      <c r="F26" s="133"/>
      <c r="G26" s="133"/>
      <c r="H26" s="133"/>
      <c r="I26" s="133"/>
      <c r="J26" s="133"/>
      <c r="K26" s="131"/>
      <c r="L26" s="131"/>
      <c r="M26" s="131"/>
    </row>
    <row r="27" spans="1:13">
      <c r="A27" s="129" t="s">
        <v>110</v>
      </c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4"/>
    </row>
    <row r="28" spans="1:13">
      <c r="A28" s="92" t="str">
        <f>'NAb + Jer'!A134</f>
        <v>R5 A1 MHPSS emergency intervention .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25"/>
    </row>
    <row r="29" spans="1:13">
      <c r="A29" s="92" t="str">
        <f>'NAb + Jer'!A138</f>
        <v xml:space="preserve">R5 A2 &amp;3 .Identification , referral and follow up </v>
      </c>
      <c r="B29" s="118"/>
      <c r="C29" s="118"/>
      <c r="D29" s="118"/>
      <c r="E29" s="118"/>
      <c r="F29" s="118"/>
      <c r="G29" s="118"/>
      <c r="H29" s="118"/>
      <c r="I29" s="118"/>
      <c r="J29" s="118"/>
      <c r="K29" s="118"/>
      <c r="L29" s="118"/>
      <c r="M29" s="125"/>
    </row>
    <row r="30" spans="1:13">
      <c r="A30" s="92" t="str">
        <f>'NAb + Jer'!A141</f>
        <v xml:space="preserve">R5 A4.Psychoeducation </v>
      </c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  <c r="M30" s="125"/>
    </row>
    <row r="31" spans="1:13" ht="15" thickBot="1">
      <c r="A31" s="93" t="s">
        <v>112</v>
      </c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10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C43B5-3717-4D79-BA53-73EBCBE84F92}">
  <sheetPr filterMode="1"/>
  <dimension ref="A1:AA333"/>
  <sheetViews>
    <sheetView topLeftCell="A60" workbookViewId="0">
      <selection activeCell="V72" sqref="V72"/>
    </sheetView>
  </sheetViews>
  <sheetFormatPr defaultRowHeight="14.4"/>
  <cols>
    <col min="1" max="1" width="40.33203125" style="134" customWidth="1"/>
    <col min="2" max="2" width="13.77734375" style="155" hidden="1" customWidth="1"/>
    <col min="3" max="4" width="8.88671875" style="134" hidden="1" customWidth="1"/>
    <col min="5" max="5" width="12.33203125" style="1" hidden="1" customWidth="1"/>
    <col min="6" max="6" width="12.33203125" style="20" hidden="1" customWidth="1"/>
    <col min="7" max="7" width="11.88671875" style="134" hidden="1" customWidth="1"/>
    <col min="8" max="8" width="0.109375" style="134" hidden="1" customWidth="1"/>
    <col min="9" max="9" width="13.109375" style="134" hidden="1" customWidth="1"/>
    <col min="10" max="10" width="9" style="134" hidden="1" customWidth="1"/>
    <col min="11" max="11" width="8.6640625" style="20" hidden="1" customWidth="1"/>
    <col min="12" max="12" width="12.33203125" style="134" hidden="1" customWidth="1"/>
    <col min="13" max="13" width="12.109375" style="134" hidden="1" customWidth="1"/>
    <col min="14" max="14" width="17.21875" style="134" hidden="1" customWidth="1"/>
    <col min="15" max="15" width="12.33203125" style="134" hidden="1" customWidth="1"/>
    <col min="16" max="16" width="13.109375" style="134" customWidth="1"/>
    <col min="17" max="17" width="9" style="134" customWidth="1"/>
    <col min="18" max="18" width="8.6640625" style="134" customWidth="1"/>
    <col min="19" max="19" width="12.33203125" style="134" customWidth="1"/>
    <col min="20" max="20" width="12.109375" style="134" customWidth="1"/>
    <col min="21" max="21" width="12.77734375" style="134" customWidth="1"/>
    <col min="22" max="22" width="12.33203125" style="134" customWidth="1"/>
    <col min="23" max="23" width="19.109375" style="24" hidden="1" customWidth="1"/>
    <col min="24" max="16384" width="8.88671875" style="134"/>
  </cols>
  <sheetData>
    <row r="1" spans="1:23">
      <c r="O1" s="134">
        <v>4.2257999999999996</v>
      </c>
    </row>
    <row r="3" spans="1:23">
      <c r="A3" s="281" t="s">
        <v>0</v>
      </c>
      <c r="B3" s="278" t="s">
        <v>37</v>
      </c>
      <c r="C3" s="278"/>
      <c r="D3" s="278"/>
      <c r="E3" s="278"/>
      <c r="F3" s="278"/>
      <c r="G3" s="278"/>
      <c r="H3" s="278"/>
      <c r="I3" s="279" t="s">
        <v>7</v>
      </c>
      <c r="J3" s="279"/>
      <c r="K3" s="279"/>
      <c r="L3" s="279"/>
      <c r="M3" s="279"/>
      <c r="N3" s="279"/>
      <c r="O3" s="279"/>
      <c r="P3" s="280" t="s">
        <v>8</v>
      </c>
      <c r="Q3" s="280"/>
      <c r="R3" s="280"/>
      <c r="S3" s="280"/>
      <c r="T3" s="280"/>
      <c r="U3" s="280"/>
      <c r="V3" s="280"/>
      <c r="W3" s="282" t="s">
        <v>38</v>
      </c>
    </row>
    <row r="4" spans="1:23">
      <c r="A4" s="281"/>
      <c r="B4" s="27" t="s">
        <v>1</v>
      </c>
      <c r="C4" s="2" t="s">
        <v>2</v>
      </c>
      <c r="D4" s="2" t="s">
        <v>3</v>
      </c>
      <c r="E4" s="15" t="s">
        <v>4</v>
      </c>
      <c r="F4" s="7" t="s">
        <v>9</v>
      </c>
      <c r="G4" s="2" t="s">
        <v>5</v>
      </c>
      <c r="H4" s="2" t="s">
        <v>6</v>
      </c>
      <c r="I4" s="3" t="s">
        <v>1</v>
      </c>
      <c r="J4" s="3" t="s">
        <v>2</v>
      </c>
      <c r="K4" s="48" t="s">
        <v>3</v>
      </c>
      <c r="L4" s="3" t="s">
        <v>4</v>
      </c>
      <c r="M4" s="3" t="s">
        <v>9</v>
      </c>
      <c r="N4" s="3" t="s">
        <v>5</v>
      </c>
      <c r="O4" s="3" t="s">
        <v>6</v>
      </c>
      <c r="P4" s="4" t="s">
        <v>1</v>
      </c>
      <c r="Q4" s="4" t="s">
        <v>2</v>
      </c>
      <c r="R4" s="4" t="s">
        <v>3</v>
      </c>
      <c r="S4" s="4" t="s">
        <v>4</v>
      </c>
      <c r="T4" s="4" t="s">
        <v>9</v>
      </c>
      <c r="U4" s="4" t="s">
        <v>5</v>
      </c>
      <c r="V4" s="4" t="s">
        <v>6</v>
      </c>
      <c r="W4" s="283"/>
    </row>
    <row r="5" spans="1:23">
      <c r="A5" s="25" t="s">
        <v>22</v>
      </c>
      <c r="B5" s="28"/>
      <c r="C5" s="8"/>
      <c r="D5" s="8"/>
      <c r="E5" s="16"/>
      <c r="F5" s="9"/>
      <c r="G5" s="23">
        <f>SUM(G6:G9)</f>
        <v>0</v>
      </c>
      <c r="H5" s="36">
        <f>H6+H7+H8+H9</f>
        <v>0</v>
      </c>
      <c r="I5" s="8"/>
      <c r="J5" s="8"/>
      <c r="K5" s="9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35">
        <f>SUM(W6:W9)</f>
        <v>0</v>
      </c>
    </row>
    <row r="6" spans="1:23" ht="15" hidden="1" thickBot="1">
      <c r="A6" s="10" t="s">
        <v>10</v>
      </c>
      <c r="B6" s="29"/>
      <c r="C6" s="14">
        <v>12000</v>
      </c>
      <c r="D6" s="137" t="s">
        <v>25</v>
      </c>
      <c r="E6" s="17">
        <v>12</v>
      </c>
      <c r="F6" s="18">
        <v>43617</v>
      </c>
      <c r="G6" s="22">
        <f>B6*C6*E6</f>
        <v>0</v>
      </c>
      <c r="H6" s="22">
        <f>G6</f>
        <v>0</v>
      </c>
      <c r="I6" s="6"/>
      <c r="J6" s="137"/>
      <c r="K6" s="19"/>
      <c r="L6" s="137"/>
      <c r="M6" s="137"/>
      <c r="N6" s="137"/>
      <c r="O6" s="137"/>
      <c r="P6" s="6">
        <v>0</v>
      </c>
      <c r="Q6" s="137"/>
      <c r="R6" s="137"/>
      <c r="S6" s="137"/>
      <c r="T6" s="137"/>
      <c r="U6" s="137"/>
      <c r="V6" s="137"/>
      <c r="W6" s="26">
        <f>H6+O6+V6</f>
        <v>0</v>
      </c>
    </row>
    <row r="7" spans="1:23" ht="15" hidden="1" thickBot="1">
      <c r="A7" s="11" t="s">
        <v>11</v>
      </c>
      <c r="B7" s="29"/>
      <c r="C7" s="14">
        <v>5043.8006666666624</v>
      </c>
      <c r="D7" s="137" t="s">
        <v>25</v>
      </c>
      <c r="E7" s="17">
        <v>12</v>
      </c>
      <c r="F7" s="18">
        <v>43617</v>
      </c>
      <c r="G7" s="22">
        <f>B7*C7*E7</f>
        <v>0</v>
      </c>
      <c r="H7" s="22">
        <f>G7</f>
        <v>0</v>
      </c>
      <c r="I7" s="6"/>
      <c r="J7" s="137"/>
      <c r="K7" s="19"/>
      <c r="L7" s="137"/>
      <c r="M7" s="137"/>
      <c r="N7" s="137"/>
      <c r="O7" s="137"/>
      <c r="P7" s="6">
        <v>0</v>
      </c>
      <c r="Q7" s="137"/>
      <c r="R7" s="137"/>
      <c r="S7" s="137"/>
      <c r="T7" s="137"/>
      <c r="U7" s="137"/>
      <c r="V7" s="137"/>
      <c r="W7" s="26">
        <f>H7+O7+V7</f>
        <v>0</v>
      </c>
    </row>
    <row r="8" spans="1:23" ht="15" hidden="1" thickBot="1">
      <c r="A8" s="11" t="s">
        <v>12</v>
      </c>
      <c r="B8" s="29"/>
      <c r="C8" s="14">
        <v>5043.8006666666624</v>
      </c>
      <c r="D8" s="137" t="s">
        <v>25</v>
      </c>
      <c r="E8" s="17">
        <v>12</v>
      </c>
      <c r="F8" s="18">
        <v>43617</v>
      </c>
      <c r="G8" s="22">
        <f>B8*C8*E8</f>
        <v>0</v>
      </c>
      <c r="H8" s="22">
        <f>G8</f>
        <v>0</v>
      </c>
      <c r="I8" s="6"/>
      <c r="J8" s="137"/>
      <c r="K8" s="19"/>
      <c r="L8" s="137"/>
      <c r="M8" s="137"/>
      <c r="N8" s="137"/>
      <c r="O8" s="137"/>
      <c r="P8" s="6">
        <v>0</v>
      </c>
      <c r="Q8" s="137"/>
      <c r="R8" s="137"/>
      <c r="S8" s="137"/>
      <c r="T8" s="137"/>
      <c r="U8" s="137"/>
      <c r="V8" s="137"/>
      <c r="W8" s="26">
        <f>H8+O8+V8</f>
        <v>0</v>
      </c>
    </row>
    <row r="9" spans="1:23" ht="15" hidden="1" thickBot="1">
      <c r="A9" s="11" t="s">
        <v>13</v>
      </c>
      <c r="B9" s="29"/>
      <c r="C9" s="14">
        <v>4808</v>
      </c>
      <c r="D9" s="137" t="s">
        <v>25</v>
      </c>
      <c r="E9" s="17">
        <v>12</v>
      </c>
      <c r="F9" s="18">
        <v>43617</v>
      </c>
      <c r="G9" s="22">
        <f>B9*C9*E9</f>
        <v>0</v>
      </c>
      <c r="H9" s="22">
        <f>G9</f>
        <v>0</v>
      </c>
      <c r="I9" s="6"/>
      <c r="J9" s="137"/>
      <c r="K9" s="19"/>
      <c r="L9" s="137"/>
      <c r="M9" s="137"/>
      <c r="N9" s="137"/>
      <c r="O9" s="137"/>
      <c r="P9" s="6">
        <v>0</v>
      </c>
      <c r="Q9" s="137"/>
      <c r="R9" s="137"/>
      <c r="S9" s="137"/>
      <c r="T9" s="137"/>
      <c r="U9" s="137"/>
      <c r="V9" s="137"/>
      <c r="W9" s="26">
        <f>H9+O9+V9</f>
        <v>0</v>
      </c>
    </row>
    <row r="10" spans="1:23" ht="15" thickBot="1">
      <c r="A10" s="25" t="s">
        <v>23</v>
      </c>
      <c r="B10" s="28"/>
      <c r="C10" s="8"/>
      <c r="D10" s="8"/>
      <c r="E10" s="16"/>
      <c r="F10" s="9"/>
      <c r="G10" s="23">
        <f>G11+G12+G13+G14+G15+G16</f>
        <v>0</v>
      </c>
      <c r="H10" s="8"/>
      <c r="I10" s="8"/>
      <c r="J10" s="8"/>
      <c r="K10" s="9"/>
      <c r="L10" s="8"/>
      <c r="M10" s="8"/>
      <c r="N10" s="23"/>
      <c r="O10" s="23">
        <f>SUM(O11:O16)</f>
        <v>0</v>
      </c>
      <c r="P10" s="8"/>
      <c r="Q10" s="8"/>
      <c r="R10" s="8"/>
      <c r="S10" s="8"/>
      <c r="T10" s="8"/>
      <c r="U10" s="23"/>
      <c r="V10" s="23">
        <f>SUM(V11:V16)</f>
        <v>101796</v>
      </c>
      <c r="W10" s="23">
        <f>SUM(W11:W16)</f>
        <v>101796</v>
      </c>
    </row>
    <row r="11" spans="1:23" ht="15" thickBot="1">
      <c r="A11" s="10" t="s">
        <v>14</v>
      </c>
      <c r="B11" s="29"/>
      <c r="C11" s="137"/>
      <c r="D11" s="137"/>
      <c r="E11" s="17"/>
      <c r="F11" s="18"/>
      <c r="G11" s="137"/>
      <c r="H11" s="137"/>
      <c r="I11" s="6"/>
      <c r="J11" s="14">
        <v>3486</v>
      </c>
      <c r="K11" s="19" t="s">
        <v>25</v>
      </c>
      <c r="L11" s="17">
        <v>6</v>
      </c>
      <c r="M11" s="18">
        <v>43556</v>
      </c>
      <c r="N11" s="22">
        <f t="shared" ref="N11:N16" si="0">I11*J11*L11</f>
        <v>0</v>
      </c>
      <c r="O11" s="22">
        <f>N11</f>
        <v>0</v>
      </c>
      <c r="P11" s="6">
        <v>1</v>
      </c>
      <c r="Q11" s="14">
        <v>3559</v>
      </c>
      <c r="R11" s="137" t="s">
        <v>25</v>
      </c>
      <c r="S11" s="17">
        <v>6</v>
      </c>
      <c r="T11" s="18">
        <v>43556</v>
      </c>
      <c r="U11" s="22">
        <f>P11*Q11*S11</f>
        <v>21354</v>
      </c>
      <c r="V11" s="22">
        <f>U11</f>
        <v>21354</v>
      </c>
      <c r="W11" s="26">
        <f t="shared" ref="W11:W16" si="1">H11+O11+V11</f>
        <v>21354</v>
      </c>
    </row>
    <row r="12" spans="1:23" ht="15" thickBot="1">
      <c r="A12" s="11" t="s">
        <v>15</v>
      </c>
      <c r="B12" s="29"/>
      <c r="C12" s="137"/>
      <c r="D12" s="137"/>
      <c r="E12" s="17"/>
      <c r="F12" s="18"/>
      <c r="G12" s="137"/>
      <c r="H12" s="137"/>
      <c r="I12" s="6"/>
      <c r="J12" s="14">
        <v>2454</v>
      </c>
      <c r="K12" s="19" t="s">
        <v>25</v>
      </c>
      <c r="L12" s="17">
        <v>6</v>
      </c>
      <c r="M12" s="18">
        <v>43556</v>
      </c>
      <c r="N12" s="22">
        <f t="shared" si="0"/>
        <v>0</v>
      </c>
      <c r="O12" s="22">
        <f t="shared" ref="O12:O16" si="2">N12</f>
        <v>0</v>
      </c>
      <c r="P12" s="6">
        <v>1</v>
      </c>
      <c r="Q12" s="14">
        <v>2861</v>
      </c>
      <c r="R12" s="137" t="s">
        <v>25</v>
      </c>
      <c r="S12" s="17">
        <v>6</v>
      </c>
      <c r="T12" s="18">
        <v>43556</v>
      </c>
      <c r="U12" s="22">
        <f t="shared" ref="U12:U16" si="3">P12*Q12*S12</f>
        <v>17166</v>
      </c>
      <c r="V12" s="22">
        <f>U12</f>
        <v>17166</v>
      </c>
      <c r="W12" s="26">
        <f t="shared" si="1"/>
        <v>17166</v>
      </c>
    </row>
    <row r="13" spans="1:23" ht="15" thickBot="1">
      <c r="A13" s="11" t="s">
        <v>16</v>
      </c>
      <c r="B13" s="29"/>
      <c r="C13" s="137"/>
      <c r="D13" s="137"/>
      <c r="E13" s="17"/>
      <c r="F13" s="18"/>
      <c r="G13" s="137"/>
      <c r="H13" s="137"/>
      <c r="I13" s="6"/>
      <c r="J13" s="14">
        <v>2567</v>
      </c>
      <c r="K13" s="19" t="s">
        <v>25</v>
      </c>
      <c r="L13" s="17">
        <v>6</v>
      </c>
      <c r="M13" s="18">
        <v>43556</v>
      </c>
      <c r="N13" s="22">
        <f t="shared" si="0"/>
        <v>0</v>
      </c>
      <c r="O13" s="22">
        <f t="shared" si="2"/>
        <v>0</v>
      </c>
      <c r="P13" s="6">
        <v>1</v>
      </c>
      <c r="Q13" s="14">
        <v>2861</v>
      </c>
      <c r="R13" s="137" t="s">
        <v>25</v>
      </c>
      <c r="S13" s="17">
        <v>6</v>
      </c>
      <c r="T13" s="18">
        <v>43556</v>
      </c>
      <c r="U13" s="22">
        <f t="shared" si="3"/>
        <v>17166</v>
      </c>
      <c r="V13" s="22">
        <f t="shared" ref="V13:V16" si="4">U13</f>
        <v>17166</v>
      </c>
      <c r="W13" s="26">
        <f t="shared" si="1"/>
        <v>17166</v>
      </c>
    </row>
    <row r="14" spans="1:23" ht="15" thickBot="1">
      <c r="A14" s="12" t="s">
        <v>17</v>
      </c>
      <c r="B14" s="29"/>
      <c r="C14" s="137"/>
      <c r="D14" s="137"/>
      <c r="E14" s="17"/>
      <c r="F14" s="18"/>
      <c r="G14" s="137"/>
      <c r="H14" s="137"/>
      <c r="I14" s="6"/>
      <c r="J14" s="14"/>
      <c r="K14" s="19" t="s">
        <v>25</v>
      </c>
      <c r="L14" s="17">
        <v>0</v>
      </c>
      <c r="M14" s="18">
        <v>43556</v>
      </c>
      <c r="N14" s="22">
        <f t="shared" si="0"/>
        <v>0</v>
      </c>
      <c r="O14" s="22">
        <f t="shared" si="2"/>
        <v>0</v>
      </c>
      <c r="P14" s="6">
        <v>1</v>
      </c>
      <c r="Q14" s="14">
        <v>4585</v>
      </c>
      <c r="R14" s="137" t="s">
        <v>25</v>
      </c>
      <c r="S14" s="17">
        <v>6</v>
      </c>
      <c r="T14" s="18">
        <v>43556</v>
      </c>
      <c r="U14" s="22">
        <f t="shared" si="3"/>
        <v>27510</v>
      </c>
      <c r="V14" s="22">
        <f t="shared" si="4"/>
        <v>27510</v>
      </c>
      <c r="W14" s="26">
        <f t="shared" si="1"/>
        <v>27510</v>
      </c>
    </row>
    <row r="15" spans="1:23" ht="15" thickBot="1">
      <c r="A15" s="11" t="s">
        <v>18</v>
      </c>
      <c r="B15" s="29"/>
      <c r="C15" s="137"/>
      <c r="D15" s="137"/>
      <c r="E15" s="17"/>
      <c r="F15" s="18"/>
      <c r="G15" s="137"/>
      <c r="H15" s="137"/>
      <c r="I15" s="6"/>
      <c r="J15" s="14">
        <v>1374</v>
      </c>
      <c r="K15" s="19" t="s">
        <v>25</v>
      </c>
      <c r="L15" s="17">
        <v>12</v>
      </c>
      <c r="M15" s="18">
        <v>43556</v>
      </c>
      <c r="N15" s="22">
        <f t="shared" si="0"/>
        <v>0</v>
      </c>
      <c r="O15" s="22">
        <f t="shared" si="2"/>
        <v>0</v>
      </c>
      <c r="P15" s="6">
        <v>1</v>
      </c>
      <c r="Q15" s="14">
        <v>1600</v>
      </c>
      <c r="R15" s="137" t="s">
        <v>25</v>
      </c>
      <c r="S15" s="17">
        <v>6</v>
      </c>
      <c r="T15" s="18">
        <v>43556</v>
      </c>
      <c r="U15" s="22">
        <f t="shared" si="3"/>
        <v>9600</v>
      </c>
      <c r="V15" s="22">
        <f t="shared" si="4"/>
        <v>9600</v>
      </c>
      <c r="W15" s="26">
        <f t="shared" si="1"/>
        <v>9600</v>
      </c>
    </row>
    <row r="16" spans="1:23" ht="15" thickBot="1">
      <c r="A16" s="11" t="s">
        <v>19</v>
      </c>
      <c r="B16" s="29"/>
      <c r="C16" s="137"/>
      <c r="D16" s="137"/>
      <c r="E16" s="17"/>
      <c r="F16" s="18"/>
      <c r="G16" s="137"/>
      <c r="H16" s="137"/>
      <c r="I16" s="6"/>
      <c r="J16" s="14">
        <v>1478</v>
      </c>
      <c r="K16" s="19" t="s">
        <v>25</v>
      </c>
      <c r="L16" s="17">
        <v>6</v>
      </c>
      <c r="M16" s="18">
        <v>43556</v>
      </c>
      <c r="N16" s="22">
        <f t="shared" si="0"/>
        <v>0</v>
      </c>
      <c r="O16" s="22">
        <f t="shared" si="2"/>
        <v>0</v>
      </c>
      <c r="P16" s="6">
        <v>1</v>
      </c>
      <c r="Q16" s="14">
        <v>1500</v>
      </c>
      <c r="R16" s="137" t="s">
        <v>25</v>
      </c>
      <c r="S16" s="17">
        <v>6</v>
      </c>
      <c r="T16" s="18">
        <v>43556</v>
      </c>
      <c r="U16" s="22">
        <f t="shared" si="3"/>
        <v>9000</v>
      </c>
      <c r="V16" s="22">
        <f t="shared" si="4"/>
        <v>9000</v>
      </c>
      <c r="W16" s="26">
        <f t="shared" si="1"/>
        <v>9000</v>
      </c>
    </row>
    <row r="17" spans="1:23" ht="15" thickBot="1">
      <c r="A17" s="25" t="s">
        <v>24</v>
      </c>
      <c r="B17" s="28"/>
      <c r="C17" s="8"/>
      <c r="D17" s="8"/>
      <c r="E17" s="16"/>
      <c r="F17" s="9"/>
      <c r="G17" s="23"/>
      <c r="H17" s="8"/>
      <c r="I17" s="8"/>
      <c r="J17" s="8"/>
      <c r="K17" s="9"/>
      <c r="L17" s="8"/>
      <c r="M17" s="8"/>
      <c r="N17" s="23"/>
      <c r="O17" s="23">
        <f>SUM(O18:O37)</f>
        <v>0</v>
      </c>
      <c r="P17" s="8"/>
      <c r="Q17" s="8"/>
      <c r="R17" s="8"/>
      <c r="S17" s="8"/>
      <c r="T17" s="8"/>
      <c r="U17" s="35"/>
      <c r="V17" s="23">
        <f>SUM(V18:V37)</f>
        <v>334796</v>
      </c>
      <c r="W17" s="23">
        <f>SUM(W18:W37)</f>
        <v>334796</v>
      </c>
    </row>
    <row r="18" spans="1:23" ht="15" thickBot="1">
      <c r="A18" s="10" t="s">
        <v>60</v>
      </c>
      <c r="B18" s="30"/>
      <c r="C18" s="137"/>
      <c r="D18" s="137"/>
      <c r="E18" s="137"/>
      <c r="F18" s="137"/>
      <c r="G18" s="137"/>
      <c r="H18" s="137"/>
      <c r="I18" s="13"/>
      <c r="J18" s="14">
        <v>2454</v>
      </c>
      <c r="K18" s="19" t="s">
        <v>25</v>
      </c>
      <c r="L18" s="17"/>
      <c r="M18" s="18">
        <v>43556</v>
      </c>
      <c r="N18" s="21">
        <f t="shared" ref="N18:N25" si="5">I18*J18*L18</f>
        <v>0</v>
      </c>
      <c r="O18" s="21">
        <f>N18</f>
        <v>0</v>
      </c>
      <c r="P18" s="13">
        <v>1</v>
      </c>
      <c r="Q18" s="14">
        <v>2870</v>
      </c>
      <c r="R18" s="17" t="s">
        <v>25</v>
      </c>
      <c r="S18" s="17">
        <v>6</v>
      </c>
      <c r="T18" s="18">
        <v>43556</v>
      </c>
      <c r="U18" s="21">
        <f>P18*Q18*S18</f>
        <v>17220</v>
      </c>
      <c r="V18" s="21">
        <f>U18</f>
        <v>17220</v>
      </c>
      <c r="W18" s="26">
        <f t="shared" ref="W18:W37" si="6">H18+O18+V18</f>
        <v>17220</v>
      </c>
    </row>
    <row r="19" spans="1:23" ht="15" thickBot="1">
      <c r="A19" s="10" t="s">
        <v>329</v>
      </c>
      <c r="B19" s="30"/>
      <c r="C19" s="137"/>
      <c r="D19" s="137"/>
      <c r="E19" s="137"/>
      <c r="F19" s="137"/>
      <c r="G19" s="137"/>
      <c r="H19" s="137"/>
      <c r="I19" s="13"/>
      <c r="J19" s="14"/>
      <c r="K19" s="19"/>
      <c r="L19" s="17"/>
      <c r="M19" s="18"/>
      <c r="N19" s="21"/>
      <c r="O19" s="21"/>
      <c r="P19" s="13">
        <v>1</v>
      </c>
      <c r="Q19" s="14">
        <v>2714</v>
      </c>
      <c r="R19" s="17" t="s">
        <v>25</v>
      </c>
      <c r="S19" s="17">
        <v>6</v>
      </c>
      <c r="T19" s="18">
        <v>43586</v>
      </c>
      <c r="U19" s="21">
        <f>P19*Q19*S19</f>
        <v>16284</v>
      </c>
      <c r="V19" s="21">
        <f>U19</f>
        <v>16284</v>
      </c>
      <c r="W19" s="26">
        <f t="shared" si="6"/>
        <v>16284</v>
      </c>
    </row>
    <row r="20" spans="1:23" ht="15" hidden="1" thickBot="1">
      <c r="A20" s="10" t="s">
        <v>156</v>
      </c>
      <c r="B20" s="30"/>
      <c r="C20" s="137"/>
      <c r="D20" s="137"/>
      <c r="E20" s="137"/>
      <c r="F20" s="137"/>
      <c r="G20" s="137"/>
      <c r="H20" s="137"/>
      <c r="I20" s="13"/>
      <c r="J20" s="14">
        <v>3400</v>
      </c>
      <c r="K20" s="19" t="s">
        <v>25</v>
      </c>
      <c r="L20" s="17">
        <v>8</v>
      </c>
      <c r="M20" s="18">
        <v>43556</v>
      </c>
      <c r="N20" s="21">
        <f t="shared" si="5"/>
        <v>0</v>
      </c>
      <c r="O20" s="21">
        <f>N20</f>
        <v>0</v>
      </c>
      <c r="P20" s="13"/>
      <c r="Q20" s="14"/>
      <c r="R20" s="17"/>
      <c r="S20" s="17"/>
      <c r="T20" s="18"/>
      <c r="U20" s="21">
        <f t="shared" ref="U20:U37" si="7">P20*Q20*S20</f>
        <v>0</v>
      </c>
      <c r="V20" s="21">
        <f t="shared" ref="V20:V37" si="8">U20</f>
        <v>0</v>
      </c>
      <c r="W20" s="26">
        <f t="shared" si="6"/>
        <v>0</v>
      </c>
    </row>
    <row r="21" spans="1:23" ht="15" thickBot="1">
      <c r="A21" s="10" t="s">
        <v>330</v>
      </c>
      <c r="B21" s="30"/>
      <c r="C21" s="137"/>
      <c r="D21" s="137"/>
      <c r="E21" s="137"/>
      <c r="F21" s="137"/>
      <c r="G21" s="137"/>
      <c r="H21" s="137"/>
      <c r="I21" s="13"/>
      <c r="J21" s="14"/>
      <c r="K21" s="19"/>
      <c r="L21" s="17"/>
      <c r="M21" s="18"/>
      <c r="N21" s="21"/>
      <c r="O21" s="21"/>
      <c r="P21" s="13">
        <v>1</v>
      </c>
      <c r="Q21" s="14">
        <v>1932</v>
      </c>
      <c r="R21" s="17" t="s">
        <v>25</v>
      </c>
      <c r="S21" s="17">
        <v>9</v>
      </c>
      <c r="T21" s="18">
        <v>43586</v>
      </c>
      <c r="U21" s="21">
        <f t="shared" si="7"/>
        <v>17388</v>
      </c>
      <c r="V21" s="21">
        <f t="shared" si="8"/>
        <v>17388</v>
      </c>
      <c r="W21" s="26">
        <f t="shared" si="6"/>
        <v>17388</v>
      </c>
    </row>
    <row r="22" spans="1:23" ht="15" thickBot="1">
      <c r="A22" s="10" t="s">
        <v>331</v>
      </c>
      <c r="B22" s="30"/>
      <c r="C22" s="137"/>
      <c r="D22" s="137"/>
      <c r="E22" s="137"/>
      <c r="F22" s="137"/>
      <c r="G22" s="137"/>
      <c r="H22" s="137"/>
      <c r="I22" s="13"/>
      <c r="J22" s="14"/>
      <c r="K22" s="19"/>
      <c r="L22" s="17"/>
      <c r="M22" s="18"/>
      <c r="N22" s="21"/>
      <c r="O22" s="21"/>
      <c r="P22" s="13">
        <v>1</v>
      </c>
      <c r="Q22" s="14">
        <v>1932</v>
      </c>
      <c r="R22" s="17" t="s">
        <v>25</v>
      </c>
      <c r="S22" s="17">
        <v>12</v>
      </c>
      <c r="T22" s="18">
        <v>43586</v>
      </c>
      <c r="U22" s="21">
        <f t="shared" si="7"/>
        <v>23184</v>
      </c>
      <c r="V22" s="21">
        <f t="shared" si="8"/>
        <v>23184</v>
      </c>
      <c r="W22" s="26">
        <f t="shared" si="6"/>
        <v>23184</v>
      </c>
    </row>
    <row r="23" spans="1:23" ht="15" hidden="1" thickBot="1">
      <c r="A23" s="10" t="s">
        <v>332</v>
      </c>
      <c r="B23" s="30"/>
      <c r="C23" s="137"/>
      <c r="D23" s="137"/>
      <c r="E23" s="137"/>
      <c r="F23" s="137"/>
      <c r="G23" s="137"/>
      <c r="H23" s="137"/>
      <c r="I23" s="13"/>
      <c r="J23" s="14"/>
      <c r="K23" s="19"/>
      <c r="L23" s="17"/>
      <c r="M23" s="18"/>
      <c r="N23" s="21"/>
      <c r="O23" s="21"/>
      <c r="P23" s="13">
        <v>0</v>
      </c>
      <c r="Q23" s="14">
        <v>3500</v>
      </c>
      <c r="R23" s="17" t="s">
        <v>25</v>
      </c>
      <c r="S23" s="17">
        <v>11</v>
      </c>
      <c r="T23" s="18">
        <v>43586</v>
      </c>
      <c r="U23" s="21">
        <f t="shared" si="7"/>
        <v>0</v>
      </c>
      <c r="V23" s="21">
        <f t="shared" si="8"/>
        <v>0</v>
      </c>
      <c r="W23" s="26">
        <f t="shared" si="6"/>
        <v>0</v>
      </c>
    </row>
    <row r="24" spans="1:23" ht="15" thickBot="1">
      <c r="A24" s="10" t="s">
        <v>20</v>
      </c>
      <c r="B24" s="30"/>
      <c r="C24" s="137"/>
      <c r="D24" s="137"/>
      <c r="E24" s="137"/>
      <c r="F24" s="137"/>
      <c r="G24" s="137"/>
      <c r="H24" s="137"/>
      <c r="I24" s="13"/>
      <c r="J24" s="14">
        <v>2000</v>
      </c>
      <c r="K24" s="19" t="s">
        <v>25</v>
      </c>
      <c r="L24" s="17">
        <v>12</v>
      </c>
      <c r="M24" s="18">
        <v>43617</v>
      </c>
      <c r="N24" s="21">
        <f t="shared" si="5"/>
        <v>0</v>
      </c>
      <c r="O24" s="21">
        <f t="shared" ref="O24:O25" si="9">N24</f>
        <v>0</v>
      </c>
      <c r="P24" s="13">
        <v>1</v>
      </c>
      <c r="Q24" s="14">
        <v>1932</v>
      </c>
      <c r="R24" s="17" t="s">
        <v>25</v>
      </c>
      <c r="S24" s="17">
        <v>12</v>
      </c>
      <c r="T24" s="18">
        <v>43617</v>
      </c>
      <c r="U24" s="21">
        <f t="shared" si="7"/>
        <v>23184</v>
      </c>
      <c r="V24" s="21">
        <f t="shared" si="8"/>
        <v>23184</v>
      </c>
      <c r="W24" s="26">
        <f t="shared" si="6"/>
        <v>23184</v>
      </c>
    </row>
    <row r="25" spans="1:23" ht="15" hidden="1" thickBot="1">
      <c r="A25" s="10" t="s">
        <v>21</v>
      </c>
      <c r="B25" s="30"/>
      <c r="C25" s="137"/>
      <c r="D25" s="137"/>
      <c r="E25" s="137"/>
      <c r="F25" s="137"/>
      <c r="G25" s="137"/>
      <c r="H25" s="137"/>
      <c r="I25" s="13"/>
      <c r="J25" s="14">
        <v>2000</v>
      </c>
      <c r="K25" s="19" t="s">
        <v>25</v>
      </c>
      <c r="L25" s="17">
        <v>10</v>
      </c>
      <c r="M25" s="18">
        <v>43617</v>
      </c>
      <c r="N25" s="21">
        <f t="shared" si="5"/>
        <v>0</v>
      </c>
      <c r="O25" s="21">
        <f t="shared" si="9"/>
        <v>0</v>
      </c>
      <c r="P25" s="13">
        <v>0</v>
      </c>
      <c r="Q25" s="14">
        <v>1932</v>
      </c>
      <c r="R25" s="17" t="s">
        <v>25</v>
      </c>
      <c r="S25" s="17">
        <v>12</v>
      </c>
      <c r="T25" s="18">
        <v>43617</v>
      </c>
      <c r="U25" s="21">
        <f t="shared" si="7"/>
        <v>0</v>
      </c>
      <c r="V25" s="21">
        <f t="shared" si="8"/>
        <v>0</v>
      </c>
      <c r="W25" s="26">
        <f t="shared" si="6"/>
        <v>0</v>
      </c>
    </row>
    <row r="26" spans="1:23" ht="15" thickBot="1">
      <c r="A26" s="58" t="s">
        <v>333</v>
      </c>
      <c r="B26" s="30"/>
      <c r="C26" s="137"/>
      <c r="D26" s="137"/>
      <c r="E26" s="137"/>
      <c r="F26" s="137"/>
      <c r="G26" s="137"/>
      <c r="H26" s="137"/>
      <c r="I26" s="13"/>
      <c r="J26" s="14"/>
      <c r="K26" s="19"/>
      <c r="L26" s="17"/>
      <c r="M26" s="18"/>
      <c r="N26" s="21"/>
      <c r="O26" s="21"/>
      <c r="P26" s="13">
        <v>1</v>
      </c>
      <c r="Q26" s="14">
        <v>1932</v>
      </c>
      <c r="R26" s="17" t="s">
        <v>25</v>
      </c>
      <c r="S26" s="17">
        <v>12</v>
      </c>
      <c r="T26" s="18">
        <v>43617</v>
      </c>
      <c r="U26" s="21">
        <f t="shared" si="7"/>
        <v>23184</v>
      </c>
      <c r="V26" s="21">
        <f t="shared" si="8"/>
        <v>23184</v>
      </c>
      <c r="W26" s="26">
        <f t="shared" si="6"/>
        <v>23184</v>
      </c>
    </row>
    <row r="27" spans="1:23" ht="15" thickBot="1">
      <c r="A27" s="10" t="s">
        <v>62</v>
      </c>
      <c r="B27" s="30"/>
      <c r="C27" s="137"/>
      <c r="D27" s="137"/>
      <c r="E27" s="22"/>
      <c r="F27" s="137"/>
      <c r="G27" s="137"/>
      <c r="H27" s="137"/>
      <c r="I27" s="13"/>
      <c r="J27" s="14">
        <v>2000</v>
      </c>
      <c r="K27" s="19" t="s">
        <v>25</v>
      </c>
      <c r="L27" s="17">
        <v>10</v>
      </c>
      <c r="M27" s="18">
        <v>43617</v>
      </c>
      <c r="N27" s="21">
        <f t="shared" ref="N27:N37" si="10">I27*J27*L27</f>
        <v>0</v>
      </c>
      <c r="O27" s="21">
        <f t="shared" ref="O27:O37" si="11">N27</f>
        <v>0</v>
      </c>
      <c r="P27" s="247">
        <v>1</v>
      </c>
      <c r="Q27" s="14">
        <v>2300</v>
      </c>
      <c r="R27" s="19" t="s">
        <v>25</v>
      </c>
      <c r="S27" s="17">
        <v>10</v>
      </c>
      <c r="T27" s="18">
        <v>43617</v>
      </c>
      <c r="U27" s="21">
        <f t="shared" si="7"/>
        <v>23000</v>
      </c>
      <c r="V27" s="21">
        <f t="shared" si="8"/>
        <v>23000</v>
      </c>
      <c r="W27" s="26">
        <f t="shared" si="6"/>
        <v>23000</v>
      </c>
    </row>
    <row r="28" spans="1:23" ht="15" thickBot="1">
      <c r="A28" s="10" t="s">
        <v>63</v>
      </c>
      <c r="B28" s="30"/>
      <c r="C28" s="137"/>
      <c r="D28" s="137"/>
      <c r="E28" s="137"/>
      <c r="F28" s="137"/>
      <c r="G28" s="137"/>
      <c r="H28" s="137"/>
      <c r="I28" s="13"/>
      <c r="J28" s="14">
        <v>2000</v>
      </c>
      <c r="K28" s="19" t="s">
        <v>25</v>
      </c>
      <c r="L28" s="17">
        <v>10</v>
      </c>
      <c r="M28" s="18">
        <v>43617</v>
      </c>
      <c r="N28" s="21">
        <f t="shared" si="10"/>
        <v>0</v>
      </c>
      <c r="O28" s="21">
        <f t="shared" si="11"/>
        <v>0</v>
      </c>
      <c r="P28" s="13">
        <v>1</v>
      </c>
      <c r="Q28" s="14">
        <v>2300</v>
      </c>
      <c r="R28" s="19" t="s">
        <v>25</v>
      </c>
      <c r="S28" s="17">
        <v>10</v>
      </c>
      <c r="T28" s="18">
        <v>43617</v>
      </c>
      <c r="U28" s="21">
        <f t="shared" si="7"/>
        <v>23000</v>
      </c>
      <c r="V28" s="21">
        <f t="shared" si="8"/>
        <v>23000</v>
      </c>
      <c r="W28" s="26">
        <f t="shared" si="6"/>
        <v>23000</v>
      </c>
    </row>
    <row r="29" spans="1:23" ht="15" thickBot="1">
      <c r="A29" s="10" t="s">
        <v>334</v>
      </c>
      <c r="B29" s="30"/>
      <c r="C29" s="137"/>
      <c r="D29" s="137"/>
      <c r="E29" s="137"/>
      <c r="F29" s="137"/>
      <c r="G29" s="137"/>
      <c r="H29" s="137"/>
      <c r="I29" s="13"/>
      <c r="J29" s="14">
        <v>1500</v>
      </c>
      <c r="K29" s="19" t="s">
        <v>25</v>
      </c>
      <c r="L29" s="17">
        <v>10</v>
      </c>
      <c r="M29" s="18">
        <v>43617</v>
      </c>
      <c r="N29" s="21">
        <f t="shared" si="10"/>
        <v>0</v>
      </c>
      <c r="O29" s="21">
        <f t="shared" si="11"/>
        <v>0</v>
      </c>
      <c r="P29" s="247">
        <v>1</v>
      </c>
      <c r="Q29" s="14">
        <v>2150</v>
      </c>
      <c r="R29" s="19" t="s">
        <v>25</v>
      </c>
      <c r="S29" s="17">
        <v>10</v>
      </c>
      <c r="T29" s="18">
        <v>43617</v>
      </c>
      <c r="U29" s="21">
        <f t="shared" si="7"/>
        <v>21500</v>
      </c>
      <c r="V29" s="21">
        <f t="shared" si="8"/>
        <v>21500</v>
      </c>
      <c r="W29" s="26">
        <f t="shared" si="6"/>
        <v>21500</v>
      </c>
    </row>
    <row r="30" spans="1:23" ht="15" thickBot="1">
      <c r="A30" s="10" t="s">
        <v>67</v>
      </c>
      <c r="B30" s="30"/>
      <c r="C30" s="137"/>
      <c r="D30" s="137"/>
      <c r="E30" s="137"/>
      <c r="F30" s="137"/>
      <c r="G30" s="137"/>
      <c r="H30" s="137"/>
      <c r="I30" s="13"/>
      <c r="J30" s="14">
        <v>1550</v>
      </c>
      <c r="K30" s="19" t="s">
        <v>25</v>
      </c>
      <c r="L30" s="17">
        <v>10</v>
      </c>
      <c r="M30" s="18">
        <v>43617</v>
      </c>
      <c r="N30" s="21">
        <f t="shared" si="10"/>
        <v>0</v>
      </c>
      <c r="O30" s="21">
        <f t="shared" si="11"/>
        <v>0</v>
      </c>
      <c r="P30" s="13">
        <v>1</v>
      </c>
      <c r="Q30" s="14">
        <v>1767</v>
      </c>
      <c r="R30" s="19" t="s">
        <v>25</v>
      </c>
      <c r="S30" s="17">
        <v>10</v>
      </c>
      <c r="T30" s="18">
        <v>43617</v>
      </c>
      <c r="U30" s="21">
        <f t="shared" si="7"/>
        <v>17670</v>
      </c>
      <c r="V30" s="21">
        <f t="shared" si="8"/>
        <v>17670</v>
      </c>
      <c r="W30" s="26">
        <f t="shared" si="6"/>
        <v>17670</v>
      </c>
    </row>
    <row r="31" spans="1:23" ht="15" thickBot="1">
      <c r="A31" s="10" t="s">
        <v>65</v>
      </c>
      <c r="B31" s="30"/>
      <c r="C31" s="137"/>
      <c r="D31" s="137"/>
      <c r="E31" s="137"/>
      <c r="F31" s="137"/>
      <c r="G31" s="137"/>
      <c r="H31" s="137"/>
      <c r="I31" s="13"/>
      <c r="J31" s="14">
        <v>1550</v>
      </c>
      <c r="K31" s="19" t="s">
        <v>25</v>
      </c>
      <c r="L31" s="17">
        <v>10</v>
      </c>
      <c r="M31" s="18">
        <v>43617</v>
      </c>
      <c r="N31" s="21">
        <f t="shared" si="10"/>
        <v>0</v>
      </c>
      <c r="O31" s="21">
        <f t="shared" si="11"/>
        <v>0</v>
      </c>
      <c r="P31" s="13">
        <v>1</v>
      </c>
      <c r="Q31" s="14">
        <v>1767</v>
      </c>
      <c r="R31" s="19" t="s">
        <v>25</v>
      </c>
      <c r="S31" s="17">
        <v>10</v>
      </c>
      <c r="T31" s="18">
        <v>43617</v>
      </c>
      <c r="U31" s="21">
        <f t="shared" si="7"/>
        <v>17670</v>
      </c>
      <c r="V31" s="21">
        <f t="shared" si="8"/>
        <v>17670</v>
      </c>
      <c r="W31" s="26">
        <f t="shared" si="6"/>
        <v>17670</v>
      </c>
    </row>
    <row r="32" spans="1:23" ht="15" thickBot="1">
      <c r="A32" s="58" t="s">
        <v>211</v>
      </c>
      <c r="B32" s="70"/>
      <c r="C32" s="61"/>
      <c r="D32" s="61"/>
      <c r="E32" s="61"/>
      <c r="F32" s="61"/>
      <c r="G32" s="61"/>
      <c r="H32" s="61"/>
      <c r="I32" s="65"/>
      <c r="J32" s="60">
        <v>2000</v>
      </c>
      <c r="K32" s="63" t="s">
        <v>25</v>
      </c>
      <c r="L32" s="62">
        <v>12</v>
      </c>
      <c r="M32" s="66">
        <v>43556</v>
      </c>
      <c r="N32" s="64">
        <f t="shared" si="10"/>
        <v>0</v>
      </c>
      <c r="O32" s="64">
        <f t="shared" si="11"/>
        <v>0</v>
      </c>
      <c r="P32" s="65">
        <v>1</v>
      </c>
      <c r="Q32" s="14">
        <v>1932</v>
      </c>
      <c r="R32" s="19" t="s">
        <v>25</v>
      </c>
      <c r="S32" s="17">
        <v>10</v>
      </c>
      <c r="T32" s="18">
        <v>43617</v>
      </c>
      <c r="U32" s="21">
        <f t="shared" si="7"/>
        <v>19320</v>
      </c>
      <c r="V32" s="21">
        <f t="shared" si="8"/>
        <v>19320</v>
      </c>
      <c r="W32" s="26">
        <f t="shared" si="6"/>
        <v>19320</v>
      </c>
    </row>
    <row r="33" spans="1:23" ht="15" thickBot="1">
      <c r="A33" s="58" t="s">
        <v>335</v>
      </c>
      <c r="B33" s="70"/>
      <c r="C33" s="61"/>
      <c r="D33" s="61"/>
      <c r="E33" s="61"/>
      <c r="F33" s="61"/>
      <c r="G33" s="61"/>
      <c r="H33" s="61"/>
      <c r="I33" s="65"/>
      <c r="J33" s="60"/>
      <c r="K33" s="63"/>
      <c r="L33" s="62"/>
      <c r="M33" s="66"/>
      <c r="N33" s="64"/>
      <c r="O33" s="64"/>
      <c r="P33" s="65">
        <v>1</v>
      </c>
      <c r="Q33" s="14">
        <v>1932</v>
      </c>
      <c r="R33" s="19" t="s">
        <v>25</v>
      </c>
      <c r="S33" s="17">
        <v>11</v>
      </c>
      <c r="T33" s="18">
        <v>43647</v>
      </c>
      <c r="U33" s="21">
        <f t="shared" si="7"/>
        <v>21252</v>
      </c>
      <c r="V33" s="21">
        <f t="shared" si="8"/>
        <v>21252</v>
      </c>
      <c r="W33" s="26">
        <f t="shared" si="6"/>
        <v>21252</v>
      </c>
    </row>
    <row r="34" spans="1:23" ht="16.8" customHeight="1" thickBot="1">
      <c r="A34" s="58" t="s">
        <v>336</v>
      </c>
      <c r="B34" s="70"/>
      <c r="C34" s="61"/>
      <c r="D34" s="61"/>
      <c r="E34" s="61"/>
      <c r="F34" s="61"/>
      <c r="G34" s="61"/>
      <c r="H34" s="61"/>
      <c r="I34" s="65"/>
      <c r="J34" s="60">
        <v>1500</v>
      </c>
      <c r="K34" s="63" t="s">
        <v>25</v>
      </c>
      <c r="L34" s="62">
        <v>12</v>
      </c>
      <c r="M34" s="66">
        <v>43556</v>
      </c>
      <c r="N34" s="64">
        <f t="shared" si="10"/>
        <v>0</v>
      </c>
      <c r="O34" s="64">
        <f t="shared" si="11"/>
        <v>0</v>
      </c>
      <c r="P34" s="65">
        <v>1</v>
      </c>
      <c r="Q34" s="14">
        <v>1767</v>
      </c>
      <c r="R34" s="19" t="s">
        <v>25</v>
      </c>
      <c r="S34" s="17">
        <v>10</v>
      </c>
      <c r="T34" s="18">
        <v>43617</v>
      </c>
      <c r="U34" s="21">
        <f t="shared" si="7"/>
        <v>17670</v>
      </c>
      <c r="V34" s="21">
        <f t="shared" si="8"/>
        <v>17670</v>
      </c>
      <c r="W34" s="26">
        <f t="shared" si="6"/>
        <v>17670</v>
      </c>
    </row>
    <row r="35" spans="1:23" ht="18" customHeight="1" thickBot="1">
      <c r="A35" s="58" t="s">
        <v>68</v>
      </c>
      <c r="B35" s="70"/>
      <c r="C35" s="61"/>
      <c r="D35" s="61"/>
      <c r="E35" s="61"/>
      <c r="F35" s="61"/>
      <c r="G35" s="61"/>
      <c r="H35" s="61"/>
      <c r="I35" s="65"/>
      <c r="J35" s="60">
        <v>1500</v>
      </c>
      <c r="K35" s="63" t="s">
        <v>25</v>
      </c>
      <c r="L35" s="62">
        <v>12</v>
      </c>
      <c r="M35" s="66">
        <v>43556</v>
      </c>
      <c r="N35" s="64">
        <f t="shared" si="10"/>
        <v>0</v>
      </c>
      <c r="O35" s="64">
        <f t="shared" si="11"/>
        <v>0</v>
      </c>
      <c r="P35" s="65">
        <v>1</v>
      </c>
      <c r="Q35" s="14">
        <v>1767</v>
      </c>
      <c r="R35" s="19" t="s">
        <v>25</v>
      </c>
      <c r="S35" s="17">
        <v>10</v>
      </c>
      <c r="T35" s="18">
        <v>43617</v>
      </c>
      <c r="U35" s="21">
        <f t="shared" si="7"/>
        <v>17670</v>
      </c>
      <c r="V35" s="21">
        <f t="shared" si="8"/>
        <v>17670</v>
      </c>
      <c r="W35" s="26">
        <f t="shared" si="6"/>
        <v>17670</v>
      </c>
    </row>
    <row r="36" spans="1:23" ht="15" thickBot="1">
      <c r="A36" s="10" t="s">
        <v>124</v>
      </c>
      <c r="B36" s="78"/>
      <c r="C36" s="138"/>
      <c r="D36" s="138"/>
      <c r="E36" s="138"/>
      <c r="F36" s="138"/>
      <c r="G36" s="138"/>
      <c r="H36" s="138"/>
      <c r="I36" s="13"/>
      <c r="J36" s="14">
        <v>1500</v>
      </c>
      <c r="K36" s="19" t="s">
        <v>25</v>
      </c>
      <c r="L36" s="17">
        <v>8</v>
      </c>
      <c r="M36" s="18">
        <v>43617</v>
      </c>
      <c r="N36" s="21">
        <f t="shared" si="10"/>
        <v>0</v>
      </c>
      <c r="O36" s="21">
        <f t="shared" si="11"/>
        <v>0</v>
      </c>
      <c r="P36" s="13">
        <v>1</v>
      </c>
      <c r="Q36" s="14">
        <v>1780</v>
      </c>
      <c r="R36" s="19" t="s">
        <v>25</v>
      </c>
      <c r="S36" s="17">
        <v>10</v>
      </c>
      <c r="T36" s="18">
        <v>43617</v>
      </c>
      <c r="U36" s="21">
        <f t="shared" si="7"/>
        <v>17800</v>
      </c>
      <c r="V36" s="21">
        <f t="shared" si="8"/>
        <v>17800</v>
      </c>
      <c r="W36" s="26">
        <f t="shared" si="6"/>
        <v>17800</v>
      </c>
    </row>
    <row r="37" spans="1:23" ht="15" thickBot="1">
      <c r="A37" s="10" t="s">
        <v>69</v>
      </c>
      <c r="B37" s="78"/>
      <c r="C37" s="138"/>
      <c r="D37" s="138"/>
      <c r="E37" s="138"/>
      <c r="F37" s="138"/>
      <c r="G37" s="138"/>
      <c r="H37" s="138"/>
      <c r="I37" s="13"/>
      <c r="J37" s="14">
        <v>1500</v>
      </c>
      <c r="K37" s="19" t="s">
        <v>25</v>
      </c>
      <c r="L37" s="17">
        <v>8</v>
      </c>
      <c r="M37" s="18">
        <v>43617</v>
      </c>
      <c r="N37" s="21">
        <f t="shared" si="10"/>
        <v>0</v>
      </c>
      <c r="O37" s="21">
        <f t="shared" si="11"/>
        <v>0</v>
      </c>
      <c r="P37" s="13">
        <v>1</v>
      </c>
      <c r="Q37" s="14">
        <v>1780</v>
      </c>
      <c r="R37" s="19" t="s">
        <v>25</v>
      </c>
      <c r="S37" s="17">
        <v>10</v>
      </c>
      <c r="T37" s="18">
        <v>43617</v>
      </c>
      <c r="U37" s="21">
        <f t="shared" si="7"/>
        <v>17800</v>
      </c>
      <c r="V37" s="21">
        <f t="shared" si="8"/>
        <v>17800</v>
      </c>
      <c r="W37" s="26">
        <f t="shared" si="6"/>
        <v>17800</v>
      </c>
    </row>
    <row r="38" spans="1:23" ht="15" thickBot="1">
      <c r="A38" s="25" t="s">
        <v>35</v>
      </c>
      <c r="B38" s="28"/>
      <c r="C38" s="8"/>
      <c r="D38" s="8"/>
      <c r="E38" s="16"/>
      <c r="F38" s="9"/>
      <c r="G38" s="35">
        <f>G39+G40+G41+G42+G43+G44+G45+G46</f>
        <v>0</v>
      </c>
      <c r="H38" s="36">
        <f>SUM(H39:H46)</f>
        <v>0</v>
      </c>
      <c r="I38" s="8"/>
      <c r="J38" s="8"/>
      <c r="K38" s="9"/>
      <c r="L38" s="8"/>
      <c r="M38" s="8"/>
      <c r="N38" s="8"/>
      <c r="O38" s="35">
        <f>O39+O40+O41+O42+O43+O44+O45+O46</f>
        <v>0</v>
      </c>
      <c r="P38" s="8"/>
      <c r="Q38" s="8"/>
      <c r="R38" s="8"/>
      <c r="S38" s="8"/>
      <c r="T38" s="8"/>
      <c r="U38" s="8"/>
      <c r="V38" s="35">
        <f>V39+V40+V41+V42+V43+V44+V45+V46</f>
        <v>49074</v>
      </c>
      <c r="W38" s="35">
        <f>W39+W40+W41+W42+W43+W44+W45+W46</f>
        <v>49074</v>
      </c>
    </row>
    <row r="39" spans="1:23" ht="15" thickBot="1">
      <c r="A39" s="10" t="s">
        <v>26</v>
      </c>
      <c r="B39" s="30"/>
      <c r="C39" s="14">
        <v>900</v>
      </c>
      <c r="D39" s="137" t="s">
        <v>25</v>
      </c>
      <c r="E39" s="17">
        <v>12</v>
      </c>
      <c r="F39" s="18">
        <v>43617</v>
      </c>
      <c r="G39" s="21">
        <f t="shared" ref="G39:G46" si="12">B39*C39*E39</f>
        <v>0</v>
      </c>
      <c r="H39" s="21">
        <f t="shared" ref="H39:H54" si="13">G39</f>
        <v>0</v>
      </c>
      <c r="I39" s="13"/>
      <c r="J39" s="14">
        <v>746</v>
      </c>
      <c r="K39" s="19" t="s">
        <v>25</v>
      </c>
      <c r="L39" s="19">
        <v>12</v>
      </c>
      <c r="M39" s="18">
        <v>43617</v>
      </c>
      <c r="N39" s="21">
        <f t="shared" ref="N39:N46" si="14">I39*J39*L39</f>
        <v>0</v>
      </c>
      <c r="O39" s="21">
        <f>N39</f>
        <v>0</v>
      </c>
      <c r="P39" s="65">
        <v>1</v>
      </c>
      <c r="Q39" s="14">
        <v>839</v>
      </c>
      <c r="R39" s="17" t="s">
        <v>25</v>
      </c>
      <c r="S39" s="19">
        <v>6</v>
      </c>
      <c r="T39" s="18">
        <v>43617</v>
      </c>
      <c r="U39" s="21">
        <f>P39*Q39*S39</f>
        <v>5034</v>
      </c>
      <c r="V39" s="21">
        <f>U39</f>
        <v>5034</v>
      </c>
      <c r="W39" s="26">
        <f t="shared" ref="W39:W46" si="15">H39+O39+V39</f>
        <v>5034</v>
      </c>
    </row>
    <row r="40" spans="1:23" ht="15" thickBot="1">
      <c r="A40" s="10" t="s">
        <v>39</v>
      </c>
      <c r="B40" s="30"/>
      <c r="C40" s="14">
        <v>1880</v>
      </c>
      <c r="D40" s="137" t="s">
        <v>25</v>
      </c>
      <c r="E40" s="17">
        <v>12</v>
      </c>
      <c r="F40" s="18">
        <v>43617</v>
      </c>
      <c r="G40" s="21">
        <f t="shared" si="12"/>
        <v>0</v>
      </c>
      <c r="H40" s="21">
        <f t="shared" si="13"/>
        <v>0</v>
      </c>
      <c r="I40" s="13"/>
      <c r="J40" s="14">
        <v>835</v>
      </c>
      <c r="K40" s="19" t="s">
        <v>25</v>
      </c>
      <c r="L40" s="19">
        <v>12</v>
      </c>
      <c r="M40" s="18">
        <v>43617</v>
      </c>
      <c r="N40" s="21">
        <f t="shared" si="14"/>
        <v>0</v>
      </c>
      <c r="O40" s="21">
        <f>N40</f>
        <v>0</v>
      </c>
      <c r="P40" s="65">
        <v>1</v>
      </c>
      <c r="Q40" s="14">
        <v>2117</v>
      </c>
      <c r="R40" s="17" t="s">
        <v>25</v>
      </c>
      <c r="S40" s="19">
        <v>6</v>
      </c>
      <c r="T40" s="18">
        <v>43617</v>
      </c>
      <c r="U40" s="21">
        <f>P40*Q40*S40</f>
        <v>12702</v>
      </c>
      <c r="V40" s="21">
        <f>U40</f>
        <v>12702</v>
      </c>
      <c r="W40" s="26">
        <f t="shared" si="15"/>
        <v>12702</v>
      </c>
    </row>
    <row r="41" spans="1:23" ht="15" thickBot="1">
      <c r="A41" s="10" t="s">
        <v>40</v>
      </c>
      <c r="B41" s="30"/>
      <c r="C41" s="14">
        <v>0</v>
      </c>
      <c r="D41" s="137" t="s">
        <v>25</v>
      </c>
      <c r="E41" s="17">
        <v>12</v>
      </c>
      <c r="F41" s="18">
        <v>43617</v>
      </c>
      <c r="G41" s="21">
        <f t="shared" si="12"/>
        <v>0</v>
      </c>
      <c r="H41" s="21">
        <f t="shared" si="13"/>
        <v>0</v>
      </c>
      <c r="I41" s="13"/>
      <c r="J41" s="14">
        <v>100</v>
      </c>
      <c r="K41" s="19" t="s">
        <v>25</v>
      </c>
      <c r="L41" s="19">
        <v>12</v>
      </c>
      <c r="M41" s="18">
        <v>43617</v>
      </c>
      <c r="N41" s="21">
        <f t="shared" si="14"/>
        <v>0</v>
      </c>
      <c r="O41" s="21">
        <f t="shared" ref="O41:O46" si="16">N41</f>
        <v>0</v>
      </c>
      <c r="P41" s="13">
        <v>1</v>
      </c>
      <c r="Q41" s="14">
        <v>100</v>
      </c>
      <c r="R41" s="17" t="s">
        <v>25</v>
      </c>
      <c r="S41" s="19">
        <v>6</v>
      </c>
      <c r="T41" s="18">
        <v>43617</v>
      </c>
      <c r="U41" s="21">
        <f t="shared" ref="U41:U46" si="17">P41*Q41*S41</f>
        <v>600</v>
      </c>
      <c r="V41" s="21">
        <f t="shared" ref="V41:V46" si="18">U41</f>
        <v>600</v>
      </c>
      <c r="W41" s="26">
        <f t="shared" si="15"/>
        <v>600</v>
      </c>
    </row>
    <row r="42" spans="1:23" ht="15" thickBot="1">
      <c r="A42" s="10" t="s">
        <v>41</v>
      </c>
      <c r="B42" s="30"/>
      <c r="C42" s="14">
        <v>0</v>
      </c>
      <c r="D42" s="137" t="s">
        <v>25</v>
      </c>
      <c r="E42" s="17">
        <v>12</v>
      </c>
      <c r="F42" s="18">
        <v>43617</v>
      </c>
      <c r="G42" s="21">
        <f t="shared" si="12"/>
        <v>0</v>
      </c>
      <c r="H42" s="21">
        <f t="shared" si="13"/>
        <v>0</v>
      </c>
      <c r="I42" s="13"/>
      <c r="J42" s="14">
        <v>100</v>
      </c>
      <c r="K42" s="19" t="s">
        <v>25</v>
      </c>
      <c r="L42" s="19">
        <v>12</v>
      </c>
      <c r="M42" s="18">
        <v>43617</v>
      </c>
      <c r="N42" s="21">
        <f t="shared" si="14"/>
        <v>0</v>
      </c>
      <c r="O42" s="21">
        <f t="shared" si="16"/>
        <v>0</v>
      </c>
      <c r="P42" s="13">
        <v>1</v>
      </c>
      <c r="Q42" s="14">
        <v>175</v>
      </c>
      <c r="R42" s="17" t="s">
        <v>25</v>
      </c>
      <c r="S42" s="19">
        <v>6</v>
      </c>
      <c r="T42" s="18">
        <v>43617</v>
      </c>
      <c r="U42" s="21">
        <f t="shared" si="17"/>
        <v>1050</v>
      </c>
      <c r="V42" s="21">
        <f t="shared" si="18"/>
        <v>1050</v>
      </c>
      <c r="W42" s="26">
        <f t="shared" si="15"/>
        <v>1050</v>
      </c>
    </row>
    <row r="43" spans="1:23" ht="15" hidden="1" thickBot="1">
      <c r="A43" s="10" t="s">
        <v>42</v>
      </c>
      <c r="B43" s="30"/>
      <c r="C43" s="14">
        <v>0</v>
      </c>
      <c r="D43" s="137" t="s">
        <v>25</v>
      </c>
      <c r="E43" s="17">
        <v>12</v>
      </c>
      <c r="F43" s="18">
        <v>43617</v>
      </c>
      <c r="G43" s="21">
        <f t="shared" si="12"/>
        <v>0</v>
      </c>
      <c r="H43" s="21">
        <f t="shared" si="13"/>
        <v>0</v>
      </c>
      <c r="I43" s="13"/>
      <c r="J43" s="14">
        <v>285</v>
      </c>
      <c r="K43" s="19" t="s">
        <v>25</v>
      </c>
      <c r="L43" s="19">
        <v>12</v>
      </c>
      <c r="M43" s="18">
        <v>43617</v>
      </c>
      <c r="N43" s="21">
        <f t="shared" si="14"/>
        <v>0</v>
      </c>
      <c r="O43" s="21">
        <f t="shared" si="16"/>
        <v>0</v>
      </c>
      <c r="P43" s="65">
        <v>1</v>
      </c>
      <c r="Q43" s="14">
        <v>0</v>
      </c>
      <c r="R43" s="17" t="s">
        <v>25</v>
      </c>
      <c r="S43" s="19">
        <v>6</v>
      </c>
      <c r="T43" s="18">
        <v>43617</v>
      </c>
      <c r="U43" s="21">
        <f t="shared" si="17"/>
        <v>0</v>
      </c>
      <c r="V43" s="21">
        <f t="shared" si="18"/>
        <v>0</v>
      </c>
      <c r="W43" s="26">
        <f t="shared" si="15"/>
        <v>0</v>
      </c>
    </row>
    <row r="44" spans="1:23" ht="15" thickBot="1">
      <c r="A44" s="10" t="s">
        <v>29</v>
      </c>
      <c r="B44" s="30"/>
      <c r="C44" s="14">
        <v>466</v>
      </c>
      <c r="D44" s="137" t="s">
        <v>25</v>
      </c>
      <c r="E44" s="17">
        <v>12</v>
      </c>
      <c r="F44" s="18">
        <v>43617</v>
      </c>
      <c r="G44" s="21">
        <f t="shared" si="12"/>
        <v>0</v>
      </c>
      <c r="H44" s="21">
        <f t="shared" si="13"/>
        <v>0</v>
      </c>
      <c r="I44" s="13"/>
      <c r="J44" s="14">
        <v>385</v>
      </c>
      <c r="K44" s="19" t="s">
        <v>25</v>
      </c>
      <c r="L44" s="19">
        <v>12</v>
      </c>
      <c r="M44" s="18">
        <v>43617</v>
      </c>
      <c r="N44" s="21">
        <f t="shared" si="14"/>
        <v>0</v>
      </c>
      <c r="O44" s="21">
        <f t="shared" si="16"/>
        <v>0</v>
      </c>
      <c r="P44" s="65">
        <v>1</v>
      </c>
      <c r="Q44" s="14">
        <v>576</v>
      </c>
      <c r="R44" s="17" t="s">
        <v>25</v>
      </c>
      <c r="S44" s="19">
        <v>6</v>
      </c>
      <c r="T44" s="18">
        <v>43617</v>
      </c>
      <c r="U44" s="21">
        <f t="shared" si="17"/>
        <v>3456</v>
      </c>
      <c r="V44" s="21">
        <f t="shared" si="18"/>
        <v>3456</v>
      </c>
      <c r="W44" s="26">
        <f t="shared" si="15"/>
        <v>3456</v>
      </c>
    </row>
    <row r="45" spans="1:23" ht="15" thickBot="1">
      <c r="A45" s="10" t="s">
        <v>27</v>
      </c>
      <c r="B45" s="30"/>
      <c r="C45" s="14">
        <v>964</v>
      </c>
      <c r="D45" s="137" t="s">
        <v>25</v>
      </c>
      <c r="E45" s="17">
        <v>12</v>
      </c>
      <c r="F45" s="18">
        <v>43617</v>
      </c>
      <c r="G45" s="21">
        <f t="shared" si="12"/>
        <v>0</v>
      </c>
      <c r="H45" s="21">
        <f t="shared" si="13"/>
        <v>0</v>
      </c>
      <c r="I45" s="13"/>
      <c r="J45" s="14">
        <v>226</v>
      </c>
      <c r="K45" s="19" t="s">
        <v>25</v>
      </c>
      <c r="L45" s="19">
        <v>12</v>
      </c>
      <c r="M45" s="18">
        <v>43617</v>
      </c>
      <c r="N45" s="21">
        <f t="shared" si="14"/>
        <v>0</v>
      </c>
      <c r="O45" s="21">
        <f t="shared" si="16"/>
        <v>0</v>
      </c>
      <c r="P45" s="13">
        <v>1</v>
      </c>
      <c r="Q45" s="14">
        <v>1560</v>
      </c>
      <c r="R45" s="17" t="s">
        <v>25</v>
      </c>
      <c r="S45" s="19">
        <v>6</v>
      </c>
      <c r="T45" s="18">
        <v>43617</v>
      </c>
      <c r="U45" s="21">
        <f t="shared" si="17"/>
        <v>9360</v>
      </c>
      <c r="V45" s="21">
        <f t="shared" si="18"/>
        <v>9360</v>
      </c>
      <c r="W45" s="26">
        <f t="shared" si="15"/>
        <v>9360</v>
      </c>
    </row>
    <row r="46" spans="1:23" ht="15" thickBot="1">
      <c r="A46" s="10" t="s">
        <v>28</v>
      </c>
      <c r="B46" s="30"/>
      <c r="C46" s="14">
        <v>1550</v>
      </c>
      <c r="D46" s="137" t="s">
        <v>25</v>
      </c>
      <c r="E46" s="17">
        <v>12</v>
      </c>
      <c r="F46" s="18">
        <v>43617</v>
      </c>
      <c r="G46" s="21">
        <f t="shared" si="12"/>
        <v>0</v>
      </c>
      <c r="H46" s="21">
        <f t="shared" si="13"/>
        <v>0</v>
      </c>
      <c r="I46" s="13"/>
      <c r="J46" s="14">
        <v>900</v>
      </c>
      <c r="K46" s="19" t="s">
        <v>25</v>
      </c>
      <c r="L46" s="19">
        <v>12</v>
      </c>
      <c r="M46" s="18">
        <v>43617</v>
      </c>
      <c r="N46" s="21">
        <f t="shared" si="14"/>
        <v>0</v>
      </c>
      <c r="O46" s="21">
        <f t="shared" si="16"/>
        <v>0</v>
      </c>
      <c r="P46" s="13">
        <v>1</v>
      </c>
      <c r="Q46" s="14">
        <v>2812</v>
      </c>
      <c r="R46" s="17" t="s">
        <v>25</v>
      </c>
      <c r="S46" s="19">
        <v>6</v>
      </c>
      <c r="T46" s="18">
        <v>43617</v>
      </c>
      <c r="U46" s="21">
        <f t="shared" si="17"/>
        <v>16872</v>
      </c>
      <c r="V46" s="21">
        <f t="shared" si="18"/>
        <v>16872</v>
      </c>
      <c r="W46" s="26">
        <f t="shared" si="15"/>
        <v>16872</v>
      </c>
    </row>
    <row r="47" spans="1:23" ht="15" thickBot="1">
      <c r="A47" s="25" t="s">
        <v>36</v>
      </c>
      <c r="B47" s="28"/>
      <c r="C47" s="8"/>
      <c r="D47" s="8"/>
      <c r="E47" s="16"/>
      <c r="F47" s="9"/>
      <c r="G47" s="35">
        <f>G48+G49</f>
        <v>0</v>
      </c>
      <c r="H47" s="8">
        <f t="shared" si="13"/>
        <v>0</v>
      </c>
      <c r="I47" s="8"/>
      <c r="J47" s="8"/>
      <c r="K47" s="9"/>
      <c r="L47" s="9"/>
      <c r="M47" s="9"/>
      <c r="N47" s="8"/>
      <c r="O47" s="35">
        <f>O48+O49</f>
        <v>0</v>
      </c>
      <c r="P47" s="8"/>
      <c r="Q47" s="8"/>
      <c r="R47" s="8"/>
      <c r="S47" s="8"/>
      <c r="T47" s="8"/>
      <c r="U47" s="8"/>
      <c r="V47" s="35">
        <f>V48+V5+V50</f>
        <v>38873.712338492121</v>
      </c>
      <c r="W47" s="35">
        <f>W48+W5+W50</f>
        <v>38873.712338492121</v>
      </c>
    </row>
    <row r="48" spans="1:23" ht="15" thickBot="1">
      <c r="A48" s="10" t="s">
        <v>28</v>
      </c>
      <c r="B48" s="31"/>
      <c r="C48" s="14"/>
      <c r="D48" s="137"/>
      <c r="E48" s="17"/>
      <c r="F48" s="19"/>
      <c r="G48" s="21"/>
      <c r="H48" s="21">
        <f t="shared" si="13"/>
        <v>0</v>
      </c>
      <c r="I48" s="13"/>
      <c r="J48" s="14">
        <v>3000</v>
      </c>
      <c r="K48" s="19" t="s">
        <v>25</v>
      </c>
      <c r="L48" s="19">
        <v>12</v>
      </c>
      <c r="M48" s="18">
        <v>43617</v>
      </c>
      <c r="N48" s="21">
        <f>I48*J48*L48</f>
        <v>0</v>
      </c>
      <c r="O48" s="21">
        <f>N48</f>
        <v>0</v>
      </c>
      <c r="P48" s="30">
        <v>1</v>
      </c>
      <c r="Q48" s="14">
        <v>1441</v>
      </c>
      <c r="R48" s="17" t="s">
        <v>25</v>
      </c>
      <c r="S48" s="19">
        <v>12</v>
      </c>
      <c r="T48" s="18">
        <v>43617</v>
      </c>
      <c r="U48" s="21">
        <f>P48*Q48*S48</f>
        <v>17292</v>
      </c>
      <c r="V48" s="21">
        <f>U48</f>
        <v>17292</v>
      </c>
      <c r="W48" s="26">
        <f>H48+O48+V48</f>
        <v>17292</v>
      </c>
    </row>
    <row r="49" spans="1:24" s="1" customFormat="1" ht="15" thickBot="1">
      <c r="A49" s="10" t="s">
        <v>30</v>
      </c>
      <c r="B49" s="29"/>
      <c r="C49" s="33"/>
      <c r="D49" s="17"/>
      <c r="E49" s="17"/>
      <c r="F49" s="19"/>
      <c r="G49" s="34"/>
      <c r="H49" s="34">
        <f t="shared" si="13"/>
        <v>0</v>
      </c>
      <c r="I49" s="13"/>
      <c r="J49" s="33">
        <v>334</v>
      </c>
      <c r="K49" s="19" t="s">
        <v>25</v>
      </c>
      <c r="L49" s="19">
        <v>12</v>
      </c>
      <c r="M49" s="18">
        <v>43617</v>
      </c>
      <c r="N49" s="34">
        <f>I49*J49*L49</f>
        <v>0</v>
      </c>
      <c r="O49" s="34">
        <f>N49</f>
        <v>0</v>
      </c>
      <c r="P49" s="30">
        <v>1</v>
      </c>
      <c r="Q49" s="33">
        <v>350</v>
      </c>
      <c r="R49" s="17" t="s">
        <v>25</v>
      </c>
      <c r="S49" s="19">
        <v>12</v>
      </c>
      <c r="T49" s="18">
        <v>43617</v>
      </c>
      <c r="U49" s="34">
        <f>P49*Q49*S49</f>
        <v>4200</v>
      </c>
      <c r="V49" s="21">
        <f>U49</f>
        <v>4200</v>
      </c>
      <c r="W49" s="26">
        <f>H49+O49+V49</f>
        <v>4200</v>
      </c>
    </row>
    <row r="50" spans="1:24" s="1" customFormat="1">
      <c r="A50" s="248" t="s">
        <v>337</v>
      </c>
      <c r="B50" s="249"/>
      <c r="C50" s="250"/>
      <c r="D50" s="81"/>
      <c r="E50" s="81"/>
      <c r="F50" s="251"/>
      <c r="G50" s="252"/>
      <c r="H50" s="252"/>
      <c r="I50" s="80"/>
      <c r="J50" s="250"/>
      <c r="K50" s="251"/>
      <c r="L50" s="251"/>
      <c r="M50" s="253"/>
      <c r="N50" s="252"/>
      <c r="O50" s="252"/>
      <c r="P50" s="78">
        <v>2</v>
      </c>
      <c r="Q50" s="250">
        <f>3800/$O$1</f>
        <v>899.2380141038384</v>
      </c>
      <c r="R50" s="17" t="s">
        <v>25</v>
      </c>
      <c r="S50" s="19">
        <v>12</v>
      </c>
      <c r="T50" s="18">
        <v>43647</v>
      </c>
      <c r="U50" s="34">
        <f>P50*Q50*S50</f>
        <v>21581.712338492121</v>
      </c>
      <c r="V50" s="21">
        <f>U50</f>
        <v>21581.712338492121</v>
      </c>
      <c r="W50" s="26">
        <f>H50+O50+V50</f>
        <v>21581.712338492121</v>
      </c>
    </row>
    <row r="51" spans="1:24" ht="15" thickBot="1">
      <c r="A51" s="25" t="s">
        <v>31</v>
      </c>
      <c r="B51" s="28"/>
      <c r="C51" s="8"/>
      <c r="D51" s="8"/>
      <c r="E51" s="16"/>
      <c r="F51" s="9"/>
      <c r="G51" s="35">
        <v>0</v>
      </c>
      <c r="H51" s="8">
        <f t="shared" si="13"/>
        <v>0</v>
      </c>
      <c r="I51" s="8"/>
      <c r="J51" s="8"/>
      <c r="K51" s="9"/>
      <c r="L51" s="8"/>
      <c r="M51" s="8"/>
      <c r="N51" s="8"/>
      <c r="O51" s="254">
        <f>O52+O54+O58+O60+O62+O68+O70+O73+O77+O82+O84+O89+O95+O101+O108+O116+O123+O129+O131+O133+O137+O137+O140+O147+O152</f>
        <v>0</v>
      </c>
      <c r="P51" s="35"/>
      <c r="Q51" s="35"/>
      <c r="R51" s="35"/>
      <c r="S51" s="35"/>
      <c r="T51" s="8"/>
      <c r="U51" s="35"/>
      <c r="V51" s="254">
        <f>V52+V54+V58+V60+V62+V68+V70+V73+V77+V82+V84+V89+V95+V101+V108+V116+V123+V129+V131+V133+V137+V140+V147+V152</f>
        <v>475460.28766150778</v>
      </c>
      <c r="W51" s="254">
        <f>W52+W54+W58+W60+W62+W68+W70+W73+W77+W82+W84+W89+W95+W101+W108+W116+W123+W129+W131+W133+W137+W137+W140+W147+W152</f>
        <v>475460.28766150778</v>
      </c>
    </row>
    <row r="52" spans="1:24" ht="15" thickBot="1">
      <c r="A52" s="37" t="s">
        <v>125</v>
      </c>
      <c r="B52" s="38"/>
      <c r="C52" s="39"/>
      <c r="D52" s="40"/>
      <c r="E52" s="41"/>
      <c r="F52" s="42"/>
      <c r="G52" s="49">
        <f>SUM(G53:G53)</f>
        <v>0</v>
      </c>
      <c r="H52" s="43">
        <f t="shared" si="13"/>
        <v>0</v>
      </c>
      <c r="I52" s="44"/>
      <c r="J52" s="39"/>
      <c r="K52" s="42"/>
      <c r="L52" s="42"/>
      <c r="M52" s="42"/>
      <c r="N52" s="40"/>
      <c r="O52" s="49">
        <f>SUM(O53:O53)</f>
        <v>0</v>
      </c>
      <c r="P52" s="40"/>
      <c r="Q52" s="39"/>
      <c r="R52" s="40"/>
      <c r="S52" s="40"/>
      <c r="T52" s="42"/>
      <c r="U52" s="40"/>
      <c r="V52" s="49">
        <f>SUM(V53:V53)</f>
        <v>2839.6989919068583</v>
      </c>
      <c r="W52" s="49">
        <f>SUM(W53:W53)</f>
        <v>2839.6989919068583</v>
      </c>
      <c r="X52" s="57"/>
    </row>
    <row r="53" spans="1:24" s="69" customFormat="1" ht="27" thickBot="1">
      <c r="A53" s="58" t="s">
        <v>338</v>
      </c>
      <c r="B53" s="59"/>
      <c r="C53" s="60"/>
      <c r="D53" s="61"/>
      <c r="E53" s="62"/>
      <c r="F53" s="63"/>
      <c r="G53" s="64">
        <f t="shared" ref="G53" si="19">B53*C53*E53</f>
        <v>0</v>
      </c>
      <c r="H53" s="64">
        <f t="shared" si="13"/>
        <v>0</v>
      </c>
      <c r="I53" s="65"/>
      <c r="J53" s="60">
        <v>0</v>
      </c>
      <c r="K53" s="63" t="s">
        <v>46</v>
      </c>
      <c r="L53" s="63">
        <v>0</v>
      </c>
      <c r="M53" s="66"/>
      <c r="N53" s="64">
        <f>I53*J53*L53</f>
        <v>0</v>
      </c>
      <c r="O53" s="67">
        <f>N53/$O$1</f>
        <v>0</v>
      </c>
      <c r="P53" s="65">
        <v>1</v>
      </c>
      <c r="Q53" s="60">
        <v>12000</v>
      </c>
      <c r="R53" s="63" t="s">
        <v>46</v>
      </c>
      <c r="S53" s="63">
        <v>1</v>
      </c>
      <c r="T53" s="66">
        <v>43556</v>
      </c>
      <c r="U53" s="64">
        <f>P53*Q53*S53</f>
        <v>12000</v>
      </c>
      <c r="V53" s="67">
        <f>U53/$O$1</f>
        <v>2839.6989919068583</v>
      </c>
      <c r="W53" s="68">
        <f>O53+V53</f>
        <v>2839.6989919068583</v>
      </c>
      <c r="X53" s="57"/>
    </row>
    <row r="54" spans="1:24" ht="15" thickBot="1">
      <c r="A54" s="37" t="s">
        <v>127</v>
      </c>
      <c r="B54" s="38"/>
      <c r="C54" s="39"/>
      <c r="D54" s="40"/>
      <c r="E54" s="41"/>
      <c r="F54" s="42"/>
      <c r="G54" s="49">
        <f>SUM(G55:G55)</f>
        <v>0</v>
      </c>
      <c r="H54" s="43">
        <f t="shared" si="13"/>
        <v>0</v>
      </c>
      <c r="I54" s="44"/>
      <c r="J54" s="39"/>
      <c r="K54" s="42"/>
      <c r="L54" s="42"/>
      <c r="M54" s="42"/>
      <c r="N54" s="40"/>
      <c r="O54" s="49">
        <f>SUM(O55:O57)</f>
        <v>0</v>
      </c>
      <c r="P54" s="40"/>
      <c r="Q54" s="39"/>
      <c r="R54" s="40"/>
      <c r="S54" s="40"/>
      <c r="T54" s="42"/>
      <c r="U54" s="40"/>
      <c r="V54" s="49">
        <f>SUM(V55:V57)</f>
        <v>5655.7338255478262</v>
      </c>
      <c r="W54" s="49">
        <f>SUM(W55:W57)</f>
        <v>5655.7338255478262</v>
      </c>
      <c r="X54" s="57"/>
    </row>
    <row r="55" spans="1:24" s="69" customFormat="1" ht="15" thickBot="1">
      <c r="A55" s="58" t="s">
        <v>128</v>
      </c>
      <c r="B55" s="59"/>
      <c r="C55" s="60"/>
      <c r="D55" s="61"/>
      <c r="E55" s="62"/>
      <c r="F55" s="63"/>
      <c r="G55" s="64"/>
      <c r="H55" s="64"/>
      <c r="I55" s="65"/>
      <c r="J55" s="60"/>
      <c r="K55" s="63"/>
      <c r="L55" s="63"/>
      <c r="M55" s="66"/>
      <c r="N55" s="64"/>
      <c r="O55" s="67"/>
      <c r="P55" s="65">
        <v>1</v>
      </c>
      <c r="Q55" s="60">
        <v>1000</v>
      </c>
      <c r="R55" s="63" t="s">
        <v>48</v>
      </c>
      <c r="S55" s="63">
        <v>1</v>
      </c>
      <c r="T55" s="18">
        <v>43617</v>
      </c>
      <c r="U55" s="64">
        <f t="shared" ref="U55:U57" si="20">P55*Q55*S55</f>
        <v>1000</v>
      </c>
      <c r="V55" s="67">
        <f t="shared" ref="V55:V57" si="21">U55/$O$1</f>
        <v>236.64158265890484</v>
      </c>
      <c r="W55" s="68">
        <f t="shared" ref="W55:W57" si="22">O55+V55</f>
        <v>236.64158265890484</v>
      </c>
      <c r="X55" s="57"/>
    </row>
    <row r="56" spans="1:24" s="69" customFormat="1" ht="15" thickBot="1">
      <c r="A56" s="58" t="s">
        <v>90</v>
      </c>
      <c r="B56" s="59"/>
      <c r="C56" s="60"/>
      <c r="D56" s="61"/>
      <c r="E56" s="62"/>
      <c r="F56" s="63"/>
      <c r="G56" s="64"/>
      <c r="H56" s="64"/>
      <c r="I56" s="65"/>
      <c r="J56" s="60"/>
      <c r="K56" s="63"/>
      <c r="L56" s="63"/>
      <c r="M56" s="66"/>
      <c r="N56" s="64"/>
      <c r="O56" s="67"/>
      <c r="P56" s="65">
        <v>1</v>
      </c>
      <c r="Q56" s="60">
        <f>(15*200)+(32*200)+(30*200)</f>
        <v>15400</v>
      </c>
      <c r="R56" s="63" t="s">
        <v>48</v>
      </c>
      <c r="S56" s="63">
        <v>1</v>
      </c>
      <c r="T56" s="18">
        <v>43617</v>
      </c>
      <c r="U56" s="64">
        <f t="shared" si="20"/>
        <v>15400</v>
      </c>
      <c r="V56" s="67">
        <f t="shared" si="21"/>
        <v>3644.2803729471348</v>
      </c>
      <c r="W56" s="68">
        <f t="shared" si="22"/>
        <v>3644.2803729471348</v>
      </c>
      <c r="X56" s="57"/>
    </row>
    <row r="57" spans="1:24" s="69" customFormat="1" ht="15" thickBot="1">
      <c r="A57" s="58" t="s">
        <v>129</v>
      </c>
      <c r="B57" s="59"/>
      <c r="C57" s="60"/>
      <c r="D57" s="61"/>
      <c r="E57" s="62"/>
      <c r="F57" s="63"/>
      <c r="G57" s="64"/>
      <c r="H57" s="64"/>
      <c r="I57" s="65"/>
      <c r="J57" s="60"/>
      <c r="K57" s="63"/>
      <c r="L57" s="63"/>
      <c r="M57" s="66"/>
      <c r="N57" s="64"/>
      <c r="O57" s="67"/>
      <c r="P57" s="65">
        <v>1</v>
      </c>
      <c r="Q57" s="60">
        <f>75*100</f>
        <v>7500</v>
      </c>
      <c r="R57" s="63" t="s">
        <v>48</v>
      </c>
      <c r="S57" s="63">
        <v>1</v>
      </c>
      <c r="T57" s="18">
        <v>43678</v>
      </c>
      <c r="U57" s="64">
        <f t="shared" si="20"/>
        <v>7500</v>
      </c>
      <c r="V57" s="67">
        <f t="shared" si="21"/>
        <v>1774.8118699417864</v>
      </c>
      <c r="W57" s="68">
        <f t="shared" si="22"/>
        <v>1774.8118699417864</v>
      </c>
      <c r="X57" s="57"/>
    </row>
    <row r="58" spans="1:24" s="20" customFormat="1" ht="41.4" customHeight="1" thickBot="1">
      <c r="A58" s="37" t="s">
        <v>339</v>
      </c>
      <c r="B58" s="45"/>
      <c r="C58" s="46"/>
      <c r="D58" s="42"/>
      <c r="E58" s="42"/>
      <c r="F58" s="42"/>
      <c r="G58" s="50">
        <f>SUM(G59:G59)</f>
        <v>0</v>
      </c>
      <c r="H58" s="47">
        <f>G58</f>
        <v>0</v>
      </c>
      <c r="I58" s="44"/>
      <c r="J58" s="46"/>
      <c r="K58" s="42"/>
      <c r="L58" s="42"/>
      <c r="M58" s="42"/>
      <c r="N58" s="42"/>
      <c r="O58" s="50">
        <f>SUM(O59:O59)</f>
        <v>0</v>
      </c>
      <c r="P58" s="42"/>
      <c r="Q58" s="46"/>
      <c r="R58" s="42"/>
      <c r="S58" s="42"/>
      <c r="T58" s="42"/>
      <c r="U58" s="42"/>
      <c r="V58" s="50">
        <f>SUM(V59:V59)</f>
        <v>58687.112499408402</v>
      </c>
      <c r="W58" s="50">
        <f>SUM(W59:W59)</f>
        <v>58687.112499408402</v>
      </c>
      <c r="X58" s="71"/>
    </row>
    <row r="59" spans="1:24" ht="15" thickBot="1">
      <c r="A59" s="10" t="s">
        <v>340</v>
      </c>
      <c r="B59" s="31"/>
      <c r="C59" s="14"/>
      <c r="D59" s="137"/>
      <c r="E59" s="17"/>
      <c r="F59" s="19"/>
      <c r="G59" s="21">
        <f>B59*C59*E59</f>
        <v>0</v>
      </c>
      <c r="H59" s="21">
        <f>G59</f>
        <v>0</v>
      </c>
      <c r="I59" s="30"/>
      <c r="J59" s="60">
        <v>0</v>
      </c>
      <c r="K59" s="19"/>
      <c r="L59" s="19"/>
      <c r="M59" s="18"/>
      <c r="N59" s="21">
        <f>I59*J59*L59</f>
        <v>0</v>
      </c>
      <c r="O59" s="22">
        <f>N59/$O$1</f>
        <v>0</v>
      </c>
      <c r="P59" s="30">
        <v>1</v>
      </c>
      <c r="Q59" s="14">
        <f>( 8000*32*50%)+(15*8000)</f>
        <v>248000</v>
      </c>
      <c r="R59" s="19" t="s">
        <v>46</v>
      </c>
      <c r="S59" s="19">
        <v>1</v>
      </c>
      <c r="T59" s="18">
        <v>43678</v>
      </c>
      <c r="U59" s="21">
        <f>P59*Q59*S59</f>
        <v>248000</v>
      </c>
      <c r="V59" s="22">
        <f>U59/$O$1</f>
        <v>58687.112499408402</v>
      </c>
      <c r="W59" s="26">
        <f>O59+V59</f>
        <v>58687.112499408402</v>
      </c>
      <c r="X59" s="57"/>
    </row>
    <row r="60" spans="1:24" ht="15" thickBot="1">
      <c r="A60" s="37" t="s">
        <v>72</v>
      </c>
      <c r="B60" s="38"/>
      <c r="C60" s="39"/>
      <c r="D60" s="40"/>
      <c r="E60" s="41"/>
      <c r="F60" s="42"/>
      <c r="G60" s="49">
        <f>SUM(G61:G61)</f>
        <v>0</v>
      </c>
      <c r="H60" s="43">
        <f t="shared" ref="H60:H63" si="23">G60</f>
        <v>0</v>
      </c>
      <c r="I60" s="44"/>
      <c r="J60" s="39"/>
      <c r="K60" s="42"/>
      <c r="L60" s="42"/>
      <c r="M60" s="42"/>
      <c r="N60" s="40"/>
      <c r="O60" s="49">
        <f>SUM(O61:O61)</f>
        <v>0</v>
      </c>
      <c r="P60" s="40"/>
      <c r="Q60" s="39"/>
      <c r="R60" s="40"/>
      <c r="S60" s="40"/>
      <c r="T60" s="42"/>
      <c r="U60" s="40"/>
      <c r="V60" s="49">
        <f>SUM(V61:V61)</f>
        <v>2129.7742439301437</v>
      </c>
      <c r="W60" s="49">
        <f>SUM(W61:W61)</f>
        <v>2129.7742439301437</v>
      </c>
      <c r="X60" s="57"/>
    </row>
    <row r="61" spans="1:24" s="69" customFormat="1" ht="15" thickBot="1">
      <c r="A61" s="58" t="s">
        <v>71</v>
      </c>
      <c r="B61" s="59"/>
      <c r="C61" s="60"/>
      <c r="D61" s="61"/>
      <c r="E61" s="62"/>
      <c r="F61" s="63"/>
      <c r="G61" s="64">
        <f t="shared" ref="G61" si="24">B61*C61*E61</f>
        <v>0</v>
      </c>
      <c r="H61" s="64">
        <f t="shared" si="23"/>
        <v>0</v>
      </c>
      <c r="I61" s="65"/>
      <c r="J61" s="60">
        <v>0</v>
      </c>
      <c r="K61" s="63"/>
      <c r="L61" s="63"/>
      <c r="M61" s="66"/>
      <c r="N61" s="64">
        <f>I61*J61*L61</f>
        <v>0</v>
      </c>
      <c r="O61" s="67">
        <f>N61/$O$1</f>
        <v>0</v>
      </c>
      <c r="P61" s="65">
        <v>1</v>
      </c>
      <c r="Q61" s="60">
        <f>6*1500</f>
        <v>9000</v>
      </c>
      <c r="R61" s="63" t="s">
        <v>46</v>
      </c>
      <c r="S61" s="63">
        <v>1</v>
      </c>
      <c r="T61" s="66">
        <v>43770</v>
      </c>
      <c r="U61" s="64">
        <f>P61*Q61*S61</f>
        <v>9000</v>
      </c>
      <c r="V61" s="64">
        <f>U61/$O$1</f>
        <v>2129.7742439301437</v>
      </c>
      <c r="W61" s="68">
        <f>O61+V61</f>
        <v>2129.7742439301437</v>
      </c>
      <c r="X61" s="57"/>
    </row>
    <row r="62" spans="1:24" ht="27" thickBot="1">
      <c r="A62" s="37" t="s">
        <v>73</v>
      </c>
      <c r="B62" s="38"/>
      <c r="C62" s="39"/>
      <c r="D62" s="40"/>
      <c r="E62" s="41"/>
      <c r="F62" s="42"/>
      <c r="G62" s="49">
        <f>SUM(G63:G64)</f>
        <v>0</v>
      </c>
      <c r="H62" s="43">
        <f t="shared" si="23"/>
        <v>0</v>
      </c>
      <c r="I62" s="44"/>
      <c r="J62" s="39"/>
      <c r="K62" s="42"/>
      <c r="L62" s="42"/>
      <c r="M62" s="42"/>
      <c r="N62" s="40"/>
      <c r="O62" s="49">
        <f>SUM(O63:O67)</f>
        <v>0</v>
      </c>
      <c r="P62" s="40"/>
      <c r="Q62" s="39"/>
      <c r="R62" s="40"/>
      <c r="S62" s="40"/>
      <c r="T62" s="42"/>
      <c r="U62" s="40"/>
      <c r="V62" s="49">
        <f>SUM(V63:V67)</f>
        <v>6389.3227317904311</v>
      </c>
      <c r="W62" s="49">
        <f>SUM(W63:W67)</f>
        <v>6389.3227317904311</v>
      </c>
      <c r="X62" s="57"/>
    </row>
    <row r="63" spans="1:24" s="69" customFormat="1" ht="27" thickBot="1">
      <c r="A63" s="58" t="s">
        <v>341</v>
      </c>
      <c r="B63" s="59"/>
      <c r="C63" s="60"/>
      <c r="D63" s="61"/>
      <c r="E63" s="62"/>
      <c r="F63" s="63"/>
      <c r="G63" s="64">
        <f t="shared" ref="G63" si="25">B63*C63*E63</f>
        <v>0</v>
      </c>
      <c r="H63" s="64">
        <f t="shared" si="23"/>
        <v>0</v>
      </c>
      <c r="I63" s="65"/>
      <c r="J63" s="60">
        <v>0</v>
      </c>
      <c r="K63" s="63"/>
      <c r="L63" s="63"/>
      <c r="M63" s="66"/>
      <c r="N63" s="64">
        <f>I63*J63*L63</f>
        <v>0</v>
      </c>
      <c r="O63" s="67">
        <f>N63/$O$1</f>
        <v>0</v>
      </c>
      <c r="P63" s="65">
        <v>1</v>
      </c>
      <c r="Q63" s="60">
        <f xml:space="preserve"> 50*150</f>
        <v>7500</v>
      </c>
      <c r="R63" s="63" t="s">
        <v>46</v>
      </c>
      <c r="S63" s="63">
        <v>1</v>
      </c>
      <c r="T63" s="66">
        <v>43800</v>
      </c>
      <c r="U63" s="64">
        <f>P63*Q63*S63</f>
        <v>7500</v>
      </c>
      <c r="V63" s="67">
        <f>U63/$O$1</f>
        <v>1774.8118699417864</v>
      </c>
      <c r="W63" s="68">
        <f>O63+V63</f>
        <v>1774.8118699417864</v>
      </c>
      <c r="X63" s="57"/>
    </row>
    <row r="64" spans="1:24" s="69" customFormat="1" ht="15" thickBot="1">
      <c r="A64" s="58" t="s">
        <v>342</v>
      </c>
      <c r="B64" s="59"/>
      <c r="C64" s="60"/>
      <c r="D64" s="61"/>
      <c r="E64" s="62"/>
      <c r="F64" s="63"/>
      <c r="G64" s="64">
        <f>B64*C64*E64</f>
        <v>0</v>
      </c>
      <c r="H64" s="64">
        <f>G64</f>
        <v>0</v>
      </c>
      <c r="I64" s="70"/>
      <c r="J64" s="60">
        <v>0</v>
      </c>
      <c r="K64" s="63"/>
      <c r="L64" s="63"/>
      <c r="M64" s="66"/>
      <c r="N64" s="64">
        <f t="shared" ref="N64:N67" si="26">I64*J64*L64</f>
        <v>0</v>
      </c>
      <c r="O64" s="67">
        <f t="shared" ref="O64:O67" si="27">N64/$O$1</f>
        <v>0</v>
      </c>
      <c r="P64" s="70">
        <v>1</v>
      </c>
      <c r="Q64" s="60">
        <f xml:space="preserve"> 25*150</f>
        <v>3750</v>
      </c>
      <c r="R64" s="63" t="s">
        <v>48</v>
      </c>
      <c r="S64" s="63">
        <v>1</v>
      </c>
      <c r="T64" s="66">
        <v>43831</v>
      </c>
      <c r="U64" s="64">
        <f t="shared" ref="U64:U67" si="28">P64*Q64*S64</f>
        <v>3750</v>
      </c>
      <c r="V64" s="67">
        <f t="shared" ref="V64:V67" si="29">U64/$O$1</f>
        <v>887.40593497089321</v>
      </c>
      <c r="W64" s="68">
        <f t="shared" ref="W64:W67" si="30">O64+V64</f>
        <v>887.40593497089321</v>
      </c>
      <c r="X64" s="57"/>
    </row>
    <row r="65" spans="1:27" s="69" customFormat="1" ht="15" thickBot="1">
      <c r="A65" s="58" t="s">
        <v>343</v>
      </c>
      <c r="B65" s="59"/>
      <c r="C65" s="60"/>
      <c r="D65" s="61"/>
      <c r="E65" s="62"/>
      <c r="F65" s="63"/>
      <c r="G65" s="64">
        <f t="shared" ref="G65" si="31">B65*C65*E65</f>
        <v>0</v>
      </c>
      <c r="H65" s="64">
        <f t="shared" ref="H65" si="32">G65</f>
        <v>0</v>
      </c>
      <c r="I65" s="65"/>
      <c r="J65" s="60">
        <v>0</v>
      </c>
      <c r="K65" s="63"/>
      <c r="L65" s="63"/>
      <c r="M65" s="66"/>
      <c r="N65" s="64">
        <f>I65*J65*L65</f>
        <v>0</v>
      </c>
      <c r="O65" s="67">
        <f>N65/$O$1</f>
        <v>0</v>
      </c>
      <c r="P65" s="65">
        <v>1</v>
      </c>
      <c r="Q65" s="60">
        <f xml:space="preserve"> 25*150</f>
        <v>3750</v>
      </c>
      <c r="R65" s="63" t="s">
        <v>46</v>
      </c>
      <c r="S65" s="63">
        <v>1</v>
      </c>
      <c r="T65" s="66">
        <v>43800</v>
      </c>
      <c r="U65" s="64">
        <f>P65*Q65*S65</f>
        <v>3750</v>
      </c>
      <c r="V65" s="67">
        <f>U65/$O$1</f>
        <v>887.40593497089321</v>
      </c>
      <c r="W65" s="68">
        <f>O65+V65</f>
        <v>887.40593497089321</v>
      </c>
      <c r="X65" s="57"/>
    </row>
    <row r="66" spans="1:27" s="69" customFormat="1" ht="15" thickBot="1">
      <c r="A66" s="58" t="s">
        <v>344</v>
      </c>
      <c r="B66" s="59"/>
      <c r="C66" s="60"/>
      <c r="D66" s="61"/>
      <c r="E66" s="62"/>
      <c r="F66" s="63"/>
      <c r="G66" s="64">
        <f>B66*C66*E66</f>
        <v>0</v>
      </c>
      <c r="H66" s="64">
        <f>G66</f>
        <v>0</v>
      </c>
      <c r="I66" s="70"/>
      <c r="J66" s="60">
        <v>0</v>
      </c>
      <c r="K66" s="63"/>
      <c r="L66" s="63"/>
      <c r="M66" s="66"/>
      <c r="N66" s="64">
        <f t="shared" ref="N66" si="33">I66*J66*L66</f>
        <v>0</v>
      </c>
      <c r="O66" s="67">
        <f t="shared" ref="O66" si="34">N66/$O$1</f>
        <v>0</v>
      </c>
      <c r="P66" s="70">
        <v>1</v>
      </c>
      <c r="Q66" s="60">
        <f xml:space="preserve"> 50*150</f>
        <v>7500</v>
      </c>
      <c r="R66" s="63" t="s">
        <v>48</v>
      </c>
      <c r="S66" s="63">
        <v>1</v>
      </c>
      <c r="T66" s="66">
        <v>43831</v>
      </c>
      <c r="U66" s="64">
        <f t="shared" ref="U66" si="35">P66*Q66*S66</f>
        <v>7500</v>
      </c>
      <c r="V66" s="67">
        <f t="shared" ref="V66" si="36">U66/$O$1</f>
        <v>1774.8118699417864</v>
      </c>
      <c r="W66" s="68">
        <f t="shared" ref="W66" si="37">O66+V66</f>
        <v>1774.8118699417864</v>
      </c>
      <c r="X66" s="57"/>
    </row>
    <row r="67" spans="1:27" s="69" customFormat="1" ht="15" thickBot="1">
      <c r="A67" s="58" t="s">
        <v>76</v>
      </c>
      <c r="B67" s="59"/>
      <c r="C67" s="60"/>
      <c r="D67" s="61"/>
      <c r="E67" s="62"/>
      <c r="F67" s="63"/>
      <c r="G67" s="64"/>
      <c r="H67" s="64"/>
      <c r="I67" s="70"/>
      <c r="J67" s="60">
        <v>0</v>
      </c>
      <c r="K67" s="63"/>
      <c r="L67" s="63"/>
      <c r="M67" s="66"/>
      <c r="N67" s="64">
        <f t="shared" si="26"/>
        <v>0</v>
      </c>
      <c r="O67" s="67">
        <f t="shared" si="27"/>
        <v>0</v>
      </c>
      <c r="P67" s="70">
        <v>1</v>
      </c>
      <c r="Q67" s="60">
        <f xml:space="preserve"> 150*30</f>
        <v>4500</v>
      </c>
      <c r="R67" s="63" t="s">
        <v>46</v>
      </c>
      <c r="S67" s="63">
        <v>1</v>
      </c>
      <c r="T67" s="66">
        <v>43862</v>
      </c>
      <c r="U67" s="64">
        <f t="shared" si="28"/>
        <v>4500</v>
      </c>
      <c r="V67" s="67">
        <f t="shared" si="29"/>
        <v>1064.8871219650719</v>
      </c>
      <c r="W67" s="68">
        <f t="shared" si="30"/>
        <v>1064.8871219650719</v>
      </c>
      <c r="X67" s="57"/>
    </row>
    <row r="68" spans="1:27" ht="15" thickBot="1">
      <c r="A68" s="37" t="s">
        <v>77</v>
      </c>
      <c r="B68" s="38"/>
      <c r="C68" s="39"/>
      <c r="D68" s="40"/>
      <c r="E68" s="41"/>
      <c r="F68" s="42"/>
      <c r="G68" s="49">
        <f>SUM(G69:G69)</f>
        <v>0</v>
      </c>
      <c r="H68" s="43">
        <f t="shared" ref="H68:H71" si="38">G68</f>
        <v>0</v>
      </c>
      <c r="I68" s="44"/>
      <c r="J68" s="39"/>
      <c r="K68" s="42"/>
      <c r="L68" s="42"/>
      <c r="M68" s="42"/>
      <c r="N68" s="40"/>
      <c r="O68" s="49">
        <f>SUM(O69:O69)</f>
        <v>0</v>
      </c>
      <c r="P68" s="40"/>
      <c r="Q68" s="39"/>
      <c r="R68" s="40"/>
      <c r="S68" s="40"/>
      <c r="T68" s="42"/>
      <c r="U68" s="40"/>
      <c r="V68" s="49">
        <f>SUM(V69:V69)</f>
        <v>4259.5484878602874</v>
      </c>
      <c r="W68" s="49">
        <f>SUM(W69:W69)</f>
        <v>4259.5484878602874</v>
      </c>
      <c r="X68" s="57"/>
      <c r="AA68" s="134">
        <f>150/15</f>
        <v>10</v>
      </c>
    </row>
    <row r="69" spans="1:27" s="69" customFormat="1" ht="15" thickBot="1">
      <c r="A69" s="58" t="s">
        <v>74</v>
      </c>
      <c r="B69" s="59"/>
      <c r="C69" s="60"/>
      <c r="D69" s="61"/>
      <c r="E69" s="62"/>
      <c r="F69" s="63"/>
      <c r="G69" s="64">
        <f t="shared" ref="G69" si="39">B69*C69*E69</f>
        <v>0</v>
      </c>
      <c r="H69" s="64">
        <f t="shared" si="38"/>
        <v>0</v>
      </c>
      <c r="I69" s="65"/>
      <c r="J69" s="60">
        <v>0</v>
      </c>
      <c r="K69" s="63"/>
      <c r="L69" s="63"/>
      <c r="M69" s="66"/>
      <c r="N69" s="64">
        <f>I69*J69*L69</f>
        <v>0</v>
      </c>
      <c r="O69" s="67">
        <f>N69/$O$1</f>
        <v>0</v>
      </c>
      <c r="P69" s="65">
        <v>1</v>
      </c>
      <c r="Q69" s="60">
        <f xml:space="preserve"> 100*180</f>
        <v>18000</v>
      </c>
      <c r="R69" s="63" t="s">
        <v>46</v>
      </c>
      <c r="S69" s="63">
        <v>1</v>
      </c>
      <c r="T69" s="66">
        <v>43831</v>
      </c>
      <c r="U69" s="64">
        <f>P69*Q69*S69</f>
        <v>18000</v>
      </c>
      <c r="V69" s="67">
        <f>U69/$O$1</f>
        <v>4259.5484878602874</v>
      </c>
      <c r="W69" s="68">
        <f>O69+V69</f>
        <v>4259.5484878602874</v>
      </c>
      <c r="X69" s="57"/>
    </row>
    <row r="70" spans="1:27" ht="40.200000000000003" thickBot="1">
      <c r="A70" s="37" t="s">
        <v>345</v>
      </c>
      <c r="B70" s="38"/>
      <c r="C70" s="39"/>
      <c r="D70" s="40"/>
      <c r="E70" s="41"/>
      <c r="F70" s="42"/>
      <c r="G70" s="49">
        <f>SUM(G71:G71)</f>
        <v>0</v>
      </c>
      <c r="H70" s="43">
        <f t="shared" si="38"/>
        <v>0</v>
      </c>
      <c r="I70" s="44"/>
      <c r="J70" s="39"/>
      <c r="K70" s="42"/>
      <c r="L70" s="42"/>
      <c r="M70" s="42"/>
      <c r="N70" s="40"/>
      <c r="O70" s="49">
        <f>SUM(O71:O72)</f>
        <v>0</v>
      </c>
      <c r="P70" s="40"/>
      <c r="Q70" s="39"/>
      <c r="R70" s="40"/>
      <c r="S70" s="40"/>
      <c r="T70" s="42"/>
      <c r="U70" s="40"/>
      <c r="V70" s="49">
        <f>SUM(V71:V72)</f>
        <v>14056.510009938949</v>
      </c>
      <c r="W70" s="49">
        <f>SUM(W71:W72)</f>
        <v>14056.510009938949</v>
      </c>
      <c r="X70" s="57"/>
    </row>
    <row r="71" spans="1:27" s="69" customFormat="1" ht="15" thickBot="1">
      <c r="A71" s="58" t="s">
        <v>79</v>
      </c>
      <c r="B71" s="59"/>
      <c r="C71" s="60"/>
      <c r="D71" s="61"/>
      <c r="E71" s="62"/>
      <c r="F71" s="63"/>
      <c r="G71" s="64">
        <f t="shared" ref="G71" si="40">B71*C71*E71</f>
        <v>0</v>
      </c>
      <c r="H71" s="64">
        <f t="shared" si="38"/>
        <v>0</v>
      </c>
      <c r="I71" s="65"/>
      <c r="J71" s="60">
        <v>0</v>
      </c>
      <c r="K71" s="63"/>
      <c r="L71" s="63"/>
      <c r="M71" s="66"/>
      <c r="N71" s="64">
        <f>I71*J71*L71</f>
        <v>0</v>
      </c>
      <c r="O71" s="67">
        <f>N71/$O$1</f>
        <v>0</v>
      </c>
      <c r="P71" s="65">
        <v>1</v>
      </c>
      <c r="Q71" s="60">
        <f>180*30</f>
        <v>5400</v>
      </c>
      <c r="R71" s="63" t="s">
        <v>46</v>
      </c>
      <c r="S71" s="63">
        <v>1</v>
      </c>
      <c r="T71" s="66">
        <v>43831</v>
      </c>
      <c r="U71" s="64">
        <f>P71*Q71*S71</f>
        <v>5400</v>
      </c>
      <c r="V71" s="67">
        <f>U71/$O$1</f>
        <v>1277.8645463580863</v>
      </c>
      <c r="W71" s="68">
        <f>O71+V71</f>
        <v>1277.8645463580863</v>
      </c>
      <c r="X71" s="57"/>
    </row>
    <row r="72" spans="1:27" ht="15" thickBot="1">
      <c r="A72" s="10" t="s">
        <v>114</v>
      </c>
      <c r="B72" s="31"/>
      <c r="C72" s="14"/>
      <c r="D72" s="137"/>
      <c r="E72" s="17"/>
      <c r="F72" s="19"/>
      <c r="G72" s="21"/>
      <c r="H72" s="21"/>
      <c r="I72" s="30"/>
      <c r="J72" s="60">
        <v>0</v>
      </c>
      <c r="K72" s="19"/>
      <c r="L72" s="19"/>
      <c r="M72" s="18"/>
      <c r="N72" s="21">
        <f t="shared" ref="N72" si="41">I72*J72*L72</f>
        <v>0</v>
      </c>
      <c r="O72" s="22">
        <f t="shared" ref="O72" si="42">N72/$O$1</f>
        <v>0</v>
      </c>
      <c r="P72" s="30">
        <v>1</v>
      </c>
      <c r="Q72" s="60">
        <f>180*3*100</f>
        <v>54000</v>
      </c>
      <c r="R72" s="19" t="s">
        <v>46</v>
      </c>
      <c r="S72" s="19">
        <v>1</v>
      </c>
      <c r="T72" s="66">
        <v>43831</v>
      </c>
      <c r="U72" s="21">
        <f t="shared" ref="U72" si="43">P72*Q72*S72</f>
        <v>54000</v>
      </c>
      <c r="V72" s="22">
        <f t="shared" ref="V72" si="44">U72/$O$1</f>
        <v>12778.645463580862</v>
      </c>
      <c r="W72" s="26">
        <f t="shared" ref="W72" si="45">O72+V72</f>
        <v>12778.645463580862</v>
      </c>
      <c r="X72" s="57"/>
    </row>
    <row r="73" spans="1:27" ht="27" thickBot="1">
      <c r="A73" s="37" t="s">
        <v>346</v>
      </c>
      <c r="B73" s="38"/>
      <c r="C73" s="39"/>
      <c r="D73" s="40"/>
      <c r="E73" s="41"/>
      <c r="F73" s="42"/>
      <c r="G73" s="51">
        <f>SUM(G74:G75)</f>
        <v>0</v>
      </c>
      <c r="H73" s="43"/>
      <c r="I73" s="44"/>
      <c r="J73" s="39"/>
      <c r="K73" s="42"/>
      <c r="L73" s="42"/>
      <c r="M73" s="42"/>
      <c r="N73" s="40"/>
      <c r="O73" s="51">
        <f>SUM(O74:O76)</f>
        <v>0</v>
      </c>
      <c r="P73" s="40"/>
      <c r="Q73" s="39"/>
      <c r="R73" s="40"/>
      <c r="S73" s="40"/>
      <c r="T73" s="42"/>
      <c r="U73" s="40"/>
      <c r="V73" s="51">
        <f>SUM(V74:V76)</f>
        <v>1183.2079132945244</v>
      </c>
      <c r="W73" s="51">
        <f>SUM(W74:W76)</f>
        <v>1183.2079132945244</v>
      </c>
    </row>
    <row r="74" spans="1:27" ht="15" thickBot="1">
      <c r="A74" s="10" t="s">
        <v>136</v>
      </c>
      <c r="B74" s="13"/>
      <c r="C74" s="14"/>
      <c r="D74" s="17"/>
      <c r="E74" s="19"/>
      <c r="F74" s="18"/>
      <c r="G74" s="21">
        <f>B74*C74*E74</f>
        <v>0</v>
      </c>
      <c r="H74" s="137"/>
      <c r="I74" s="13"/>
      <c r="J74" s="60">
        <v>0</v>
      </c>
      <c r="K74" s="19"/>
      <c r="L74" s="19"/>
      <c r="M74" s="19"/>
      <c r="N74" s="21">
        <f>I74*J74*L74</f>
        <v>0</v>
      </c>
      <c r="O74" s="22">
        <f>N74/$O$1</f>
        <v>0</v>
      </c>
      <c r="P74" s="13">
        <v>1</v>
      </c>
      <c r="Q74" s="14">
        <f>15*75*3</f>
        <v>3375</v>
      </c>
      <c r="R74" s="19" t="s">
        <v>46</v>
      </c>
      <c r="S74" s="56">
        <v>1</v>
      </c>
      <c r="T74" s="66">
        <v>43831</v>
      </c>
      <c r="U74" s="21">
        <f>P74*Q74*S74</f>
        <v>3375</v>
      </c>
      <c r="V74" s="22">
        <f>U74/$O$1</f>
        <v>798.66534147380389</v>
      </c>
      <c r="W74" s="26">
        <f>O74+V74</f>
        <v>798.66534147380389</v>
      </c>
    </row>
    <row r="75" spans="1:27" ht="15" thickBot="1">
      <c r="A75" s="10" t="s">
        <v>137</v>
      </c>
      <c r="B75" s="13"/>
      <c r="C75" s="14"/>
      <c r="D75" s="17"/>
      <c r="E75" s="19"/>
      <c r="F75" s="18"/>
      <c r="G75" s="21">
        <f>B75*C75*E75</f>
        <v>0</v>
      </c>
      <c r="H75" s="137"/>
      <c r="I75" s="13"/>
      <c r="J75" s="60">
        <v>0</v>
      </c>
      <c r="K75" s="19"/>
      <c r="L75" s="19"/>
      <c r="M75" s="19"/>
      <c r="N75" s="21">
        <f t="shared" ref="N75:N76" si="46">I75*J75*L75</f>
        <v>0</v>
      </c>
      <c r="O75" s="22">
        <f>N75/$O$1</f>
        <v>0</v>
      </c>
      <c r="P75" s="13">
        <v>1</v>
      </c>
      <c r="Q75" s="14">
        <f>15*25*3</f>
        <v>1125</v>
      </c>
      <c r="R75" s="19" t="s">
        <v>46</v>
      </c>
      <c r="S75" s="56">
        <v>1</v>
      </c>
      <c r="T75" s="66">
        <v>43831</v>
      </c>
      <c r="U75" s="21">
        <f>P75*Q75*S75</f>
        <v>1125</v>
      </c>
      <c r="V75" s="22">
        <f>U75/$O$1</f>
        <v>266.22178049126796</v>
      </c>
      <c r="W75" s="26">
        <f>O75+V75</f>
        <v>266.22178049126796</v>
      </c>
    </row>
    <row r="76" spans="1:27" ht="15" thickBot="1">
      <c r="A76" s="10" t="s">
        <v>138</v>
      </c>
      <c r="B76" s="13"/>
      <c r="C76" s="14"/>
      <c r="D76" s="17"/>
      <c r="E76" s="19"/>
      <c r="F76" s="18"/>
      <c r="G76" s="21"/>
      <c r="H76" s="137"/>
      <c r="I76" s="13"/>
      <c r="J76" s="60">
        <v>0</v>
      </c>
      <c r="K76" s="19"/>
      <c r="L76" s="19"/>
      <c r="M76" s="19"/>
      <c r="N76" s="21">
        <f t="shared" si="46"/>
        <v>0</v>
      </c>
      <c r="O76" s="22">
        <f>N76/$O$1</f>
        <v>0</v>
      </c>
      <c r="P76" s="13">
        <v>1</v>
      </c>
      <c r="Q76" s="14">
        <v>500</v>
      </c>
      <c r="R76" s="19" t="s">
        <v>46</v>
      </c>
      <c r="S76" s="56">
        <v>1</v>
      </c>
      <c r="T76" s="66">
        <v>43831</v>
      </c>
      <c r="U76" s="21">
        <f>P76*Q76*S76</f>
        <v>500</v>
      </c>
      <c r="V76" s="22">
        <f>U76/$O$1</f>
        <v>118.32079132945242</v>
      </c>
      <c r="W76" s="26">
        <f>O76+V76</f>
        <v>118.32079132945242</v>
      </c>
    </row>
    <row r="77" spans="1:27" ht="15" thickBot="1">
      <c r="A77" s="37" t="s">
        <v>347</v>
      </c>
      <c r="B77" s="38"/>
      <c r="C77" s="39"/>
      <c r="D77" s="40"/>
      <c r="E77" s="41"/>
      <c r="F77" s="42"/>
      <c r="G77" s="49">
        <f>SUM(G78:G78)</f>
        <v>0</v>
      </c>
      <c r="H77" s="43">
        <f t="shared" ref="H77:H78" si="47">G77</f>
        <v>0</v>
      </c>
      <c r="I77" s="44"/>
      <c r="J77" s="39"/>
      <c r="K77" s="42"/>
      <c r="L77" s="42"/>
      <c r="M77" s="42"/>
      <c r="N77" s="40"/>
      <c r="O77" s="49">
        <f>SUM(O78:O81)</f>
        <v>0</v>
      </c>
      <c r="P77" s="40"/>
      <c r="Q77" s="39"/>
      <c r="R77" s="40"/>
      <c r="S77" s="40"/>
      <c r="T77" s="42"/>
      <c r="U77" s="40"/>
      <c r="V77" s="49">
        <f>SUM(V78:V81)</f>
        <v>209427.80065313081</v>
      </c>
      <c r="W77" s="49">
        <f>SUM(W78:W81)</f>
        <v>209427.80065313081</v>
      </c>
      <c r="X77" s="57"/>
      <c r="Z77" s="134">
        <f>700/50</f>
        <v>14</v>
      </c>
    </row>
    <row r="78" spans="1:27" s="69" customFormat="1" ht="15" thickBot="1">
      <c r="A78" s="58" t="s">
        <v>78</v>
      </c>
      <c r="B78" s="59"/>
      <c r="C78" s="60"/>
      <c r="D78" s="61"/>
      <c r="E78" s="62"/>
      <c r="F78" s="63"/>
      <c r="G78" s="64">
        <f t="shared" ref="G78" si="48">B78*C78*E78</f>
        <v>0</v>
      </c>
      <c r="H78" s="64">
        <f t="shared" si="47"/>
        <v>0</v>
      </c>
      <c r="I78" s="65"/>
      <c r="J78" s="60">
        <v>0</v>
      </c>
      <c r="K78" s="63"/>
      <c r="L78" s="63"/>
      <c r="M78" s="66"/>
      <c r="N78" s="64">
        <f>I78*J78*L78</f>
        <v>0</v>
      </c>
      <c r="O78" s="67">
        <f>N78/$O$1</f>
        <v>0</v>
      </c>
      <c r="P78" s="65">
        <v>1</v>
      </c>
      <c r="Q78" s="60">
        <f>15*15000</f>
        <v>225000</v>
      </c>
      <c r="R78" s="63" t="s">
        <v>46</v>
      </c>
      <c r="S78" s="63">
        <v>1</v>
      </c>
      <c r="T78" s="18">
        <v>43678</v>
      </c>
      <c r="U78" s="64">
        <f>P78*Q78*S78</f>
        <v>225000</v>
      </c>
      <c r="V78" s="67">
        <f>U78/$O$1</f>
        <v>53244.356098253593</v>
      </c>
      <c r="W78" s="68">
        <f>O78+V78</f>
        <v>53244.356098253593</v>
      </c>
      <c r="X78" s="57"/>
    </row>
    <row r="79" spans="1:27" ht="15" thickBot="1">
      <c r="A79" s="10" t="s">
        <v>131</v>
      </c>
      <c r="B79" s="31"/>
      <c r="C79" s="14"/>
      <c r="D79" s="137"/>
      <c r="E79" s="17"/>
      <c r="F79" s="19"/>
      <c r="G79" s="21"/>
      <c r="H79" s="21"/>
      <c r="I79" s="30"/>
      <c r="J79" s="60">
        <v>0</v>
      </c>
      <c r="K79" s="19"/>
      <c r="L79" s="19"/>
      <c r="M79" s="18"/>
      <c r="N79" s="21">
        <f t="shared" ref="N79:N81" si="49">I79*J79*L79</f>
        <v>0</v>
      </c>
      <c r="O79" s="22">
        <f t="shared" ref="O79:O81" si="50">N79/$O$1</f>
        <v>0</v>
      </c>
      <c r="P79" s="30">
        <v>1</v>
      </c>
      <c r="Q79" s="14">
        <f>15*12000</f>
        <v>180000</v>
      </c>
      <c r="R79" s="19" t="s">
        <v>46</v>
      </c>
      <c r="S79" s="19">
        <v>1</v>
      </c>
      <c r="T79" s="18">
        <v>43678</v>
      </c>
      <c r="U79" s="21">
        <f t="shared" ref="U79:U81" si="51">P79*Q79*S79</f>
        <v>180000</v>
      </c>
      <c r="V79" s="22">
        <f t="shared" ref="V79:V81" si="52">U79/$O$1</f>
        <v>42595.484878602874</v>
      </c>
      <c r="W79" s="26">
        <f t="shared" ref="W79:W81" si="53">O79+V79</f>
        <v>42595.484878602874</v>
      </c>
      <c r="X79" s="57"/>
    </row>
    <row r="80" spans="1:27" ht="15" thickBot="1">
      <c r="A80" s="10" t="s">
        <v>132</v>
      </c>
      <c r="B80" s="31"/>
      <c r="C80" s="14"/>
      <c r="D80" s="137"/>
      <c r="E80" s="17"/>
      <c r="F80" s="19"/>
      <c r="G80" s="21"/>
      <c r="H80" s="21"/>
      <c r="I80" s="30"/>
      <c r="J80" s="60">
        <v>0</v>
      </c>
      <c r="K80" s="19"/>
      <c r="L80" s="19"/>
      <c r="M80" s="18"/>
      <c r="N80" s="21">
        <f t="shared" si="49"/>
        <v>0</v>
      </c>
      <c r="O80" s="22">
        <f t="shared" si="50"/>
        <v>0</v>
      </c>
      <c r="P80" s="30">
        <v>1</v>
      </c>
      <c r="Q80" s="14">
        <f>15*30000</f>
        <v>450000</v>
      </c>
      <c r="R80" s="19" t="s">
        <v>46</v>
      </c>
      <c r="S80" s="19">
        <v>1</v>
      </c>
      <c r="T80" s="18">
        <v>43678</v>
      </c>
      <c r="U80" s="21">
        <f t="shared" si="51"/>
        <v>450000</v>
      </c>
      <c r="V80" s="22">
        <f t="shared" si="52"/>
        <v>106488.71219650719</v>
      </c>
      <c r="W80" s="26">
        <f t="shared" si="53"/>
        <v>106488.71219650719</v>
      </c>
      <c r="X80" s="57"/>
    </row>
    <row r="81" spans="1:24" ht="15" thickBot="1">
      <c r="A81" s="10" t="s">
        <v>133</v>
      </c>
      <c r="B81" s="31"/>
      <c r="C81" s="14"/>
      <c r="D81" s="137"/>
      <c r="E81" s="17"/>
      <c r="F81" s="19"/>
      <c r="G81" s="21"/>
      <c r="H81" s="21"/>
      <c r="I81" s="30"/>
      <c r="J81" s="60">
        <v>0</v>
      </c>
      <c r="K81" s="19"/>
      <c r="L81" s="19"/>
      <c r="M81" s="18"/>
      <c r="N81" s="21">
        <f t="shared" si="49"/>
        <v>0</v>
      </c>
      <c r="O81" s="22">
        <f t="shared" si="50"/>
        <v>0</v>
      </c>
      <c r="P81" s="30">
        <v>1</v>
      </c>
      <c r="Q81" s="14">
        <f>15*2000</f>
        <v>30000</v>
      </c>
      <c r="R81" s="19" t="s">
        <v>48</v>
      </c>
      <c r="S81" s="19">
        <v>1</v>
      </c>
      <c r="T81" s="18">
        <v>43678</v>
      </c>
      <c r="U81" s="21">
        <f t="shared" si="51"/>
        <v>30000</v>
      </c>
      <c r="V81" s="22">
        <f t="shared" si="52"/>
        <v>7099.2474797671457</v>
      </c>
      <c r="W81" s="26">
        <f t="shared" si="53"/>
        <v>7099.2474797671457</v>
      </c>
      <c r="X81" s="57"/>
    </row>
    <row r="82" spans="1:24" s="83" customFormat="1" ht="15" thickBot="1">
      <c r="A82" s="37" t="s">
        <v>115</v>
      </c>
      <c r="B82" s="38"/>
      <c r="C82" s="39"/>
      <c r="D82" s="40"/>
      <c r="E82" s="41"/>
      <c r="F82" s="42"/>
      <c r="G82" s="49">
        <f>SUM(G83:G83)</f>
        <v>0</v>
      </c>
      <c r="H82" s="43">
        <f t="shared" ref="H82:H83" si="54">G82</f>
        <v>0</v>
      </c>
      <c r="I82" s="44"/>
      <c r="J82" s="39"/>
      <c r="K82" s="42"/>
      <c r="L82" s="42"/>
      <c r="M82" s="42"/>
      <c r="N82" s="40"/>
      <c r="O82" s="49">
        <f>SUM(O83:O83)</f>
        <v>0</v>
      </c>
      <c r="P82" s="40"/>
      <c r="Q82" s="39"/>
      <c r="R82" s="40"/>
      <c r="S82" s="40"/>
      <c r="T82" s="42"/>
      <c r="U82" s="40"/>
      <c r="V82" s="49">
        <f>SUM(V83:V83)</f>
        <v>35496.237398835729</v>
      </c>
      <c r="W82" s="49">
        <f>SUM(W83:W83)</f>
        <v>35496.237398835729</v>
      </c>
    </row>
    <row r="83" spans="1:24" s="69" customFormat="1" ht="15" thickBot="1">
      <c r="A83" s="58" t="s">
        <v>80</v>
      </c>
      <c r="B83" s="59"/>
      <c r="C83" s="60"/>
      <c r="D83" s="61"/>
      <c r="E83" s="62"/>
      <c r="F83" s="63"/>
      <c r="G83" s="64">
        <f t="shared" ref="G83" si="55">B83*C83*E83</f>
        <v>0</v>
      </c>
      <c r="H83" s="64">
        <f t="shared" si="54"/>
        <v>0</v>
      </c>
      <c r="I83" s="65"/>
      <c r="J83" s="60">
        <v>0</v>
      </c>
      <c r="K83" s="63"/>
      <c r="L83" s="63"/>
      <c r="M83" s="66"/>
      <c r="N83" s="64">
        <f>I83*J83*L83</f>
        <v>0</v>
      </c>
      <c r="O83" s="67">
        <f>N83/$O$1</f>
        <v>0</v>
      </c>
      <c r="P83" s="65">
        <v>1</v>
      </c>
      <c r="Q83" s="60">
        <f xml:space="preserve"> 15*10000</f>
        <v>150000</v>
      </c>
      <c r="R83" s="63" t="s">
        <v>46</v>
      </c>
      <c r="S83" s="63">
        <v>1</v>
      </c>
      <c r="T83" s="66">
        <v>43862</v>
      </c>
      <c r="U83" s="64">
        <f>P83*Q83*S83</f>
        <v>150000</v>
      </c>
      <c r="V83" s="67">
        <f>U83/$O$1</f>
        <v>35496.237398835729</v>
      </c>
      <c r="W83" s="68">
        <f>O83+V83</f>
        <v>35496.237398835729</v>
      </c>
      <c r="X83" s="57"/>
    </row>
    <row r="84" spans="1:24" s="20" customFormat="1" ht="41.4" customHeight="1" thickBot="1">
      <c r="A84" s="37" t="s">
        <v>348</v>
      </c>
      <c r="B84" s="45"/>
      <c r="C84" s="46"/>
      <c r="D84" s="42"/>
      <c r="E84" s="42"/>
      <c r="F84" s="42"/>
      <c r="G84" s="50">
        <f>SUM(G85:G88)</f>
        <v>0</v>
      </c>
      <c r="H84" s="47">
        <f>G84</f>
        <v>0</v>
      </c>
      <c r="I84" s="44"/>
      <c r="J84" s="46"/>
      <c r="K84" s="42"/>
      <c r="L84" s="42"/>
      <c r="M84" s="42"/>
      <c r="N84" s="42">
        <f t="shared" ref="N84:N88" si="56">I84*J84*L84</f>
        <v>0</v>
      </c>
      <c r="O84" s="50">
        <f>SUM(O85:O88)</f>
        <v>0</v>
      </c>
      <c r="P84" s="42"/>
      <c r="Q84" s="46"/>
      <c r="R84" s="42"/>
      <c r="S84" s="42"/>
      <c r="T84" s="42"/>
      <c r="U84" s="42"/>
      <c r="V84" s="50">
        <f>SUM(V85:V88)</f>
        <v>14695.442283117991</v>
      </c>
      <c r="W84" s="50">
        <f>SUM(W85:W88)</f>
        <v>14695.442283117991</v>
      </c>
      <c r="X84" s="71"/>
    </row>
    <row r="85" spans="1:24" ht="27" thickBot="1">
      <c r="A85" s="10" t="s">
        <v>50</v>
      </c>
      <c r="B85" s="31"/>
      <c r="C85" s="14"/>
      <c r="D85" s="137"/>
      <c r="E85" s="17"/>
      <c r="F85" s="19"/>
      <c r="G85" s="21"/>
      <c r="H85" s="21"/>
      <c r="I85" s="30"/>
      <c r="J85" s="60">
        <v>0</v>
      </c>
      <c r="K85" s="19"/>
      <c r="L85" s="19"/>
      <c r="M85" s="18"/>
      <c r="N85" s="21">
        <f t="shared" si="56"/>
        <v>0</v>
      </c>
      <c r="O85" s="22">
        <f t="shared" ref="O85:O88" si="57">N85/$O$1</f>
        <v>0</v>
      </c>
      <c r="P85" s="30">
        <v>1</v>
      </c>
      <c r="Q85" s="60">
        <f>180*2*75</f>
        <v>27000</v>
      </c>
      <c r="R85" s="19" t="s">
        <v>48</v>
      </c>
      <c r="S85" s="19">
        <v>1</v>
      </c>
      <c r="T85" s="18">
        <v>43770</v>
      </c>
      <c r="U85" s="21">
        <f t="shared" ref="U85:U88" si="58">P85*Q85*S85</f>
        <v>27000</v>
      </c>
      <c r="V85" s="22">
        <f t="shared" ref="V85:V88" si="59">U85/$O$1</f>
        <v>6389.3227317904311</v>
      </c>
      <c r="W85" s="26">
        <f>O85+V85</f>
        <v>6389.3227317904311</v>
      </c>
      <c r="X85" s="57"/>
    </row>
    <row r="86" spans="1:24" ht="33.6" customHeight="1" thickBot="1">
      <c r="A86" s="10" t="s">
        <v>51</v>
      </c>
      <c r="B86" s="31"/>
      <c r="C86" s="14"/>
      <c r="D86" s="137"/>
      <c r="E86" s="17"/>
      <c r="F86" s="19"/>
      <c r="G86" s="21"/>
      <c r="H86" s="21"/>
      <c r="I86" s="30"/>
      <c r="J86" s="60">
        <v>0</v>
      </c>
      <c r="K86" s="19"/>
      <c r="L86" s="19"/>
      <c r="M86" s="18"/>
      <c r="N86" s="21">
        <f t="shared" si="56"/>
        <v>0</v>
      </c>
      <c r="O86" s="22">
        <f t="shared" si="57"/>
        <v>0</v>
      </c>
      <c r="P86" s="30">
        <v>1</v>
      </c>
      <c r="Q86" s="60">
        <f>180*2*25</f>
        <v>9000</v>
      </c>
      <c r="R86" s="19" t="s">
        <v>46</v>
      </c>
      <c r="S86" s="19">
        <v>1</v>
      </c>
      <c r="T86" s="18">
        <v>43770</v>
      </c>
      <c r="U86" s="21">
        <f t="shared" si="58"/>
        <v>9000</v>
      </c>
      <c r="V86" s="22">
        <f t="shared" si="59"/>
        <v>2129.7742439301437</v>
      </c>
      <c r="W86" s="26">
        <f t="shared" ref="W86:W88" si="60">O86+V86</f>
        <v>2129.7742439301437</v>
      </c>
      <c r="X86" s="57"/>
    </row>
    <row r="87" spans="1:24" ht="15" thickBot="1">
      <c r="A87" s="10" t="s">
        <v>52</v>
      </c>
      <c r="B87" s="31"/>
      <c r="C87" s="14"/>
      <c r="D87" s="137"/>
      <c r="E87" s="17"/>
      <c r="F87" s="19"/>
      <c r="G87" s="21"/>
      <c r="H87" s="21"/>
      <c r="I87" s="30"/>
      <c r="J87" s="60">
        <v>0</v>
      </c>
      <c r="K87" s="19"/>
      <c r="L87" s="19"/>
      <c r="M87" s="18"/>
      <c r="N87" s="21">
        <f t="shared" si="56"/>
        <v>0</v>
      </c>
      <c r="O87" s="22">
        <f t="shared" si="57"/>
        <v>0</v>
      </c>
      <c r="P87" s="30">
        <v>1</v>
      </c>
      <c r="Q87" s="60">
        <f>180*25</f>
        <v>4500</v>
      </c>
      <c r="R87" s="19" t="s">
        <v>46</v>
      </c>
      <c r="S87" s="19">
        <v>1</v>
      </c>
      <c r="T87" s="18">
        <v>43770</v>
      </c>
      <c r="U87" s="21">
        <f t="shared" si="58"/>
        <v>4500</v>
      </c>
      <c r="V87" s="22">
        <f t="shared" si="59"/>
        <v>1064.8871219650719</v>
      </c>
      <c r="W87" s="26">
        <f t="shared" si="60"/>
        <v>1064.8871219650719</v>
      </c>
      <c r="X87" s="57"/>
    </row>
    <row r="88" spans="1:24" ht="15" thickBot="1">
      <c r="A88" s="10" t="s">
        <v>53</v>
      </c>
      <c r="B88" s="31"/>
      <c r="C88" s="14"/>
      <c r="D88" s="137"/>
      <c r="E88" s="17"/>
      <c r="F88" s="19"/>
      <c r="G88" s="21"/>
      <c r="H88" s="21"/>
      <c r="I88" s="30"/>
      <c r="J88" s="60">
        <v>0</v>
      </c>
      <c r="K88" s="19"/>
      <c r="L88" s="19"/>
      <c r="M88" s="18"/>
      <c r="N88" s="21">
        <f t="shared" si="56"/>
        <v>0</v>
      </c>
      <c r="O88" s="22">
        <f t="shared" si="57"/>
        <v>0</v>
      </c>
      <c r="P88" s="30">
        <v>1</v>
      </c>
      <c r="Q88" s="60">
        <f>24*6*150</f>
        <v>21600</v>
      </c>
      <c r="R88" s="19" t="s">
        <v>48</v>
      </c>
      <c r="S88" s="19">
        <v>1</v>
      </c>
      <c r="T88" s="18">
        <v>43770</v>
      </c>
      <c r="U88" s="21">
        <f t="shared" si="58"/>
        <v>21600</v>
      </c>
      <c r="V88" s="22">
        <f t="shared" si="59"/>
        <v>5111.4581854323451</v>
      </c>
      <c r="W88" s="26">
        <f t="shared" si="60"/>
        <v>5111.4581854323451</v>
      </c>
      <c r="X88" s="57"/>
    </row>
    <row r="89" spans="1:24" s="20" customFormat="1" ht="41.4" customHeight="1" thickBot="1">
      <c r="A89" s="37" t="s">
        <v>117</v>
      </c>
      <c r="B89" s="45"/>
      <c r="C89" s="46"/>
      <c r="D89" s="42"/>
      <c r="E89" s="42"/>
      <c r="F89" s="42"/>
      <c r="G89" s="50">
        <f>SUM(G90:G94)</f>
        <v>0</v>
      </c>
      <c r="H89" s="47">
        <f>G89</f>
        <v>0</v>
      </c>
      <c r="I89" s="44"/>
      <c r="J89" s="46"/>
      <c r="K89" s="42"/>
      <c r="L89" s="42"/>
      <c r="M89" s="42"/>
      <c r="N89" s="42"/>
      <c r="O89" s="50">
        <f>SUM(O90:O94)</f>
        <v>0</v>
      </c>
      <c r="P89" s="42"/>
      <c r="Q89" s="46"/>
      <c r="R89" s="42"/>
      <c r="S89" s="42"/>
      <c r="T89" s="42"/>
      <c r="U89" s="42"/>
      <c r="V89" s="50">
        <f>SUM(V90:V94)</f>
        <v>7141.8429646457489</v>
      </c>
      <c r="W89" s="50">
        <f>SUM(W90:W94)</f>
        <v>7141.8429646457489</v>
      </c>
      <c r="X89" s="71"/>
    </row>
    <row r="90" spans="1:24" ht="15" thickBot="1">
      <c r="A90" s="10" t="s">
        <v>49</v>
      </c>
      <c r="B90" s="31"/>
      <c r="C90" s="14"/>
      <c r="D90" s="137"/>
      <c r="E90" s="17"/>
      <c r="F90" s="19"/>
      <c r="G90" s="21"/>
      <c r="H90" s="21"/>
      <c r="I90" s="30"/>
      <c r="J90" s="60">
        <v>0</v>
      </c>
      <c r="K90" s="19"/>
      <c r="L90" s="19"/>
      <c r="M90" s="18"/>
      <c r="N90" s="21">
        <f t="shared" ref="N90:N107" si="61">I90*J90*L90</f>
        <v>0</v>
      </c>
      <c r="O90" s="22">
        <f t="shared" ref="O90:O94" si="62">N90/$O$1</f>
        <v>0</v>
      </c>
      <c r="P90" s="30">
        <v>1</v>
      </c>
      <c r="Q90" s="60">
        <f xml:space="preserve"> 75*2*20</f>
        <v>3000</v>
      </c>
      <c r="R90" s="19" t="s">
        <v>46</v>
      </c>
      <c r="S90" s="19">
        <v>1</v>
      </c>
      <c r="T90" s="18">
        <v>43770</v>
      </c>
      <c r="U90" s="21">
        <f t="shared" ref="U90:U94" si="63">P90*Q90*S90</f>
        <v>3000</v>
      </c>
      <c r="V90" s="22">
        <f t="shared" ref="V90:V94" si="64">U90/$O$1</f>
        <v>709.92474797671457</v>
      </c>
      <c r="W90" s="26">
        <f t="shared" ref="W90:W94" si="65">O90+V90</f>
        <v>709.92474797671457</v>
      </c>
      <c r="X90" s="57"/>
    </row>
    <row r="91" spans="1:24" ht="27" thickBot="1">
      <c r="A91" s="10" t="s">
        <v>50</v>
      </c>
      <c r="B91" s="31"/>
      <c r="C91" s="14"/>
      <c r="D91" s="137"/>
      <c r="E91" s="17"/>
      <c r="F91" s="19"/>
      <c r="G91" s="21"/>
      <c r="H91" s="21"/>
      <c r="I91" s="30"/>
      <c r="J91" s="60">
        <v>0</v>
      </c>
      <c r="K91" s="19"/>
      <c r="L91" s="19"/>
      <c r="M91" s="18"/>
      <c r="N91" s="21">
        <f t="shared" si="61"/>
        <v>0</v>
      </c>
      <c r="O91" s="22">
        <f t="shared" si="62"/>
        <v>0</v>
      </c>
      <c r="P91" s="30">
        <v>1</v>
      </c>
      <c r="Q91" s="60">
        <v>180</v>
      </c>
      <c r="R91" s="19" t="s">
        <v>48</v>
      </c>
      <c r="S91" s="19">
        <v>1</v>
      </c>
      <c r="T91" s="18">
        <v>43770</v>
      </c>
      <c r="U91" s="21">
        <f t="shared" si="63"/>
        <v>180</v>
      </c>
      <c r="V91" s="22">
        <f t="shared" si="64"/>
        <v>42.595484878602875</v>
      </c>
      <c r="W91" s="26">
        <f t="shared" si="65"/>
        <v>42.595484878602875</v>
      </c>
      <c r="X91" s="57"/>
    </row>
    <row r="92" spans="1:24" ht="33.6" customHeight="1" thickBot="1">
      <c r="A92" s="10" t="s">
        <v>51</v>
      </c>
      <c r="B92" s="31"/>
      <c r="C92" s="14"/>
      <c r="D92" s="137"/>
      <c r="E92" s="17"/>
      <c r="F92" s="19"/>
      <c r="G92" s="21"/>
      <c r="H92" s="21"/>
      <c r="I92" s="30"/>
      <c r="J92" s="60">
        <v>0</v>
      </c>
      <c r="K92" s="19"/>
      <c r="L92" s="19"/>
      <c r="M92" s="18"/>
      <c r="N92" s="21">
        <f t="shared" si="61"/>
        <v>0</v>
      </c>
      <c r="O92" s="22">
        <f t="shared" si="62"/>
        <v>0</v>
      </c>
      <c r="P92" s="30">
        <v>1</v>
      </c>
      <c r="Q92" s="60">
        <f>180*5*25</f>
        <v>22500</v>
      </c>
      <c r="R92" s="19" t="s">
        <v>46</v>
      </c>
      <c r="S92" s="19">
        <v>1</v>
      </c>
      <c r="T92" s="18">
        <v>43770</v>
      </c>
      <c r="U92" s="21">
        <f t="shared" si="63"/>
        <v>22500</v>
      </c>
      <c r="V92" s="22">
        <f t="shared" si="64"/>
        <v>5324.4356098253593</v>
      </c>
      <c r="W92" s="26">
        <f t="shared" si="65"/>
        <v>5324.4356098253593</v>
      </c>
      <c r="X92" s="57"/>
    </row>
    <row r="93" spans="1:24" ht="15" thickBot="1">
      <c r="A93" s="10" t="s">
        <v>52</v>
      </c>
      <c r="B93" s="31"/>
      <c r="C93" s="14"/>
      <c r="D93" s="137"/>
      <c r="E93" s="17"/>
      <c r="F93" s="19"/>
      <c r="G93" s="21"/>
      <c r="H93" s="21"/>
      <c r="I93" s="30"/>
      <c r="J93" s="60">
        <v>0</v>
      </c>
      <c r="K93" s="19"/>
      <c r="L93" s="19"/>
      <c r="M93" s="18"/>
      <c r="N93" s="21">
        <f t="shared" si="61"/>
        <v>0</v>
      </c>
      <c r="O93" s="22">
        <f t="shared" si="62"/>
        <v>0</v>
      </c>
      <c r="P93" s="30">
        <v>1</v>
      </c>
      <c r="Q93" s="60">
        <f>180*25</f>
        <v>4500</v>
      </c>
      <c r="R93" s="19" t="s">
        <v>46</v>
      </c>
      <c r="S93" s="19">
        <v>1</v>
      </c>
      <c r="T93" s="18">
        <v>43770</v>
      </c>
      <c r="U93" s="21">
        <f t="shared" si="63"/>
        <v>4500</v>
      </c>
      <c r="V93" s="22">
        <f t="shared" si="64"/>
        <v>1064.8871219650719</v>
      </c>
      <c r="W93" s="26">
        <f t="shared" si="65"/>
        <v>1064.8871219650719</v>
      </c>
      <c r="X93" s="57"/>
    </row>
    <row r="94" spans="1:24" ht="15" hidden="1" thickBot="1">
      <c r="A94" s="10" t="s">
        <v>53</v>
      </c>
      <c r="B94" s="31"/>
      <c r="C94" s="14"/>
      <c r="D94" s="137"/>
      <c r="E94" s="17"/>
      <c r="F94" s="19"/>
      <c r="G94" s="21"/>
      <c r="H94" s="21"/>
      <c r="I94" s="30"/>
      <c r="J94" s="60">
        <v>0</v>
      </c>
      <c r="K94" s="19"/>
      <c r="L94" s="19"/>
      <c r="M94" s="18"/>
      <c r="N94" s="21">
        <f t="shared" si="61"/>
        <v>0</v>
      </c>
      <c r="O94" s="22">
        <f t="shared" si="62"/>
        <v>0</v>
      </c>
      <c r="P94" s="30">
        <v>0</v>
      </c>
      <c r="Q94" s="60">
        <f>25*6*150</f>
        <v>22500</v>
      </c>
      <c r="R94" s="19" t="s">
        <v>48</v>
      </c>
      <c r="S94" s="19">
        <v>1</v>
      </c>
      <c r="T94" s="18">
        <v>43770</v>
      </c>
      <c r="U94" s="21">
        <f t="shared" si="63"/>
        <v>0</v>
      </c>
      <c r="V94" s="22">
        <f t="shared" si="64"/>
        <v>0</v>
      </c>
      <c r="W94" s="26">
        <f t="shared" si="65"/>
        <v>0</v>
      </c>
      <c r="X94" s="57"/>
    </row>
    <row r="95" spans="1:24" s="20" customFormat="1" ht="41.4" customHeight="1" thickBot="1">
      <c r="A95" s="37" t="s">
        <v>139</v>
      </c>
      <c r="B95" s="45"/>
      <c r="C95" s="46"/>
      <c r="D95" s="42"/>
      <c r="E95" s="42"/>
      <c r="F95" s="42"/>
      <c r="G95" s="50">
        <f>SUM(G96:G100)</f>
        <v>0</v>
      </c>
      <c r="H95" s="47">
        <f>G95</f>
        <v>0</v>
      </c>
      <c r="I95" s="44"/>
      <c r="J95" s="46"/>
      <c r="K95" s="42"/>
      <c r="L95" s="42"/>
      <c r="M95" s="42"/>
      <c r="N95" s="42">
        <f t="shared" si="61"/>
        <v>0</v>
      </c>
      <c r="O95" s="50">
        <f>SUM(O96:O100)</f>
        <v>0</v>
      </c>
      <c r="P95" s="42"/>
      <c r="Q95" s="46"/>
      <c r="R95" s="42"/>
      <c r="S95" s="42"/>
      <c r="T95" s="42"/>
      <c r="U95" s="42"/>
      <c r="V95" s="50">
        <f>SUM(V96:V100)</f>
        <v>33153.48573051257</v>
      </c>
      <c r="W95" s="50">
        <f>SUM(W96:W100)</f>
        <v>33153.48573051257</v>
      </c>
      <c r="X95" s="71"/>
    </row>
    <row r="96" spans="1:24" ht="15" thickBot="1">
      <c r="A96" s="10" t="s">
        <v>49</v>
      </c>
      <c r="B96" s="31"/>
      <c r="C96" s="14"/>
      <c r="D96" s="137"/>
      <c r="E96" s="17"/>
      <c r="F96" s="19"/>
      <c r="G96" s="21"/>
      <c r="H96" s="21"/>
      <c r="I96" s="30"/>
      <c r="J96" s="60">
        <v>0</v>
      </c>
      <c r="K96" s="19"/>
      <c r="L96" s="19"/>
      <c r="M96" s="18"/>
      <c r="N96" s="21">
        <f t="shared" si="61"/>
        <v>0</v>
      </c>
      <c r="O96" s="22">
        <f t="shared" ref="O96:O100" si="66">N96/$O$1</f>
        <v>0</v>
      </c>
      <c r="P96" s="30">
        <v>1</v>
      </c>
      <c r="Q96" s="60">
        <f xml:space="preserve"> 15*2*20</f>
        <v>600</v>
      </c>
      <c r="R96" s="19" t="s">
        <v>46</v>
      </c>
      <c r="S96" s="19">
        <v>1</v>
      </c>
      <c r="T96" s="18">
        <v>43770</v>
      </c>
      <c r="U96" s="21">
        <f t="shared" ref="U96:U100" si="67">P96*Q96*S96</f>
        <v>600</v>
      </c>
      <c r="V96" s="22">
        <f t="shared" ref="V96:V100" si="68">U96/$O$1</f>
        <v>141.9849495953429</v>
      </c>
      <c r="W96" s="26">
        <f t="shared" ref="W96:W100" si="69">O96+V96</f>
        <v>141.9849495953429</v>
      </c>
      <c r="X96" s="57"/>
    </row>
    <row r="97" spans="1:24" ht="27" thickBot="1">
      <c r="A97" s="10" t="s">
        <v>50</v>
      </c>
      <c r="B97" s="31"/>
      <c r="C97" s="14"/>
      <c r="D97" s="137"/>
      <c r="E97" s="17"/>
      <c r="F97" s="19"/>
      <c r="G97" s="21"/>
      <c r="H97" s="21"/>
      <c r="I97" s="30"/>
      <c r="J97" s="60">
        <v>0</v>
      </c>
      <c r="K97" s="19"/>
      <c r="L97" s="19"/>
      <c r="M97" s="18"/>
      <c r="N97" s="21">
        <f t="shared" si="61"/>
        <v>0</v>
      </c>
      <c r="O97" s="22">
        <f t="shared" si="66"/>
        <v>0</v>
      </c>
      <c r="P97" s="30">
        <v>1</v>
      </c>
      <c r="Q97" s="60">
        <f>180*5*75</f>
        <v>67500</v>
      </c>
      <c r="R97" s="19" t="s">
        <v>48</v>
      </c>
      <c r="S97" s="19">
        <v>1</v>
      </c>
      <c r="T97" s="18">
        <v>43770</v>
      </c>
      <c r="U97" s="21">
        <f t="shared" si="67"/>
        <v>67500</v>
      </c>
      <c r="V97" s="22">
        <f t="shared" si="68"/>
        <v>15973.306829476078</v>
      </c>
      <c r="W97" s="26">
        <f t="shared" si="69"/>
        <v>15973.306829476078</v>
      </c>
      <c r="X97" s="57"/>
    </row>
    <row r="98" spans="1:24" ht="33.6" customHeight="1" thickBot="1">
      <c r="A98" s="10" t="s">
        <v>51</v>
      </c>
      <c r="B98" s="31"/>
      <c r="C98" s="14"/>
      <c r="D98" s="137"/>
      <c r="E98" s="17"/>
      <c r="F98" s="19"/>
      <c r="G98" s="21"/>
      <c r="H98" s="21"/>
      <c r="I98" s="30"/>
      <c r="J98" s="60">
        <v>0</v>
      </c>
      <c r="K98" s="19"/>
      <c r="L98" s="19"/>
      <c r="M98" s="18"/>
      <c r="N98" s="21">
        <f t="shared" si="61"/>
        <v>0</v>
      </c>
      <c r="O98" s="22">
        <f t="shared" si="66"/>
        <v>0</v>
      </c>
      <c r="P98" s="30">
        <v>1</v>
      </c>
      <c r="Q98" s="60">
        <f>180*5*25</f>
        <v>22500</v>
      </c>
      <c r="R98" s="19" t="s">
        <v>46</v>
      </c>
      <c r="S98" s="19">
        <v>1</v>
      </c>
      <c r="T98" s="18">
        <v>43770</v>
      </c>
      <c r="U98" s="21">
        <f t="shared" si="67"/>
        <v>22500</v>
      </c>
      <c r="V98" s="22">
        <f t="shared" si="68"/>
        <v>5324.4356098253593</v>
      </c>
      <c r="W98" s="26">
        <f t="shared" si="69"/>
        <v>5324.4356098253593</v>
      </c>
      <c r="X98" s="57"/>
    </row>
    <row r="99" spans="1:24" ht="15" thickBot="1">
      <c r="A99" s="10" t="s">
        <v>52</v>
      </c>
      <c r="B99" s="31"/>
      <c r="C99" s="14"/>
      <c r="D99" s="137"/>
      <c r="E99" s="17"/>
      <c r="F99" s="19"/>
      <c r="G99" s="21"/>
      <c r="H99" s="21"/>
      <c r="I99" s="30"/>
      <c r="J99" s="60">
        <v>0</v>
      </c>
      <c r="K99" s="19"/>
      <c r="L99" s="19"/>
      <c r="M99" s="18"/>
      <c r="N99" s="21">
        <f t="shared" si="61"/>
        <v>0</v>
      </c>
      <c r="O99" s="22">
        <f t="shared" si="66"/>
        <v>0</v>
      </c>
      <c r="P99" s="30">
        <v>1</v>
      </c>
      <c r="Q99" s="60">
        <f>180*25</f>
        <v>4500</v>
      </c>
      <c r="R99" s="19" t="s">
        <v>46</v>
      </c>
      <c r="S99" s="19">
        <v>1</v>
      </c>
      <c r="T99" s="18">
        <v>43770</v>
      </c>
      <c r="U99" s="21">
        <f t="shared" si="67"/>
        <v>4500</v>
      </c>
      <c r="V99" s="22">
        <f t="shared" si="68"/>
        <v>1064.8871219650719</v>
      </c>
      <c r="W99" s="26">
        <f t="shared" si="69"/>
        <v>1064.8871219650719</v>
      </c>
      <c r="X99" s="57"/>
    </row>
    <row r="100" spans="1:24" ht="15" thickBot="1">
      <c r="A100" s="58" t="s">
        <v>53</v>
      </c>
      <c r="B100" s="31"/>
      <c r="C100" s="14"/>
      <c r="D100" s="137"/>
      <c r="E100" s="17"/>
      <c r="F100" s="19"/>
      <c r="G100" s="21"/>
      <c r="H100" s="21"/>
      <c r="I100" s="30"/>
      <c r="J100" s="60">
        <v>0</v>
      </c>
      <c r="K100" s="19"/>
      <c r="L100" s="19"/>
      <c r="M100" s="18"/>
      <c r="N100" s="21">
        <f t="shared" si="61"/>
        <v>0</v>
      </c>
      <c r="O100" s="22">
        <f t="shared" si="66"/>
        <v>0</v>
      </c>
      <c r="P100" s="30">
        <v>1</v>
      </c>
      <c r="Q100" s="60">
        <f>25*6*300</f>
        <v>45000</v>
      </c>
      <c r="R100" s="19" t="s">
        <v>48</v>
      </c>
      <c r="S100" s="19">
        <v>1</v>
      </c>
      <c r="T100" s="18">
        <v>43770</v>
      </c>
      <c r="U100" s="21">
        <f t="shared" si="67"/>
        <v>45000</v>
      </c>
      <c r="V100" s="22">
        <f t="shared" si="68"/>
        <v>10648.871219650719</v>
      </c>
      <c r="W100" s="26">
        <f t="shared" si="69"/>
        <v>10648.871219650719</v>
      </c>
      <c r="X100" s="57"/>
    </row>
    <row r="101" spans="1:24" s="20" customFormat="1" ht="41.4" customHeight="1" thickBot="1">
      <c r="A101" s="37" t="s">
        <v>349</v>
      </c>
      <c r="B101" s="45"/>
      <c r="C101" s="46"/>
      <c r="D101" s="42"/>
      <c r="E101" s="42"/>
      <c r="F101" s="42"/>
      <c r="G101" s="50">
        <f>SUM(G102:G107)</f>
        <v>0</v>
      </c>
      <c r="H101" s="47">
        <f>G101</f>
        <v>0</v>
      </c>
      <c r="I101" s="44"/>
      <c r="J101" s="46"/>
      <c r="K101" s="42"/>
      <c r="L101" s="42"/>
      <c r="M101" s="42"/>
      <c r="N101" s="42">
        <f t="shared" si="61"/>
        <v>0</v>
      </c>
      <c r="O101" s="50">
        <f>SUM(O102:O107)</f>
        <v>0</v>
      </c>
      <c r="P101" s="42"/>
      <c r="Q101" s="46"/>
      <c r="R101" s="42"/>
      <c r="S101" s="42"/>
      <c r="T101" s="42"/>
      <c r="U101" s="42"/>
      <c r="V101" s="50">
        <f>SUM(V102:V107)</f>
        <v>20445.83274172938</v>
      </c>
      <c r="W101" s="50">
        <f>SUM(W102:W107)</f>
        <v>20445.83274172938</v>
      </c>
      <c r="X101" s="71"/>
    </row>
    <row r="102" spans="1:24" ht="15" thickBot="1">
      <c r="A102" s="10" t="s">
        <v>47</v>
      </c>
      <c r="B102" s="31"/>
      <c r="C102" s="14"/>
      <c r="D102" s="137"/>
      <c r="E102" s="17"/>
      <c r="F102" s="19"/>
      <c r="G102" s="21">
        <f>B102*C102*E102</f>
        <v>0</v>
      </c>
      <c r="H102" s="21">
        <f>G102</f>
        <v>0</v>
      </c>
      <c r="I102" s="30"/>
      <c r="J102" s="60">
        <v>0</v>
      </c>
      <c r="K102" s="19"/>
      <c r="L102" s="19"/>
      <c r="M102" s="18"/>
      <c r="N102" s="21">
        <f t="shared" si="61"/>
        <v>0</v>
      </c>
      <c r="O102" s="22">
        <f t="shared" ref="O102:O107" si="70">N102/$O$1</f>
        <v>0</v>
      </c>
      <c r="P102" s="30">
        <v>0.5</v>
      </c>
      <c r="Q102" s="60">
        <f>30*60</f>
        <v>1800</v>
      </c>
      <c r="R102" s="19" t="s">
        <v>48</v>
      </c>
      <c r="S102" s="19">
        <v>1</v>
      </c>
      <c r="T102" s="18">
        <v>43770</v>
      </c>
      <c r="U102" s="21">
        <f t="shared" ref="U102:U107" si="71">P102*Q102*S102</f>
        <v>900</v>
      </c>
      <c r="V102" s="22">
        <f t="shared" ref="V102:V107" si="72">U102/$O$1</f>
        <v>212.97742439301436</v>
      </c>
      <c r="W102" s="26">
        <f t="shared" ref="W102:W107" si="73">O102+V102</f>
        <v>212.97742439301436</v>
      </c>
      <c r="X102" s="57"/>
    </row>
    <row r="103" spans="1:24" ht="15" thickBot="1">
      <c r="A103" s="10" t="s">
        <v>49</v>
      </c>
      <c r="B103" s="31"/>
      <c r="C103" s="14"/>
      <c r="D103" s="137"/>
      <c r="E103" s="17"/>
      <c r="F103" s="19"/>
      <c r="G103" s="21"/>
      <c r="H103" s="21"/>
      <c r="I103" s="30"/>
      <c r="J103" s="60">
        <v>0</v>
      </c>
      <c r="K103" s="19"/>
      <c r="L103" s="19"/>
      <c r="M103" s="18"/>
      <c r="N103" s="21">
        <f t="shared" si="61"/>
        <v>0</v>
      </c>
      <c r="O103" s="22">
        <f t="shared" si="70"/>
        <v>0</v>
      </c>
      <c r="P103" s="30">
        <v>1</v>
      </c>
      <c r="Q103" s="60">
        <f xml:space="preserve"> 180*2*20</f>
        <v>7200</v>
      </c>
      <c r="R103" s="19" t="s">
        <v>46</v>
      </c>
      <c r="S103" s="19">
        <v>1</v>
      </c>
      <c r="T103" s="18">
        <v>43770</v>
      </c>
      <c r="U103" s="21">
        <f t="shared" si="71"/>
        <v>7200</v>
      </c>
      <c r="V103" s="22">
        <f t="shared" si="72"/>
        <v>1703.8193951441149</v>
      </c>
      <c r="W103" s="26">
        <f t="shared" si="73"/>
        <v>1703.8193951441149</v>
      </c>
      <c r="X103" s="57"/>
    </row>
    <row r="104" spans="1:24" ht="27" thickBot="1">
      <c r="A104" s="10" t="s">
        <v>50</v>
      </c>
      <c r="B104" s="31"/>
      <c r="C104" s="14"/>
      <c r="D104" s="137"/>
      <c r="E104" s="17"/>
      <c r="F104" s="19"/>
      <c r="G104" s="21"/>
      <c r="H104" s="21"/>
      <c r="I104" s="30"/>
      <c r="J104" s="60">
        <v>0</v>
      </c>
      <c r="K104" s="19"/>
      <c r="L104" s="19"/>
      <c r="M104" s="18"/>
      <c r="N104" s="21">
        <f t="shared" si="61"/>
        <v>0</v>
      </c>
      <c r="O104" s="22">
        <f t="shared" si="70"/>
        <v>0</v>
      </c>
      <c r="P104" s="30">
        <v>1</v>
      </c>
      <c r="Q104" s="60">
        <f>180*2*55</f>
        <v>19800</v>
      </c>
      <c r="R104" s="19" t="s">
        <v>48</v>
      </c>
      <c r="S104" s="19">
        <v>1</v>
      </c>
      <c r="T104" s="18">
        <v>43770</v>
      </c>
      <c r="U104" s="21">
        <f t="shared" si="71"/>
        <v>19800</v>
      </c>
      <c r="V104" s="22">
        <f t="shared" si="72"/>
        <v>4685.5033366463158</v>
      </c>
      <c r="W104" s="26">
        <f t="shared" si="73"/>
        <v>4685.5033366463158</v>
      </c>
      <c r="X104" s="57"/>
    </row>
    <row r="105" spans="1:24" ht="33.6" customHeight="1" thickBot="1">
      <c r="A105" s="10" t="s">
        <v>51</v>
      </c>
      <c r="B105" s="31"/>
      <c r="C105" s="14"/>
      <c r="D105" s="137"/>
      <c r="E105" s="17"/>
      <c r="F105" s="19"/>
      <c r="G105" s="21"/>
      <c r="H105" s="21"/>
      <c r="I105" s="30"/>
      <c r="J105" s="60">
        <v>0</v>
      </c>
      <c r="K105" s="19"/>
      <c r="L105" s="19"/>
      <c r="M105" s="18"/>
      <c r="N105" s="21">
        <f t="shared" si="61"/>
        <v>0</v>
      </c>
      <c r="O105" s="22">
        <f t="shared" si="70"/>
        <v>0</v>
      </c>
      <c r="P105" s="30">
        <v>1</v>
      </c>
      <c r="Q105" s="60">
        <f>180*2*25</f>
        <v>9000</v>
      </c>
      <c r="R105" s="19" t="s">
        <v>46</v>
      </c>
      <c r="S105" s="19">
        <v>1</v>
      </c>
      <c r="T105" s="18">
        <v>43770</v>
      </c>
      <c r="U105" s="21">
        <f t="shared" si="71"/>
        <v>9000</v>
      </c>
      <c r="V105" s="22">
        <f t="shared" si="72"/>
        <v>2129.7742439301437</v>
      </c>
      <c r="W105" s="26">
        <f t="shared" si="73"/>
        <v>2129.7742439301437</v>
      </c>
      <c r="X105" s="57"/>
    </row>
    <row r="106" spans="1:24" ht="15" thickBot="1">
      <c r="A106" s="10" t="s">
        <v>52</v>
      </c>
      <c r="B106" s="31"/>
      <c r="C106" s="14"/>
      <c r="D106" s="137"/>
      <c r="E106" s="17"/>
      <c r="F106" s="19"/>
      <c r="G106" s="21"/>
      <c r="H106" s="21"/>
      <c r="I106" s="30"/>
      <c r="J106" s="60">
        <v>0</v>
      </c>
      <c r="K106" s="19"/>
      <c r="L106" s="19"/>
      <c r="M106" s="18"/>
      <c r="N106" s="21">
        <f t="shared" si="61"/>
        <v>0</v>
      </c>
      <c r="O106" s="22">
        <f t="shared" si="70"/>
        <v>0</v>
      </c>
      <c r="P106" s="30">
        <v>1</v>
      </c>
      <c r="Q106" s="60">
        <f>180*25</f>
        <v>4500</v>
      </c>
      <c r="R106" s="19" t="s">
        <v>46</v>
      </c>
      <c r="S106" s="19">
        <v>1</v>
      </c>
      <c r="T106" s="18">
        <v>43770</v>
      </c>
      <c r="U106" s="21">
        <f t="shared" si="71"/>
        <v>4500</v>
      </c>
      <c r="V106" s="22">
        <f t="shared" si="72"/>
        <v>1064.8871219650719</v>
      </c>
      <c r="W106" s="26">
        <f t="shared" si="73"/>
        <v>1064.8871219650719</v>
      </c>
      <c r="X106" s="57"/>
    </row>
    <row r="107" spans="1:24" ht="15" thickBot="1">
      <c r="A107" s="10" t="s">
        <v>53</v>
      </c>
      <c r="B107" s="31"/>
      <c r="C107" s="14"/>
      <c r="D107" s="137"/>
      <c r="E107" s="17"/>
      <c r="F107" s="19"/>
      <c r="G107" s="21"/>
      <c r="H107" s="21"/>
      <c r="I107" s="30"/>
      <c r="J107" s="60">
        <v>0</v>
      </c>
      <c r="K107" s="19"/>
      <c r="L107" s="19"/>
      <c r="M107" s="18"/>
      <c r="N107" s="21">
        <f t="shared" si="61"/>
        <v>0</v>
      </c>
      <c r="O107" s="22">
        <f t="shared" si="70"/>
        <v>0</v>
      </c>
      <c r="P107" s="30">
        <v>1</v>
      </c>
      <c r="Q107" s="60">
        <f>25*6*300</f>
        <v>45000</v>
      </c>
      <c r="R107" s="19" t="s">
        <v>48</v>
      </c>
      <c r="S107" s="19">
        <v>1</v>
      </c>
      <c r="T107" s="18">
        <v>43770</v>
      </c>
      <c r="U107" s="21">
        <f t="shared" si="71"/>
        <v>45000</v>
      </c>
      <c r="V107" s="22">
        <f t="shared" si="72"/>
        <v>10648.871219650719</v>
      </c>
      <c r="W107" s="26">
        <f t="shared" si="73"/>
        <v>10648.871219650719</v>
      </c>
      <c r="X107" s="57"/>
    </row>
    <row r="108" spans="1:24" s="20" customFormat="1" ht="41.4" customHeight="1" thickBot="1">
      <c r="A108" s="84" t="s">
        <v>350</v>
      </c>
      <c r="B108" s="45"/>
      <c r="C108" s="46"/>
      <c r="D108" s="42"/>
      <c r="E108" s="42"/>
      <c r="F108" s="42"/>
      <c r="G108" s="50">
        <f>SUM(G109:G115)</f>
        <v>0</v>
      </c>
      <c r="H108" s="47">
        <f>G108</f>
        <v>0</v>
      </c>
      <c r="I108" s="44"/>
      <c r="J108" s="46"/>
      <c r="K108" s="42"/>
      <c r="L108" s="42"/>
      <c r="M108" s="42"/>
      <c r="N108" s="42"/>
      <c r="O108" s="50">
        <f>SUM(O109:O115)</f>
        <v>0</v>
      </c>
      <c r="P108" s="42"/>
      <c r="Q108" s="46"/>
      <c r="R108" s="42"/>
      <c r="S108" s="42"/>
      <c r="T108" s="42"/>
      <c r="U108" s="42"/>
      <c r="V108" s="50">
        <f>SUM(V109:V115)</f>
        <v>17097.354347105873</v>
      </c>
      <c r="W108" s="50">
        <f>SUM(W109:W115)</f>
        <v>17097.354347105873</v>
      </c>
      <c r="X108" s="71"/>
    </row>
    <row r="109" spans="1:24" ht="15" thickBot="1">
      <c r="A109" s="58" t="s">
        <v>351</v>
      </c>
      <c r="B109" s="31"/>
      <c r="C109" s="14"/>
      <c r="D109" s="137"/>
      <c r="E109" s="17"/>
      <c r="F109" s="19"/>
      <c r="G109" s="21"/>
      <c r="H109" s="21"/>
      <c r="I109" s="30"/>
      <c r="J109" s="60">
        <v>0</v>
      </c>
      <c r="K109" s="19"/>
      <c r="L109" s="19"/>
      <c r="M109" s="18"/>
      <c r="N109" s="21">
        <f t="shared" ref="N109:N128" si="74">I109*J109*L109</f>
        <v>0</v>
      </c>
      <c r="O109" s="22">
        <f t="shared" ref="O109:O111" si="75">N109/$O$1</f>
        <v>0</v>
      </c>
      <c r="P109" s="30">
        <v>1</v>
      </c>
      <c r="Q109" s="14">
        <f xml:space="preserve"> 200*10</f>
        <v>2000</v>
      </c>
      <c r="R109" s="19" t="s">
        <v>46</v>
      </c>
      <c r="S109" s="19">
        <v>1</v>
      </c>
      <c r="T109" s="18">
        <v>43770</v>
      </c>
      <c r="U109" s="21">
        <f t="shared" ref="U109:U115" si="76">P109*Q109*S109</f>
        <v>2000</v>
      </c>
      <c r="V109" s="22">
        <f t="shared" ref="V109:V111" si="77">U109/$O$1</f>
        <v>473.28316531780968</v>
      </c>
      <c r="W109" s="26">
        <f t="shared" ref="W109:W115" si="78">O109+V109</f>
        <v>473.28316531780968</v>
      </c>
      <c r="X109" s="57"/>
    </row>
    <row r="110" spans="1:24" ht="27" thickBot="1">
      <c r="A110" s="58" t="s">
        <v>352</v>
      </c>
      <c r="B110" s="31"/>
      <c r="C110" s="14"/>
      <c r="D110" s="137"/>
      <c r="E110" s="17"/>
      <c r="F110" s="19"/>
      <c r="G110" s="21"/>
      <c r="H110" s="21"/>
      <c r="I110" s="30"/>
      <c r="J110" s="60">
        <v>0</v>
      </c>
      <c r="K110" s="19"/>
      <c r="L110" s="19"/>
      <c r="M110" s="18"/>
      <c r="N110" s="21">
        <f t="shared" si="74"/>
        <v>0</v>
      </c>
      <c r="O110" s="22">
        <f t="shared" si="75"/>
        <v>0</v>
      </c>
      <c r="P110" s="30">
        <v>1</v>
      </c>
      <c r="Q110" s="14">
        <f>200*4*5</f>
        <v>4000</v>
      </c>
      <c r="R110" s="19" t="s">
        <v>48</v>
      </c>
      <c r="S110" s="19">
        <v>1</v>
      </c>
      <c r="T110" s="18">
        <v>43770</v>
      </c>
      <c r="U110" s="21">
        <f t="shared" si="76"/>
        <v>4000</v>
      </c>
      <c r="V110" s="22">
        <f t="shared" si="77"/>
        <v>946.56633063561935</v>
      </c>
      <c r="W110" s="26">
        <f t="shared" si="78"/>
        <v>946.56633063561935</v>
      </c>
      <c r="X110" s="57"/>
    </row>
    <row r="111" spans="1:24" ht="27" thickBot="1">
      <c r="A111" s="58" t="s">
        <v>353</v>
      </c>
      <c r="B111" s="31"/>
      <c r="C111" s="14"/>
      <c r="D111" s="137"/>
      <c r="E111" s="17"/>
      <c r="F111" s="19"/>
      <c r="G111" s="21"/>
      <c r="H111" s="21"/>
      <c r="I111" s="30"/>
      <c r="J111" s="60">
        <v>0</v>
      </c>
      <c r="K111" s="19"/>
      <c r="L111" s="19"/>
      <c r="M111" s="18"/>
      <c r="N111" s="21">
        <f t="shared" si="74"/>
        <v>0</v>
      </c>
      <c r="O111" s="22">
        <f t="shared" si="75"/>
        <v>0</v>
      </c>
      <c r="P111" s="30">
        <v>1</v>
      </c>
      <c r="Q111" s="14">
        <f>200*10</f>
        <v>2000</v>
      </c>
      <c r="R111" s="19" t="s">
        <v>46</v>
      </c>
      <c r="S111" s="19">
        <v>1</v>
      </c>
      <c r="T111" s="18">
        <v>43770</v>
      </c>
      <c r="U111" s="21">
        <f t="shared" si="76"/>
        <v>2000</v>
      </c>
      <c r="V111" s="22">
        <f t="shared" si="77"/>
        <v>473.28316531780968</v>
      </c>
      <c r="W111" s="26">
        <f t="shared" si="78"/>
        <v>473.28316531780968</v>
      </c>
      <c r="X111" s="57"/>
    </row>
    <row r="112" spans="1:24" ht="15" thickBot="1">
      <c r="A112" s="58" t="s">
        <v>354</v>
      </c>
      <c r="B112" s="31"/>
      <c r="C112" s="14"/>
      <c r="D112" s="137"/>
      <c r="E112" s="17"/>
      <c r="F112" s="19"/>
      <c r="G112" s="21"/>
      <c r="H112" s="21"/>
      <c r="I112" s="30"/>
      <c r="J112" s="60"/>
      <c r="K112" s="19"/>
      <c r="L112" s="19"/>
      <c r="M112" s="18"/>
      <c r="N112" s="21"/>
      <c r="O112" s="22"/>
      <c r="P112" s="30">
        <v>1</v>
      </c>
      <c r="Q112" s="14">
        <f>30*5*85</f>
        <v>12750</v>
      </c>
      <c r="R112" s="19" t="s">
        <v>46</v>
      </c>
      <c r="S112" s="19">
        <v>1</v>
      </c>
      <c r="T112" s="18">
        <v>43709</v>
      </c>
      <c r="U112" s="21">
        <f t="shared" si="76"/>
        <v>12750</v>
      </c>
      <c r="V112" s="22">
        <f>U112/$O$1</f>
        <v>3017.1801789010369</v>
      </c>
      <c r="W112" s="26">
        <f t="shared" si="78"/>
        <v>3017.1801789010369</v>
      </c>
      <c r="X112" s="57"/>
    </row>
    <row r="113" spans="1:24" ht="15" thickBot="1">
      <c r="A113" s="58" t="s">
        <v>355</v>
      </c>
      <c r="B113" s="31"/>
      <c r="C113" s="14"/>
      <c r="D113" s="137"/>
      <c r="E113" s="17"/>
      <c r="F113" s="19"/>
      <c r="G113" s="21"/>
      <c r="H113" s="21"/>
      <c r="I113" s="30"/>
      <c r="J113" s="60"/>
      <c r="K113" s="19"/>
      <c r="L113" s="19"/>
      <c r="M113" s="18"/>
      <c r="N113" s="21"/>
      <c r="O113" s="22"/>
      <c r="P113" s="30">
        <v>1</v>
      </c>
      <c r="Q113" s="14">
        <f>10*2100</f>
        <v>21000</v>
      </c>
      <c r="R113" s="19" t="s">
        <v>46</v>
      </c>
      <c r="S113" s="19">
        <v>1</v>
      </c>
      <c r="T113" s="18">
        <v>43556</v>
      </c>
      <c r="U113" s="21">
        <f t="shared" si="76"/>
        <v>21000</v>
      </c>
      <c r="V113" s="22">
        <f>U113/$O$1</f>
        <v>4969.473235837002</v>
      </c>
      <c r="W113" s="26">
        <f t="shared" si="78"/>
        <v>4969.473235837002</v>
      </c>
      <c r="X113" s="57"/>
    </row>
    <row r="114" spans="1:24" ht="15" thickBot="1">
      <c r="A114" s="58" t="s">
        <v>356</v>
      </c>
      <c r="B114" s="31"/>
      <c r="C114" s="14"/>
      <c r="D114" s="137"/>
      <c r="E114" s="17"/>
      <c r="F114" s="19"/>
      <c r="G114" s="21"/>
      <c r="H114" s="21"/>
      <c r="I114" s="30"/>
      <c r="J114" s="60"/>
      <c r="K114" s="19"/>
      <c r="L114" s="19"/>
      <c r="M114" s="18"/>
      <c r="N114" s="21"/>
      <c r="O114" s="22"/>
      <c r="P114" s="30">
        <v>1</v>
      </c>
      <c r="Q114" s="14">
        <f>(1500*5)+5000</f>
        <v>12500</v>
      </c>
      <c r="R114" s="19" t="s">
        <v>46</v>
      </c>
      <c r="S114" s="19">
        <v>1</v>
      </c>
      <c r="T114" s="18">
        <v>43709</v>
      </c>
      <c r="U114" s="21">
        <f t="shared" si="76"/>
        <v>12500</v>
      </c>
      <c r="V114" s="22">
        <f>U114/$O$1</f>
        <v>2958.0197832363106</v>
      </c>
      <c r="W114" s="26">
        <f t="shared" si="78"/>
        <v>2958.0197832363106</v>
      </c>
      <c r="X114" s="57"/>
    </row>
    <row r="115" spans="1:24" ht="15" thickBot="1">
      <c r="A115" s="58" t="s">
        <v>357</v>
      </c>
      <c r="B115" s="31"/>
      <c r="C115" s="14"/>
      <c r="D115" s="137"/>
      <c r="E115" s="17"/>
      <c r="F115" s="19"/>
      <c r="G115" s="21"/>
      <c r="H115" s="21"/>
      <c r="I115" s="30"/>
      <c r="J115" s="60"/>
      <c r="K115" s="19"/>
      <c r="L115" s="19"/>
      <c r="M115" s="18"/>
      <c r="N115" s="21"/>
      <c r="O115" s="22"/>
      <c r="P115" s="30">
        <v>1</v>
      </c>
      <c r="Q115" s="14">
        <f>30*100*6</f>
        <v>18000</v>
      </c>
      <c r="R115" s="19" t="s">
        <v>46</v>
      </c>
      <c r="S115" s="19">
        <v>1</v>
      </c>
      <c r="T115" s="18">
        <v>43739</v>
      </c>
      <c r="U115" s="21">
        <f t="shared" si="76"/>
        <v>18000</v>
      </c>
      <c r="V115" s="22">
        <f t="shared" ref="V115" si="79">U115/$O$1</f>
        <v>4259.5484878602874</v>
      </c>
      <c r="W115" s="26">
        <f t="shared" si="78"/>
        <v>4259.5484878602874</v>
      </c>
      <c r="X115" s="57"/>
    </row>
    <row r="116" spans="1:24" s="20" customFormat="1" ht="41.4" customHeight="1" thickBot="1">
      <c r="A116" s="37" t="s">
        <v>120</v>
      </c>
      <c r="B116" s="45"/>
      <c r="C116" s="46"/>
      <c r="D116" s="42"/>
      <c r="E116" s="42"/>
      <c r="F116" s="42"/>
      <c r="G116" s="50">
        <f>SUM(G117:G122)</f>
        <v>0</v>
      </c>
      <c r="H116" s="47">
        <f>G116</f>
        <v>0</v>
      </c>
      <c r="I116" s="44"/>
      <c r="J116" s="46"/>
      <c r="K116" s="42"/>
      <c r="L116" s="42"/>
      <c r="M116" s="42"/>
      <c r="N116" s="42">
        <f t="shared" si="74"/>
        <v>0</v>
      </c>
      <c r="O116" s="50">
        <f>SUM(O117:O122)</f>
        <v>0</v>
      </c>
      <c r="P116" s="42"/>
      <c r="Q116" s="46"/>
      <c r="R116" s="42"/>
      <c r="S116" s="42"/>
      <c r="T116" s="42"/>
      <c r="U116" s="42"/>
      <c r="V116" s="50">
        <f>SUM(V117:V122)</f>
        <v>15192.389606701692</v>
      </c>
      <c r="W116" s="50">
        <f>SUM(W117:W122)</f>
        <v>15192.389606701692</v>
      </c>
      <c r="X116" s="71"/>
    </row>
    <row r="117" spans="1:24" ht="15" thickBot="1">
      <c r="A117" s="10" t="s">
        <v>47</v>
      </c>
      <c r="B117" s="31"/>
      <c r="C117" s="14"/>
      <c r="D117" s="137"/>
      <c r="E117" s="17"/>
      <c r="F117" s="19"/>
      <c r="G117" s="21">
        <f>B117*C117*E117</f>
        <v>0</v>
      </c>
      <c r="H117" s="21">
        <f>G117</f>
        <v>0</v>
      </c>
      <c r="I117" s="30"/>
      <c r="J117" s="60">
        <v>0</v>
      </c>
      <c r="K117" s="19"/>
      <c r="L117" s="19"/>
      <c r="M117" s="18"/>
      <c r="N117" s="21">
        <f t="shared" si="74"/>
        <v>0</v>
      </c>
      <c r="O117" s="22">
        <f t="shared" ref="O117:O122" si="80">N117/$O$1</f>
        <v>0</v>
      </c>
      <c r="P117" s="30">
        <v>0.5</v>
      </c>
      <c r="Q117" s="14">
        <f>30*60</f>
        <v>1800</v>
      </c>
      <c r="R117" s="19" t="s">
        <v>48</v>
      </c>
      <c r="S117" s="19">
        <v>1</v>
      </c>
      <c r="T117" s="18">
        <v>43770</v>
      </c>
      <c r="U117" s="21">
        <f t="shared" ref="U117:U122" si="81">P117*Q117*S117</f>
        <v>900</v>
      </c>
      <c r="V117" s="22">
        <f t="shared" ref="V117:V122" si="82">U117/$O$1</f>
        <v>212.97742439301436</v>
      </c>
      <c r="W117" s="26">
        <f t="shared" ref="W117:W122" si="83">O117+V117</f>
        <v>212.97742439301436</v>
      </c>
      <c r="X117" s="57"/>
    </row>
    <row r="118" spans="1:24" ht="15" thickBot="1">
      <c r="A118" s="10" t="s">
        <v>49</v>
      </c>
      <c r="B118" s="31"/>
      <c r="C118" s="14"/>
      <c r="D118" s="137"/>
      <c r="E118" s="17"/>
      <c r="F118" s="19"/>
      <c r="G118" s="21"/>
      <c r="H118" s="21"/>
      <c r="I118" s="30"/>
      <c r="J118" s="60">
        <v>0</v>
      </c>
      <c r="K118" s="19"/>
      <c r="L118" s="19"/>
      <c r="M118" s="18"/>
      <c r="N118" s="21">
        <f t="shared" si="74"/>
        <v>0</v>
      </c>
      <c r="O118" s="22">
        <f t="shared" si="80"/>
        <v>0</v>
      </c>
      <c r="P118" s="30">
        <v>1</v>
      </c>
      <c r="Q118" s="14">
        <f xml:space="preserve"> 300*20</f>
        <v>6000</v>
      </c>
      <c r="R118" s="19" t="s">
        <v>46</v>
      </c>
      <c r="S118" s="19">
        <v>1</v>
      </c>
      <c r="T118" s="18">
        <v>43770</v>
      </c>
      <c r="U118" s="21">
        <f t="shared" si="81"/>
        <v>6000</v>
      </c>
      <c r="V118" s="22">
        <f t="shared" si="82"/>
        <v>1419.8494959534291</v>
      </c>
      <c r="W118" s="26">
        <f t="shared" si="83"/>
        <v>1419.8494959534291</v>
      </c>
      <c r="X118" s="57"/>
    </row>
    <row r="119" spans="1:24" ht="15" thickBot="1">
      <c r="A119" s="10" t="s">
        <v>84</v>
      </c>
      <c r="B119" s="31"/>
      <c r="C119" s="14"/>
      <c r="D119" s="137"/>
      <c r="E119" s="17"/>
      <c r="F119" s="19"/>
      <c r="G119" s="21"/>
      <c r="H119" s="21"/>
      <c r="I119" s="30"/>
      <c r="J119" s="60">
        <v>0</v>
      </c>
      <c r="K119" s="19"/>
      <c r="L119" s="19"/>
      <c r="M119" s="18"/>
      <c r="N119" s="21">
        <f t="shared" si="74"/>
        <v>0</v>
      </c>
      <c r="O119" s="22">
        <f t="shared" si="80"/>
        <v>0</v>
      </c>
      <c r="P119" s="30">
        <v>1</v>
      </c>
      <c r="Q119" s="14">
        <f>300*2*55</f>
        <v>33000</v>
      </c>
      <c r="R119" s="19" t="s">
        <v>48</v>
      </c>
      <c r="S119" s="19">
        <v>1</v>
      </c>
      <c r="T119" s="18">
        <v>43770</v>
      </c>
      <c r="U119" s="21">
        <f t="shared" si="81"/>
        <v>33000</v>
      </c>
      <c r="V119" s="22">
        <f t="shared" si="82"/>
        <v>7809.1722277438603</v>
      </c>
      <c r="W119" s="26">
        <f t="shared" si="83"/>
        <v>7809.1722277438603</v>
      </c>
      <c r="X119" s="57"/>
    </row>
    <row r="120" spans="1:24" ht="33.6" customHeight="1" thickBot="1">
      <c r="A120" s="10" t="s">
        <v>51</v>
      </c>
      <c r="B120" s="31"/>
      <c r="C120" s="14"/>
      <c r="D120" s="137"/>
      <c r="E120" s="17"/>
      <c r="F120" s="19"/>
      <c r="G120" s="21"/>
      <c r="H120" s="21"/>
      <c r="I120" s="30"/>
      <c r="J120" s="60">
        <v>0</v>
      </c>
      <c r="K120" s="19"/>
      <c r="L120" s="19"/>
      <c r="M120" s="18"/>
      <c r="N120" s="21">
        <f t="shared" si="74"/>
        <v>0</v>
      </c>
      <c r="O120" s="22">
        <f t="shared" si="80"/>
        <v>0</v>
      </c>
      <c r="P120" s="30">
        <v>1</v>
      </c>
      <c r="Q120" s="14">
        <f>300*2*25</f>
        <v>15000</v>
      </c>
      <c r="R120" s="19" t="s">
        <v>46</v>
      </c>
      <c r="S120" s="19">
        <v>1</v>
      </c>
      <c r="T120" s="18">
        <v>43770</v>
      </c>
      <c r="U120" s="21">
        <f t="shared" si="81"/>
        <v>15000</v>
      </c>
      <c r="V120" s="22">
        <f t="shared" si="82"/>
        <v>3549.6237398835729</v>
      </c>
      <c r="W120" s="26">
        <f t="shared" si="83"/>
        <v>3549.6237398835729</v>
      </c>
      <c r="X120" s="57"/>
    </row>
    <row r="121" spans="1:24" ht="15" thickBot="1">
      <c r="A121" s="10" t="s">
        <v>52</v>
      </c>
      <c r="B121" s="31"/>
      <c r="C121" s="14"/>
      <c r="D121" s="137"/>
      <c r="E121" s="17"/>
      <c r="F121" s="19"/>
      <c r="G121" s="21"/>
      <c r="H121" s="21"/>
      <c r="I121" s="30"/>
      <c r="J121" s="60">
        <v>0</v>
      </c>
      <c r="K121" s="19"/>
      <c r="L121" s="19"/>
      <c r="M121" s="18"/>
      <c r="N121" s="21">
        <f t="shared" si="74"/>
        <v>0</v>
      </c>
      <c r="O121" s="22">
        <f t="shared" si="80"/>
        <v>0</v>
      </c>
      <c r="P121" s="30">
        <v>1</v>
      </c>
      <c r="Q121" s="14">
        <f>300*25</f>
        <v>7500</v>
      </c>
      <c r="R121" s="19" t="s">
        <v>46</v>
      </c>
      <c r="S121" s="19">
        <v>1</v>
      </c>
      <c r="T121" s="18">
        <v>43770</v>
      </c>
      <c r="U121" s="21">
        <f t="shared" si="81"/>
        <v>7500</v>
      </c>
      <c r="V121" s="22">
        <f t="shared" si="82"/>
        <v>1774.8118699417864</v>
      </c>
      <c r="W121" s="26">
        <f t="shared" si="83"/>
        <v>1774.8118699417864</v>
      </c>
      <c r="X121" s="57"/>
    </row>
    <row r="122" spans="1:24" ht="15" thickBot="1">
      <c r="A122" s="10" t="s">
        <v>53</v>
      </c>
      <c r="B122" s="31"/>
      <c r="C122" s="14"/>
      <c r="D122" s="137"/>
      <c r="E122" s="17"/>
      <c r="F122" s="19"/>
      <c r="G122" s="21"/>
      <c r="H122" s="21"/>
      <c r="I122" s="30"/>
      <c r="J122" s="60">
        <v>0</v>
      </c>
      <c r="K122" s="19"/>
      <c r="L122" s="19"/>
      <c r="M122" s="18"/>
      <c r="N122" s="21">
        <f t="shared" si="74"/>
        <v>0</v>
      </c>
      <c r="O122" s="22">
        <f t="shared" si="80"/>
        <v>0</v>
      </c>
      <c r="P122" s="30">
        <v>1</v>
      </c>
      <c r="Q122" s="14">
        <f>1*6*300</f>
        <v>1800</v>
      </c>
      <c r="R122" s="19" t="s">
        <v>48</v>
      </c>
      <c r="S122" s="19">
        <v>1</v>
      </c>
      <c r="T122" s="18">
        <v>43770</v>
      </c>
      <c r="U122" s="21">
        <f t="shared" si="81"/>
        <v>1800</v>
      </c>
      <c r="V122" s="22">
        <f t="shared" si="82"/>
        <v>425.95484878602872</v>
      </c>
      <c r="W122" s="26">
        <f t="shared" si="83"/>
        <v>425.95484878602872</v>
      </c>
      <c r="X122" s="57"/>
    </row>
    <row r="123" spans="1:24" s="20" customFormat="1" ht="41.4" customHeight="1" thickBot="1">
      <c r="A123" s="37" t="s">
        <v>121</v>
      </c>
      <c r="B123" s="45"/>
      <c r="C123" s="46"/>
      <c r="D123" s="42"/>
      <c r="E123" s="42"/>
      <c r="F123" s="42"/>
      <c r="G123" s="50">
        <f>SUM(G124:G128)</f>
        <v>0</v>
      </c>
      <c r="H123" s="47">
        <f>G123</f>
        <v>0</v>
      </c>
      <c r="I123" s="44"/>
      <c r="J123" s="46"/>
      <c r="K123" s="42"/>
      <c r="L123" s="42"/>
      <c r="M123" s="42"/>
      <c r="N123" s="42">
        <f t="shared" si="74"/>
        <v>0</v>
      </c>
      <c r="O123" s="50">
        <f>SUM(O124:O128)</f>
        <v>0</v>
      </c>
      <c r="P123" s="42"/>
      <c r="Q123" s="46"/>
      <c r="R123" s="42"/>
      <c r="S123" s="42"/>
      <c r="T123" s="42"/>
      <c r="U123" s="42"/>
      <c r="V123" s="50">
        <f>SUM(V124:V128)</f>
        <v>15405.367031094705</v>
      </c>
      <c r="W123" s="50">
        <f>SUM(W124:W128)</f>
        <v>15405.367031094705</v>
      </c>
      <c r="X123" s="71"/>
    </row>
    <row r="124" spans="1:24" ht="15" thickBot="1">
      <c r="A124" s="10" t="s">
        <v>49</v>
      </c>
      <c r="B124" s="31"/>
      <c r="C124" s="14"/>
      <c r="D124" s="137"/>
      <c r="E124" s="17"/>
      <c r="F124" s="19"/>
      <c r="G124" s="21"/>
      <c r="H124" s="21"/>
      <c r="I124" s="30"/>
      <c r="J124" s="60">
        <v>0</v>
      </c>
      <c r="K124" s="19"/>
      <c r="L124" s="19"/>
      <c r="M124" s="18"/>
      <c r="N124" s="21">
        <f t="shared" si="74"/>
        <v>0</v>
      </c>
      <c r="O124" s="22">
        <f t="shared" ref="O124:O128" si="84">N124/$O$1</f>
        <v>0</v>
      </c>
      <c r="P124" s="30">
        <v>1</v>
      </c>
      <c r="Q124" s="14">
        <f xml:space="preserve"> 300*20</f>
        <v>6000</v>
      </c>
      <c r="R124" s="19" t="s">
        <v>46</v>
      </c>
      <c r="S124" s="19">
        <v>1</v>
      </c>
      <c r="T124" s="18">
        <v>43770</v>
      </c>
      <c r="U124" s="21">
        <f t="shared" ref="U124:U128" si="85">P124*Q124*S124</f>
        <v>6000</v>
      </c>
      <c r="V124" s="22">
        <f t="shared" ref="V124:V128" si="86">U124/$O$1</f>
        <v>1419.8494959534291</v>
      </c>
      <c r="W124" s="26">
        <f t="shared" ref="W124:W128" si="87">O124+V124</f>
        <v>1419.8494959534291</v>
      </c>
      <c r="X124" s="57"/>
    </row>
    <row r="125" spans="1:24" ht="15" thickBot="1">
      <c r="A125" s="10" t="s">
        <v>84</v>
      </c>
      <c r="B125" s="31"/>
      <c r="C125" s="14"/>
      <c r="D125" s="137"/>
      <c r="E125" s="17"/>
      <c r="F125" s="19"/>
      <c r="G125" s="21"/>
      <c r="H125" s="21"/>
      <c r="I125" s="30"/>
      <c r="J125" s="60">
        <v>0</v>
      </c>
      <c r="K125" s="19"/>
      <c r="L125" s="19"/>
      <c r="M125" s="18"/>
      <c r="N125" s="21">
        <f t="shared" si="74"/>
        <v>0</v>
      </c>
      <c r="O125" s="22">
        <f t="shared" si="84"/>
        <v>0</v>
      </c>
      <c r="P125" s="30">
        <v>1</v>
      </c>
      <c r="Q125" s="14">
        <f>300*2*55</f>
        <v>33000</v>
      </c>
      <c r="R125" s="19" t="s">
        <v>48</v>
      </c>
      <c r="S125" s="19">
        <v>1</v>
      </c>
      <c r="T125" s="18">
        <v>43770</v>
      </c>
      <c r="U125" s="21">
        <f t="shared" si="85"/>
        <v>33000</v>
      </c>
      <c r="V125" s="22">
        <f t="shared" si="86"/>
        <v>7809.1722277438603</v>
      </c>
      <c r="W125" s="26">
        <f t="shared" si="87"/>
        <v>7809.1722277438603</v>
      </c>
      <c r="X125" s="57"/>
    </row>
    <row r="126" spans="1:24" ht="33.6" customHeight="1" thickBot="1">
      <c r="A126" s="10" t="s">
        <v>51</v>
      </c>
      <c r="B126" s="31"/>
      <c r="C126" s="14"/>
      <c r="D126" s="137"/>
      <c r="E126" s="17"/>
      <c r="F126" s="19"/>
      <c r="G126" s="21"/>
      <c r="H126" s="21"/>
      <c r="I126" s="30"/>
      <c r="J126" s="60">
        <v>0</v>
      </c>
      <c r="K126" s="19"/>
      <c r="L126" s="19"/>
      <c r="M126" s="18"/>
      <c r="N126" s="21">
        <f t="shared" si="74"/>
        <v>0</v>
      </c>
      <c r="O126" s="22">
        <f t="shared" si="84"/>
        <v>0</v>
      </c>
      <c r="P126" s="30">
        <v>1</v>
      </c>
      <c r="Q126" s="14">
        <f>300*2*25</f>
        <v>15000</v>
      </c>
      <c r="R126" s="19" t="s">
        <v>46</v>
      </c>
      <c r="S126" s="19">
        <v>1</v>
      </c>
      <c r="T126" s="18">
        <v>43770</v>
      </c>
      <c r="U126" s="21">
        <f t="shared" si="85"/>
        <v>15000</v>
      </c>
      <c r="V126" s="22">
        <f t="shared" si="86"/>
        <v>3549.6237398835729</v>
      </c>
      <c r="W126" s="26">
        <f t="shared" si="87"/>
        <v>3549.6237398835729</v>
      </c>
      <c r="X126" s="57"/>
    </row>
    <row r="127" spans="1:24" ht="15" thickBot="1">
      <c r="A127" s="10" t="s">
        <v>52</v>
      </c>
      <c r="B127" s="31"/>
      <c r="C127" s="14"/>
      <c r="D127" s="137"/>
      <c r="E127" s="17"/>
      <c r="F127" s="19"/>
      <c r="G127" s="21"/>
      <c r="H127" s="21"/>
      <c r="I127" s="30"/>
      <c r="J127" s="60">
        <v>0</v>
      </c>
      <c r="K127" s="19"/>
      <c r="L127" s="19"/>
      <c r="M127" s="18"/>
      <c r="N127" s="21">
        <f t="shared" si="74"/>
        <v>0</v>
      </c>
      <c r="O127" s="22">
        <f t="shared" si="84"/>
        <v>0</v>
      </c>
      <c r="P127" s="30">
        <v>1</v>
      </c>
      <c r="Q127" s="14">
        <f>300*25</f>
        <v>7500</v>
      </c>
      <c r="R127" s="19" t="s">
        <v>46</v>
      </c>
      <c r="S127" s="19">
        <v>1</v>
      </c>
      <c r="T127" s="18">
        <v>43770</v>
      </c>
      <c r="U127" s="21">
        <f t="shared" si="85"/>
        <v>7500</v>
      </c>
      <c r="V127" s="22">
        <f t="shared" si="86"/>
        <v>1774.8118699417864</v>
      </c>
      <c r="W127" s="26">
        <f t="shared" si="87"/>
        <v>1774.8118699417864</v>
      </c>
      <c r="X127" s="57"/>
    </row>
    <row r="128" spans="1:24" ht="15" thickBot="1">
      <c r="A128" s="10" t="s">
        <v>53</v>
      </c>
      <c r="B128" s="31"/>
      <c r="C128" s="14"/>
      <c r="D128" s="137"/>
      <c r="E128" s="17"/>
      <c r="F128" s="19"/>
      <c r="G128" s="21"/>
      <c r="H128" s="21"/>
      <c r="I128" s="30"/>
      <c r="J128" s="60">
        <v>0</v>
      </c>
      <c r="K128" s="19"/>
      <c r="L128" s="19"/>
      <c r="M128" s="18"/>
      <c r="N128" s="21">
        <f t="shared" si="74"/>
        <v>0</v>
      </c>
      <c r="O128" s="22">
        <f t="shared" si="84"/>
        <v>0</v>
      </c>
      <c r="P128" s="30">
        <v>1</v>
      </c>
      <c r="Q128" s="14">
        <f>2*6*300</f>
        <v>3600</v>
      </c>
      <c r="R128" s="19" t="s">
        <v>48</v>
      </c>
      <c r="S128" s="19">
        <v>1</v>
      </c>
      <c r="T128" s="18">
        <v>43770</v>
      </c>
      <c r="U128" s="21">
        <f t="shared" si="85"/>
        <v>3600</v>
      </c>
      <c r="V128" s="22">
        <f t="shared" si="86"/>
        <v>851.90969757205744</v>
      </c>
      <c r="W128" s="26">
        <f t="shared" si="87"/>
        <v>851.90969757205744</v>
      </c>
      <c r="X128" s="57"/>
    </row>
    <row r="129" spans="1:24" s="20" customFormat="1" ht="59.4" customHeight="1" thickBot="1">
      <c r="A129" s="37" t="s">
        <v>85</v>
      </c>
      <c r="B129" s="45"/>
      <c r="C129" s="46"/>
      <c r="D129" s="42"/>
      <c r="E129" s="42"/>
      <c r="F129" s="42"/>
      <c r="G129" s="50">
        <f>SUM(G130:G130)</f>
        <v>0</v>
      </c>
      <c r="H129" s="47"/>
      <c r="I129" s="44"/>
      <c r="J129" s="46"/>
      <c r="K129" s="42"/>
      <c r="L129" s="42"/>
      <c r="M129" s="42"/>
      <c r="N129" s="42"/>
      <c r="O129" s="50">
        <f>SUM(O130:O130)</f>
        <v>0</v>
      </c>
      <c r="P129" s="42"/>
      <c r="Q129" s="46"/>
      <c r="R129" s="42"/>
      <c r="S129" s="42"/>
      <c r="T129" s="42"/>
      <c r="U129" s="42"/>
      <c r="V129" s="50">
        <f>SUM(V130:V130)</f>
        <v>3549.6237398835729</v>
      </c>
      <c r="W129" s="50">
        <f>SUM(W130:W130)</f>
        <v>3549.6237398835729</v>
      </c>
    </row>
    <row r="130" spans="1:24" ht="15" thickBot="1">
      <c r="A130" s="10" t="s">
        <v>123</v>
      </c>
      <c r="B130" s="31"/>
      <c r="C130" s="14"/>
      <c r="D130" s="137"/>
      <c r="E130" s="17"/>
      <c r="F130" s="19"/>
      <c r="G130" s="21">
        <f>B130*C130*E130</f>
        <v>0</v>
      </c>
      <c r="H130" s="21">
        <f>G130</f>
        <v>0</v>
      </c>
      <c r="I130" s="13"/>
      <c r="J130" s="14"/>
      <c r="K130" s="137"/>
      <c r="L130" s="19"/>
      <c r="M130" s="18"/>
      <c r="N130" s="21">
        <f t="shared" ref="N130" si="88">I130*J130*L130</f>
        <v>0</v>
      </c>
      <c r="O130" s="22">
        <f t="shared" ref="O130" si="89">N130/$O$1</f>
        <v>0</v>
      </c>
      <c r="P130" s="13">
        <v>1</v>
      </c>
      <c r="Q130" s="14">
        <v>15000</v>
      </c>
      <c r="R130" s="137" t="s">
        <v>46</v>
      </c>
      <c r="S130" s="19">
        <v>1</v>
      </c>
      <c r="T130" s="18">
        <v>43952</v>
      </c>
      <c r="U130" s="21">
        <f t="shared" ref="U130" si="90">P130*Q130*S130</f>
        <v>15000</v>
      </c>
      <c r="V130" s="22">
        <f t="shared" ref="V130" si="91">U130/$O$1</f>
        <v>3549.6237398835729</v>
      </c>
      <c r="W130" s="26">
        <f t="shared" ref="W130" si="92">O130+V130</f>
        <v>3549.6237398835729</v>
      </c>
    </row>
    <row r="131" spans="1:24" s="20" customFormat="1" ht="59.4" customHeight="1" thickBot="1">
      <c r="A131" s="37" t="s">
        <v>86</v>
      </c>
      <c r="B131" s="45"/>
      <c r="C131" s="46"/>
      <c r="D131" s="42"/>
      <c r="E131" s="42"/>
      <c r="F131" s="42"/>
      <c r="G131" s="50">
        <f>SUM(G132)</f>
        <v>0</v>
      </c>
      <c r="H131" s="47"/>
      <c r="I131" s="44"/>
      <c r="J131" s="46"/>
      <c r="K131" s="42"/>
      <c r="L131" s="42"/>
      <c r="M131" s="42"/>
      <c r="N131" s="42"/>
      <c r="O131" s="50">
        <f>SUM(O132:O132)</f>
        <v>0</v>
      </c>
      <c r="P131" s="42"/>
      <c r="Q131" s="46"/>
      <c r="R131" s="42"/>
      <c r="S131" s="42"/>
      <c r="T131" s="42"/>
      <c r="U131" s="42"/>
      <c r="V131" s="50">
        <f>SUM(V132:V132)</f>
        <v>2028.0381466229401</v>
      </c>
      <c r="W131" s="50">
        <f>SUM(W132:W132)</f>
        <v>2028.0381466229401</v>
      </c>
    </row>
    <row r="132" spans="1:24" ht="15" thickBot="1">
      <c r="A132" s="10" t="s">
        <v>59</v>
      </c>
      <c r="B132" s="31"/>
      <c r="C132" s="14"/>
      <c r="D132" s="137"/>
      <c r="E132" s="17"/>
      <c r="F132" s="19"/>
      <c r="G132" s="21">
        <f>B132*C132*E132</f>
        <v>0</v>
      </c>
      <c r="H132" s="21">
        <f>G132</f>
        <v>0</v>
      </c>
      <c r="I132" s="13"/>
      <c r="J132" s="14"/>
      <c r="K132" s="17"/>
      <c r="L132" s="19"/>
      <c r="M132" s="18"/>
      <c r="N132" s="21">
        <f>I132*J132*L132</f>
        <v>0</v>
      </c>
      <c r="O132" s="22">
        <f>N132/$O$1</f>
        <v>0</v>
      </c>
      <c r="P132" s="13">
        <v>1</v>
      </c>
      <c r="Q132" s="14">
        <f>2028.03814662294*4.2258</f>
        <v>8570.0835999992196</v>
      </c>
      <c r="R132" s="17" t="s">
        <v>46</v>
      </c>
      <c r="S132" s="19">
        <v>1</v>
      </c>
      <c r="T132" s="18">
        <v>43770</v>
      </c>
      <c r="U132" s="21">
        <f>P132*Q132*S132</f>
        <v>8570.0835999992196</v>
      </c>
      <c r="V132" s="22">
        <f>U132/$O$1</f>
        <v>2028.0381466229401</v>
      </c>
      <c r="W132" s="26">
        <f>O132+V132</f>
        <v>2028.0381466229401</v>
      </c>
    </row>
    <row r="133" spans="1:24" s="20" customFormat="1" ht="41.4" hidden="1" customHeight="1" thickBot="1">
      <c r="A133" s="37" t="s">
        <v>87</v>
      </c>
      <c r="B133" s="45"/>
      <c r="C133" s="46"/>
      <c r="D133" s="42"/>
      <c r="E133" s="42"/>
      <c r="F133" s="42"/>
      <c r="G133" s="50">
        <f>SUM(G134:G136)</f>
        <v>0</v>
      </c>
      <c r="H133" s="47">
        <f>G133</f>
        <v>0</v>
      </c>
      <c r="I133" s="44"/>
      <c r="J133" s="46"/>
      <c r="K133" s="42"/>
      <c r="L133" s="42"/>
      <c r="M133" s="42"/>
      <c r="N133" s="42"/>
      <c r="O133" s="50">
        <f>SUM(O134:O136)</f>
        <v>0</v>
      </c>
      <c r="P133" s="42"/>
      <c r="Q133" s="46"/>
      <c r="R133" s="42"/>
      <c r="S133" s="42"/>
      <c r="T133" s="42"/>
      <c r="U133" s="42"/>
      <c r="V133" s="50">
        <f>SUM(V134:V136)</f>
        <v>0</v>
      </c>
      <c r="W133" s="50">
        <f>SUM(W134:W136)</f>
        <v>0</v>
      </c>
      <c r="X133" s="71"/>
    </row>
    <row r="134" spans="1:24" ht="15" hidden="1" thickBot="1">
      <c r="A134" s="10" t="s">
        <v>201</v>
      </c>
      <c r="G134" s="21"/>
      <c r="H134" s="21">
        <f>G134</f>
        <v>0</v>
      </c>
      <c r="I134" s="31"/>
      <c r="J134" s="14">
        <v>600</v>
      </c>
      <c r="K134" s="137" t="s">
        <v>25</v>
      </c>
      <c r="L134" s="17">
        <v>11</v>
      </c>
      <c r="M134" s="18">
        <v>43556</v>
      </c>
      <c r="N134" s="21">
        <f>I134*J134*L134</f>
        <v>0</v>
      </c>
      <c r="O134" s="21">
        <f>N134</f>
        <v>0</v>
      </c>
      <c r="P134" s="30"/>
      <c r="Q134" s="14"/>
      <c r="R134" s="19"/>
      <c r="S134" s="19"/>
      <c r="T134" s="18"/>
      <c r="U134" s="21">
        <f t="shared" ref="U134:U136" si="93">P134*Q134*S134</f>
        <v>0</v>
      </c>
      <c r="V134" s="22">
        <f t="shared" ref="V134:V136" si="94">U134/$O$1</f>
        <v>0</v>
      </c>
      <c r="W134" s="26">
        <f t="shared" ref="W134:W136" si="95">O134+V134</f>
        <v>0</v>
      </c>
      <c r="X134" s="57"/>
    </row>
    <row r="135" spans="1:24" ht="15" hidden="1" thickBot="1">
      <c r="A135" s="10" t="s">
        <v>202</v>
      </c>
      <c r="G135" s="21"/>
      <c r="H135" s="21"/>
      <c r="I135" s="31"/>
      <c r="J135" s="14">
        <v>100</v>
      </c>
      <c r="K135" s="137" t="s">
        <v>25</v>
      </c>
      <c r="L135" s="17">
        <v>11</v>
      </c>
      <c r="M135" s="18">
        <v>43556</v>
      </c>
      <c r="N135" s="21">
        <f t="shared" ref="N135:N140" si="96">I135*J135*L135</f>
        <v>0</v>
      </c>
      <c r="O135" s="21">
        <f t="shared" ref="O135:O136" si="97">N135</f>
        <v>0</v>
      </c>
      <c r="P135" s="30"/>
      <c r="Q135" s="14"/>
      <c r="R135" s="19"/>
      <c r="S135" s="19"/>
      <c r="T135" s="18"/>
      <c r="U135" s="21">
        <f t="shared" si="93"/>
        <v>0</v>
      </c>
      <c r="V135" s="22">
        <f t="shared" si="94"/>
        <v>0</v>
      </c>
      <c r="W135" s="26">
        <f t="shared" si="95"/>
        <v>0</v>
      </c>
      <c r="X135" s="57"/>
    </row>
    <row r="136" spans="1:24" ht="15" hidden="1" thickBot="1">
      <c r="A136" s="10" t="s">
        <v>207</v>
      </c>
      <c r="G136" s="21"/>
      <c r="H136" s="21"/>
      <c r="I136" s="31"/>
      <c r="J136" s="14">
        <v>1000</v>
      </c>
      <c r="K136" s="137" t="s">
        <v>25</v>
      </c>
      <c r="L136" s="17">
        <v>1</v>
      </c>
      <c r="M136" s="18">
        <v>43556</v>
      </c>
      <c r="N136" s="21">
        <f t="shared" si="96"/>
        <v>0</v>
      </c>
      <c r="O136" s="21">
        <f t="shared" si="97"/>
        <v>0</v>
      </c>
      <c r="P136" s="30"/>
      <c r="Q136" s="14"/>
      <c r="R136" s="19"/>
      <c r="S136" s="19"/>
      <c r="T136" s="18"/>
      <c r="U136" s="21">
        <f t="shared" si="93"/>
        <v>0</v>
      </c>
      <c r="V136" s="22">
        <f t="shared" si="94"/>
        <v>0</v>
      </c>
      <c r="W136" s="26">
        <f t="shared" si="95"/>
        <v>0</v>
      </c>
      <c r="X136" s="57"/>
    </row>
    <row r="137" spans="1:24" s="20" customFormat="1" ht="41.4" hidden="1" customHeight="1" thickBot="1">
      <c r="A137" s="37" t="s">
        <v>88</v>
      </c>
      <c r="B137" s="45"/>
      <c r="C137" s="46"/>
      <c r="D137" s="42"/>
      <c r="E137" s="42"/>
      <c r="F137" s="42"/>
      <c r="G137" s="50">
        <f>SUM(G138:G139)</f>
        <v>0</v>
      </c>
      <c r="H137" s="47">
        <f>G137</f>
        <v>0</v>
      </c>
      <c r="I137" s="44"/>
      <c r="J137" s="46"/>
      <c r="K137" s="42"/>
      <c r="L137" s="42"/>
      <c r="M137" s="42"/>
      <c r="N137" s="42">
        <f t="shared" si="96"/>
        <v>0</v>
      </c>
      <c r="O137" s="50">
        <f>SUM(O138:O139)</f>
        <v>0</v>
      </c>
      <c r="P137" s="42"/>
      <c r="Q137" s="46"/>
      <c r="R137" s="42"/>
      <c r="S137" s="42"/>
      <c r="T137" s="42"/>
      <c r="U137" s="42"/>
      <c r="V137" s="50">
        <f>SUM(V138:V139)</f>
        <v>0</v>
      </c>
      <c r="W137" s="50">
        <f>SUM(W138:W139)</f>
        <v>0</v>
      </c>
      <c r="X137" s="71"/>
    </row>
    <row r="138" spans="1:24" ht="15" hidden="1" thickBot="1">
      <c r="A138" s="10" t="s">
        <v>203</v>
      </c>
      <c r="H138" s="21">
        <f>N138</f>
        <v>0</v>
      </c>
      <c r="I138" s="31"/>
      <c r="J138" s="14">
        <v>1000</v>
      </c>
      <c r="K138" s="137" t="s">
        <v>25</v>
      </c>
      <c r="L138" s="17">
        <v>4</v>
      </c>
      <c r="M138" s="18">
        <v>43586</v>
      </c>
      <c r="N138" s="21">
        <f>I138*J138*L138</f>
        <v>0</v>
      </c>
      <c r="O138" s="22">
        <f>N138</f>
        <v>0</v>
      </c>
      <c r="P138" s="30"/>
      <c r="Q138" s="14"/>
      <c r="R138" s="19"/>
      <c r="S138" s="19"/>
      <c r="T138" s="18"/>
      <c r="U138" s="21">
        <f t="shared" ref="U138:U139" si="98">P138*Q138*S138</f>
        <v>0</v>
      </c>
      <c r="V138" s="22">
        <f t="shared" ref="V138:V139" si="99">U138/$O$1</f>
        <v>0</v>
      </c>
      <c r="W138" s="26">
        <f t="shared" ref="W138:W139" si="100">O138+V138</f>
        <v>0</v>
      </c>
      <c r="X138" s="57"/>
    </row>
    <row r="139" spans="1:24" ht="15" hidden="1" thickBot="1">
      <c r="A139" s="10"/>
      <c r="B139" s="31"/>
      <c r="C139" s="14"/>
      <c r="D139" s="137"/>
      <c r="E139" s="17"/>
      <c r="F139" s="19"/>
      <c r="G139" s="21"/>
      <c r="H139" s="21"/>
      <c r="I139" s="30"/>
      <c r="J139" s="60">
        <v>0</v>
      </c>
      <c r="K139" s="19"/>
      <c r="L139" s="19"/>
      <c r="M139" s="18"/>
      <c r="N139" s="21">
        <f t="shared" si="96"/>
        <v>0</v>
      </c>
      <c r="O139" s="22">
        <f t="shared" ref="O139" si="101">N139/$O$1</f>
        <v>0</v>
      </c>
      <c r="P139" s="30"/>
      <c r="Q139" s="14"/>
      <c r="R139" s="19"/>
      <c r="S139" s="19"/>
      <c r="T139" s="18"/>
      <c r="U139" s="21">
        <f t="shared" si="98"/>
        <v>0</v>
      </c>
      <c r="V139" s="22">
        <f t="shared" si="99"/>
        <v>0</v>
      </c>
      <c r="W139" s="26">
        <f t="shared" si="100"/>
        <v>0</v>
      </c>
      <c r="X139" s="57"/>
    </row>
    <row r="140" spans="1:24" s="20" customFormat="1" ht="41.4" hidden="1" customHeight="1" thickBot="1">
      <c r="A140" s="37" t="s">
        <v>111</v>
      </c>
      <c r="B140" s="45"/>
      <c r="C140" s="46"/>
      <c r="D140" s="42"/>
      <c r="E140" s="42"/>
      <c r="F140" s="42"/>
      <c r="G140" s="50">
        <f>SUM(G141:G146)</f>
        <v>0</v>
      </c>
      <c r="H140" s="47">
        <f>G140</f>
        <v>0</v>
      </c>
      <c r="I140" s="44"/>
      <c r="J140" s="46"/>
      <c r="K140" s="42"/>
      <c r="L140" s="42"/>
      <c r="M140" s="42"/>
      <c r="N140" s="42">
        <f t="shared" si="96"/>
        <v>0</v>
      </c>
      <c r="O140" s="50">
        <f>SUM(O141:O146)</f>
        <v>0</v>
      </c>
      <c r="P140" s="42"/>
      <c r="Q140" s="46"/>
      <c r="R140" s="42"/>
      <c r="S140" s="42"/>
      <c r="T140" s="42"/>
      <c r="U140" s="42"/>
      <c r="V140" s="50">
        <f>SUM(V141:V146)</f>
        <v>0</v>
      </c>
      <c r="W140" s="50">
        <f>SUM(W141:W146)</f>
        <v>0</v>
      </c>
      <c r="X140" s="71"/>
    </row>
    <row r="141" spans="1:24" ht="15" hidden="1" thickBot="1">
      <c r="A141" s="10" t="s">
        <v>204</v>
      </c>
      <c r="G141" s="21"/>
      <c r="H141" s="21">
        <f>G141</f>
        <v>0</v>
      </c>
      <c r="I141" s="31"/>
      <c r="J141" s="14">
        <v>2000</v>
      </c>
      <c r="K141" s="137" t="s">
        <v>25</v>
      </c>
      <c r="L141" s="17">
        <v>1</v>
      </c>
      <c r="M141" s="18">
        <v>43586</v>
      </c>
      <c r="N141" s="21">
        <f>I141*J141*L141</f>
        <v>0</v>
      </c>
      <c r="O141" s="21">
        <f>N141</f>
        <v>0</v>
      </c>
      <c r="P141" s="30"/>
      <c r="Q141" s="14"/>
      <c r="R141" s="19"/>
      <c r="S141" s="19"/>
      <c r="T141" s="18"/>
      <c r="U141" s="21">
        <f t="shared" ref="U141:U146" si="102">P141*Q141*S141</f>
        <v>0</v>
      </c>
      <c r="V141" s="22">
        <f t="shared" ref="V141:V146" si="103">U141/$O$1</f>
        <v>0</v>
      </c>
      <c r="W141" s="26">
        <f t="shared" ref="W141:W146" si="104">O141+V141</f>
        <v>0</v>
      </c>
      <c r="X141" s="57"/>
    </row>
    <row r="142" spans="1:24" ht="15" hidden="1" thickBot="1">
      <c r="A142" s="10" t="s">
        <v>205</v>
      </c>
      <c r="G142" s="21"/>
      <c r="H142" s="21"/>
      <c r="I142" s="31"/>
      <c r="J142" s="14">
        <v>5000</v>
      </c>
      <c r="K142" s="137" t="s">
        <v>25</v>
      </c>
      <c r="L142" s="17">
        <v>1</v>
      </c>
      <c r="M142" s="18">
        <v>43739</v>
      </c>
      <c r="N142" s="21">
        <f t="shared" ref="N142:N146" si="105">I142*J142*L142</f>
        <v>0</v>
      </c>
      <c r="O142" s="21">
        <f t="shared" ref="O142:O146" si="106">N142</f>
        <v>0</v>
      </c>
      <c r="P142" s="30"/>
      <c r="Q142" s="14"/>
      <c r="R142" s="19"/>
      <c r="S142" s="19"/>
      <c r="T142" s="18"/>
      <c r="U142" s="21">
        <f t="shared" si="102"/>
        <v>0</v>
      </c>
      <c r="V142" s="22">
        <f t="shared" si="103"/>
        <v>0</v>
      </c>
      <c r="W142" s="26">
        <f t="shared" si="104"/>
        <v>0</v>
      </c>
      <c r="X142" s="57"/>
    </row>
    <row r="143" spans="1:24" ht="15" hidden="1" thickBot="1">
      <c r="A143" s="10" t="s">
        <v>206</v>
      </c>
      <c r="G143" s="21"/>
      <c r="H143" s="21"/>
      <c r="I143" s="31"/>
      <c r="J143" s="14">
        <v>1000</v>
      </c>
      <c r="K143" s="137" t="s">
        <v>25</v>
      </c>
      <c r="L143" s="17">
        <v>1</v>
      </c>
      <c r="M143" s="18">
        <v>43556</v>
      </c>
      <c r="N143" s="21">
        <f t="shared" si="105"/>
        <v>0</v>
      </c>
      <c r="O143" s="21">
        <f t="shared" si="106"/>
        <v>0</v>
      </c>
      <c r="P143" s="30"/>
      <c r="Q143" s="14"/>
      <c r="R143" s="19"/>
      <c r="S143" s="19"/>
      <c r="T143" s="18"/>
      <c r="U143" s="21">
        <f t="shared" si="102"/>
        <v>0</v>
      </c>
      <c r="V143" s="22">
        <f t="shared" si="103"/>
        <v>0</v>
      </c>
      <c r="W143" s="26">
        <f t="shared" si="104"/>
        <v>0</v>
      </c>
      <c r="X143" s="57"/>
    </row>
    <row r="144" spans="1:24" s="20" customFormat="1" ht="15" hidden="1" thickBot="1">
      <c r="A144" s="10" t="s">
        <v>208</v>
      </c>
      <c r="G144" s="156"/>
      <c r="H144" s="156"/>
      <c r="I144" s="255"/>
      <c r="J144" s="33">
        <v>200</v>
      </c>
      <c r="K144" s="19" t="s">
        <v>25</v>
      </c>
      <c r="L144" s="19">
        <v>12</v>
      </c>
      <c r="M144" s="18">
        <v>43556</v>
      </c>
      <c r="N144" s="21">
        <f t="shared" si="105"/>
        <v>0</v>
      </c>
      <c r="O144" s="21">
        <f t="shared" si="106"/>
        <v>0</v>
      </c>
      <c r="P144" s="30"/>
      <c r="Q144" s="33"/>
      <c r="R144" s="19"/>
      <c r="S144" s="19"/>
      <c r="T144" s="18"/>
      <c r="U144" s="156">
        <f t="shared" si="102"/>
        <v>0</v>
      </c>
      <c r="V144" s="157">
        <f t="shared" si="103"/>
        <v>0</v>
      </c>
      <c r="W144" s="156">
        <f t="shared" si="104"/>
        <v>0</v>
      </c>
      <c r="X144" s="71"/>
    </row>
    <row r="145" spans="1:24" ht="15" hidden="1" thickBot="1">
      <c r="A145" s="10"/>
      <c r="B145" s="31"/>
      <c r="C145" s="14"/>
      <c r="D145" s="137"/>
      <c r="E145" s="17"/>
      <c r="F145" s="19"/>
      <c r="G145" s="21">
        <f t="shared" ref="G145:G146" si="107">B145*C145*E145</f>
        <v>0</v>
      </c>
      <c r="H145" s="21"/>
      <c r="I145" s="30"/>
      <c r="J145" s="60">
        <v>0</v>
      </c>
      <c r="K145" s="19"/>
      <c r="L145" s="19"/>
      <c r="M145" s="18"/>
      <c r="N145" s="21">
        <f t="shared" si="105"/>
        <v>0</v>
      </c>
      <c r="O145" s="21">
        <f t="shared" si="106"/>
        <v>0</v>
      </c>
      <c r="P145" s="30"/>
      <c r="Q145" s="14"/>
      <c r="R145" s="19"/>
      <c r="S145" s="19"/>
      <c r="T145" s="18"/>
      <c r="U145" s="21">
        <f t="shared" si="102"/>
        <v>0</v>
      </c>
      <c r="V145" s="22">
        <f t="shared" si="103"/>
        <v>0</v>
      </c>
      <c r="W145" s="26">
        <f t="shared" si="104"/>
        <v>0</v>
      </c>
      <c r="X145" s="57"/>
    </row>
    <row r="146" spans="1:24" ht="15" hidden="1" thickBot="1">
      <c r="A146" s="10"/>
      <c r="B146" s="31"/>
      <c r="C146" s="14"/>
      <c r="D146" s="137"/>
      <c r="E146" s="17"/>
      <c r="F146" s="19"/>
      <c r="G146" s="21">
        <f t="shared" si="107"/>
        <v>0</v>
      </c>
      <c r="H146" s="21"/>
      <c r="I146" s="30"/>
      <c r="J146" s="60">
        <v>0</v>
      </c>
      <c r="K146" s="19"/>
      <c r="L146" s="19"/>
      <c r="M146" s="18"/>
      <c r="N146" s="21">
        <f t="shared" si="105"/>
        <v>0</v>
      </c>
      <c r="O146" s="21">
        <f t="shared" si="106"/>
        <v>0</v>
      </c>
      <c r="P146" s="30"/>
      <c r="Q146" s="14"/>
      <c r="R146" s="19"/>
      <c r="S146" s="19"/>
      <c r="T146" s="18"/>
      <c r="U146" s="21">
        <f t="shared" si="102"/>
        <v>0</v>
      </c>
      <c r="V146" s="22">
        <f t="shared" si="103"/>
        <v>0</v>
      </c>
      <c r="W146" s="26">
        <f t="shared" si="104"/>
        <v>0</v>
      </c>
      <c r="X146" s="57"/>
    </row>
    <row r="147" spans="1:24" s="20" customFormat="1" ht="41.4" hidden="1" customHeight="1" thickBot="1">
      <c r="A147" s="37" t="s">
        <v>209</v>
      </c>
      <c r="B147" s="45"/>
      <c r="C147" s="46"/>
      <c r="D147" s="42"/>
      <c r="E147" s="42"/>
      <c r="F147" s="42"/>
      <c r="G147" s="50">
        <f>SUM(G148:G151)</f>
        <v>0</v>
      </c>
      <c r="H147" s="47">
        <f>G147</f>
        <v>0</v>
      </c>
      <c r="I147" s="44"/>
      <c r="J147" s="46"/>
      <c r="K147" s="42"/>
      <c r="L147" s="42"/>
      <c r="M147" s="42"/>
      <c r="N147" s="42"/>
      <c r="O147" s="50">
        <f>SUM(O148:O151)</f>
        <v>0</v>
      </c>
      <c r="P147" s="42"/>
      <c r="Q147" s="46"/>
      <c r="R147" s="42"/>
      <c r="S147" s="42"/>
      <c r="T147" s="42"/>
      <c r="U147" s="42"/>
      <c r="V147" s="50">
        <f>SUM(V148)</f>
        <v>0</v>
      </c>
      <c r="W147" s="50">
        <f>SUM(W148)</f>
        <v>0</v>
      </c>
      <c r="X147" s="71"/>
    </row>
    <row r="148" spans="1:24" ht="15" hidden="1" thickBot="1">
      <c r="A148" s="10" t="s">
        <v>358</v>
      </c>
      <c r="F148" s="19"/>
      <c r="G148" s="21"/>
      <c r="H148" s="21">
        <f>G148</f>
        <v>0</v>
      </c>
      <c r="I148" s="31"/>
      <c r="J148" s="14">
        <v>10000</v>
      </c>
      <c r="K148" s="137" t="s">
        <v>25</v>
      </c>
      <c r="L148" s="17">
        <v>1</v>
      </c>
      <c r="M148" s="18">
        <v>43617</v>
      </c>
      <c r="N148" s="21">
        <f>I148*J148*L148</f>
        <v>0</v>
      </c>
      <c r="O148" s="21">
        <f>N148</f>
        <v>0</v>
      </c>
      <c r="P148" s="30"/>
      <c r="Q148" s="14">
        <v>0</v>
      </c>
      <c r="R148" s="19" t="s">
        <v>48</v>
      </c>
      <c r="S148" s="19">
        <v>0</v>
      </c>
      <c r="T148" s="18"/>
      <c r="U148" s="21">
        <f t="shared" ref="U148" si="108">P148*Q148*S148</f>
        <v>0</v>
      </c>
      <c r="V148" s="22">
        <f t="shared" ref="V148" si="109">U148/$O$1</f>
        <v>0</v>
      </c>
      <c r="W148" s="26">
        <f t="shared" ref="W148" si="110">O148+V148</f>
        <v>0</v>
      </c>
      <c r="X148" s="57"/>
    </row>
    <row r="149" spans="1:24" ht="15" hidden="1" thickBot="1">
      <c r="A149" s="10" t="s">
        <v>359</v>
      </c>
      <c r="B149" s="134"/>
      <c r="E149" s="134"/>
      <c r="F149" s="19"/>
      <c r="G149" s="21"/>
      <c r="H149" s="21"/>
      <c r="I149" s="31"/>
      <c r="J149" s="14">
        <v>5000</v>
      </c>
      <c r="K149" s="137" t="s">
        <v>25</v>
      </c>
      <c r="L149" s="17">
        <v>1</v>
      </c>
      <c r="M149" s="18">
        <v>43739</v>
      </c>
      <c r="N149" s="21">
        <f t="shared" ref="N149:N151" si="111">I149*J149*L149</f>
        <v>0</v>
      </c>
      <c r="O149" s="21">
        <f t="shared" ref="O149:O151" si="112">N149</f>
        <v>0</v>
      </c>
      <c r="P149" s="30"/>
      <c r="Q149" s="14"/>
      <c r="R149" s="19"/>
      <c r="S149" s="19"/>
      <c r="T149" s="18"/>
      <c r="U149" s="21"/>
      <c r="V149" s="22"/>
      <c r="W149" s="26"/>
      <c r="X149" s="57"/>
    </row>
    <row r="150" spans="1:24" ht="15" hidden="1" thickBot="1">
      <c r="A150" s="10" t="s">
        <v>360</v>
      </c>
      <c r="B150" s="134"/>
      <c r="E150" s="134"/>
      <c r="F150" s="19"/>
      <c r="G150" s="21"/>
      <c r="H150" s="21"/>
      <c r="I150" s="31"/>
      <c r="J150" s="14">
        <v>1000</v>
      </c>
      <c r="K150" s="137" t="s">
        <v>25</v>
      </c>
      <c r="L150" s="17">
        <v>1</v>
      </c>
      <c r="M150" s="18">
        <v>43770</v>
      </c>
      <c r="N150" s="21">
        <f t="shared" si="111"/>
        <v>0</v>
      </c>
      <c r="O150" s="21">
        <f t="shared" si="112"/>
        <v>0</v>
      </c>
      <c r="P150" s="30"/>
      <c r="Q150" s="14"/>
      <c r="R150" s="19"/>
      <c r="S150" s="19"/>
      <c r="T150" s="18"/>
      <c r="U150" s="21"/>
      <c r="V150" s="22"/>
      <c r="W150" s="26"/>
      <c r="X150" s="57"/>
    </row>
    <row r="151" spans="1:24" ht="15" hidden="1" thickBot="1">
      <c r="A151" s="158" t="s">
        <v>361</v>
      </c>
      <c r="B151" s="134"/>
      <c r="E151" s="134"/>
      <c r="F151" s="19"/>
      <c r="G151" s="21"/>
      <c r="H151" s="21"/>
      <c r="I151" s="159"/>
      <c r="J151" s="82">
        <v>5000</v>
      </c>
      <c r="K151" s="160" t="s">
        <v>25</v>
      </c>
      <c r="L151" s="161">
        <v>1</v>
      </c>
      <c r="M151" s="18">
        <v>43862</v>
      </c>
      <c r="N151" s="21">
        <f t="shared" si="111"/>
        <v>0</v>
      </c>
      <c r="O151" s="21">
        <f t="shared" si="112"/>
        <v>0</v>
      </c>
      <c r="P151" s="30"/>
      <c r="Q151" s="14"/>
      <c r="R151" s="19"/>
      <c r="S151" s="19"/>
      <c r="T151" s="18"/>
      <c r="U151" s="21"/>
      <c r="V151" s="22"/>
      <c r="W151" s="26"/>
      <c r="X151" s="57"/>
    </row>
    <row r="152" spans="1:24" s="20" customFormat="1" ht="41.4" customHeight="1" thickBot="1">
      <c r="A152" s="37" t="s">
        <v>210</v>
      </c>
      <c r="B152" s="45"/>
      <c r="C152" s="46"/>
      <c r="D152" s="42"/>
      <c r="E152" s="42"/>
      <c r="F152" s="42"/>
      <c r="G152" s="50">
        <f>SUM(G153:G157)</f>
        <v>0</v>
      </c>
      <c r="H152" s="47">
        <f>G152</f>
        <v>0</v>
      </c>
      <c r="I152" s="44"/>
      <c r="J152" s="46"/>
      <c r="K152" s="42"/>
      <c r="L152" s="42"/>
      <c r="M152" s="42"/>
      <c r="N152" s="42"/>
      <c r="O152" s="50">
        <f>SUM(O153)</f>
        <v>0</v>
      </c>
      <c r="P152" s="42"/>
      <c r="Q152" s="46"/>
      <c r="R152" s="42"/>
      <c r="S152" s="42"/>
      <c r="T152" s="42"/>
      <c r="U152" s="42"/>
      <c r="V152" s="50">
        <f>SUM(V153)</f>
        <v>6625.9643144493357</v>
      </c>
      <c r="W152" s="50">
        <f>SUM(W153)</f>
        <v>6625.9643144493357</v>
      </c>
      <c r="X152" s="71"/>
    </row>
    <row r="153" spans="1:24" ht="15" thickBot="1">
      <c r="A153" s="10" t="s">
        <v>89</v>
      </c>
      <c r="B153" s="31"/>
      <c r="C153" s="14">
        <v>1000</v>
      </c>
      <c r="D153" s="137" t="s">
        <v>25</v>
      </c>
      <c r="E153" s="17"/>
      <c r="F153" s="19"/>
      <c r="G153" s="21">
        <f>B153*C153*E153</f>
        <v>0</v>
      </c>
      <c r="H153" s="21">
        <f>G153</f>
        <v>0</v>
      </c>
      <c r="I153" s="159"/>
      <c r="J153" s="82">
        <v>3000</v>
      </c>
      <c r="K153" s="20" t="s">
        <v>25</v>
      </c>
      <c r="L153" s="161">
        <v>1</v>
      </c>
      <c r="M153" s="162">
        <v>43556</v>
      </c>
      <c r="N153" s="21">
        <f>I153*J153*L153</f>
        <v>0</v>
      </c>
      <c r="O153" s="21">
        <f>N153</f>
        <v>0</v>
      </c>
      <c r="P153" s="30">
        <v>1</v>
      </c>
      <c r="Q153" s="60">
        <v>7000</v>
      </c>
      <c r="R153" s="19" t="s">
        <v>48</v>
      </c>
      <c r="S153" s="19">
        <v>4</v>
      </c>
      <c r="T153" s="18">
        <v>43556</v>
      </c>
      <c r="U153" s="21">
        <f>P153*Q153*S153</f>
        <v>28000</v>
      </c>
      <c r="V153" s="22">
        <f t="shared" ref="V153" si="113">U153/$O$1</f>
        <v>6625.9643144493357</v>
      </c>
      <c r="W153" s="26">
        <f t="shared" ref="W153" si="114">O153+V153</f>
        <v>6625.9643144493357</v>
      </c>
      <c r="X153" s="57"/>
    </row>
    <row r="154" spans="1:24">
      <c r="B154" s="134"/>
      <c r="E154" s="134"/>
      <c r="F154" s="134"/>
      <c r="K154" s="134"/>
      <c r="W154" s="134"/>
    </row>
    <row r="155" spans="1:24">
      <c r="B155" s="134"/>
      <c r="E155" s="134"/>
      <c r="F155" s="134"/>
      <c r="K155" s="134"/>
      <c r="W155" s="134"/>
    </row>
    <row r="156" spans="1:24">
      <c r="B156" s="134"/>
      <c r="E156" s="134"/>
      <c r="F156" s="134"/>
      <c r="K156" s="134"/>
      <c r="W156" s="134"/>
    </row>
    <row r="157" spans="1:24">
      <c r="B157" s="134"/>
      <c r="E157" s="134"/>
      <c r="F157" s="134"/>
      <c r="K157" s="134"/>
      <c r="W157" s="134"/>
    </row>
    <row r="158" spans="1:24">
      <c r="B158" s="134"/>
      <c r="E158" s="134"/>
      <c r="F158" s="134"/>
      <c r="K158" s="134"/>
      <c r="W158" s="134"/>
    </row>
    <row r="159" spans="1:24">
      <c r="B159" s="134"/>
      <c r="E159" s="134"/>
      <c r="F159" s="134"/>
      <c r="K159" s="134"/>
      <c r="W159" s="134"/>
    </row>
    <row r="160" spans="1:24">
      <c r="B160" s="134"/>
      <c r="E160" s="134"/>
      <c r="F160" s="134"/>
      <c r="K160" s="134"/>
      <c r="W160" s="134"/>
    </row>
    <row r="161" spans="2:23">
      <c r="B161" s="134"/>
      <c r="E161" s="134"/>
      <c r="F161" s="134"/>
      <c r="K161" s="134"/>
      <c r="W161" s="134"/>
    </row>
    <row r="162" spans="2:23">
      <c r="B162" s="134"/>
      <c r="E162" s="134"/>
      <c r="F162" s="134"/>
      <c r="K162" s="134"/>
      <c r="W162" s="134"/>
    </row>
    <row r="163" spans="2:23">
      <c r="B163" s="134"/>
      <c r="E163" s="134"/>
      <c r="F163" s="134"/>
      <c r="K163" s="134"/>
      <c r="W163" s="134"/>
    </row>
    <row r="164" spans="2:23">
      <c r="B164" s="134"/>
      <c r="E164" s="134"/>
      <c r="F164" s="134"/>
      <c r="K164" s="134"/>
      <c r="W164" s="134"/>
    </row>
    <row r="165" spans="2:23">
      <c r="B165" s="134"/>
      <c r="E165" s="134"/>
      <c r="F165" s="134"/>
      <c r="K165" s="134"/>
      <c r="W165" s="134"/>
    </row>
    <row r="166" spans="2:23">
      <c r="B166" s="134"/>
      <c r="E166" s="134"/>
      <c r="F166" s="134"/>
      <c r="K166" s="134"/>
      <c r="W166" s="134"/>
    </row>
    <row r="167" spans="2:23">
      <c r="B167" s="134"/>
      <c r="E167" s="134"/>
      <c r="F167" s="134"/>
      <c r="K167" s="134"/>
      <c r="W167" s="134"/>
    </row>
    <row r="168" spans="2:23">
      <c r="B168" s="134"/>
      <c r="E168" s="134"/>
      <c r="F168" s="134"/>
      <c r="K168" s="134"/>
      <c r="W168" s="134"/>
    </row>
    <row r="169" spans="2:23">
      <c r="B169" s="134"/>
      <c r="E169" s="134"/>
      <c r="F169" s="134"/>
      <c r="K169" s="134"/>
      <c r="W169" s="134"/>
    </row>
    <row r="170" spans="2:23">
      <c r="B170" s="134"/>
      <c r="E170" s="134"/>
      <c r="F170" s="134"/>
      <c r="K170" s="134"/>
      <c r="W170" s="134"/>
    </row>
    <row r="171" spans="2:23">
      <c r="B171" s="134"/>
      <c r="E171" s="134"/>
      <c r="F171" s="134"/>
      <c r="K171" s="134"/>
      <c r="W171" s="134"/>
    </row>
    <row r="172" spans="2:23">
      <c r="B172" s="134"/>
      <c r="E172" s="134"/>
      <c r="F172" s="134"/>
      <c r="K172" s="134"/>
      <c r="W172" s="134"/>
    </row>
    <row r="173" spans="2:23">
      <c r="B173" s="134"/>
      <c r="E173" s="134"/>
      <c r="F173" s="134"/>
      <c r="K173" s="134"/>
      <c r="W173" s="134"/>
    </row>
    <row r="174" spans="2:23">
      <c r="B174" s="134"/>
      <c r="E174" s="134"/>
      <c r="F174" s="134"/>
      <c r="K174" s="134"/>
      <c r="W174" s="134"/>
    </row>
    <row r="175" spans="2:23">
      <c r="B175" s="134"/>
      <c r="E175" s="134"/>
      <c r="F175" s="134"/>
      <c r="K175" s="134"/>
      <c r="W175" s="134"/>
    </row>
    <row r="176" spans="2:23">
      <c r="B176" s="134"/>
      <c r="E176" s="134"/>
      <c r="F176" s="134"/>
      <c r="K176" s="134"/>
      <c r="W176" s="134"/>
    </row>
    <row r="177" spans="2:23">
      <c r="B177" s="134"/>
      <c r="E177" s="134"/>
      <c r="F177" s="134"/>
      <c r="K177" s="134"/>
      <c r="W177" s="134"/>
    </row>
    <row r="178" spans="2:23">
      <c r="B178" s="134"/>
      <c r="E178" s="134"/>
      <c r="F178" s="134"/>
      <c r="K178" s="134"/>
      <c r="W178" s="134"/>
    </row>
    <row r="179" spans="2:23">
      <c r="B179" s="134"/>
      <c r="E179" s="134"/>
      <c r="F179" s="134"/>
      <c r="K179" s="134"/>
      <c r="W179" s="134"/>
    </row>
    <row r="180" spans="2:23">
      <c r="B180" s="134"/>
      <c r="E180" s="134"/>
      <c r="F180" s="134"/>
      <c r="K180" s="134"/>
      <c r="W180" s="134"/>
    </row>
    <row r="181" spans="2:23">
      <c r="B181" s="134"/>
      <c r="E181" s="134"/>
      <c r="F181" s="134"/>
      <c r="K181" s="134"/>
      <c r="W181" s="134"/>
    </row>
    <row r="182" spans="2:23">
      <c r="B182" s="134"/>
      <c r="E182" s="134"/>
      <c r="F182" s="134"/>
      <c r="K182" s="134"/>
      <c r="W182" s="134"/>
    </row>
    <row r="183" spans="2:23">
      <c r="B183" s="134"/>
      <c r="E183" s="134"/>
      <c r="F183" s="134"/>
      <c r="K183" s="134"/>
      <c r="W183" s="134"/>
    </row>
    <row r="184" spans="2:23">
      <c r="B184" s="134"/>
      <c r="E184" s="134"/>
      <c r="F184" s="134"/>
      <c r="K184" s="134"/>
      <c r="W184" s="134"/>
    </row>
    <row r="185" spans="2:23">
      <c r="B185" s="134"/>
      <c r="E185" s="134"/>
      <c r="F185" s="134"/>
      <c r="K185" s="134"/>
      <c r="W185" s="134"/>
    </row>
    <row r="186" spans="2:23">
      <c r="B186" s="134"/>
      <c r="E186" s="134"/>
      <c r="F186" s="134"/>
      <c r="K186" s="134"/>
      <c r="W186" s="134"/>
    </row>
    <row r="187" spans="2:23">
      <c r="B187" s="134"/>
      <c r="E187" s="134"/>
      <c r="F187" s="134"/>
      <c r="K187" s="134"/>
      <c r="W187" s="134"/>
    </row>
    <row r="188" spans="2:23">
      <c r="B188" s="134"/>
      <c r="E188" s="134"/>
      <c r="F188" s="134"/>
      <c r="K188" s="134"/>
      <c r="W188" s="134"/>
    </row>
    <row r="189" spans="2:23">
      <c r="B189" s="134"/>
      <c r="E189" s="134"/>
      <c r="F189" s="134"/>
      <c r="K189" s="134"/>
      <c r="W189" s="134"/>
    </row>
    <row r="190" spans="2:23">
      <c r="B190" s="134"/>
      <c r="E190" s="134"/>
      <c r="F190" s="134"/>
      <c r="K190" s="134"/>
      <c r="W190" s="134"/>
    </row>
    <row r="191" spans="2:23">
      <c r="B191" s="134"/>
      <c r="E191" s="134"/>
      <c r="F191" s="134"/>
      <c r="K191" s="134"/>
      <c r="W191" s="134"/>
    </row>
    <row r="192" spans="2:23">
      <c r="B192" s="134"/>
      <c r="E192" s="134"/>
      <c r="F192" s="134"/>
      <c r="K192" s="134"/>
      <c r="W192" s="134"/>
    </row>
    <row r="193" spans="2:23">
      <c r="B193" s="134"/>
      <c r="E193" s="134"/>
      <c r="F193" s="134"/>
      <c r="K193" s="134"/>
      <c r="W193" s="134"/>
    </row>
    <row r="194" spans="2:23">
      <c r="B194" s="134"/>
      <c r="E194" s="134"/>
      <c r="F194" s="134"/>
      <c r="K194" s="134"/>
      <c r="W194" s="134"/>
    </row>
    <row r="195" spans="2:23">
      <c r="B195" s="134"/>
      <c r="E195" s="134"/>
      <c r="F195" s="134"/>
      <c r="K195" s="134"/>
      <c r="W195" s="134"/>
    </row>
    <row r="196" spans="2:23">
      <c r="B196" s="134"/>
      <c r="E196" s="134"/>
      <c r="F196" s="134"/>
      <c r="K196" s="134"/>
      <c r="W196" s="134"/>
    </row>
    <row r="197" spans="2:23">
      <c r="B197" s="134"/>
      <c r="E197" s="134"/>
      <c r="F197" s="134"/>
      <c r="K197" s="134"/>
      <c r="W197" s="134"/>
    </row>
    <row r="198" spans="2:23">
      <c r="B198" s="134"/>
      <c r="E198" s="134"/>
      <c r="F198" s="134"/>
      <c r="K198" s="134"/>
      <c r="W198" s="134"/>
    </row>
    <row r="199" spans="2:23">
      <c r="B199" s="134"/>
      <c r="E199" s="134"/>
      <c r="F199" s="134"/>
      <c r="K199" s="134"/>
      <c r="W199" s="134"/>
    </row>
    <row r="200" spans="2:23">
      <c r="B200" s="134"/>
      <c r="E200" s="134"/>
      <c r="F200" s="134"/>
      <c r="K200" s="134"/>
      <c r="W200" s="134"/>
    </row>
    <row r="201" spans="2:23">
      <c r="B201" s="134"/>
      <c r="E201" s="134"/>
      <c r="F201" s="134"/>
      <c r="K201" s="134"/>
      <c r="W201" s="134"/>
    </row>
    <row r="202" spans="2:23">
      <c r="B202" s="134"/>
      <c r="E202" s="134"/>
      <c r="F202" s="134"/>
      <c r="K202" s="134"/>
      <c r="W202" s="134"/>
    </row>
    <row r="203" spans="2:23">
      <c r="B203" s="134"/>
      <c r="E203" s="134"/>
      <c r="F203" s="134"/>
      <c r="K203" s="134"/>
      <c r="W203" s="134"/>
    </row>
    <row r="204" spans="2:23">
      <c r="B204" s="134"/>
      <c r="E204" s="134"/>
      <c r="F204" s="134"/>
      <c r="K204" s="134"/>
      <c r="W204" s="134"/>
    </row>
    <row r="205" spans="2:23">
      <c r="B205" s="134"/>
      <c r="E205" s="134"/>
      <c r="F205" s="134"/>
      <c r="K205" s="134"/>
      <c r="W205" s="134"/>
    </row>
    <row r="206" spans="2:23">
      <c r="B206" s="134"/>
      <c r="E206" s="134"/>
      <c r="F206" s="134"/>
      <c r="K206" s="134"/>
      <c r="W206" s="134"/>
    </row>
    <row r="207" spans="2:23">
      <c r="B207" s="134"/>
      <c r="E207" s="134"/>
      <c r="F207" s="134"/>
      <c r="K207" s="134"/>
      <c r="W207" s="134"/>
    </row>
    <row r="208" spans="2:23">
      <c r="B208" s="134"/>
      <c r="E208" s="134"/>
      <c r="F208" s="134"/>
      <c r="K208" s="134"/>
      <c r="W208" s="134"/>
    </row>
    <row r="209" spans="2:23">
      <c r="B209" s="134"/>
      <c r="E209" s="134"/>
      <c r="F209" s="134"/>
      <c r="K209" s="134"/>
      <c r="W209" s="134"/>
    </row>
    <row r="210" spans="2:23">
      <c r="B210" s="134"/>
      <c r="E210" s="134"/>
      <c r="F210" s="134"/>
      <c r="K210" s="134"/>
      <c r="W210" s="134"/>
    </row>
    <row r="211" spans="2:23">
      <c r="B211" s="134"/>
      <c r="E211" s="134"/>
      <c r="F211" s="134"/>
      <c r="K211" s="134"/>
      <c r="W211" s="134"/>
    </row>
    <row r="212" spans="2:23">
      <c r="B212" s="134"/>
      <c r="E212" s="134"/>
      <c r="F212" s="134"/>
      <c r="K212" s="134"/>
      <c r="W212" s="134"/>
    </row>
    <row r="213" spans="2:23">
      <c r="B213" s="134"/>
      <c r="E213" s="134"/>
      <c r="F213" s="134"/>
      <c r="K213" s="134"/>
      <c r="W213" s="134"/>
    </row>
    <row r="214" spans="2:23">
      <c r="B214" s="134"/>
      <c r="E214" s="134"/>
      <c r="F214" s="134"/>
      <c r="K214" s="134"/>
      <c r="W214" s="134"/>
    </row>
    <row r="215" spans="2:23">
      <c r="B215" s="134"/>
      <c r="E215" s="134"/>
      <c r="F215" s="134"/>
      <c r="K215" s="134"/>
      <c r="W215" s="134"/>
    </row>
    <row r="216" spans="2:23">
      <c r="B216" s="134"/>
      <c r="E216" s="134"/>
      <c r="F216" s="134"/>
      <c r="K216" s="134"/>
      <c r="W216" s="134"/>
    </row>
    <row r="217" spans="2:23">
      <c r="B217" s="134"/>
      <c r="E217" s="134"/>
      <c r="F217" s="134"/>
      <c r="K217" s="134"/>
      <c r="W217" s="134"/>
    </row>
    <row r="218" spans="2:23">
      <c r="B218" s="134"/>
      <c r="E218" s="134"/>
      <c r="F218" s="134"/>
      <c r="K218" s="134"/>
      <c r="W218" s="134"/>
    </row>
    <row r="219" spans="2:23">
      <c r="B219" s="134"/>
      <c r="E219" s="134"/>
      <c r="F219" s="134"/>
      <c r="K219" s="134"/>
      <c r="W219" s="134"/>
    </row>
    <row r="220" spans="2:23">
      <c r="B220" s="134"/>
      <c r="E220" s="134"/>
      <c r="F220" s="134"/>
      <c r="K220" s="134"/>
      <c r="W220" s="134"/>
    </row>
    <row r="221" spans="2:23">
      <c r="B221" s="134"/>
      <c r="E221" s="134"/>
      <c r="F221" s="134"/>
      <c r="K221" s="134"/>
      <c r="W221" s="134"/>
    </row>
    <row r="222" spans="2:23">
      <c r="B222" s="134"/>
      <c r="E222" s="134"/>
      <c r="F222" s="134"/>
      <c r="K222" s="134"/>
      <c r="W222" s="134"/>
    </row>
    <row r="223" spans="2:23">
      <c r="B223" s="134"/>
      <c r="E223" s="134"/>
      <c r="F223" s="134"/>
      <c r="K223" s="134"/>
      <c r="W223" s="134"/>
    </row>
    <row r="224" spans="2:23">
      <c r="B224" s="134"/>
      <c r="E224" s="134"/>
      <c r="F224" s="134"/>
      <c r="K224" s="134"/>
      <c r="W224" s="134"/>
    </row>
    <row r="225" spans="2:23">
      <c r="B225" s="134"/>
      <c r="E225" s="134"/>
      <c r="F225" s="134"/>
      <c r="K225" s="134"/>
      <c r="W225" s="134"/>
    </row>
    <row r="226" spans="2:23">
      <c r="B226" s="134"/>
      <c r="E226" s="134"/>
      <c r="F226" s="134"/>
      <c r="K226" s="134"/>
      <c r="W226" s="134"/>
    </row>
    <row r="227" spans="2:23">
      <c r="B227" s="134"/>
      <c r="E227" s="134"/>
      <c r="F227" s="134"/>
      <c r="K227" s="134"/>
      <c r="W227" s="134"/>
    </row>
    <row r="228" spans="2:23">
      <c r="B228" s="134"/>
      <c r="E228" s="134"/>
      <c r="F228" s="134"/>
      <c r="K228" s="134"/>
      <c r="W228" s="134"/>
    </row>
    <row r="229" spans="2:23">
      <c r="B229" s="134"/>
      <c r="E229" s="134"/>
      <c r="F229" s="134"/>
      <c r="K229" s="134"/>
      <c r="W229" s="134"/>
    </row>
    <row r="230" spans="2:23">
      <c r="B230" s="134"/>
      <c r="E230" s="134"/>
      <c r="F230" s="134"/>
      <c r="K230" s="134"/>
      <c r="W230" s="134"/>
    </row>
    <row r="231" spans="2:23">
      <c r="B231" s="134"/>
      <c r="E231" s="134"/>
      <c r="F231" s="134"/>
      <c r="K231" s="134"/>
      <c r="W231" s="134"/>
    </row>
    <row r="232" spans="2:23">
      <c r="B232" s="134"/>
      <c r="E232" s="134"/>
      <c r="F232" s="134"/>
      <c r="K232" s="134"/>
      <c r="W232" s="134"/>
    </row>
    <row r="233" spans="2:23">
      <c r="B233" s="134"/>
      <c r="E233" s="134"/>
      <c r="F233" s="134"/>
      <c r="K233" s="134"/>
      <c r="W233" s="134"/>
    </row>
    <row r="234" spans="2:23">
      <c r="B234" s="134"/>
      <c r="E234" s="134"/>
      <c r="F234" s="134"/>
      <c r="K234" s="134"/>
      <c r="W234" s="134"/>
    </row>
    <row r="235" spans="2:23">
      <c r="B235" s="134"/>
      <c r="E235" s="134"/>
      <c r="F235" s="134"/>
      <c r="K235" s="134"/>
      <c r="W235" s="134"/>
    </row>
    <row r="236" spans="2:23">
      <c r="B236" s="134"/>
      <c r="E236" s="134"/>
      <c r="F236" s="134"/>
      <c r="K236" s="134"/>
      <c r="W236" s="134"/>
    </row>
    <row r="237" spans="2:23">
      <c r="B237" s="134"/>
      <c r="E237" s="134"/>
      <c r="F237" s="134"/>
      <c r="K237" s="134"/>
      <c r="W237" s="134"/>
    </row>
    <row r="238" spans="2:23">
      <c r="B238" s="134"/>
      <c r="E238" s="134"/>
      <c r="F238" s="134"/>
      <c r="K238" s="134"/>
      <c r="W238" s="134"/>
    </row>
    <row r="239" spans="2:23">
      <c r="B239" s="134"/>
      <c r="E239" s="134"/>
      <c r="F239" s="134"/>
      <c r="K239" s="134"/>
      <c r="W239" s="134"/>
    </row>
    <row r="240" spans="2:23">
      <c r="B240" s="134"/>
      <c r="E240" s="134"/>
      <c r="F240" s="134"/>
      <c r="K240" s="134"/>
      <c r="W240" s="134"/>
    </row>
    <row r="241" spans="2:23">
      <c r="B241" s="134"/>
      <c r="E241" s="134"/>
      <c r="F241" s="134"/>
      <c r="K241" s="134"/>
      <c r="W241" s="134"/>
    </row>
    <row r="242" spans="2:23">
      <c r="B242" s="134"/>
      <c r="E242" s="134"/>
      <c r="F242" s="134"/>
      <c r="K242" s="134"/>
      <c r="W242" s="134"/>
    </row>
    <row r="243" spans="2:23">
      <c r="B243" s="134"/>
      <c r="E243" s="134"/>
      <c r="F243" s="134"/>
      <c r="K243" s="134"/>
      <c r="W243" s="134"/>
    </row>
    <row r="244" spans="2:23">
      <c r="B244" s="134"/>
      <c r="E244" s="134"/>
      <c r="F244" s="134"/>
      <c r="K244" s="134"/>
      <c r="W244" s="134"/>
    </row>
    <row r="245" spans="2:23">
      <c r="B245" s="134"/>
      <c r="E245" s="134"/>
      <c r="F245" s="134"/>
      <c r="K245" s="134"/>
      <c r="W245" s="134"/>
    </row>
    <row r="246" spans="2:23">
      <c r="B246" s="134"/>
      <c r="E246" s="134"/>
      <c r="F246" s="134"/>
      <c r="K246" s="134"/>
      <c r="W246" s="134"/>
    </row>
    <row r="247" spans="2:23">
      <c r="B247" s="134"/>
      <c r="E247" s="134"/>
      <c r="F247" s="134"/>
      <c r="K247" s="134"/>
      <c r="W247" s="134"/>
    </row>
    <row r="248" spans="2:23">
      <c r="B248" s="134"/>
      <c r="E248" s="134"/>
      <c r="F248" s="134"/>
      <c r="K248" s="134"/>
      <c r="W248" s="134"/>
    </row>
    <row r="249" spans="2:23">
      <c r="B249" s="134"/>
      <c r="E249" s="134"/>
      <c r="F249" s="134"/>
      <c r="K249" s="134"/>
      <c r="W249" s="134"/>
    </row>
    <row r="250" spans="2:23">
      <c r="B250" s="134"/>
      <c r="E250" s="134"/>
      <c r="F250" s="134"/>
      <c r="K250" s="134"/>
      <c r="W250" s="134"/>
    </row>
    <row r="251" spans="2:23">
      <c r="B251" s="134"/>
      <c r="E251" s="134"/>
      <c r="F251" s="134"/>
      <c r="K251" s="134"/>
      <c r="W251" s="134"/>
    </row>
    <row r="252" spans="2:23">
      <c r="B252" s="134"/>
      <c r="E252" s="134"/>
      <c r="F252" s="134"/>
      <c r="K252" s="134"/>
      <c r="W252" s="134"/>
    </row>
    <row r="253" spans="2:23">
      <c r="B253" s="134"/>
      <c r="E253" s="134"/>
      <c r="F253" s="134"/>
      <c r="K253" s="134"/>
      <c r="W253" s="134"/>
    </row>
    <row r="254" spans="2:23">
      <c r="B254" s="134"/>
      <c r="E254" s="134"/>
      <c r="F254" s="134"/>
      <c r="K254" s="134"/>
      <c r="W254" s="134"/>
    </row>
    <row r="255" spans="2:23">
      <c r="B255" s="134"/>
      <c r="E255" s="134"/>
      <c r="F255" s="134"/>
      <c r="K255" s="134"/>
      <c r="W255" s="134"/>
    </row>
    <row r="256" spans="2:23">
      <c r="B256" s="134"/>
      <c r="E256" s="134"/>
      <c r="F256" s="134"/>
      <c r="K256" s="134"/>
      <c r="W256" s="134"/>
    </row>
    <row r="257" spans="2:23">
      <c r="B257" s="134"/>
      <c r="E257" s="134"/>
      <c r="F257" s="134"/>
      <c r="K257" s="134"/>
      <c r="W257" s="134"/>
    </row>
    <row r="258" spans="2:23">
      <c r="B258" s="134"/>
      <c r="E258" s="134"/>
      <c r="F258" s="134"/>
      <c r="K258" s="134"/>
      <c r="W258" s="134"/>
    </row>
    <row r="259" spans="2:23">
      <c r="B259" s="134"/>
      <c r="E259" s="134"/>
      <c r="F259" s="134"/>
      <c r="K259" s="134"/>
      <c r="W259" s="134"/>
    </row>
    <row r="260" spans="2:23">
      <c r="B260" s="134"/>
      <c r="E260" s="134"/>
      <c r="F260" s="134"/>
      <c r="K260" s="134"/>
      <c r="W260" s="134"/>
    </row>
    <row r="261" spans="2:23">
      <c r="B261" s="134"/>
      <c r="E261" s="134"/>
      <c r="F261" s="134"/>
      <c r="K261" s="134"/>
      <c r="W261" s="134"/>
    </row>
    <row r="262" spans="2:23">
      <c r="B262" s="134"/>
      <c r="E262" s="134"/>
      <c r="F262" s="134"/>
      <c r="K262" s="134"/>
      <c r="W262" s="134"/>
    </row>
    <row r="263" spans="2:23">
      <c r="B263" s="134"/>
      <c r="E263" s="134"/>
      <c r="F263" s="134"/>
      <c r="K263" s="134"/>
      <c r="W263" s="134"/>
    </row>
    <row r="264" spans="2:23">
      <c r="B264" s="134"/>
      <c r="E264" s="134"/>
      <c r="F264" s="134"/>
      <c r="K264" s="134"/>
      <c r="W264" s="134"/>
    </row>
    <row r="265" spans="2:23">
      <c r="B265" s="134"/>
      <c r="E265" s="134"/>
      <c r="F265" s="134"/>
      <c r="K265" s="134"/>
      <c r="W265" s="134"/>
    </row>
    <row r="266" spans="2:23">
      <c r="B266" s="134"/>
      <c r="E266" s="134"/>
      <c r="F266" s="134"/>
      <c r="K266" s="134"/>
      <c r="W266" s="134"/>
    </row>
    <row r="267" spans="2:23">
      <c r="B267" s="134"/>
      <c r="E267" s="134"/>
      <c r="F267" s="134"/>
      <c r="K267" s="134"/>
      <c r="W267" s="134"/>
    </row>
    <row r="268" spans="2:23">
      <c r="B268" s="134"/>
      <c r="E268" s="134"/>
      <c r="F268" s="134"/>
      <c r="K268" s="134"/>
      <c r="W268" s="134"/>
    </row>
    <row r="269" spans="2:23">
      <c r="B269" s="134"/>
      <c r="E269" s="134"/>
      <c r="F269" s="134"/>
      <c r="K269" s="134"/>
      <c r="W269" s="134"/>
    </row>
    <row r="270" spans="2:23">
      <c r="B270" s="134"/>
      <c r="E270" s="134"/>
      <c r="F270" s="134"/>
      <c r="K270" s="134"/>
      <c r="W270" s="134"/>
    </row>
    <row r="271" spans="2:23">
      <c r="B271" s="134"/>
      <c r="E271" s="134"/>
      <c r="F271" s="134"/>
      <c r="K271" s="134"/>
      <c r="W271" s="134"/>
    </row>
    <row r="272" spans="2:23">
      <c r="B272" s="134"/>
      <c r="E272" s="134"/>
      <c r="F272" s="134"/>
      <c r="K272" s="134"/>
      <c r="W272" s="134"/>
    </row>
    <row r="273" spans="2:23">
      <c r="B273" s="134"/>
      <c r="E273" s="134"/>
      <c r="F273" s="134"/>
      <c r="K273" s="134"/>
      <c r="W273" s="134"/>
    </row>
    <row r="274" spans="2:23">
      <c r="B274" s="134"/>
      <c r="E274" s="134"/>
      <c r="F274" s="134"/>
      <c r="K274" s="134"/>
      <c r="W274" s="134"/>
    </row>
    <row r="275" spans="2:23">
      <c r="B275" s="134"/>
      <c r="E275" s="134"/>
      <c r="F275" s="134"/>
      <c r="K275" s="134"/>
      <c r="W275" s="134"/>
    </row>
    <row r="276" spans="2:23">
      <c r="B276" s="134"/>
      <c r="E276" s="134"/>
      <c r="F276" s="134"/>
      <c r="K276" s="134"/>
      <c r="W276" s="134"/>
    </row>
    <row r="277" spans="2:23">
      <c r="B277" s="134"/>
      <c r="E277" s="134"/>
      <c r="F277" s="134"/>
      <c r="K277" s="134"/>
      <c r="W277" s="134"/>
    </row>
    <row r="278" spans="2:23">
      <c r="B278" s="134"/>
      <c r="E278" s="134"/>
      <c r="F278" s="134"/>
      <c r="K278" s="134"/>
      <c r="W278" s="134"/>
    </row>
    <row r="279" spans="2:23">
      <c r="B279" s="134"/>
      <c r="E279" s="134"/>
      <c r="F279" s="134"/>
      <c r="K279" s="134"/>
      <c r="W279" s="134"/>
    </row>
    <row r="280" spans="2:23">
      <c r="B280" s="134"/>
      <c r="E280" s="134"/>
      <c r="F280" s="134"/>
      <c r="K280" s="134"/>
      <c r="W280" s="134"/>
    </row>
    <row r="281" spans="2:23">
      <c r="B281" s="134"/>
      <c r="E281" s="134"/>
      <c r="F281" s="134"/>
      <c r="K281" s="134"/>
      <c r="W281" s="134"/>
    </row>
    <row r="282" spans="2:23">
      <c r="B282" s="134"/>
      <c r="E282" s="134"/>
      <c r="F282" s="134"/>
      <c r="K282" s="134"/>
      <c r="W282" s="134"/>
    </row>
    <row r="283" spans="2:23">
      <c r="B283" s="134"/>
      <c r="E283" s="134"/>
      <c r="F283" s="134"/>
      <c r="K283" s="134"/>
      <c r="W283" s="134"/>
    </row>
    <row r="284" spans="2:23">
      <c r="B284" s="134"/>
      <c r="E284" s="134"/>
      <c r="F284" s="134"/>
      <c r="K284" s="134"/>
      <c r="W284" s="134"/>
    </row>
    <row r="285" spans="2:23">
      <c r="B285" s="134"/>
      <c r="E285" s="134"/>
      <c r="F285" s="134"/>
      <c r="K285" s="134"/>
      <c r="W285" s="134"/>
    </row>
    <row r="286" spans="2:23">
      <c r="B286" s="134"/>
      <c r="E286" s="134"/>
      <c r="F286" s="134"/>
      <c r="K286" s="134"/>
      <c r="W286" s="134"/>
    </row>
    <row r="287" spans="2:23">
      <c r="B287" s="134"/>
      <c r="E287" s="134"/>
      <c r="F287" s="134"/>
      <c r="K287" s="134"/>
      <c r="W287" s="134"/>
    </row>
    <row r="288" spans="2:23">
      <c r="B288" s="134"/>
      <c r="E288" s="134"/>
      <c r="F288" s="134"/>
      <c r="K288" s="134"/>
      <c r="W288" s="134"/>
    </row>
    <row r="289" spans="2:23">
      <c r="B289" s="134"/>
      <c r="E289" s="134"/>
      <c r="F289" s="134"/>
      <c r="K289" s="134"/>
      <c r="W289" s="134"/>
    </row>
    <row r="290" spans="2:23">
      <c r="B290" s="134"/>
      <c r="E290" s="134"/>
      <c r="F290" s="134"/>
      <c r="K290" s="134"/>
      <c r="W290" s="134"/>
    </row>
    <row r="291" spans="2:23">
      <c r="B291" s="134"/>
      <c r="E291" s="134"/>
      <c r="F291" s="134"/>
      <c r="K291" s="134"/>
      <c r="W291" s="134"/>
    </row>
    <row r="292" spans="2:23">
      <c r="B292" s="134"/>
      <c r="E292" s="134"/>
      <c r="F292" s="134"/>
      <c r="K292" s="134"/>
      <c r="W292" s="134"/>
    </row>
    <row r="293" spans="2:23">
      <c r="B293" s="134"/>
      <c r="E293" s="134"/>
      <c r="F293" s="134"/>
      <c r="K293" s="134"/>
      <c r="W293" s="134"/>
    </row>
    <row r="294" spans="2:23">
      <c r="B294" s="134"/>
      <c r="E294" s="134"/>
      <c r="F294" s="134"/>
      <c r="K294" s="134"/>
      <c r="W294" s="134"/>
    </row>
    <row r="295" spans="2:23">
      <c r="B295" s="134"/>
      <c r="E295" s="134"/>
      <c r="F295" s="134"/>
      <c r="K295" s="134"/>
      <c r="W295" s="134"/>
    </row>
    <row r="296" spans="2:23">
      <c r="B296" s="134"/>
      <c r="E296" s="134"/>
      <c r="F296" s="134"/>
      <c r="K296" s="134"/>
      <c r="W296" s="134"/>
    </row>
    <row r="297" spans="2:23">
      <c r="B297" s="134"/>
      <c r="E297" s="134"/>
      <c r="F297" s="134"/>
      <c r="K297" s="134"/>
      <c r="W297" s="134"/>
    </row>
    <row r="298" spans="2:23">
      <c r="B298" s="134"/>
      <c r="E298" s="134"/>
      <c r="F298" s="134"/>
      <c r="K298" s="134"/>
      <c r="W298" s="134"/>
    </row>
    <row r="299" spans="2:23">
      <c r="B299" s="134"/>
      <c r="E299" s="134"/>
      <c r="F299" s="134"/>
      <c r="K299" s="134"/>
      <c r="W299" s="134"/>
    </row>
    <row r="300" spans="2:23">
      <c r="B300" s="134"/>
      <c r="E300" s="134"/>
      <c r="F300" s="134"/>
      <c r="K300" s="134"/>
      <c r="W300" s="134"/>
    </row>
    <row r="301" spans="2:23">
      <c r="B301" s="134"/>
      <c r="E301" s="134"/>
      <c r="F301" s="134"/>
      <c r="K301" s="134"/>
      <c r="W301" s="134"/>
    </row>
    <row r="302" spans="2:23">
      <c r="B302" s="134"/>
      <c r="E302" s="134"/>
      <c r="F302" s="134"/>
      <c r="K302" s="134"/>
      <c r="W302" s="134"/>
    </row>
    <row r="303" spans="2:23">
      <c r="B303" s="134"/>
      <c r="E303" s="134"/>
      <c r="F303" s="134"/>
      <c r="K303" s="134"/>
      <c r="W303" s="134"/>
    </row>
    <row r="304" spans="2:23">
      <c r="B304" s="134"/>
      <c r="E304" s="134"/>
      <c r="F304" s="134"/>
      <c r="K304" s="134"/>
      <c r="W304" s="134"/>
    </row>
    <row r="305" spans="2:23">
      <c r="B305" s="134"/>
      <c r="E305" s="134"/>
      <c r="F305" s="134"/>
      <c r="K305" s="134"/>
      <c r="W305" s="134"/>
    </row>
    <row r="306" spans="2:23">
      <c r="B306" s="134"/>
      <c r="E306" s="134"/>
      <c r="F306" s="134"/>
      <c r="K306" s="134"/>
      <c r="W306" s="134"/>
    </row>
    <row r="307" spans="2:23">
      <c r="B307" s="134"/>
      <c r="E307" s="134"/>
      <c r="F307" s="134"/>
      <c r="K307" s="134"/>
      <c r="W307" s="134"/>
    </row>
    <row r="308" spans="2:23">
      <c r="B308" s="134"/>
      <c r="E308" s="134"/>
      <c r="F308" s="134"/>
      <c r="K308" s="134"/>
      <c r="W308" s="134"/>
    </row>
    <row r="309" spans="2:23">
      <c r="B309" s="134"/>
      <c r="E309" s="134"/>
      <c r="F309" s="134"/>
      <c r="K309" s="134"/>
      <c r="W309" s="134"/>
    </row>
    <row r="310" spans="2:23">
      <c r="B310" s="134"/>
      <c r="E310" s="134"/>
      <c r="F310" s="134"/>
      <c r="K310" s="134"/>
      <c r="W310" s="134"/>
    </row>
    <row r="311" spans="2:23">
      <c r="B311" s="134"/>
      <c r="E311" s="134"/>
      <c r="F311" s="134"/>
      <c r="K311" s="134"/>
      <c r="W311" s="134"/>
    </row>
    <row r="312" spans="2:23">
      <c r="B312" s="134"/>
      <c r="E312" s="134"/>
      <c r="F312" s="134"/>
      <c r="K312" s="134"/>
      <c r="W312" s="134"/>
    </row>
    <row r="313" spans="2:23">
      <c r="B313" s="134"/>
      <c r="E313" s="134"/>
      <c r="F313" s="134"/>
      <c r="K313" s="134"/>
      <c r="W313" s="134"/>
    </row>
    <row r="314" spans="2:23">
      <c r="B314" s="134"/>
      <c r="E314" s="134"/>
      <c r="F314" s="134"/>
      <c r="K314" s="134"/>
      <c r="W314" s="134"/>
    </row>
    <row r="315" spans="2:23">
      <c r="B315" s="134"/>
      <c r="E315" s="134"/>
      <c r="F315" s="134"/>
      <c r="K315" s="134"/>
      <c r="W315" s="134"/>
    </row>
    <row r="316" spans="2:23">
      <c r="B316" s="134"/>
      <c r="E316" s="134"/>
      <c r="F316" s="134"/>
      <c r="K316" s="134"/>
      <c r="W316" s="134"/>
    </row>
    <row r="317" spans="2:23">
      <c r="B317" s="134"/>
      <c r="E317" s="134"/>
      <c r="F317" s="134"/>
      <c r="K317" s="134"/>
      <c r="W317" s="134"/>
    </row>
    <row r="318" spans="2:23">
      <c r="B318" s="134"/>
      <c r="E318" s="134"/>
      <c r="F318" s="134"/>
      <c r="K318" s="134"/>
      <c r="W318" s="134"/>
    </row>
    <row r="319" spans="2:23">
      <c r="B319" s="134"/>
      <c r="E319" s="134"/>
      <c r="F319" s="134"/>
      <c r="K319" s="134"/>
      <c r="W319" s="134"/>
    </row>
    <row r="320" spans="2:23">
      <c r="B320" s="134"/>
      <c r="E320" s="134"/>
      <c r="F320" s="134"/>
      <c r="K320" s="134"/>
      <c r="W320" s="134"/>
    </row>
    <row r="321" spans="2:23">
      <c r="B321" s="134"/>
      <c r="E321" s="134"/>
      <c r="F321" s="134"/>
      <c r="K321" s="134"/>
      <c r="W321" s="134"/>
    </row>
    <row r="322" spans="2:23">
      <c r="B322" s="134"/>
      <c r="E322" s="134"/>
      <c r="F322" s="134"/>
      <c r="K322" s="134"/>
      <c r="W322" s="134"/>
    </row>
    <row r="323" spans="2:23">
      <c r="B323" s="134"/>
      <c r="E323" s="134"/>
      <c r="F323" s="134"/>
      <c r="K323" s="134"/>
      <c r="W323" s="134"/>
    </row>
    <row r="324" spans="2:23">
      <c r="B324" s="134"/>
      <c r="E324" s="134"/>
      <c r="F324" s="134"/>
      <c r="K324" s="134"/>
      <c r="W324" s="134"/>
    </row>
    <row r="325" spans="2:23">
      <c r="B325" s="134"/>
      <c r="E325" s="134"/>
      <c r="F325" s="134"/>
      <c r="K325" s="134"/>
      <c r="W325" s="134"/>
    </row>
    <row r="326" spans="2:23">
      <c r="B326" s="134"/>
      <c r="E326" s="134"/>
      <c r="F326" s="134"/>
      <c r="K326" s="134"/>
      <c r="W326" s="134"/>
    </row>
    <row r="327" spans="2:23">
      <c r="B327" s="134"/>
      <c r="E327" s="134"/>
      <c r="F327" s="134"/>
      <c r="K327" s="134"/>
      <c r="W327" s="134"/>
    </row>
    <row r="328" spans="2:23">
      <c r="B328" s="134"/>
      <c r="E328" s="134"/>
      <c r="F328" s="134"/>
      <c r="K328" s="134"/>
      <c r="W328" s="134"/>
    </row>
    <row r="329" spans="2:23">
      <c r="B329" s="134"/>
      <c r="E329" s="134"/>
      <c r="F329" s="134"/>
      <c r="K329" s="134"/>
      <c r="W329" s="134"/>
    </row>
    <row r="330" spans="2:23">
      <c r="B330" s="134"/>
      <c r="E330" s="134"/>
      <c r="F330" s="134"/>
      <c r="K330" s="134"/>
      <c r="W330" s="134"/>
    </row>
    <row r="331" spans="2:23">
      <c r="B331" s="134"/>
      <c r="E331" s="134"/>
      <c r="F331" s="134"/>
      <c r="K331" s="134"/>
      <c r="W331" s="134"/>
    </row>
    <row r="332" spans="2:23">
      <c r="B332" s="134"/>
      <c r="E332" s="134"/>
      <c r="F332" s="134"/>
      <c r="K332" s="134"/>
      <c r="W332" s="134"/>
    </row>
    <row r="333" spans="2:23">
      <c r="B333" s="134"/>
      <c r="E333" s="134"/>
      <c r="F333" s="134"/>
      <c r="K333" s="134"/>
      <c r="W333" s="134"/>
    </row>
  </sheetData>
  <autoFilter ref="A5:V153" xr:uid="{A428D815-D2EE-4083-B3A5-3C76B2EA161E}">
    <filterColumn colId="21">
      <filters>
        <filter val="1,050"/>
        <filter val="1,064.89"/>
        <filter val="1,183"/>
        <filter val="1,277.86"/>
        <filter val="1,419.85"/>
        <filter val="1,703.82"/>
        <filter val="1,774.81"/>
        <filter val="10,648.87"/>
        <filter val="101,796.00"/>
        <filter val="106,488.71"/>
        <filter val="118.32"/>
        <filter val="12,702"/>
        <filter val="12,778.65"/>
        <filter val="14,057"/>
        <filter val="14,695"/>
        <filter val="141.98"/>
        <filter val="15,192"/>
        <filter val="15,405"/>
        <filter val="15,973.31"/>
        <filter val="16,284"/>
        <filter val="16,872"/>
        <filter val="17,097"/>
        <filter val="17,166.00"/>
        <filter val="17,220"/>
        <filter val="17,292"/>
        <filter val="17,388"/>
        <filter val="17,670"/>
        <filter val="17,800"/>
        <filter val="19,320"/>
        <filter val="2,028"/>
        <filter val="2,028.04"/>
        <filter val="2,129.77"/>
        <filter val="2,130"/>
        <filter val="2,839.70"/>
        <filter val="2,840"/>
        <filter val="2,958.02"/>
        <filter val="20,446"/>
        <filter val="209,428"/>
        <filter val="21,252"/>
        <filter val="21,354.00"/>
        <filter val="21,500"/>
        <filter val="21,582"/>
        <filter val="212.98"/>
        <filter val="23,000"/>
        <filter val="23,184"/>
        <filter val="236.64"/>
        <filter val="266.22"/>
        <filter val="27,510.00"/>
        <filter val="3,017.18"/>
        <filter val="3,456"/>
        <filter val="3,549.62"/>
        <filter val="3,550"/>
        <filter val="3,644.28"/>
        <filter val="33,153"/>
        <filter val="334,796.00"/>
        <filter val="35,496"/>
        <filter val="35,496.24"/>
        <filter val="38,874"/>
        <filter val="4,200"/>
        <filter val="4,259.55"/>
        <filter val="4,260"/>
        <filter val="4,685.50"/>
        <filter val="4,969.47"/>
        <filter val="42,595.48"/>
        <filter val="42.60"/>
        <filter val="425.95"/>
        <filter val="473.28"/>
        <filter val="475,460"/>
        <filter val="49,074"/>
        <filter val="5,034"/>
        <filter val="5,111.46"/>
        <filter val="5,324.44"/>
        <filter val="5,656"/>
        <filter val="53,244.36"/>
        <filter val="58,687"/>
        <filter val="58,687.11"/>
        <filter val="6,389"/>
        <filter val="6,389.32"/>
        <filter val="6,625.96"/>
        <filter val="6,626"/>
        <filter val="600"/>
        <filter val="7,099.25"/>
        <filter val="7,142"/>
        <filter val="7,809.17"/>
        <filter val="709.92"/>
        <filter val="798.67"/>
        <filter val="851.91"/>
        <filter val="887.41"/>
        <filter val="9,000.00"/>
        <filter val="9,360"/>
        <filter val="9,600.00"/>
        <filter val="946.57"/>
      </filters>
    </filterColumn>
  </autoFilter>
  <mergeCells count="5">
    <mergeCell ref="A3:A4"/>
    <mergeCell ref="B3:H3"/>
    <mergeCell ref="I3:O3"/>
    <mergeCell ref="P3:V3"/>
    <mergeCell ref="W3:W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CBA7043CA4964EBE72C8E160DC2A24" ma:contentTypeVersion="2" ma:contentTypeDescription="Crear nuevo documento." ma:contentTypeScope="" ma:versionID="d2bac4eb48276ba079be9dfd5b14a178">
  <xsd:schema xmlns:xsd="http://www.w3.org/2001/XMLSchema" xmlns:xs="http://www.w3.org/2001/XMLSchema" xmlns:p="http://schemas.microsoft.com/office/2006/metadata/properties" xmlns:ns2="8eb5f810-5ab0-433e-9dd5-29827d663b58" targetNamespace="http://schemas.microsoft.com/office/2006/metadata/properties" ma:root="true" ma:fieldsID="f42f8e692e605520cd0eaddfdbe1c074" ns2:_="">
    <xsd:import namespace="8eb5f810-5ab0-433e-9dd5-29827d663b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b5f810-5ab0-433e-9dd5-29827d663b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921477-AAC0-466A-AF6F-CB86CCDBE86B}"/>
</file>

<file path=customXml/itemProps2.xml><?xml version="1.0" encoding="utf-8"?>
<ds:datastoreItem xmlns:ds="http://schemas.openxmlformats.org/officeDocument/2006/customXml" ds:itemID="{D86DA0DD-67BD-4BDA-9B36-D932257A7776}"/>
</file>

<file path=customXml/itemProps3.xml><?xml version="1.0" encoding="utf-8"?>
<ds:datastoreItem xmlns:ds="http://schemas.openxmlformats.org/officeDocument/2006/customXml" ds:itemID="{40433BAB-B8BC-4290-9B1A-2379A88F91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Brakedown per year </vt:lpstr>
      <vt:lpstr>JER </vt:lpstr>
      <vt:lpstr>cost and ben per result  </vt:lpstr>
      <vt:lpstr>NAb + Jer</vt:lpstr>
      <vt:lpstr>Partners Sub-Grant </vt:lpstr>
      <vt:lpstr>time frame</vt:lpstr>
      <vt:lpstr>Gaza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Isleem - MDM WB Field.co</dc:creator>
  <cp:lastModifiedBy>DELL</cp:lastModifiedBy>
  <dcterms:created xsi:type="dcterms:W3CDTF">2018-09-15T08:48:03Z</dcterms:created>
  <dcterms:modified xsi:type="dcterms:W3CDTF">2018-12-17T16:55:27Z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0x0101001FCBA7043CA4964EBE72C8E160DC2A24</vt:lpwstr>
  </property>
</Properties>
</file>