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porrino/MdM_Palestine/Medecins du Monde/ECHO HIP 2019 Palestine - ECHO/ECHO SF/single_form_2018/Anexes/"/>
    </mc:Choice>
  </mc:AlternateContent>
  <xr:revisionPtr revIDLastSave="0" documentId="13_ncr:1_{351958F2-D1E2-EA42-A31C-00ECB7E03C04}" xr6:coauthVersionLast="40" xr6:coauthVersionMax="40" xr10:uidLastSave="{00000000-0000-0000-0000-000000000000}"/>
  <bookViews>
    <workbookView xWindow="0" yWindow="460" windowWidth="28420" windowHeight="16720" activeTab="3" xr2:uid="{8ABE1DC5-FD3B-4C3B-A0FB-826C37F23AF2}"/>
  </bookViews>
  <sheets>
    <sheet name="WB MHPSS ER " sheetId="1" r:id="rId1"/>
    <sheet name="WB Psuchoeducation " sheetId="2" r:id="rId2"/>
    <sheet name="WB total " sheetId="4" r:id="rId3"/>
    <sheet name="total 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5" l="1"/>
  <c r="E8" i="5"/>
  <c r="D8" i="5"/>
  <c r="E7" i="5"/>
  <c r="D7" i="5"/>
  <c r="E6" i="5"/>
  <c r="D6" i="5"/>
  <c r="E5" i="5"/>
  <c r="E9" i="5" s="1"/>
  <c r="D5" i="5"/>
  <c r="D9" i="5" s="1"/>
  <c r="F9" i="5" l="1"/>
  <c r="E11" i="5" l="1"/>
  <c r="E12" i="5"/>
  <c r="E13" i="5"/>
  <c r="E10" i="5"/>
  <c r="D11" i="5"/>
  <c r="D12" i="5"/>
  <c r="D13" i="5"/>
  <c r="D10" i="5"/>
  <c r="C14" i="5"/>
  <c r="E14" i="4"/>
  <c r="C14" i="4"/>
  <c r="B14" i="4"/>
  <c r="E13" i="4"/>
  <c r="C13" i="4"/>
  <c r="B13" i="4" s="1"/>
  <c r="E12" i="4"/>
  <c r="C12" i="4"/>
  <c r="B12" i="4" s="1"/>
  <c r="G17" i="2"/>
  <c r="G16" i="2"/>
  <c r="C16" i="2" s="1"/>
  <c r="E16" i="2" s="1"/>
  <c r="M15" i="2"/>
  <c r="G15" i="2"/>
  <c r="C15" i="2" s="1"/>
  <c r="E15" i="2" s="1"/>
  <c r="N12" i="2"/>
  <c r="N11" i="2"/>
  <c r="M10" i="2"/>
  <c r="N10" i="2" s="1"/>
  <c r="M9" i="2"/>
  <c r="N9" i="2" s="1"/>
  <c r="N7" i="2"/>
  <c r="M6" i="2"/>
  <c r="N6" i="2" s="1"/>
  <c r="F6" i="2"/>
  <c r="N5" i="2"/>
  <c r="C3" i="2"/>
  <c r="B28" i="1"/>
  <c r="F23" i="1"/>
  <c r="J14" i="1" s="1"/>
  <c r="G21" i="1"/>
  <c r="C27" i="1" s="1"/>
  <c r="E27" i="1" s="1"/>
  <c r="G20" i="1"/>
  <c r="G22" i="1" s="1"/>
  <c r="F12" i="1"/>
  <c r="F13" i="1" s="1"/>
  <c r="Q8" i="1"/>
  <c r="B22" i="1" s="1"/>
  <c r="P7" i="1"/>
  <c r="P10" i="1" s="1"/>
  <c r="Q6" i="1"/>
  <c r="D14" i="5" l="1"/>
  <c r="E14" i="5"/>
  <c r="M17" i="2"/>
  <c r="C17" i="2"/>
  <c r="E17" i="2" s="1"/>
  <c r="C28" i="1"/>
  <c r="E28" i="1" s="1"/>
  <c r="C26" i="1"/>
  <c r="E26" i="1" s="1"/>
  <c r="C14" i="1"/>
  <c r="C16" i="1"/>
  <c r="Q7" i="1"/>
  <c r="E19" i="5"/>
  <c r="D19" i="5"/>
  <c r="F19" i="5" s="1"/>
  <c r="I4" i="6"/>
  <c r="H5" i="6"/>
  <c r="I5" i="6"/>
  <c r="I6" i="6"/>
  <c r="H7" i="6"/>
  <c r="I7" i="6"/>
  <c r="I8" i="6"/>
  <c r="H9" i="6"/>
  <c r="I9" i="6"/>
  <c r="I10" i="6"/>
  <c r="H11" i="6"/>
  <c r="I11" i="6"/>
  <c r="I12" i="6"/>
  <c r="H13" i="6"/>
  <c r="I13" i="6"/>
  <c r="I14" i="6"/>
  <c r="H15" i="6"/>
  <c r="I15" i="6"/>
  <c r="I16" i="6"/>
  <c r="H17" i="6"/>
  <c r="I17" i="6"/>
  <c r="I18" i="6"/>
  <c r="H19" i="6"/>
  <c r="I19" i="6"/>
  <c r="I20" i="6"/>
  <c r="H21" i="6"/>
  <c r="I21" i="6"/>
  <c r="I22" i="6"/>
  <c r="I3" i="6"/>
  <c r="H3" i="6"/>
  <c r="G23" i="6"/>
  <c r="H4" i="6" s="1"/>
  <c r="H22" i="6" l="1"/>
  <c r="H20" i="6"/>
  <c r="H18" i="6"/>
  <c r="H16" i="6"/>
  <c r="H14" i="6"/>
  <c r="H12" i="6"/>
  <c r="H10" i="6"/>
  <c r="H8" i="6"/>
  <c r="H6" i="6"/>
  <c r="F14" i="5"/>
  <c r="C15" i="1"/>
  <c r="B6" i="1" s="1"/>
  <c r="F6" i="1" s="1"/>
  <c r="J15" i="1" s="1"/>
  <c r="C17" i="1"/>
  <c r="E6" i="1" s="1"/>
  <c r="C6" i="1"/>
  <c r="G33" i="5"/>
  <c r="E24" i="5"/>
  <c r="D24" i="5"/>
  <c r="F24" i="5" l="1"/>
  <c r="C24" i="5"/>
  <c r="E27" i="5" l="1"/>
  <c r="E28" i="5"/>
  <c r="E36" i="5" s="1"/>
  <c r="E26" i="5"/>
  <c r="E34" i="5" s="1"/>
  <c r="D27" i="5"/>
  <c r="D35" i="5" s="1"/>
  <c r="D28" i="5"/>
  <c r="D36" i="5" s="1"/>
  <c r="D26" i="5"/>
  <c r="D34" i="5" s="1"/>
  <c r="E25" i="5"/>
  <c r="E33" i="5" s="1"/>
  <c r="D25" i="5"/>
  <c r="D33" i="5" s="1"/>
  <c r="C28" i="5"/>
  <c r="C27" i="5"/>
  <c r="C26" i="5"/>
  <c r="C29" i="5" s="1"/>
  <c r="F33" i="5" l="1"/>
  <c r="F34" i="5"/>
  <c r="D37" i="5"/>
  <c r="F36" i="5"/>
  <c r="E29" i="5"/>
  <c r="E35" i="5"/>
  <c r="F35" i="5" s="1"/>
  <c r="D29" i="5"/>
  <c r="F29" i="5" l="1"/>
  <c r="K29" i="5" s="1"/>
  <c r="E37" i="5"/>
  <c r="F37" i="5" s="1"/>
  <c r="C36" i="5" l="1"/>
  <c r="C33" i="5"/>
  <c r="C35" i="5"/>
  <c r="C34" i="5"/>
  <c r="C37" i="5" l="1"/>
</calcChain>
</file>

<file path=xl/sharedStrings.xml><?xml version="1.0" encoding="utf-8"?>
<sst xmlns="http://schemas.openxmlformats.org/spreadsheetml/2006/main" count="172" uniqueCount="74">
  <si>
    <t xml:space="preserve">MHPSS ER </t>
  </si>
  <si>
    <t xml:space="preserve">Female </t>
  </si>
  <si>
    <t xml:space="preserve">Male </t>
  </si>
  <si>
    <t xml:space="preserve">Girl </t>
  </si>
  <si>
    <t xml:space="preserve">Boy </t>
  </si>
  <si>
    <t>Children 5-17</t>
  </si>
  <si>
    <t>Adults 18-49</t>
  </si>
  <si>
    <t xml:space="preserve">Elderly 50 and above </t>
  </si>
  <si>
    <t xml:space="preserve">Females </t>
  </si>
  <si>
    <t xml:space="preserve">Gender </t>
  </si>
  <si>
    <t>Girl</t>
  </si>
  <si>
    <t>%</t>
  </si>
  <si>
    <t xml:space="preserve">Note </t>
  </si>
  <si>
    <t xml:space="preserve">From Females </t>
  </si>
  <si>
    <t xml:space="preserve">From  Males </t>
  </si>
  <si>
    <t xml:space="preserve">Total </t>
  </si>
  <si>
    <t xml:space="preserve">Grand Total </t>
  </si>
  <si>
    <t xml:space="preserve">Girls </t>
  </si>
  <si>
    <t>.</t>
  </si>
  <si>
    <t xml:space="preserve">Males </t>
  </si>
  <si>
    <t xml:space="preserve">Boys </t>
  </si>
  <si>
    <t>ALL</t>
  </si>
  <si>
    <t xml:space="preserve">Total PFA </t>
  </si>
  <si>
    <t xml:space="preserve">Adults </t>
  </si>
  <si>
    <t xml:space="preserve">Total estimated is </t>
  </si>
  <si>
    <t xml:space="preserve">Ramallah </t>
  </si>
  <si>
    <t xml:space="preserve">EJ </t>
  </si>
  <si>
    <t xml:space="preserve">Female Children </t>
  </si>
  <si>
    <t>Male Child</t>
  </si>
  <si>
    <t>Total Adults</t>
  </si>
  <si>
    <t xml:space="preserve">children </t>
  </si>
  <si>
    <t xml:space="preserve">Total Adults </t>
  </si>
  <si>
    <t xml:space="preserve">Elderly </t>
  </si>
  <si>
    <t xml:space="preserve">Female children </t>
  </si>
  <si>
    <t xml:space="preserve">Male children </t>
  </si>
  <si>
    <t xml:space="preserve">Adult Females </t>
  </si>
  <si>
    <t xml:space="preserve">elderlly females </t>
  </si>
  <si>
    <t>General benificires of ECHO</t>
  </si>
  <si>
    <t>children(0-59 months)</t>
  </si>
  <si>
    <t xml:space="preserve">female </t>
  </si>
  <si>
    <t xml:space="preserve">male </t>
  </si>
  <si>
    <t xml:space="preserve">Estimated % of traget group </t>
  </si>
  <si>
    <t>R1</t>
  </si>
  <si>
    <t xml:space="preserve">Grand Total  Result 1 </t>
  </si>
  <si>
    <t>R2</t>
  </si>
  <si>
    <t>R3</t>
  </si>
  <si>
    <t>R4</t>
  </si>
  <si>
    <t>R5</t>
  </si>
  <si>
    <t xml:space="preserve">TOTAL </t>
  </si>
  <si>
    <t xml:space="preserve">Direct benificiries </t>
  </si>
  <si>
    <t xml:space="preserve">Indirect baneificiries </t>
  </si>
  <si>
    <t xml:space="preserve">total </t>
  </si>
  <si>
    <t>The total number of staff are 287 medical staff divided by clinic and gender as below:</t>
  </si>
  <si>
    <t>Doctors- female</t>
  </si>
  <si>
    <t>Doctors male</t>
  </si>
  <si>
    <t>Nurses female</t>
  </si>
  <si>
    <t>Nurses male</t>
  </si>
  <si>
    <t>TOTAL</t>
  </si>
  <si>
    <r>
      <t>Clinics</t>
    </r>
    <r>
      <rPr>
        <b/>
        <sz val="11"/>
        <color rgb="FF000000"/>
        <rFont val="Times New Roman"/>
        <family val="1"/>
      </rPr>
      <t xml:space="preserve"> </t>
    </r>
  </si>
  <si>
    <t>Jabalia clinic</t>
  </si>
  <si>
    <t>jamela Al Ashi clinic</t>
  </si>
  <si>
    <t>Hala Al Shawa</t>
  </si>
  <si>
    <t>Hurriya Clinic</t>
  </si>
  <si>
    <t>Sourani Clinic</t>
  </si>
  <si>
    <t>Daraj Clinic</t>
  </si>
  <si>
    <t>Sabha Clinic</t>
  </si>
  <si>
    <t>Remal Clinic</t>
  </si>
  <si>
    <t>Sheikh Redwan clinic</t>
  </si>
  <si>
    <t>Falah clinic</t>
  </si>
  <si>
    <t>Shatee clinic</t>
  </si>
  <si>
    <t>Shohada`a Al Nusirat Clinic</t>
  </si>
  <si>
    <t xml:space="preserve">Deir Al Balah Clinic </t>
  </si>
  <si>
    <t xml:space="preserve">Khan Younis Clinic </t>
  </si>
  <si>
    <t xml:space="preserve">Rafah clinic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</si>
</sst>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SKR HEAD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2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1" fontId="2" fillId="0" borderId="1" xfId="2" applyNumberFormat="1" applyFont="1" applyBorder="1" applyAlignment="1"/>
    <xf numFmtId="0" fontId="2" fillId="0" borderId="5" xfId="0" applyFont="1" applyBorder="1" applyAlignment="1">
      <alignment horizontal="center"/>
    </xf>
    <xf numFmtId="1" fontId="2" fillId="0" borderId="8" xfId="2" applyNumberFormat="1" applyFont="1" applyBorder="1" applyAlignment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2" fillId="0" borderId="0" xfId="0" applyFont="1" applyFill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9" fontId="2" fillId="0" borderId="5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9" fontId="2" fillId="0" borderId="5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2" fillId="3" borderId="20" xfId="0" applyNumberFormat="1" applyFont="1" applyFill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6" fillId="5" borderId="35" xfId="0" applyFont="1" applyFill="1" applyBorder="1" applyAlignment="1">
      <alignment horizontal="center" vertical="center" wrapText="1" readingOrder="2"/>
    </xf>
    <xf numFmtId="0" fontId="4" fillId="0" borderId="35" xfId="0" applyFont="1" applyBorder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6" borderId="35" xfId="0" applyFont="1" applyFill="1" applyBorder="1" applyAlignment="1">
      <alignment vertical="center"/>
    </xf>
    <xf numFmtId="0" fontId="4" fillId="8" borderId="35" xfId="0" applyFont="1" applyFill="1" applyBorder="1" applyAlignment="1">
      <alignment vertical="center"/>
    </xf>
    <xf numFmtId="0" fontId="8" fillId="7" borderId="35" xfId="0" applyFont="1" applyFill="1" applyBorder="1" applyAlignment="1">
      <alignment vertical="center"/>
    </xf>
    <xf numFmtId="0" fontId="5" fillId="4" borderId="35" xfId="0" applyFont="1" applyFill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0" fillId="0" borderId="2" xfId="2" applyNumberFormat="1" applyFont="1" applyBorder="1" applyAlignment="1">
      <alignment horizontal="center"/>
    </xf>
    <xf numFmtId="1" fontId="0" fillId="0" borderId="3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9" fontId="2" fillId="0" borderId="30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9" fontId="2" fillId="0" borderId="14" xfId="0" applyNumberFormat="1" applyFont="1" applyBorder="1" applyAlignment="1">
      <alignment horizontal="center"/>
    </xf>
    <xf numFmtId="9" fontId="2" fillId="0" borderId="31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16" xfId="0" applyNumberFormat="1" applyFont="1" applyBorder="1" applyAlignment="1">
      <alignment horizontal="center"/>
    </xf>
    <xf numFmtId="9" fontId="2" fillId="0" borderId="32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9" fontId="2" fillId="0" borderId="19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13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5" fontId="2" fillId="0" borderId="16" xfId="1" applyNumberFormat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9" fontId="10" fillId="9" borderId="5" xfId="0" applyNumberFormat="1" applyFont="1" applyFill="1" applyBorder="1" applyAlignment="1">
      <alignment horizontal="center"/>
    </xf>
    <xf numFmtId="0" fontId="10" fillId="9" borderId="5" xfId="0" applyFont="1" applyFill="1" applyBorder="1"/>
    <xf numFmtId="0" fontId="10" fillId="9" borderId="21" xfId="0" applyFont="1" applyFill="1" applyBorder="1"/>
    <xf numFmtId="9" fontId="10" fillId="9" borderId="1" xfId="2" applyFont="1" applyFill="1" applyBorder="1" applyAlignment="1">
      <alignment horizontal="center"/>
    </xf>
    <xf numFmtId="1" fontId="10" fillId="9" borderId="8" xfId="2" applyNumberFormat="1" applyFont="1" applyFill="1" applyBorder="1" applyAlignment="1"/>
    <xf numFmtId="9" fontId="10" fillId="9" borderId="10" xfId="0" applyNumberFormat="1" applyFont="1" applyFill="1" applyBorder="1"/>
    <xf numFmtId="0" fontId="10" fillId="9" borderId="10" xfId="0" applyFont="1" applyFill="1" applyBorder="1"/>
    <xf numFmtId="0" fontId="10" fillId="9" borderId="11" xfId="0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2241-EE43-4939-BCDE-0C8C4C841A60}">
  <dimension ref="A3:Q29"/>
  <sheetViews>
    <sheetView topLeftCell="A13" workbookViewId="0">
      <selection activeCell="A13" sqref="A1:XFD1048576"/>
    </sheetView>
  </sheetViews>
  <sheetFormatPr baseColWidth="10" defaultColWidth="8.83203125" defaultRowHeight="15"/>
  <cols>
    <col min="1" max="1" width="18.5" bestFit="1" customWidth="1"/>
    <col min="5" max="5" width="14.5" bestFit="1" customWidth="1"/>
    <col min="9" max="9" width="11.1640625" bestFit="1" customWidth="1"/>
    <col min="13" max="13" width="12.83203125" bestFit="1" customWidth="1"/>
    <col min="15" max="15" width="18.5" bestFit="1" customWidth="1"/>
  </cols>
  <sheetData>
    <row r="3" spans="1:17">
      <c r="K3" s="8" t="s">
        <v>0</v>
      </c>
    </row>
    <row r="4" spans="1:17">
      <c r="A4" s="8" t="s">
        <v>0</v>
      </c>
      <c r="K4" s="4" t="s">
        <v>9</v>
      </c>
      <c r="L4" s="4" t="s">
        <v>11</v>
      </c>
      <c r="M4" s="5" t="s">
        <v>12</v>
      </c>
      <c r="O4" s="15">
        <v>2018</v>
      </c>
      <c r="P4" s="15" t="s">
        <v>22</v>
      </c>
      <c r="Q4" s="1" t="s">
        <v>11</v>
      </c>
    </row>
    <row r="5" spans="1:17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K5" s="4"/>
      <c r="L5" s="4"/>
      <c r="M5" s="5"/>
      <c r="O5" s="1">
        <v>245</v>
      </c>
      <c r="P5" s="1"/>
    </row>
    <row r="6" spans="1:17">
      <c r="A6" t="s">
        <v>21</v>
      </c>
      <c r="B6" s="12">
        <f>C14-C15</f>
        <v>405.57299999999998</v>
      </c>
      <c r="C6" s="12">
        <f>C16-C17</f>
        <v>379.44</v>
      </c>
      <c r="D6" s="3">
        <v>100</v>
      </c>
      <c r="E6" s="10">
        <f>C17</f>
        <v>94.860000000000014</v>
      </c>
      <c r="F6" s="10">
        <f>SUM(B6:E6)</f>
        <v>979.87299999999993</v>
      </c>
      <c r="K6" s="5" t="s">
        <v>8</v>
      </c>
      <c r="L6" s="6">
        <v>0.49</v>
      </c>
      <c r="M6" s="5"/>
      <c r="O6" s="16" t="s">
        <v>5</v>
      </c>
      <c r="P6">
        <v>47</v>
      </c>
      <c r="Q6" s="2">
        <f>P6/O5</f>
        <v>0.19183673469387755</v>
      </c>
    </row>
    <row r="7" spans="1:17">
      <c r="A7" t="s">
        <v>11</v>
      </c>
      <c r="B7" s="13">
        <v>0.44</v>
      </c>
      <c r="C7" s="13">
        <v>0.41</v>
      </c>
      <c r="D7" s="13">
        <v>0.05</v>
      </c>
      <c r="E7" s="13">
        <v>0.1</v>
      </c>
      <c r="F7" s="10"/>
      <c r="K7" s="5"/>
      <c r="L7" s="6"/>
      <c r="M7" s="5"/>
      <c r="O7" s="16" t="s">
        <v>6</v>
      </c>
      <c r="P7">
        <f>O5-(P8+P6)</f>
        <v>133</v>
      </c>
      <c r="Q7" s="2">
        <f>P7/O5</f>
        <v>0.54285714285714282</v>
      </c>
    </row>
    <row r="8" spans="1:17">
      <c r="K8" s="5" t="s">
        <v>10</v>
      </c>
      <c r="L8" s="6">
        <v>0.11</v>
      </c>
      <c r="M8" s="5" t="s">
        <v>13</v>
      </c>
      <c r="O8" s="16" t="s">
        <v>7</v>
      </c>
      <c r="P8">
        <v>65</v>
      </c>
      <c r="Q8" s="2">
        <f>P8/O5</f>
        <v>0.26530612244897961</v>
      </c>
    </row>
    <row r="9" spans="1:17">
      <c r="K9" s="5" t="s">
        <v>2</v>
      </c>
      <c r="L9" s="6">
        <v>0.51</v>
      </c>
      <c r="M9" s="5"/>
    </row>
    <row r="10" spans="1:17">
      <c r="K10" s="5" t="s">
        <v>4</v>
      </c>
      <c r="L10" s="6">
        <v>0.2</v>
      </c>
      <c r="M10" s="5" t="s">
        <v>14</v>
      </c>
      <c r="O10" s="17" t="s">
        <v>23</v>
      </c>
      <c r="P10">
        <f>P7/(P7+P8)</f>
        <v>0.67171717171717171</v>
      </c>
    </row>
    <row r="12" spans="1:17">
      <c r="E12" t="s">
        <v>27</v>
      </c>
      <c r="F12" s="19">
        <f>D6/290</f>
        <v>0.34482758620689657</v>
      </c>
    </row>
    <row r="13" spans="1:17">
      <c r="E13" s="2" t="s">
        <v>28</v>
      </c>
      <c r="F13" s="20">
        <f>1-F12</f>
        <v>0.65517241379310343</v>
      </c>
    </row>
    <row r="14" spans="1:17">
      <c r="B14" t="s">
        <v>8</v>
      </c>
      <c r="C14" s="11">
        <f>F23*L6</f>
        <v>455.7</v>
      </c>
      <c r="D14" s="1"/>
      <c r="F14" s="2"/>
      <c r="I14" t="s">
        <v>30</v>
      </c>
      <c r="J14" s="10">
        <f>0.19*F23</f>
        <v>176.7</v>
      </c>
    </row>
    <row r="15" spans="1:17">
      <c r="B15" t="s">
        <v>17</v>
      </c>
      <c r="C15" s="11">
        <f>C14*L8</f>
        <v>50.127000000000002</v>
      </c>
      <c r="D15" s="1"/>
      <c r="F15" s="2"/>
      <c r="I15" t="s">
        <v>31</v>
      </c>
      <c r="J15" s="10">
        <f>F6-J14</f>
        <v>803.173</v>
      </c>
    </row>
    <row r="16" spans="1:17">
      <c r="B16" t="s">
        <v>19</v>
      </c>
      <c r="C16" s="11">
        <f>F23*L9</f>
        <v>474.3</v>
      </c>
      <c r="E16" t="s">
        <v>29</v>
      </c>
      <c r="F16" s="2"/>
      <c r="I16" t="s">
        <v>23</v>
      </c>
    </row>
    <row r="17" spans="1:9">
      <c r="B17" t="s">
        <v>20</v>
      </c>
      <c r="C17" s="11">
        <f>C16*L10</f>
        <v>94.860000000000014</v>
      </c>
      <c r="F17" s="2"/>
      <c r="I17" t="s">
        <v>32</v>
      </c>
    </row>
    <row r="18" spans="1:9">
      <c r="C18" s="11"/>
      <c r="F18" s="2"/>
    </row>
    <row r="19" spans="1:9">
      <c r="A19" t="s">
        <v>11</v>
      </c>
      <c r="C19" s="65" t="s">
        <v>1</v>
      </c>
      <c r="D19" s="65"/>
      <c r="E19" s="65" t="s">
        <v>2</v>
      </c>
      <c r="F19" s="65"/>
    </row>
    <row r="20" spans="1:9">
      <c r="A20" s="3" t="s">
        <v>5</v>
      </c>
      <c r="B20" s="18">
        <v>0.19</v>
      </c>
      <c r="C20" s="66">
        <v>0.34</v>
      </c>
      <c r="D20" s="67"/>
      <c r="E20" s="66">
        <v>0.66</v>
      </c>
      <c r="F20" s="67"/>
      <c r="G20" s="11">
        <f>B20*930</f>
        <v>176.7</v>
      </c>
    </row>
    <row r="21" spans="1:9">
      <c r="A21" s="3" t="s">
        <v>6</v>
      </c>
      <c r="B21" s="18">
        <v>0.54</v>
      </c>
      <c r="C21" s="66">
        <v>0.49</v>
      </c>
      <c r="D21" s="67"/>
      <c r="E21" s="66">
        <v>0.51</v>
      </c>
      <c r="F21" s="67"/>
      <c r="G21" s="11">
        <f>B21*930</f>
        <v>502.20000000000005</v>
      </c>
    </row>
    <row r="22" spans="1:9">
      <c r="A22" s="3" t="s">
        <v>7</v>
      </c>
      <c r="B22" s="18">
        <f>Q8</f>
        <v>0.26530612244897961</v>
      </c>
      <c r="C22" s="66">
        <v>0.49</v>
      </c>
      <c r="D22" s="67"/>
      <c r="E22" s="66">
        <v>0.51</v>
      </c>
      <c r="F22" s="67"/>
      <c r="G22" s="11">
        <f>930- (G20+G21)</f>
        <v>251.09999999999991</v>
      </c>
    </row>
    <row r="23" spans="1:9">
      <c r="A23" s="9" t="s">
        <v>16</v>
      </c>
      <c r="C23" t="s">
        <v>18</v>
      </c>
      <c r="F23" s="3">
        <f>1860/2</f>
        <v>930</v>
      </c>
    </row>
    <row r="25" spans="1:9">
      <c r="A25" t="s">
        <v>11</v>
      </c>
      <c r="C25" s="65" t="s">
        <v>1</v>
      </c>
      <c r="D25" s="65"/>
      <c r="E25" s="65" t="s">
        <v>2</v>
      </c>
      <c r="F25" s="65"/>
    </row>
    <row r="26" spans="1:9">
      <c r="A26" s="3" t="s">
        <v>5</v>
      </c>
      <c r="B26" s="18">
        <v>0.19</v>
      </c>
      <c r="C26" s="63">
        <f>C20*G20</f>
        <v>60.078000000000003</v>
      </c>
      <c r="D26" s="64"/>
      <c r="E26" s="63">
        <f>G20-C26</f>
        <v>116.62199999999999</v>
      </c>
      <c r="F26" s="64"/>
    </row>
    <row r="27" spans="1:9">
      <c r="A27" s="3" t="s">
        <v>6</v>
      </c>
      <c r="B27" s="18">
        <v>0.54</v>
      </c>
      <c r="C27" s="63">
        <f>C21*G21</f>
        <v>246.07800000000003</v>
      </c>
      <c r="D27" s="64"/>
      <c r="E27" s="63">
        <f>G21-C27</f>
        <v>256.12200000000001</v>
      </c>
      <c r="F27" s="64"/>
    </row>
    <row r="28" spans="1:9">
      <c r="A28" s="3" t="s">
        <v>7</v>
      </c>
      <c r="B28" s="18">
        <f>Q14</f>
        <v>0</v>
      </c>
      <c r="C28" s="63">
        <f>C22*G22</f>
        <v>123.03899999999996</v>
      </c>
      <c r="D28" s="64"/>
      <c r="E28" s="63">
        <f>G22-C28</f>
        <v>128.06099999999995</v>
      </c>
      <c r="F28" s="64"/>
    </row>
    <row r="29" spans="1:9">
      <c r="A29" s="9" t="s">
        <v>16</v>
      </c>
      <c r="C29" t="s">
        <v>18</v>
      </c>
      <c r="F29" s="12">
        <v>930</v>
      </c>
    </row>
  </sheetData>
  <mergeCells count="16">
    <mergeCell ref="C27:D27"/>
    <mergeCell ref="E27:F27"/>
    <mergeCell ref="C28:D28"/>
    <mergeCell ref="E28:F28"/>
    <mergeCell ref="C19:D19"/>
    <mergeCell ref="E19:F19"/>
    <mergeCell ref="C25:D25"/>
    <mergeCell ref="E25:F25"/>
    <mergeCell ref="C26:D26"/>
    <mergeCell ref="E26:F26"/>
    <mergeCell ref="C20:D20"/>
    <mergeCell ref="E20:F20"/>
    <mergeCell ref="C21:D21"/>
    <mergeCell ref="C22:D22"/>
    <mergeCell ref="E21:F21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8E7-097D-4730-A945-4735208E92D0}">
  <dimension ref="A1:N18"/>
  <sheetViews>
    <sheetView workbookViewId="0">
      <selection sqref="A1:XFD1048576"/>
    </sheetView>
  </sheetViews>
  <sheetFormatPr baseColWidth="10" defaultColWidth="8.83203125" defaultRowHeight="15"/>
  <cols>
    <col min="1" max="1" width="18.5" bestFit="1" customWidth="1"/>
    <col min="2" max="2" width="16.1640625" bestFit="1" customWidth="1"/>
    <col min="3" max="4" width="10.5" bestFit="1" customWidth="1"/>
    <col min="5" max="5" width="9.5" bestFit="1" customWidth="1"/>
    <col min="12" max="12" width="18.5" bestFit="1" customWidth="1"/>
  </cols>
  <sheetData>
    <row r="1" spans="1:14">
      <c r="C1" s="1" t="s">
        <v>25</v>
      </c>
      <c r="D1" s="1" t="s">
        <v>26</v>
      </c>
    </row>
    <row r="2" spans="1:14">
      <c r="B2" t="s">
        <v>24</v>
      </c>
      <c r="C2">
        <v>1200</v>
      </c>
      <c r="D2">
        <v>1200</v>
      </c>
    </row>
    <row r="3" spans="1:14">
      <c r="B3" t="s">
        <v>16</v>
      </c>
      <c r="C3" s="1">
        <f>C2+D2</f>
        <v>2400</v>
      </c>
      <c r="L3" s="15">
        <v>2018</v>
      </c>
    </row>
    <row r="4" spans="1:14">
      <c r="L4" s="1">
        <v>1178</v>
      </c>
      <c r="N4" t="s">
        <v>11</v>
      </c>
    </row>
    <row r="5" spans="1:14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L5" s="16" t="s">
        <v>5</v>
      </c>
      <c r="M5">
        <v>94</v>
      </c>
      <c r="N5" s="14">
        <f>M5/L4</f>
        <v>7.979626485568761E-2</v>
      </c>
    </row>
    <row r="6" spans="1:14">
      <c r="A6" t="s">
        <v>11</v>
      </c>
      <c r="B6" s="11"/>
      <c r="C6" s="11"/>
      <c r="D6" s="11"/>
      <c r="E6" s="11"/>
      <c r="F6" s="11">
        <f>SUM(B6:E6)</f>
        <v>0</v>
      </c>
      <c r="L6" s="16" t="s">
        <v>6</v>
      </c>
      <c r="M6">
        <f>L4-(M7+M5)</f>
        <v>899</v>
      </c>
      <c r="N6" s="14">
        <f>M6/L4</f>
        <v>0.76315789473684215</v>
      </c>
    </row>
    <row r="7" spans="1:14">
      <c r="L7" s="16" t="s">
        <v>7</v>
      </c>
      <c r="M7">
        <v>185</v>
      </c>
      <c r="N7" s="14">
        <f>M7/L4</f>
        <v>0.1570458404074703</v>
      </c>
    </row>
    <row r="9" spans="1:14">
      <c r="A9" t="s">
        <v>11</v>
      </c>
      <c r="C9" s="65" t="s">
        <v>1</v>
      </c>
      <c r="D9" s="65"/>
      <c r="E9" s="65" t="s">
        <v>2</v>
      </c>
      <c r="F9" s="65"/>
      <c r="L9" s="17" t="s">
        <v>8</v>
      </c>
      <c r="M9">
        <f>979-187</f>
        <v>792</v>
      </c>
      <c r="N9" s="2">
        <f>M9/L4</f>
        <v>0.67232597623089985</v>
      </c>
    </row>
    <row r="10" spans="1:14">
      <c r="A10" s="3" t="s">
        <v>5</v>
      </c>
      <c r="B10" s="18">
        <v>0.08</v>
      </c>
      <c r="C10" s="66">
        <v>0.96</v>
      </c>
      <c r="D10" s="67"/>
      <c r="E10" s="66">
        <v>0.04</v>
      </c>
      <c r="F10" s="67"/>
      <c r="L10" s="17" t="s">
        <v>19</v>
      </c>
      <c r="M10">
        <f>199-8</f>
        <v>191</v>
      </c>
      <c r="N10" s="2">
        <f>M10/L4</f>
        <v>0.16213921901528014</v>
      </c>
    </row>
    <row r="11" spans="1:14">
      <c r="A11" s="3" t="s">
        <v>6</v>
      </c>
      <c r="B11" s="18">
        <v>0.76</v>
      </c>
      <c r="C11" s="66">
        <v>0.88</v>
      </c>
      <c r="D11" s="67"/>
      <c r="E11" s="66">
        <v>0.12</v>
      </c>
      <c r="F11" s="67"/>
      <c r="L11" s="17" t="s">
        <v>20</v>
      </c>
      <c r="M11">
        <v>8</v>
      </c>
      <c r="N11" s="2">
        <f>M11/L4</f>
        <v>6.7911714770797962E-3</v>
      </c>
    </row>
    <row r="12" spans="1:14">
      <c r="A12" s="3" t="s">
        <v>7</v>
      </c>
      <c r="B12" s="18">
        <v>0.16</v>
      </c>
      <c r="C12" s="66">
        <v>0.88</v>
      </c>
      <c r="D12" s="67"/>
      <c r="E12" s="66">
        <v>0.12</v>
      </c>
      <c r="F12" s="67"/>
      <c r="L12" s="17" t="s">
        <v>17</v>
      </c>
      <c r="M12">
        <v>187</v>
      </c>
      <c r="N12" s="2">
        <f>M12/L4</f>
        <v>0.15874363327674024</v>
      </c>
    </row>
    <row r="13" spans="1:14">
      <c r="A13" s="9" t="s">
        <v>16</v>
      </c>
      <c r="C13" t="s">
        <v>18</v>
      </c>
      <c r="F13" s="3">
        <v>1200</v>
      </c>
    </row>
    <row r="14" spans="1:14">
      <c r="L14" s="17"/>
    </row>
    <row r="15" spans="1:14">
      <c r="A15" s="3" t="s">
        <v>5</v>
      </c>
      <c r="B15" s="18">
        <v>0.08</v>
      </c>
      <c r="C15" s="63">
        <f>C10*G15</f>
        <v>92.16</v>
      </c>
      <c r="D15" s="64"/>
      <c r="E15" s="63">
        <f>G15-C15</f>
        <v>3.8400000000000034</v>
      </c>
      <c r="F15" s="64"/>
      <c r="G15">
        <f>B15*F18</f>
        <v>96</v>
      </c>
      <c r="L15" s="17" t="s">
        <v>33</v>
      </c>
      <c r="M15" s="2">
        <f>M12/195</f>
        <v>0.95897435897435901</v>
      </c>
    </row>
    <row r="16" spans="1:14">
      <c r="A16" s="3" t="s">
        <v>6</v>
      </c>
      <c r="B16" s="18">
        <v>0.76</v>
      </c>
      <c r="C16" s="63">
        <f>C11*G16</f>
        <v>802.56000000000006</v>
      </c>
      <c r="D16" s="64"/>
      <c r="E16" s="63">
        <f>G16-C16</f>
        <v>109.43999999999994</v>
      </c>
      <c r="F16" s="64"/>
      <c r="G16">
        <f>B16*F18</f>
        <v>912</v>
      </c>
      <c r="L16" s="17" t="s">
        <v>34</v>
      </c>
      <c r="M16" s="2">
        <v>0.04</v>
      </c>
    </row>
    <row r="17" spans="1:13">
      <c r="A17" s="3" t="s">
        <v>7</v>
      </c>
      <c r="B17" s="18">
        <v>0.16</v>
      </c>
      <c r="C17" s="63">
        <f>C12*G17</f>
        <v>168.96</v>
      </c>
      <c r="D17" s="64"/>
      <c r="E17" s="63">
        <f>G17-C17</f>
        <v>23.039999999999992</v>
      </c>
      <c r="F17" s="64"/>
      <c r="G17">
        <f>B17*F18</f>
        <v>192</v>
      </c>
      <c r="L17" s="17" t="s">
        <v>35</v>
      </c>
      <c r="M17" s="2">
        <f>M9/M6</f>
        <v>0.88097886540600667</v>
      </c>
    </row>
    <row r="18" spans="1:13">
      <c r="A18" s="9" t="s">
        <v>16</v>
      </c>
      <c r="C18" t="s">
        <v>18</v>
      </c>
      <c r="F18" s="3">
        <v>1200</v>
      </c>
      <c r="L18" s="17" t="s">
        <v>36</v>
      </c>
    </row>
  </sheetData>
  <mergeCells count="14">
    <mergeCell ref="C9:D9"/>
    <mergeCell ref="E9:F9"/>
    <mergeCell ref="C10:D10"/>
    <mergeCell ref="E10:F10"/>
    <mergeCell ref="C11:D11"/>
    <mergeCell ref="E11:F11"/>
    <mergeCell ref="C17:D17"/>
    <mergeCell ref="E17:F17"/>
    <mergeCell ref="C12:D12"/>
    <mergeCell ref="E12:F12"/>
    <mergeCell ref="C15:D15"/>
    <mergeCell ref="E15:F15"/>
    <mergeCell ref="C16:D16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AA-0A8F-41E8-A05A-CB5ADFB9DD78}">
  <dimension ref="A2:H15"/>
  <sheetViews>
    <sheetView workbookViewId="0">
      <selection sqref="A1:XFD1048576"/>
    </sheetView>
  </sheetViews>
  <sheetFormatPr baseColWidth="10" defaultColWidth="8.83203125" defaultRowHeight="15"/>
  <cols>
    <col min="1" max="1" width="18.5" bestFit="1" customWidth="1"/>
  </cols>
  <sheetData>
    <row r="2" spans="1:8">
      <c r="A2" t="s">
        <v>0</v>
      </c>
    </row>
    <row r="3" spans="1:8">
      <c r="A3" t="s">
        <v>5</v>
      </c>
      <c r="B3" s="10">
        <v>60.078000000000003</v>
      </c>
      <c r="C3" s="10"/>
      <c r="D3" s="10">
        <v>116.62199999999999</v>
      </c>
      <c r="H3">
        <v>930</v>
      </c>
    </row>
    <row r="4" spans="1:8">
      <c r="A4" t="s">
        <v>6</v>
      </c>
      <c r="B4" s="10">
        <v>246.07800000000003</v>
      </c>
      <c r="C4" s="10"/>
      <c r="D4" s="10">
        <v>256.12200000000001</v>
      </c>
    </row>
    <row r="5" spans="1:8">
      <c r="A5" t="s">
        <v>7</v>
      </c>
      <c r="B5" s="10">
        <v>123.03899999999996</v>
      </c>
      <c r="C5" s="10"/>
      <c r="D5" s="10">
        <v>128.06099999999995</v>
      </c>
    </row>
    <row r="6" spans="1:8">
      <c r="B6" t="s">
        <v>18</v>
      </c>
    </row>
    <row r="7" spans="1:8">
      <c r="A7" t="s">
        <v>5</v>
      </c>
      <c r="B7" s="10">
        <v>92.16</v>
      </c>
      <c r="C7" s="10"/>
      <c r="D7" s="10">
        <v>3.8400000000000034</v>
      </c>
      <c r="H7">
        <v>1200</v>
      </c>
    </row>
    <row r="8" spans="1:8">
      <c r="A8" t="s">
        <v>6</v>
      </c>
      <c r="B8" s="10">
        <v>802.56000000000006</v>
      </c>
      <c r="C8" s="10"/>
      <c r="D8" s="10">
        <v>109.43999999999994</v>
      </c>
    </row>
    <row r="9" spans="1:8">
      <c r="A9" t="s">
        <v>7</v>
      </c>
      <c r="B9" s="10">
        <v>168.96</v>
      </c>
      <c r="C9" s="10"/>
      <c r="D9" s="10">
        <v>23.039999999999992</v>
      </c>
    </row>
    <row r="10" spans="1:8">
      <c r="A10" t="s">
        <v>16</v>
      </c>
      <c r="C10" t="s">
        <v>18</v>
      </c>
    </row>
    <row r="11" spans="1:8">
      <c r="A11" s="8"/>
      <c r="B11" s="8"/>
      <c r="C11" s="68" t="s">
        <v>1</v>
      </c>
      <c r="D11" s="68"/>
      <c r="E11" s="68" t="s">
        <v>2</v>
      </c>
      <c r="F11" s="68"/>
    </row>
    <row r="12" spans="1:8">
      <c r="A12" s="21" t="s">
        <v>5</v>
      </c>
      <c r="B12" s="22">
        <f>(C12+E12)/F15</f>
        <v>0.12802816901408451</v>
      </c>
      <c r="C12" s="23">
        <f>B3+B7</f>
        <v>152.238</v>
      </c>
      <c r="D12" s="24"/>
      <c r="E12" s="23">
        <f>D3+D7</f>
        <v>120.46199999999999</v>
      </c>
      <c r="F12" s="24"/>
    </row>
    <row r="13" spans="1:8">
      <c r="A13" s="21" t="s">
        <v>6</v>
      </c>
      <c r="B13" s="22">
        <f>(C13+E13)/F15</f>
        <v>0.66394366197183097</v>
      </c>
      <c r="C13" s="23">
        <f>B4+B8</f>
        <v>1048.6380000000001</v>
      </c>
      <c r="D13" s="24"/>
      <c r="E13" s="23">
        <f>D4+D8</f>
        <v>365.56199999999995</v>
      </c>
      <c r="F13" s="24"/>
    </row>
    <row r="14" spans="1:8">
      <c r="A14" s="21" t="s">
        <v>7</v>
      </c>
      <c r="B14" s="22">
        <f>(C14+E14)/F15</f>
        <v>0.20802816901408447</v>
      </c>
      <c r="C14" s="23">
        <f>B5+B9</f>
        <v>291.99899999999997</v>
      </c>
      <c r="D14" s="24"/>
      <c r="E14" s="23">
        <f>D5+D9</f>
        <v>151.10099999999994</v>
      </c>
      <c r="F14" s="24"/>
    </row>
    <row r="15" spans="1:8">
      <c r="A15" s="9" t="s">
        <v>16</v>
      </c>
      <c r="B15" s="8"/>
      <c r="C15" s="8" t="s">
        <v>18</v>
      </c>
      <c r="D15" s="8"/>
      <c r="E15" s="8"/>
      <c r="F15" s="21">
        <v>2130</v>
      </c>
    </row>
  </sheetData>
  <mergeCells count="2">
    <mergeCell ref="C11:D11"/>
    <mergeCell ref="E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BC7-7669-4256-9359-EE8BB0806EBA}">
  <dimension ref="A2:K37"/>
  <sheetViews>
    <sheetView tabSelected="1" workbookViewId="0">
      <selection activeCell="G5" sqref="G5:I24"/>
    </sheetView>
  </sheetViews>
  <sheetFormatPr baseColWidth="10" defaultColWidth="8.83203125" defaultRowHeight="15"/>
  <cols>
    <col min="2" max="2" width="35.1640625" customWidth="1"/>
    <col min="3" max="3" width="24.5" bestFit="1" customWidth="1"/>
    <col min="4" max="4" width="9.5" customWidth="1"/>
    <col min="5" max="6" width="9.83203125" customWidth="1"/>
  </cols>
  <sheetData>
    <row r="2" spans="1:9">
      <c r="B2" t="s">
        <v>37</v>
      </c>
    </row>
    <row r="3" spans="1:9" ht="16" thickBot="1">
      <c r="C3" s="70" t="s">
        <v>49</v>
      </c>
      <c r="D3" s="70"/>
      <c r="E3" s="70"/>
      <c r="F3" s="70"/>
      <c r="G3" s="69" t="s">
        <v>50</v>
      </c>
      <c r="H3" s="69"/>
      <c r="I3" s="69"/>
    </row>
    <row r="4" spans="1:9" ht="16" thickBot="1">
      <c r="A4" s="37"/>
      <c r="B4" s="38"/>
      <c r="C4" s="38" t="s">
        <v>41</v>
      </c>
      <c r="D4" s="38" t="s">
        <v>39</v>
      </c>
      <c r="E4" s="38" t="s">
        <v>40</v>
      </c>
      <c r="F4" s="39" t="s">
        <v>51</v>
      </c>
      <c r="G4" s="70"/>
      <c r="H4" s="70"/>
      <c r="I4" s="70"/>
    </row>
    <row r="5" spans="1:9">
      <c r="A5" s="96" t="s">
        <v>42</v>
      </c>
      <c r="B5" s="26" t="s">
        <v>38</v>
      </c>
      <c r="C5" s="105">
        <v>0.16</v>
      </c>
      <c r="D5" s="106">
        <f>(40000/2)*C5</f>
        <v>3200</v>
      </c>
      <c r="E5" s="106">
        <f>(40000/2)*C5</f>
        <v>3200</v>
      </c>
      <c r="F5" s="107"/>
      <c r="G5" s="90">
        <v>1056715</v>
      </c>
      <c r="H5" s="90"/>
      <c r="I5" s="91"/>
    </row>
    <row r="6" spans="1:9">
      <c r="A6" s="97"/>
      <c r="B6" s="21" t="s">
        <v>5</v>
      </c>
      <c r="C6" s="108">
        <v>0.16</v>
      </c>
      <c r="D6" s="106">
        <f>(40000/2)*C6</f>
        <v>3200</v>
      </c>
      <c r="E6" s="106">
        <f>(40000/2)*C6</f>
        <v>3200</v>
      </c>
      <c r="F6" s="109"/>
      <c r="G6" s="92"/>
      <c r="H6" s="92"/>
      <c r="I6" s="93"/>
    </row>
    <row r="7" spans="1:9">
      <c r="A7" s="97"/>
      <c r="B7" s="21" t="s">
        <v>6</v>
      </c>
      <c r="C7" s="108">
        <v>0.6</v>
      </c>
      <c r="D7" s="106">
        <f>(40000/2)*C7</f>
        <v>12000</v>
      </c>
      <c r="E7" s="106">
        <f>(40000/2)*C7</f>
        <v>12000</v>
      </c>
      <c r="F7" s="109"/>
      <c r="G7" s="92"/>
      <c r="H7" s="92"/>
      <c r="I7" s="93"/>
    </row>
    <row r="8" spans="1:9">
      <c r="A8" s="97"/>
      <c r="B8" s="21" t="s">
        <v>7</v>
      </c>
      <c r="C8" s="108">
        <v>0.08</v>
      </c>
      <c r="D8" s="106">
        <f>(40000/2)*C8</f>
        <v>1600</v>
      </c>
      <c r="E8" s="106">
        <f>(40000/2)*C8</f>
        <v>1600</v>
      </c>
      <c r="F8" s="109"/>
      <c r="G8" s="92"/>
      <c r="H8" s="92"/>
      <c r="I8" s="93"/>
    </row>
    <row r="9" spans="1:9" ht="16" thickBot="1">
      <c r="A9" s="98"/>
      <c r="B9" s="28" t="s">
        <v>43</v>
      </c>
      <c r="C9" s="110">
        <f>SUM(C5:C8)</f>
        <v>0.99999999999999989</v>
      </c>
      <c r="D9" s="111">
        <f>SUM(D5:D8)</f>
        <v>20000</v>
      </c>
      <c r="E9" s="111">
        <f>SUM(E5:E8)</f>
        <v>20000</v>
      </c>
      <c r="F9" s="112">
        <f>D9+E9</f>
        <v>40000</v>
      </c>
      <c r="G9" s="92"/>
      <c r="H9" s="92"/>
      <c r="I9" s="93"/>
    </row>
    <row r="10" spans="1:9">
      <c r="A10" s="85" t="s">
        <v>44</v>
      </c>
      <c r="B10" s="26" t="s">
        <v>38</v>
      </c>
      <c r="C10" s="105">
        <v>0</v>
      </c>
      <c r="D10" s="106">
        <f>(40000/2)*C10</f>
        <v>0</v>
      </c>
      <c r="E10" s="106">
        <f>(40000/2)*C10</f>
        <v>0</v>
      </c>
      <c r="F10" s="107"/>
      <c r="G10" s="92"/>
      <c r="H10" s="92"/>
      <c r="I10" s="93"/>
    </row>
    <row r="11" spans="1:9">
      <c r="A11" s="86"/>
      <c r="B11" s="21" t="s">
        <v>5</v>
      </c>
      <c r="C11" s="108">
        <v>0</v>
      </c>
      <c r="D11" s="106">
        <f>(40000/2)*C11</f>
        <v>0</v>
      </c>
      <c r="E11" s="106">
        <f>(40000/2)*C11</f>
        <v>0</v>
      </c>
      <c r="F11" s="109"/>
      <c r="G11" s="92"/>
      <c r="H11" s="92"/>
      <c r="I11" s="93"/>
    </row>
    <row r="12" spans="1:9">
      <c r="A12" s="86"/>
      <c r="B12" s="21" t="s">
        <v>6</v>
      </c>
      <c r="C12" s="108">
        <v>0</v>
      </c>
      <c r="D12" s="106">
        <f>(40000/2)*C12</f>
        <v>0</v>
      </c>
      <c r="E12" s="106">
        <f>(40000/2)*C12</f>
        <v>0</v>
      </c>
      <c r="F12" s="109"/>
      <c r="G12" s="92"/>
      <c r="H12" s="92"/>
      <c r="I12" s="93"/>
    </row>
    <row r="13" spans="1:9">
      <c r="A13" s="86"/>
      <c r="B13" s="21" t="s">
        <v>7</v>
      </c>
      <c r="C13" s="108">
        <v>0</v>
      </c>
      <c r="D13" s="106">
        <f>(40000/2)*C13</f>
        <v>0</v>
      </c>
      <c r="E13" s="106">
        <f>(40000/2)*C13</f>
        <v>0</v>
      </c>
      <c r="F13" s="109"/>
      <c r="G13" s="92"/>
      <c r="H13" s="92"/>
      <c r="I13" s="93"/>
    </row>
    <row r="14" spans="1:9" ht="16" thickBot="1">
      <c r="A14" s="87"/>
      <c r="B14" s="28" t="s">
        <v>43</v>
      </c>
      <c r="C14" s="110">
        <f>SUM(C10:C13)</f>
        <v>0</v>
      </c>
      <c r="D14" s="111">
        <f>SUM(D10:D13)</f>
        <v>0</v>
      </c>
      <c r="E14" s="111">
        <f>SUM(E10:E13)</f>
        <v>0</v>
      </c>
      <c r="F14" s="112">
        <f>D14+E14</f>
        <v>0</v>
      </c>
      <c r="G14" s="92"/>
      <c r="H14" s="92"/>
      <c r="I14" s="93"/>
    </row>
    <row r="15" spans="1:9">
      <c r="A15" s="85" t="s">
        <v>45</v>
      </c>
      <c r="B15" s="26" t="s">
        <v>38</v>
      </c>
      <c r="C15" s="34">
        <v>0</v>
      </c>
      <c r="D15" s="30">
        <v>0</v>
      </c>
      <c r="E15" s="30">
        <v>0</v>
      </c>
      <c r="F15" s="35"/>
      <c r="G15" s="92"/>
      <c r="H15" s="92"/>
      <c r="I15" s="93"/>
    </row>
    <row r="16" spans="1:9">
      <c r="A16" s="86"/>
      <c r="B16" s="21" t="s">
        <v>5</v>
      </c>
      <c r="C16" s="22">
        <v>0</v>
      </c>
      <c r="D16" s="25">
        <v>0</v>
      </c>
      <c r="E16" s="25">
        <v>0</v>
      </c>
      <c r="F16" s="27"/>
      <c r="G16" s="92"/>
      <c r="H16" s="92"/>
      <c r="I16" s="93"/>
    </row>
    <row r="17" spans="1:11">
      <c r="A17" s="86"/>
      <c r="B17" s="21" t="s">
        <v>6</v>
      </c>
      <c r="C17" s="22">
        <v>0.9</v>
      </c>
      <c r="D17" s="25">
        <v>97</v>
      </c>
      <c r="E17" s="25">
        <v>65</v>
      </c>
      <c r="F17" s="27"/>
      <c r="G17" s="92"/>
      <c r="H17" s="92"/>
      <c r="I17" s="93"/>
    </row>
    <row r="18" spans="1:11" ht="16" thickBot="1">
      <c r="A18" s="86"/>
      <c r="B18" s="21" t="s">
        <v>7</v>
      </c>
      <c r="C18" s="22">
        <v>0.1</v>
      </c>
      <c r="D18" s="29">
        <v>11</v>
      </c>
      <c r="E18" s="29">
        <v>7</v>
      </c>
      <c r="F18" s="27"/>
      <c r="G18" s="92"/>
      <c r="H18" s="92"/>
      <c r="I18" s="93"/>
    </row>
    <row r="19" spans="1:11" ht="16" thickBot="1">
      <c r="A19" s="87"/>
      <c r="B19" s="41" t="s">
        <v>43</v>
      </c>
      <c r="C19" s="42">
        <v>1</v>
      </c>
      <c r="D19" s="43">
        <f>SUM(D15:D18)</f>
        <v>108</v>
      </c>
      <c r="E19" s="44">
        <f>SUM(E15:E18)</f>
        <v>72</v>
      </c>
      <c r="F19" s="44">
        <f>D19+E19</f>
        <v>180</v>
      </c>
      <c r="G19" s="92"/>
      <c r="H19" s="92"/>
      <c r="I19" s="93"/>
    </row>
    <row r="20" spans="1:11">
      <c r="A20" s="85" t="s">
        <v>46</v>
      </c>
      <c r="B20" s="26" t="s">
        <v>38</v>
      </c>
      <c r="C20" s="40">
        <v>0</v>
      </c>
      <c r="D20" s="30">
        <v>0</v>
      </c>
      <c r="E20" s="30">
        <v>0</v>
      </c>
      <c r="F20" s="35"/>
      <c r="G20" s="92"/>
      <c r="H20" s="92"/>
      <c r="I20" s="93"/>
    </row>
    <row r="21" spans="1:11">
      <c r="A21" s="86"/>
      <c r="B21" s="21" t="s">
        <v>5</v>
      </c>
      <c r="C21" s="22">
        <v>0</v>
      </c>
      <c r="D21" s="25">
        <v>0</v>
      </c>
      <c r="E21" s="25">
        <v>0</v>
      </c>
      <c r="F21" s="27"/>
      <c r="G21" s="92"/>
      <c r="H21" s="92"/>
      <c r="I21" s="93"/>
    </row>
    <row r="22" spans="1:11">
      <c r="A22" s="86"/>
      <c r="B22" s="21" t="s">
        <v>6</v>
      </c>
      <c r="C22" s="22">
        <v>1</v>
      </c>
      <c r="D22" s="25">
        <v>2350</v>
      </c>
      <c r="E22" s="25">
        <v>2350</v>
      </c>
      <c r="F22" s="27"/>
      <c r="G22" s="92"/>
      <c r="H22" s="92"/>
      <c r="I22" s="93"/>
    </row>
    <row r="23" spans="1:11">
      <c r="A23" s="86"/>
      <c r="B23" s="21" t="s">
        <v>7</v>
      </c>
      <c r="C23" s="22">
        <v>0</v>
      </c>
      <c r="D23" s="25">
        <v>0</v>
      </c>
      <c r="E23" s="25">
        <v>0</v>
      </c>
      <c r="F23" s="27"/>
      <c r="G23" s="92"/>
      <c r="H23" s="92"/>
      <c r="I23" s="93"/>
    </row>
    <row r="24" spans="1:11" ht="16" thickBot="1">
      <c r="A24" s="87"/>
      <c r="B24" s="41" t="s">
        <v>43</v>
      </c>
      <c r="C24" s="42">
        <f>SUM(C20:C23)</f>
        <v>1</v>
      </c>
      <c r="D24" s="43">
        <f>SUM(D20:D23)</f>
        <v>2350</v>
      </c>
      <c r="E24" s="44">
        <f>SUM(E20:E23)</f>
        <v>2350</v>
      </c>
      <c r="F24" s="44">
        <f>D24+E24</f>
        <v>4700</v>
      </c>
      <c r="G24" s="94"/>
      <c r="H24" s="94"/>
      <c r="I24" s="95"/>
    </row>
    <row r="25" spans="1:11">
      <c r="A25" s="88" t="s">
        <v>47</v>
      </c>
      <c r="B25" s="26" t="s">
        <v>38</v>
      </c>
      <c r="C25" s="34">
        <v>0</v>
      </c>
      <c r="D25" s="30">
        <f>0</f>
        <v>0</v>
      </c>
      <c r="E25" s="35">
        <f>0</f>
        <v>0</v>
      </c>
      <c r="F25" s="36"/>
      <c r="G25" s="73"/>
      <c r="H25" s="74"/>
      <c r="I25" s="75"/>
    </row>
    <row r="26" spans="1:11">
      <c r="A26" s="88"/>
      <c r="B26" s="21" t="s">
        <v>5</v>
      </c>
      <c r="C26" s="22">
        <f>'WB total '!B12</f>
        <v>0.12802816901408451</v>
      </c>
      <c r="D26" s="25">
        <f>'WB total '!C12</f>
        <v>152.238</v>
      </c>
      <c r="E26" s="27">
        <f>'WB total '!E12</f>
        <v>120.46199999999999</v>
      </c>
      <c r="F26" s="23"/>
      <c r="G26" s="76"/>
      <c r="H26" s="77"/>
      <c r="I26" s="78"/>
    </row>
    <row r="27" spans="1:11">
      <c r="A27" s="88"/>
      <c r="B27" s="21" t="s">
        <v>6</v>
      </c>
      <c r="C27" s="22">
        <f>'WB total '!B13</f>
        <v>0.66394366197183097</v>
      </c>
      <c r="D27" s="25">
        <f>'WB total '!C13</f>
        <v>1048.6380000000001</v>
      </c>
      <c r="E27" s="27">
        <f>'WB total '!E13</f>
        <v>365.56199999999995</v>
      </c>
      <c r="F27" s="23"/>
      <c r="G27" s="76"/>
      <c r="H27" s="77"/>
      <c r="I27" s="78"/>
    </row>
    <row r="28" spans="1:11">
      <c r="A28" s="88"/>
      <c r="B28" s="21" t="s">
        <v>7</v>
      </c>
      <c r="C28" s="22">
        <f>'WB total '!B14</f>
        <v>0.20802816901408447</v>
      </c>
      <c r="D28" s="25">
        <f>'WB total '!C14</f>
        <v>291.99899999999997</v>
      </c>
      <c r="E28" s="27">
        <f>'WB total '!E14</f>
        <v>151.10099999999994</v>
      </c>
      <c r="F28" s="23"/>
      <c r="G28" s="76"/>
      <c r="H28" s="77"/>
      <c r="I28" s="78"/>
    </row>
    <row r="29" spans="1:11" ht="16" thickBot="1">
      <c r="A29" s="89"/>
      <c r="B29" s="41" t="s">
        <v>43</v>
      </c>
      <c r="C29" s="42">
        <f>SUM(C25:C28)</f>
        <v>1</v>
      </c>
      <c r="D29" s="43">
        <f>SUM(D25:D28)</f>
        <v>1492.8750000000002</v>
      </c>
      <c r="E29" s="44">
        <f>SUM(E25:E28)</f>
        <v>637.12499999999989</v>
      </c>
      <c r="F29" s="45">
        <f>D29+E29</f>
        <v>2130</v>
      </c>
      <c r="G29" s="79"/>
      <c r="H29" s="80"/>
      <c r="I29" s="81"/>
      <c r="K29" s="10">
        <f>F24+F29</f>
        <v>6830</v>
      </c>
    </row>
    <row r="31" spans="1:11">
      <c r="B31" s="31" t="s">
        <v>48</v>
      </c>
    </row>
    <row r="32" spans="1:11" ht="16" thickBot="1"/>
    <row r="33" spans="1:9" ht="16" thickBot="1">
      <c r="A33" s="71" t="s">
        <v>15</v>
      </c>
      <c r="B33" s="46" t="s">
        <v>38</v>
      </c>
      <c r="C33" s="32">
        <f>F33/F37</f>
        <v>0.13614124654328866</v>
      </c>
      <c r="D33" s="33">
        <f>D5+D10+D15+D20+D25</f>
        <v>3200</v>
      </c>
      <c r="E33" s="33">
        <f>E5+E10+E15+E20+E25</f>
        <v>3200</v>
      </c>
      <c r="F33" s="44">
        <f t="shared" ref="F33:F36" si="0">D33+E33</f>
        <v>6400</v>
      </c>
      <c r="G33" s="82">
        <f>G5+G25</f>
        <v>1056715</v>
      </c>
      <c r="H33" s="74"/>
      <c r="I33" s="75"/>
    </row>
    <row r="34" spans="1:9" ht="16" thickBot="1">
      <c r="A34" s="71"/>
      <c r="B34" s="47" t="s">
        <v>5</v>
      </c>
      <c r="C34" s="22">
        <f>F34/F37</f>
        <v>0.14194213997021909</v>
      </c>
      <c r="D34" s="25">
        <f>D6+D11+D16+D21+D26</f>
        <v>3352.2379999999998</v>
      </c>
      <c r="E34" s="25">
        <f>E6+E11+E16+E21+E26</f>
        <v>3320.462</v>
      </c>
      <c r="F34" s="44">
        <f t="shared" si="0"/>
        <v>6672.7</v>
      </c>
      <c r="G34" s="83"/>
      <c r="H34" s="77"/>
      <c r="I34" s="78"/>
    </row>
    <row r="35" spans="1:9" ht="16" thickBot="1">
      <c r="A35" s="71"/>
      <c r="B35" s="47" t="s">
        <v>6</v>
      </c>
      <c r="C35" s="22">
        <f>F35/F37</f>
        <v>0.6440374388427994</v>
      </c>
      <c r="D35" s="25">
        <f>D7+D12+D17+D22+D27</f>
        <v>15495.638000000001</v>
      </c>
      <c r="E35" s="25">
        <f>E7+E12+E17+E22+E27</f>
        <v>14780.562</v>
      </c>
      <c r="F35" s="44">
        <f t="shared" si="0"/>
        <v>30276.2</v>
      </c>
      <c r="G35" s="83"/>
      <c r="H35" s="77"/>
      <c r="I35" s="78"/>
    </row>
    <row r="36" spans="1:9" ht="16" thickBot="1">
      <c r="A36" s="71"/>
      <c r="B36" s="47" t="s">
        <v>7</v>
      </c>
      <c r="C36" s="22">
        <f>F36/F37</f>
        <v>7.7879174643692831E-2</v>
      </c>
      <c r="D36" s="25">
        <f>D8+D13+D18+D23+D28</f>
        <v>1902.999</v>
      </c>
      <c r="E36" s="25">
        <f>E8+E13+E18+E23+E28</f>
        <v>1758.1009999999999</v>
      </c>
      <c r="F36" s="44">
        <f t="shared" si="0"/>
        <v>3661.1</v>
      </c>
      <c r="G36" s="83"/>
      <c r="H36" s="77"/>
      <c r="I36" s="78"/>
    </row>
    <row r="37" spans="1:9" ht="16" thickBot="1">
      <c r="A37" s="72"/>
      <c r="B37" s="48" t="s">
        <v>43</v>
      </c>
      <c r="C37" s="42">
        <f>SUM(C33:C36)</f>
        <v>1</v>
      </c>
      <c r="D37" s="43">
        <f>SUM(D33:D36)</f>
        <v>23950.875</v>
      </c>
      <c r="E37" s="44">
        <f>SUM(E33:E36)</f>
        <v>23059.124999999996</v>
      </c>
      <c r="F37" s="44">
        <f>D37+E37</f>
        <v>47010</v>
      </c>
      <c r="G37" s="84"/>
      <c r="H37" s="80"/>
      <c r="I37" s="81"/>
    </row>
  </sheetData>
  <mergeCells count="11">
    <mergeCell ref="G3:I4"/>
    <mergeCell ref="A33:A37"/>
    <mergeCell ref="G25:I29"/>
    <mergeCell ref="G33:I37"/>
    <mergeCell ref="A10:A14"/>
    <mergeCell ref="A15:A19"/>
    <mergeCell ref="A20:A24"/>
    <mergeCell ref="A25:A29"/>
    <mergeCell ref="G5:I24"/>
    <mergeCell ref="C3:F3"/>
    <mergeCell ref="A5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E077-5A78-42FB-B620-5B4C18E901D8}">
  <dimension ref="A1:I23"/>
  <sheetViews>
    <sheetView workbookViewId="0">
      <selection activeCell="H24" sqref="H24"/>
    </sheetView>
  </sheetViews>
  <sheetFormatPr baseColWidth="10" defaultColWidth="8.83203125" defaultRowHeight="15"/>
  <cols>
    <col min="1" max="1" width="30.1640625" customWidth="1"/>
    <col min="2" max="2" width="24.1640625" customWidth="1"/>
    <col min="3" max="3" width="20.83203125" customWidth="1"/>
    <col min="4" max="4" width="10.83203125" customWidth="1"/>
    <col min="5" max="5" width="14.1640625" customWidth="1"/>
    <col min="6" max="6" width="25.1640625" customWidth="1"/>
  </cols>
  <sheetData>
    <row r="1" spans="1:9" ht="16" thickBot="1">
      <c r="A1" s="49" t="s">
        <v>52</v>
      </c>
    </row>
    <row r="2" spans="1:9" ht="22" thickBot="1">
      <c r="A2" s="50"/>
      <c r="B2" s="51" t="s">
        <v>53</v>
      </c>
      <c r="C2" s="51" t="s">
        <v>54</v>
      </c>
      <c r="D2" s="51" t="s">
        <v>55</v>
      </c>
      <c r="E2" s="51" t="s">
        <v>56</v>
      </c>
      <c r="F2" s="52" t="s">
        <v>57</v>
      </c>
      <c r="H2" s="62" t="s">
        <v>39</v>
      </c>
      <c r="I2" s="62" t="s">
        <v>40</v>
      </c>
    </row>
    <row r="3" spans="1:9" ht="17" thickBot="1">
      <c r="A3" s="53" t="s">
        <v>58</v>
      </c>
      <c r="B3" s="99"/>
      <c r="C3" s="100"/>
      <c r="D3" s="100"/>
      <c r="E3" s="100"/>
      <c r="F3" s="101"/>
      <c r="H3" s="10">
        <f>(B4+D4)*$G$23</f>
        <v>8.1533101045296164</v>
      </c>
      <c r="I3" s="10">
        <f>(C4+E4)*$G$23</f>
        <v>9.4076655052264808</v>
      </c>
    </row>
    <row r="4" spans="1:9" ht="16" thickBot="1">
      <c r="A4" s="54" t="s">
        <v>59</v>
      </c>
      <c r="B4" s="55">
        <v>0</v>
      </c>
      <c r="C4" s="55">
        <v>8</v>
      </c>
      <c r="D4" s="55">
        <v>13</v>
      </c>
      <c r="E4" s="55">
        <v>7</v>
      </c>
      <c r="F4" s="56">
        <v>28</v>
      </c>
      <c r="H4" s="10">
        <f t="shared" ref="H4:H22" si="0">(B5+D5)*$G$23</f>
        <v>0.62717770034843201</v>
      </c>
      <c r="I4" s="10">
        <f t="shared" ref="I4:I22" si="1">(C5+E5)*$G$23</f>
        <v>3.1358885017421603</v>
      </c>
    </row>
    <row r="5" spans="1:9" ht="16" thickBot="1">
      <c r="A5" s="57" t="s">
        <v>60</v>
      </c>
      <c r="B5" s="56">
        <v>0</v>
      </c>
      <c r="C5" s="56">
        <v>2</v>
      </c>
      <c r="D5" s="56">
        <v>1</v>
      </c>
      <c r="E5" s="56">
        <v>3</v>
      </c>
      <c r="F5" s="56">
        <v>6</v>
      </c>
      <c r="H5" s="10">
        <f t="shared" si="0"/>
        <v>1.254355400696864</v>
      </c>
      <c r="I5" s="10">
        <f t="shared" si="1"/>
        <v>3.1358885017421603</v>
      </c>
    </row>
    <row r="6" spans="1:9" ht="16" thickBot="1">
      <c r="A6" s="57" t="s">
        <v>61</v>
      </c>
      <c r="B6" s="56">
        <v>0</v>
      </c>
      <c r="C6" s="56">
        <v>2</v>
      </c>
      <c r="D6" s="56">
        <v>2</v>
      </c>
      <c r="E6" s="56">
        <v>3</v>
      </c>
      <c r="F6" s="56">
        <v>7</v>
      </c>
      <c r="H6" s="10">
        <f t="shared" si="0"/>
        <v>0</v>
      </c>
      <c r="I6" s="10">
        <f t="shared" si="1"/>
        <v>0</v>
      </c>
    </row>
    <row r="7" spans="1:9" ht="16" thickBot="1">
      <c r="A7" s="102"/>
      <c r="B7" s="103"/>
      <c r="C7" s="103"/>
      <c r="D7" s="103"/>
      <c r="E7" s="103"/>
      <c r="F7" s="104"/>
      <c r="H7" s="10">
        <f t="shared" si="0"/>
        <v>2.508710801393728</v>
      </c>
      <c r="I7" s="10">
        <f t="shared" si="1"/>
        <v>2.508710801393728</v>
      </c>
    </row>
    <row r="8" spans="1:9" ht="16" thickBot="1">
      <c r="A8" s="58" t="s">
        <v>62</v>
      </c>
      <c r="B8" s="55">
        <v>0</v>
      </c>
      <c r="C8" s="55">
        <v>2</v>
      </c>
      <c r="D8" s="55">
        <v>4</v>
      </c>
      <c r="E8" s="55">
        <v>2</v>
      </c>
      <c r="F8" s="56">
        <v>8</v>
      </c>
      <c r="H8" s="10">
        <f t="shared" si="0"/>
        <v>3.1358885017421603</v>
      </c>
      <c r="I8" s="10">
        <f t="shared" si="1"/>
        <v>8.7804878048780477</v>
      </c>
    </row>
    <row r="9" spans="1:9" ht="16" thickBot="1">
      <c r="A9" s="57" t="s">
        <v>63</v>
      </c>
      <c r="B9" s="56">
        <v>2</v>
      </c>
      <c r="C9" s="56">
        <v>6</v>
      </c>
      <c r="D9" s="56">
        <v>3</v>
      </c>
      <c r="E9" s="56">
        <v>8</v>
      </c>
      <c r="F9" s="56">
        <v>19</v>
      </c>
      <c r="H9" s="10">
        <f t="shared" si="0"/>
        <v>8.1533101045296164</v>
      </c>
      <c r="I9" s="10">
        <f t="shared" si="1"/>
        <v>2.508710801393728</v>
      </c>
    </row>
    <row r="10" spans="1:9" ht="16" thickBot="1">
      <c r="A10" s="54" t="s">
        <v>64</v>
      </c>
      <c r="B10" s="55">
        <v>4</v>
      </c>
      <c r="C10" s="55">
        <v>1</v>
      </c>
      <c r="D10" s="55">
        <v>9</v>
      </c>
      <c r="E10" s="55">
        <v>3</v>
      </c>
      <c r="F10" s="56">
        <v>17</v>
      </c>
      <c r="H10" s="10">
        <f t="shared" si="0"/>
        <v>6.2717770034843205</v>
      </c>
      <c r="I10" s="10">
        <f t="shared" si="1"/>
        <v>5.0174216027874561</v>
      </c>
    </row>
    <row r="11" spans="1:9" ht="16" thickBot="1">
      <c r="A11" s="54" t="s">
        <v>65</v>
      </c>
      <c r="B11" s="55">
        <v>3</v>
      </c>
      <c r="C11" s="55">
        <v>4</v>
      </c>
      <c r="D11" s="55">
        <v>7</v>
      </c>
      <c r="E11" s="55">
        <v>4</v>
      </c>
      <c r="F11" s="56">
        <v>18</v>
      </c>
      <c r="H11" s="10">
        <f t="shared" si="0"/>
        <v>12.543554006968641</v>
      </c>
      <c r="I11" s="10">
        <f t="shared" si="1"/>
        <v>10.034843205574912</v>
      </c>
    </row>
    <row r="12" spans="1:9" ht="16" thickBot="1">
      <c r="A12" s="54" t="s">
        <v>66</v>
      </c>
      <c r="B12" s="55">
        <v>5</v>
      </c>
      <c r="C12" s="55">
        <v>6</v>
      </c>
      <c r="D12" s="55">
        <v>15</v>
      </c>
      <c r="E12" s="55">
        <v>10</v>
      </c>
      <c r="F12" s="56">
        <v>36</v>
      </c>
      <c r="H12" s="10">
        <f t="shared" si="0"/>
        <v>8.7804878048780477</v>
      </c>
      <c r="I12" s="10">
        <f t="shared" si="1"/>
        <v>3.7630662020905921</v>
      </c>
    </row>
    <row r="13" spans="1:9" ht="16" thickBot="1">
      <c r="A13" s="54" t="s">
        <v>67</v>
      </c>
      <c r="B13" s="55">
        <v>4</v>
      </c>
      <c r="C13" s="55">
        <v>3</v>
      </c>
      <c r="D13" s="55">
        <v>10</v>
      </c>
      <c r="E13" s="55">
        <v>3</v>
      </c>
      <c r="F13" s="56">
        <v>20</v>
      </c>
      <c r="H13" s="10">
        <f t="shared" si="0"/>
        <v>3.7630662020905921</v>
      </c>
      <c r="I13" s="10">
        <f t="shared" si="1"/>
        <v>4.3902439024390238</v>
      </c>
    </row>
    <row r="14" spans="1:9" ht="16" thickBot="1">
      <c r="A14" s="57" t="s">
        <v>68</v>
      </c>
      <c r="B14" s="55">
        <v>3</v>
      </c>
      <c r="C14" s="55">
        <v>3</v>
      </c>
      <c r="D14" s="55">
        <v>3</v>
      </c>
      <c r="E14" s="55">
        <v>4</v>
      </c>
      <c r="F14" s="56">
        <v>13</v>
      </c>
      <c r="H14" s="10">
        <f t="shared" si="0"/>
        <v>1.881533101045296</v>
      </c>
      <c r="I14" s="10">
        <f t="shared" si="1"/>
        <v>4.3902439024390238</v>
      </c>
    </row>
    <row r="15" spans="1:9" ht="16" thickBot="1">
      <c r="A15" s="57" t="s">
        <v>69</v>
      </c>
      <c r="B15" s="55">
        <v>2</v>
      </c>
      <c r="C15" s="55">
        <v>3</v>
      </c>
      <c r="D15" s="55">
        <v>1</v>
      </c>
      <c r="E15" s="55">
        <v>4</v>
      </c>
      <c r="F15" s="56">
        <v>10</v>
      </c>
      <c r="H15" s="10">
        <f t="shared" si="0"/>
        <v>0</v>
      </c>
      <c r="I15" s="10">
        <f t="shared" si="1"/>
        <v>0</v>
      </c>
    </row>
    <row r="16" spans="1:9" ht="16" thickBot="1">
      <c r="A16" s="102"/>
      <c r="B16" s="103"/>
      <c r="C16" s="103"/>
      <c r="D16" s="103"/>
      <c r="E16" s="103"/>
      <c r="F16" s="104"/>
      <c r="H16" s="10">
        <f t="shared" si="0"/>
        <v>3.1358885017421603</v>
      </c>
      <c r="I16" s="10">
        <f t="shared" si="1"/>
        <v>8.1533101045296164</v>
      </c>
    </row>
    <row r="17" spans="1:9" ht="16" thickBot="1">
      <c r="A17" s="54" t="s">
        <v>70</v>
      </c>
      <c r="B17" s="56">
        <v>1</v>
      </c>
      <c r="C17" s="56">
        <v>7</v>
      </c>
      <c r="D17" s="56">
        <v>4</v>
      </c>
      <c r="E17" s="56">
        <v>6</v>
      </c>
      <c r="F17" s="56">
        <v>18</v>
      </c>
      <c r="H17" s="10">
        <f t="shared" si="0"/>
        <v>11.289198606271777</v>
      </c>
      <c r="I17" s="10">
        <f t="shared" si="1"/>
        <v>4.3902439024390238</v>
      </c>
    </row>
    <row r="18" spans="1:9" ht="16" thickBot="1">
      <c r="A18" s="54" t="s">
        <v>71</v>
      </c>
      <c r="B18" s="55">
        <v>3</v>
      </c>
      <c r="C18" s="55">
        <v>4</v>
      </c>
      <c r="D18" s="55">
        <v>15</v>
      </c>
      <c r="E18" s="55">
        <v>3</v>
      </c>
      <c r="F18" s="56">
        <v>25</v>
      </c>
      <c r="H18" s="10">
        <f t="shared" si="0"/>
        <v>0</v>
      </c>
      <c r="I18" s="10">
        <f t="shared" si="1"/>
        <v>0</v>
      </c>
    </row>
    <row r="19" spans="1:9" ht="16" thickBot="1">
      <c r="A19" s="59"/>
      <c r="B19" s="56"/>
      <c r="C19" s="56"/>
      <c r="D19" s="56"/>
      <c r="E19" s="56"/>
      <c r="F19" s="56">
        <v>0</v>
      </c>
      <c r="H19" s="10">
        <f t="shared" si="0"/>
        <v>12.543554006968641</v>
      </c>
      <c r="I19" s="10">
        <f t="shared" si="1"/>
        <v>7.5261324041811841</v>
      </c>
    </row>
    <row r="20" spans="1:9" ht="16" thickBot="1">
      <c r="A20" s="54" t="s">
        <v>72</v>
      </c>
      <c r="B20" s="55">
        <v>5</v>
      </c>
      <c r="C20" s="55">
        <v>7</v>
      </c>
      <c r="D20" s="55">
        <v>15</v>
      </c>
      <c r="E20" s="55">
        <v>5</v>
      </c>
      <c r="F20" s="56">
        <v>32</v>
      </c>
      <c r="H20" s="10">
        <f t="shared" si="0"/>
        <v>0</v>
      </c>
      <c r="I20" s="10">
        <f t="shared" si="1"/>
        <v>0</v>
      </c>
    </row>
    <row r="21" spans="1:9" ht="16" thickBot="1">
      <c r="A21" s="102"/>
      <c r="B21" s="103"/>
      <c r="C21" s="103"/>
      <c r="D21" s="103"/>
      <c r="E21" s="103"/>
      <c r="F21" s="104"/>
      <c r="H21" s="10">
        <f t="shared" si="0"/>
        <v>6.2717770034843205</v>
      </c>
      <c r="I21" s="10">
        <f t="shared" si="1"/>
        <v>12.543554006968641</v>
      </c>
    </row>
    <row r="22" spans="1:9" ht="16" thickBot="1">
      <c r="A22" s="54" t="s">
        <v>73</v>
      </c>
      <c r="B22" s="56">
        <v>0</v>
      </c>
      <c r="C22" s="56">
        <v>10</v>
      </c>
      <c r="D22" s="56">
        <v>10</v>
      </c>
      <c r="E22" s="56">
        <v>10</v>
      </c>
      <c r="F22" s="56">
        <v>30</v>
      </c>
      <c r="H22" s="10">
        <f t="shared" si="0"/>
        <v>90.313588850174213</v>
      </c>
      <c r="I22" s="10">
        <f t="shared" si="1"/>
        <v>89.686411149825773</v>
      </c>
    </row>
    <row r="23" spans="1:9" ht="22" thickBot="1">
      <c r="A23" s="60" t="s">
        <v>15</v>
      </c>
      <c r="B23" s="61">
        <v>32</v>
      </c>
      <c r="C23" s="61">
        <v>68</v>
      </c>
      <c r="D23" s="61">
        <v>112</v>
      </c>
      <c r="E23" s="61">
        <v>75</v>
      </c>
      <c r="F23" s="61">
        <v>287</v>
      </c>
      <c r="G23" s="2">
        <f>180/F23</f>
        <v>0.62717770034843201</v>
      </c>
    </row>
  </sheetData>
  <mergeCells count="4">
    <mergeCell ref="B3:F3"/>
    <mergeCell ref="A7:F7"/>
    <mergeCell ref="A16:F16"/>
    <mergeCell ref="A21:F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948F23-0355-4B01-B224-4B5FC5D84FFE}"/>
</file>

<file path=customXml/itemProps2.xml><?xml version="1.0" encoding="utf-8"?>
<ds:datastoreItem xmlns:ds="http://schemas.openxmlformats.org/officeDocument/2006/customXml" ds:itemID="{F705A99E-2B02-427C-9110-68B9FC1AC942}"/>
</file>

<file path=customXml/itemProps3.xml><?xml version="1.0" encoding="utf-8"?>
<ds:datastoreItem xmlns:ds="http://schemas.openxmlformats.org/officeDocument/2006/customXml" ds:itemID="{62155B57-FA52-4906-B2F3-9DAE96B256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WB MHPSS ER </vt:lpstr>
      <vt:lpstr>WB Psuchoeducation </vt:lpstr>
      <vt:lpstr>WB total </vt:lpstr>
      <vt:lpstr>total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Isleem - MDM WB Field.co</dc:creator>
  <cp:lastModifiedBy>Pedro Porrino</cp:lastModifiedBy>
  <dcterms:created xsi:type="dcterms:W3CDTF">2018-12-24T16:15:20Z</dcterms:created>
  <dcterms:modified xsi:type="dcterms:W3CDTF">2019-01-10T19:17:01Z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