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ETF-USA" sheetId="2" r:id="rId1"/>
    <sheet name="ETF" sheetId="1" r:id="rId2"/>
    <sheet name="MonitorETF" sheetId="3" r:id="rId3"/>
    <sheet name="Hoja1" sheetId="4" r:id="rId4"/>
  </sheets>
  <calcPr calcId="152511"/>
</workbook>
</file>

<file path=xl/calcChain.xml><?xml version="1.0" encoding="utf-8"?>
<calcChain xmlns="http://schemas.openxmlformats.org/spreadsheetml/2006/main">
  <c r="L8" i="3" l="1"/>
  <c r="E3" i="3" l="1"/>
  <c r="F3" i="3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D4" i="3" l="1"/>
  <c r="D5" i="3"/>
  <c r="D6" i="3"/>
  <c r="D7" i="3"/>
  <c r="D8" i="3"/>
  <c r="D9" i="3"/>
  <c r="D10" i="3"/>
  <c r="D11" i="3"/>
  <c r="D3" i="3"/>
  <c r="B1" i="3"/>
  <c r="F3" i="4" l="1"/>
  <c r="G3" i="4" s="1"/>
  <c r="H4" i="3"/>
  <c r="H5" i="3"/>
  <c r="H6" i="3"/>
  <c r="H7" i="3"/>
  <c r="H8" i="3"/>
  <c r="H9" i="3"/>
  <c r="H10" i="3"/>
  <c r="H11" i="3"/>
  <c r="H3" i="3"/>
  <c r="L4" i="3"/>
  <c r="H3" i="4" l="1"/>
  <c r="I3" i="4"/>
  <c r="J3" i="4"/>
  <c r="P4" i="3" l="1"/>
  <c r="P5" i="3"/>
  <c r="P3" i="3"/>
  <c r="O3" i="3"/>
  <c r="O5" i="3"/>
  <c r="O4" i="3"/>
  <c r="L5" i="3"/>
  <c r="L6" i="3"/>
  <c r="L7" i="3"/>
  <c r="L9" i="3"/>
  <c r="L10" i="3"/>
  <c r="L11" i="3"/>
  <c r="L3" i="3"/>
  <c r="B4" i="3"/>
  <c r="B5" i="3"/>
  <c r="B6" i="3"/>
  <c r="B7" i="3"/>
  <c r="B8" i="3"/>
  <c r="B9" i="3"/>
  <c r="G9" i="3" s="1"/>
  <c r="B10" i="3"/>
  <c r="B11" i="3"/>
  <c r="B3" i="3"/>
  <c r="J4" i="3"/>
  <c r="J5" i="3"/>
  <c r="J6" i="3"/>
  <c r="J7" i="3"/>
  <c r="J8" i="3"/>
  <c r="J9" i="3"/>
  <c r="J10" i="3"/>
  <c r="J11" i="3"/>
  <c r="J3" i="3"/>
  <c r="C4" i="3"/>
  <c r="C5" i="3"/>
  <c r="C6" i="3"/>
  <c r="C7" i="3"/>
  <c r="C8" i="3"/>
  <c r="C9" i="3"/>
  <c r="C10" i="3"/>
  <c r="C11" i="3"/>
  <c r="C3" i="3"/>
  <c r="I9" i="3" l="1"/>
  <c r="I11" i="3"/>
  <c r="K11" i="3" s="1"/>
  <c r="I7" i="3"/>
  <c r="K7" i="3" s="1"/>
  <c r="I5" i="3"/>
  <c r="K5" i="3" s="1"/>
  <c r="I4" i="3"/>
  <c r="K4" i="3" s="1"/>
  <c r="I3" i="3"/>
  <c r="K3" i="3" s="1"/>
  <c r="I6" i="3"/>
  <c r="K6" i="3" s="1"/>
  <c r="I10" i="3"/>
  <c r="K10" i="3" s="1"/>
  <c r="I8" i="3"/>
  <c r="K8" i="3" s="1"/>
  <c r="G10" i="3" l="1"/>
  <c r="G7" i="3"/>
  <c r="K9" i="3"/>
  <c r="G5" i="3"/>
  <c r="G11" i="3"/>
  <c r="G3" i="3"/>
  <c r="G4" i="3"/>
  <c r="G6" i="3"/>
  <c r="G8" i="3"/>
</calcChain>
</file>

<file path=xl/sharedStrings.xml><?xml version="1.0" encoding="utf-8"?>
<sst xmlns="http://schemas.openxmlformats.org/spreadsheetml/2006/main" count="191" uniqueCount="92">
  <si>
    <t>ESPECIE</t>
  </si>
  <si>
    <t>VTO.</t>
  </si>
  <si>
    <t>A.N.</t>
  </si>
  <si>
    <t>C.CPRA.</t>
  </si>
  <si>
    <t>P.CPRA.</t>
  </si>
  <si>
    <t>P.VTA.</t>
  </si>
  <si>
    <t>C.VTA.</t>
  </si>
  <si>
    <t>ESTADO</t>
  </si>
  <si>
    <t>APERTURA</t>
  </si>
  <si>
    <t>MINIMO</t>
  </si>
  <si>
    <t>MAXIMO</t>
  </si>
  <si>
    <t>ULTIMO</t>
  </si>
  <si>
    <t>CIERRE ANT.</t>
  </si>
  <si>
    <t>VAR.</t>
  </si>
  <si>
    <t>TEND.</t>
  </si>
  <si>
    <t>TOT.V$N</t>
  </si>
  <si>
    <t>MONTO</t>
  </si>
  <si>
    <t>HORA</t>
  </si>
  <si>
    <t>SESSION</t>
  </si>
  <si>
    <t>CIERRE HOY</t>
  </si>
  <si>
    <t>OBS</t>
  </si>
  <si>
    <t>L.MINIMA</t>
  </si>
  <si>
    <t>VWAP</t>
  </si>
  <si>
    <t>PLAZO</t>
  </si>
  <si>
    <t>ARKK</t>
  </si>
  <si>
    <t>48Hs.</t>
  </si>
  <si>
    <t>PPT</t>
  </si>
  <si>
    <t>Active</t>
  </si>
  <si>
    <t>DIA</t>
  </si>
  <si>
    <t>EEM</t>
  </si>
  <si>
    <t>EWZ</t>
  </si>
  <si>
    <t>IWM</t>
  </si>
  <si>
    <t>QQQ</t>
  </si>
  <si>
    <t>SPY</t>
  </si>
  <si>
    <t>XLE</t>
  </si>
  <si>
    <t>XLF</t>
  </si>
  <si>
    <t>Ticker</t>
  </si>
  <si>
    <t>USA %</t>
  </si>
  <si>
    <t>CCL</t>
  </si>
  <si>
    <t>Previous Close</t>
  </si>
  <si>
    <t>ARKKD</t>
  </si>
  <si>
    <t>DIAD</t>
  </si>
  <si>
    <t>EEMD</t>
  </si>
  <si>
    <t>EWZD</t>
  </si>
  <si>
    <t>IWMD</t>
  </si>
  <si>
    <t>QQQD</t>
  </si>
  <si>
    <t>SPYD</t>
  </si>
  <si>
    <t>XLED</t>
  </si>
  <si>
    <t>XLFD</t>
  </si>
  <si>
    <t>CPC</t>
  </si>
  <si>
    <t>Max Price</t>
  </si>
  <si>
    <t>Price</t>
  </si>
  <si>
    <t>Ratio</t>
  </si>
  <si>
    <t>Abr Price ARG</t>
  </si>
  <si>
    <t>ARG %</t>
  </si>
  <si>
    <t>ArbUSA/Max Price</t>
  </si>
  <si>
    <t>last</t>
  </si>
  <si>
    <t>country</t>
  </si>
  <si>
    <t>name</t>
  </si>
  <si>
    <t>high</t>
  </si>
  <si>
    <t>low</t>
  </si>
  <si>
    <t>change</t>
  </si>
  <si>
    <t>change_percentage</t>
  </si>
  <si>
    <t>currency</t>
  </si>
  <si>
    <t>united states</t>
  </si>
  <si>
    <t>S&amp;P 500</t>
  </si>
  <si>
    <t>USD</t>
  </si>
  <si>
    <t>Dow Jones</t>
  </si>
  <si>
    <t>Nasdaq 100</t>
  </si>
  <si>
    <t>Nasdaq</t>
  </si>
  <si>
    <t>Index</t>
  </si>
  <si>
    <t>Index %</t>
  </si>
  <si>
    <t>Arb Price USA</t>
  </si>
  <si>
    <t>Vol Arg</t>
  </si>
  <si>
    <t>Last Update</t>
  </si>
  <si>
    <t>ARG/USA %</t>
  </si>
  <si>
    <t>Last USA</t>
  </si>
  <si>
    <t>Last Arg</t>
  </si>
  <si>
    <t>Qty SPY</t>
  </si>
  <si>
    <t>Price Pos</t>
  </si>
  <si>
    <t>Spread</t>
  </si>
  <si>
    <t>Price t</t>
  </si>
  <si>
    <t>Price t+2</t>
  </si>
  <si>
    <t>P&amp;L</t>
  </si>
  <si>
    <t>Annual Returns (Nominal)</t>
  </si>
  <si>
    <t>ROI</t>
  </si>
  <si>
    <t>Annual Returns (Compound)</t>
  </si>
  <si>
    <t>Negative Qty Reverse</t>
  </si>
  <si>
    <t>Positive Qty Roll</t>
  </si>
  <si>
    <t>1y High</t>
  </si>
  <si>
    <t>USA 1y High %</t>
  </si>
  <si>
    <t>Closing Price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</si>
</sst>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USD]\ * #,##0.00_-;\-[$USD]\ * #,##0.00_-;_-[$USD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0" fontId="2" fillId="2" borderId="0" xfId="0" applyFont="1" applyFill="1"/>
    <xf numFmtId="10" fontId="2" fillId="2" borderId="0" xfId="1" applyNumberFormat="1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2" fontId="2" fillId="2" borderId="0" xfId="0" applyNumberFormat="1" applyFont="1" applyFill="1"/>
    <xf numFmtId="10" fontId="0" fillId="0" borderId="0" xfId="0" applyNumberFormat="1"/>
    <xf numFmtId="0" fontId="3" fillId="2" borderId="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10" fontId="0" fillId="0" borderId="2" xfId="1" applyNumberFormat="1" applyFont="1" applyBorder="1"/>
    <xf numFmtId="164" fontId="0" fillId="0" borderId="2" xfId="0" applyNumberFormat="1" applyBorder="1" applyAlignment="1">
      <alignment horizontal="center" vertical="center"/>
    </xf>
    <xf numFmtId="0" fontId="6" fillId="0" borderId="0" xfId="0" applyFont="1"/>
    <xf numFmtId="0" fontId="5" fillId="2" borderId="0" xfId="0" applyFont="1" applyFill="1" applyAlignment="1">
      <alignment horizontal="center" vertical="center"/>
    </xf>
    <xf numFmtId="22" fontId="0" fillId="0" borderId="0" xfId="0" applyNumberFormat="1"/>
    <xf numFmtId="22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7" sqref="I7"/>
    </sheetView>
  </sheetViews>
  <sheetFormatPr baseColWidth="10" defaultRowHeight="15" x14ac:dyDescent="0.25"/>
  <cols>
    <col min="1" max="1" width="13.7109375" bestFit="1" customWidth="1"/>
    <col min="2" max="2" width="12.5703125" bestFit="1" customWidth="1"/>
  </cols>
  <sheetData>
    <row r="1" spans="1:9" x14ac:dyDescent="0.25">
      <c r="B1" t="s">
        <v>51</v>
      </c>
      <c r="C1" t="s">
        <v>39</v>
      </c>
      <c r="D1" t="s">
        <v>50</v>
      </c>
      <c r="E1" t="s">
        <v>89</v>
      </c>
      <c r="F1" t="s">
        <v>52</v>
      </c>
    </row>
    <row r="2" spans="1:9" x14ac:dyDescent="0.25">
      <c r="A2" t="s">
        <v>24</v>
      </c>
      <c r="B2">
        <v>48.18</v>
      </c>
      <c r="C2">
        <v>52.43</v>
      </c>
      <c r="D2">
        <v>156.58000183105469</v>
      </c>
      <c r="E2">
        <v>130.8800048828125</v>
      </c>
      <c r="F2">
        <v>10</v>
      </c>
    </row>
    <row r="3" spans="1:9" x14ac:dyDescent="0.25">
      <c r="A3" t="s">
        <v>28</v>
      </c>
      <c r="B3">
        <v>330.95</v>
      </c>
      <c r="C3">
        <v>340.59</v>
      </c>
      <c r="D3">
        <v>367.8699951171875</v>
      </c>
      <c r="E3">
        <v>367.8699951171875</v>
      </c>
      <c r="F3">
        <v>20</v>
      </c>
    </row>
    <row r="4" spans="1:9" x14ac:dyDescent="0.25">
      <c r="A4" t="s">
        <v>29</v>
      </c>
      <c r="B4">
        <v>41.414999999999999</v>
      </c>
      <c r="C4">
        <v>43.09</v>
      </c>
      <c r="D4">
        <v>57.707317352294922</v>
      </c>
      <c r="E4">
        <v>55.845470428466797</v>
      </c>
      <c r="F4">
        <v>5</v>
      </c>
    </row>
    <row r="5" spans="1:9" x14ac:dyDescent="0.25">
      <c r="A5" t="s">
        <v>30</v>
      </c>
      <c r="B5">
        <v>31.43</v>
      </c>
      <c r="C5">
        <v>33.090000000000003</v>
      </c>
      <c r="D5">
        <v>66.730667114257813</v>
      </c>
      <c r="E5">
        <v>41.959999084472656</v>
      </c>
      <c r="F5">
        <v>2</v>
      </c>
    </row>
    <row r="6" spans="1:9" x14ac:dyDescent="0.25">
      <c r="A6" t="s">
        <v>31</v>
      </c>
      <c r="B6">
        <v>185.84</v>
      </c>
      <c r="C6">
        <v>193.52</v>
      </c>
      <c r="D6">
        <v>242.55999755859375</v>
      </c>
      <c r="E6">
        <v>242.55999755859375</v>
      </c>
      <c r="F6">
        <v>10</v>
      </c>
    </row>
    <row r="7" spans="1:9" x14ac:dyDescent="0.25">
      <c r="A7" t="s">
        <v>32</v>
      </c>
      <c r="B7">
        <v>314.3</v>
      </c>
      <c r="C7">
        <v>329.6</v>
      </c>
      <c r="D7">
        <v>403.989990234375</v>
      </c>
      <c r="E7">
        <v>403.989990234375</v>
      </c>
      <c r="F7">
        <v>20</v>
      </c>
    </row>
    <row r="8" spans="1:9" x14ac:dyDescent="0.25">
      <c r="A8" t="s">
        <v>33</v>
      </c>
      <c r="B8">
        <v>414.84</v>
      </c>
      <c r="C8">
        <v>429.06</v>
      </c>
      <c r="D8">
        <v>477.70999145507812</v>
      </c>
      <c r="E8">
        <v>477.70999145507812</v>
      </c>
      <c r="F8">
        <v>20</v>
      </c>
    </row>
    <row r="9" spans="1:9" x14ac:dyDescent="0.25">
      <c r="A9" t="s">
        <v>34</v>
      </c>
      <c r="B9">
        <v>80.739999999999995</v>
      </c>
      <c r="C9">
        <v>81.75</v>
      </c>
      <c r="D9">
        <v>81.75</v>
      </c>
      <c r="E9">
        <v>81.75</v>
      </c>
      <c r="F9">
        <v>2</v>
      </c>
    </row>
    <row r="10" spans="1:9" x14ac:dyDescent="0.25">
      <c r="A10" t="s">
        <v>35</v>
      </c>
      <c r="B10">
        <v>35.01</v>
      </c>
      <c r="C10">
        <v>36.04</v>
      </c>
      <c r="D10">
        <v>41.419998168945313</v>
      </c>
      <c r="E10">
        <v>41.419998168945313</v>
      </c>
      <c r="F10">
        <v>2</v>
      </c>
    </row>
    <row r="12" spans="1:9" x14ac:dyDescent="0.25">
      <c r="B12" t="s">
        <v>57</v>
      </c>
      <c r="C12" t="s">
        <v>58</v>
      </c>
      <c r="D12" t="s">
        <v>56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</row>
    <row r="13" spans="1:9" x14ac:dyDescent="0.25">
      <c r="A13">
        <v>0</v>
      </c>
      <c r="B13" t="s">
        <v>64</v>
      </c>
      <c r="C13" t="s">
        <v>67</v>
      </c>
      <c r="D13">
        <v>33086.879999999997</v>
      </c>
      <c r="E13">
        <v>33854.17</v>
      </c>
      <c r="F13">
        <v>32828.589999999997</v>
      </c>
      <c r="G13">
        <v>-974.18</v>
      </c>
      <c r="H13" s="10">
        <v>-2.86E-2</v>
      </c>
      <c r="I13" t="s">
        <v>66</v>
      </c>
    </row>
    <row r="14" spans="1:9" x14ac:dyDescent="0.25">
      <c r="A14">
        <v>1</v>
      </c>
      <c r="B14" t="s">
        <v>64</v>
      </c>
      <c r="C14" t="s">
        <v>68</v>
      </c>
      <c r="D14">
        <v>12904.17</v>
      </c>
      <c r="E14">
        <v>13344.79</v>
      </c>
      <c r="F14">
        <v>12806.48</v>
      </c>
      <c r="G14">
        <v>-631.54</v>
      </c>
      <c r="H14" s="10">
        <v>-4.6699999999999998E-2</v>
      </c>
      <c r="I14" t="s">
        <v>66</v>
      </c>
    </row>
    <row r="15" spans="1:9" x14ac:dyDescent="0.25">
      <c r="A15">
        <v>2</v>
      </c>
      <c r="B15" t="s">
        <v>64</v>
      </c>
      <c r="C15" t="s">
        <v>69</v>
      </c>
      <c r="D15">
        <v>12365.33</v>
      </c>
      <c r="E15">
        <v>12787.52</v>
      </c>
      <c r="F15">
        <v>12272.12</v>
      </c>
      <c r="G15">
        <v>-599.53</v>
      </c>
      <c r="H15" s="10">
        <v>-4.6199999999999998E-2</v>
      </c>
      <c r="I15" t="s">
        <v>66</v>
      </c>
    </row>
    <row r="16" spans="1:9" x14ac:dyDescent="0.25">
      <c r="A16">
        <v>3</v>
      </c>
      <c r="B16" t="s">
        <v>64</v>
      </c>
      <c r="C16" t="s">
        <v>65</v>
      </c>
      <c r="D16">
        <v>4156.6899999999996</v>
      </c>
      <c r="E16">
        <v>4256.3900000000003</v>
      </c>
      <c r="F16">
        <v>4121.1000000000004</v>
      </c>
      <c r="G16">
        <v>-143.47999999999999</v>
      </c>
      <c r="H16" s="10">
        <v>-3.3399999999999999E-2</v>
      </c>
      <c r="I16" t="s">
        <v>66</v>
      </c>
    </row>
    <row r="18" spans="1:1" x14ac:dyDescent="0.25">
      <c r="A18" s="20">
        <v>44686.601527777777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M16" sqref="M16"/>
    </sheetView>
  </sheetViews>
  <sheetFormatPr baseColWidth="10" defaultColWidth="9.140625" defaultRowHeight="15" x14ac:dyDescent="0.25"/>
  <cols>
    <col min="9" max="9" width="9.42578125" bestFit="1" customWidth="1"/>
    <col min="17" max="17" width="1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s="3">
        <v>4</v>
      </c>
      <c r="E2" s="3">
        <v>1319</v>
      </c>
      <c r="F2" s="3">
        <v>1340</v>
      </c>
      <c r="G2" s="3">
        <v>81</v>
      </c>
      <c r="H2" t="s">
        <v>27</v>
      </c>
      <c r="I2" s="3">
        <v>1323</v>
      </c>
      <c r="J2" s="3">
        <v>1301</v>
      </c>
      <c r="K2" s="3">
        <v>1368</v>
      </c>
      <c r="L2" s="3">
        <v>1325</v>
      </c>
      <c r="M2" s="3">
        <v>1342</v>
      </c>
      <c r="N2">
        <v>-1.26</v>
      </c>
      <c r="P2" s="2">
        <v>40830</v>
      </c>
      <c r="Q2" s="2">
        <v>54728210</v>
      </c>
      <c r="R2" s="1">
        <v>0.70810185185185182</v>
      </c>
      <c r="S2" t="s">
        <v>91</v>
      </c>
      <c r="T2" s="3">
        <v>1321</v>
      </c>
      <c r="V2" s="2">
        <v>1</v>
      </c>
      <c r="W2" s="3">
        <v>1340.3920000000001</v>
      </c>
    </row>
    <row r="3" spans="1:24" x14ac:dyDescent="0.25">
      <c r="A3" t="s">
        <v>28</v>
      </c>
      <c r="B3" t="s">
        <v>25</v>
      </c>
      <c r="C3" t="s">
        <v>26</v>
      </c>
      <c r="D3" s="3">
        <v>111</v>
      </c>
      <c r="E3" s="3">
        <v>3450</v>
      </c>
      <c r="F3" s="3">
        <v>3465</v>
      </c>
      <c r="G3" s="3">
        <v>4</v>
      </c>
      <c r="H3" t="s">
        <v>27</v>
      </c>
      <c r="I3" s="3">
        <v>3490</v>
      </c>
      <c r="J3" s="3">
        <v>3450</v>
      </c>
      <c r="K3" s="3">
        <v>3490</v>
      </c>
      <c r="L3" s="3">
        <v>3456</v>
      </c>
      <c r="M3" s="3">
        <v>3491</v>
      </c>
      <c r="N3">
        <v>-1</v>
      </c>
      <c r="P3" s="2">
        <v>28735</v>
      </c>
      <c r="Q3" s="2">
        <v>99562014</v>
      </c>
      <c r="R3" s="1">
        <v>0.7076041666666667</v>
      </c>
      <c r="S3" t="s">
        <v>91</v>
      </c>
      <c r="T3" s="3">
        <v>3459</v>
      </c>
      <c r="U3" t="s">
        <v>49</v>
      </c>
      <c r="V3" s="2">
        <v>1</v>
      </c>
      <c r="W3" s="3">
        <v>3464.8339999999998</v>
      </c>
    </row>
    <row r="4" spans="1:24" x14ac:dyDescent="0.25">
      <c r="A4" t="s">
        <v>29</v>
      </c>
      <c r="B4" t="s">
        <v>25</v>
      </c>
      <c r="C4" t="s">
        <v>26</v>
      </c>
      <c r="D4" s="3">
        <v>25</v>
      </c>
      <c r="E4" s="3">
        <v>1815</v>
      </c>
      <c r="F4" s="3">
        <v>1840</v>
      </c>
      <c r="G4" s="3">
        <v>9</v>
      </c>
      <c r="H4" t="s">
        <v>27</v>
      </c>
      <c r="I4" s="3">
        <v>1820</v>
      </c>
      <c r="J4" s="3">
        <v>1813</v>
      </c>
      <c r="K4" s="3">
        <v>1835</v>
      </c>
      <c r="L4" s="3">
        <v>1815</v>
      </c>
      <c r="M4" s="3">
        <v>1820</v>
      </c>
      <c r="N4">
        <v>-0.27</v>
      </c>
      <c r="P4" s="2">
        <v>7979</v>
      </c>
      <c r="Q4" s="2">
        <v>14541458</v>
      </c>
      <c r="R4" s="1">
        <v>0.70822916666666658</v>
      </c>
      <c r="S4" t="s">
        <v>91</v>
      </c>
      <c r="T4" s="3">
        <v>1816</v>
      </c>
      <c r="V4" s="2">
        <v>1</v>
      </c>
      <c r="W4" s="3">
        <v>1822.4659999999999</v>
      </c>
    </row>
    <row r="5" spans="1:24" x14ac:dyDescent="0.25">
      <c r="A5" t="s">
        <v>30</v>
      </c>
      <c r="B5" t="s">
        <v>25</v>
      </c>
      <c r="C5" t="s">
        <v>26</v>
      </c>
      <c r="D5" s="3">
        <v>33</v>
      </c>
      <c r="E5" s="3">
        <v>3660</v>
      </c>
      <c r="F5" s="3">
        <v>3683</v>
      </c>
      <c r="G5" s="3">
        <v>2</v>
      </c>
      <c r="H5" t="s">
        <v>27</v>
      </c>
      <c r="I5" s="3">
        <v>3693</v>
      </c>
      <c r="J5" s="3">
        <v>3648.5</v>
      </c>
      <c r="K5" s="3">
        <v>3693</v>
      </c>
      <c r="L5" s="3">
        <v>3683</v>
      </c>
      <c r="M5" s="3">
        <v>3592.5</v>
      </c>
      <c r="N5">
        <v>2.5099999999999998</v>
      </c>
      <c r="P5" s="2">
        <v>4254</v>
      </c>
      <c r="Q5" s="2">
        <v>15594806</v>
      </c>
      <c r="R5" s="1">
        <v>0.70793981481481483</v>
      </c>
      <c r="S5" t="s">
        <v>91</v>
      </c>
      <c r="T5" s="3">
        <v>3653.5</v>
      </c>
      <c r="V5" s="2">
        <v>1</v>
      </c>
      <c r="W5" s="3">
        <v>3665.9160000000002</v>
      </c>
    </row>
    <row r="6" spans="1:24" x14ac:dyDescent="0.25">
      <c r="A6" t="s">
        <v>31</v>
      </c>
      <c r="B6" t="s">
        <v>25</v>
      </c>
      <c r="C6" t="s">
        <v>26</v>
      </c>
      <c r="D6" s="3">
        <v>1</v>
      </c>
      <c r="E6" s="3">
        <v>3950</v>
      </c>
      <c r="F6" s="3">
        <v>4100</v>
      </c>
      <c r="G6" s="3">
        <v>38</v>
      </c>
      <c r="H6" t="s">
        <v>27</v>
      </c>
      <c r="I6" s="3">
        <v>4087.5</v>
      </c>
      <c r="J6" s="3">
        <v>4032.5</v>
      </c>
      <c r="K6" s="3">
        <v>4184.5</v>
      </c>
      <c r="L6" s="3">
        <v>4067</v>
      </c>
      <c r="M6" s="3">
        <v>4150.5</v>
      </c>
      <c r="N6">
        <v>-2.0099999999999998</v>
      </c>
      <c r="P6" s="2">
        <v>2879</v>
      </c>
      <c r="Q6" s="2">
        <v>11892264</v>
      </c>
      <c r="R6" s="1">
        <v>0.70106481481481486</v>
      </c>
      <c r="S6" t="s">
        <v>91</v>
      </c>
      <c r="T6" s="3">
        <v>4089</v>
      </c>
      <c r="V6" s="2">
        <v>1</v>
      </c>
      <c r="W6" s="3">
        <v>4130.6930000000002</v>
      </c>
    </row>
    <row r="7" spans="1:24" x14ac:dyDescent="0.25">
      <c r="A7" t="s">
        <v>32</v>
      </c>
      <c r="B7" t="s">
        <v>25</v>
      </c>
      <c r="C7" t="s">
        <v>26</v>
      </c>
      <c r="D7" s="3">
        <v>1</v>
      </c>
      <c r="E7" s="3">
        <v>3535</v>
      </c>
      <c r="F7" s="3">
        <v>3543.5</v>
      </c>
      <c r="G7" s="3">
        <v>350</v>
      </c>
      <c r="H7" t="s">
        <v>27</v>
      </c>
      <c r="I7" s="3">
        <v>3587</v>
      </c>
      <c r="J7" s="3">
        <v>3527</v>
      </c>
      <c r="K7" s="3">
        <v>3590</v>
      </c>
      <c r="L7" s="3">
        <v>3540</v>
      </c>
      <c r="M7" s="3">
        <v>3574.5</v>
      </c>
      <c r="N7">
        <v>-0.96</v>
      </c>
      <c r="P7" s="2">
        <v>9416</v>
      </c>
      <c r="Q7" s="2">
        <v>33529798</v>
      </c>
      <c r="R7" s="1">
        <v>0.70638888888888884</v>
      </c>
      <c r="S7" t="s">
        <v>91</v>
      </c>
      <c r="T7" s="3">
        <v>3543.5</v>
      </c>
      <c r="V7" s="2">
        <v>1</v>
      </c>
      <c r="W7" s="3">
        <v>3560.9389999999999</v>
      </c>
    </row>
    <row r="8" spans="1:24" x14ac:dyDescent="0.25">
      <c r="A8" t="s">
        <v>33</v>
      </c>
      <c r="B8" t="s">
        <v>25</v>
      </c>
      <c r="C8" t="s">
        <v>26</v>
      </c>
      <c r="D8" s="3">
        <v>2</v>
      </c>
      <c r="E8" s="3">
        <v>4447</v>
      </c>
      <c r="F8" s="3">
        <v>4450</v>
      </c>
      <c r="G8" s="3">
        <v>316</v>
      </c>
      <c r="H8" t="s">
        <v>27</v>
      </c>
      <c r="I8" s="3">
        <v>4493.5</v>
      </c>
      <c r="J8" s="3">
        <v>4446</v>
      </c>
      <c r="K8" s="3">
        <v>4513</v>
      </c>
      <c r="L8" s="3">
        <v>4450</v>
      </c>
      <c r="M8" s="3">
        <v>4493.5</v>
      </c>
      <c r="N8">
        <v>-0.96</v>
      </c>
      <c r="P8" s="2">
        <v>24139</v>
      </c>
      <c r="Q8" s="2">
        <v>108325400</v>
      </c>
      <c r="R8" s="1">
        <v>0.70817129629629638</v>
      </c>
      <c r="S8" t="s">
        <v>91</v>
      </c>
      <c r="T8" s="3">
        <v>4460</v>
      </c>
      <c r="U8" t="s">
        <v>49</v>
      </c>
      <c r="V8" s="2">
        <v>1</v>
      </c>
      <c r="W8" s="3">
        <v>4487.5680000000002</v>
      </c>
    </row>
    <row r="9" spans="1:24" x14ac:dyDescent="0.25">
      <c r="A9" t="s">
        <v>34</v>
      </c>
      <c r="B9" t="s">
        <v>25</v>
      </c>
      <c r="C9" t="s">
        <v>26</v>
      </c>
      <c r="D9" s="3">
        <v>50</v>
      </c>
      <c r="E9" s="3">
        <v>7711</v>
      </c>
      <c r="F9" s="3">
        <v>7748</v>
      </c>
      <c r="G9" s="3">
        <v>4</v>
      </c>
      <c r="H9" t="s">
        <v>27</v>
      </c>
      <c r="I9" s="3">
        <v>7644</v>
      </c>
      <c r="J9" s="3">
        <v>7644</v>
      </c>
      <c r="K9" s="3">
        <v>7779.5</v>
      </c>
      <c r="L9" s="3">
        <v>7740</v>
      </c>
      <c r="M9" s="3">
        <v>7575</v>
      </c>
      <c r="N9">
        <v>2.17</v>
      </c>
      <c r="P9" s="2">
        <v>3023</v>
      </c>
      <c r="Q9" s="2">
        <v>23380585</v>
      </c>
      <c r="R9" s="1">
        <v>0.70704861111111106</v>
      </c>
      <c r="S9" t="s">
        <v>91</v>
      </c>
      <c r="T9" s="3">
        <v>7740</v>
      </c>
      <c r="V9" s="2">
        <v>1</v>
      </c>
      <c r="W9" s="3">
        <v>7734.2330000000002</v>
      </c>
    </row>
    <row r="10" spans="1:24" x14ac:dyDescent="0.25">
      <c r="A10" t="s">
        <v>35</v>
      </c>
      <c r="B10" t="s">
        <v>25</v>
      </c>
      <c r="C10" t="s">
        <v>26</v>
      </c>
      <c r="D10" s="3">
        <v>25</v>
      </c>
      <c r="E10" s="3">
        <v>3895</v>
      </c>
      <c r="F10" s="3">
        <v>3902</v>
      </c>
      <c r="G10" s="3">
        <v>1</v>
      </c>
      <c r="H10" t="s">
        <v>27</v>
      </c>
      <c r="I10" s="3">
        <v>3960</v>
      </c>
      <c r="J10" s="3">
        <v>3890</v>
      </c>
      <c r="K10" s="3">
        <v>3963</v>
      </c>
      <c r="L10" s="3">
        <v>3895</v>
      </c>
      <c r="M10" s="3">
        <v>3952</v>
      </c>
      <c r="N10">
        <v>-1.44</v>
      </c>
      <c r="P10" s="2">
        <v>8397</v>
      </c>
      <c r="Q10" s="2">
        <v>32830174</v>
      </c>
      <c r="R10" s="1">
        <v>0.70307870370370373</v>
      </c>
      <c r="S10" t="s">
        <v>91</v>
      </c>
      <c r="T10" s="3">
        <v>3901</v>
      </c>
      <c r="V10" s="2">
        <v>1</v>
      </c>
      <c r="W10" s="3">
        <v>3909.75</v>
      </c>
    </row>
    <row r="11" spans="1:24" x14ac:dyDescent="0.25">
      <c r="A11" t="s">
        <v>40</v>
      </c>
      <c r="B11" t="s">
        <v>25</v>
      </c>
      <c r="C11" t="s">
        <v>26</v>
      </c>
      <c r="D11" s="3">
        <v>1</v>
      </c>
      <c r="E11" s="2">
        <v>6.7</v>
      </c>
      <c r="F11" s="2">
        <v>6.85</v>
      </c>
      <c r="G11" s="3">
        <v>15</v>
      </c>
      <c r="H11" t="s">
        <v>27</v>
      </c>
      <c r="I11" s="2">
        <v>6.86</v>
      </c>
      <c r="J11" s="2">
        <v>6.75</v>
      </c>
      <c r="K11" s="2">
        <v>7</v>
      </c>
      <c r="L11" s="2">
        <v>6.84</v>
      </c>
      <c r="M11" s="2">
        <v>6.86</v>
      </c>
      <c r="N11">
        <v>-0.28999999999999998</v>
      </c>
      <c r="P11">
        <v>946</v>
      </c>
      <c r="Q11" s="2">
        <v>6493</v>
      </c>
      <c r="R11" s="1">
        <v>0.69162037037037039</v>
      </c>
      <c r="S11" t="s">
        <v>91</v>
      </c>
      <c r="T11">
        <v>6.84</v>
      </c>
      <c r="V11" s="2">
        <v>1</v>
      </c>
      <c r="W11">
        <v>6.8639999999999999</v>
      </c>
    </row>
    <row r="12" spans="1:24" x14ac:dyDescent="0.25">
      <c r="A12" t="s">
        <v>41</v>
      </c>
      <c r="B12" t="s">
        <v>25</v>
      </c>
      <c r="C12" t="s">
        <v>26</v>
      </c>
      <c r="D12" s="3">
        <v>1</v>
      </c>
      <c r="E12" s="2">
        <v>17.350000000000001</v>
      </c>
      <c r="F12" s="2">
        <v>18.899999999999999</v>
      </c>
      <c r="G12" s="3">
        <v>10</v>
      </c>
      <c r="H12" t="s">
        <v>27</v>
      </c>
      <c r="I12" s="2">
        <v>17.3</v>
      </c>
      <c r="J12" s="2">
        <v>17.3</v>
      </c>
      <c r="K12" s="2">
        <v>18</v>
      </c>
      <c r="L12" s="2">
        <v>18</v>
      </c>
      <c r="M12" s="2">
        <v>18</v>
      </c>
      <c r="N12">
        <v>0</v>
      </c>
      <c r="P12">
        <v>32</v>
      </c>
      <c r="Q12" s="2">
        <v>558</v>
      </c>
      <c r="R12" s="1">
        <v>0.68934027777777773</v>
      </c>
      <c r="S12" t="s">
        <v>91</v>
      </c>
      <c r="T12">
        <v>18</v>
      </c>
      <c r="U12" t="s">
        <v>49</v>
      </c>
      <c r="V12" s="2">
        <v>1</v>
      </c>
      <c r="W12" s="2">
        <v>17.431000000000001</v>
      </c>
    </row>
    <row r="13" spans="1:24" x14ac:dyDescent="0.25">
      <c r="A13" t="s">
        <v>42</v>
      </c>
      <c r="B13" t="s">
        <v>25</v>
      </c>
      <c r="C13" t="s">
        <v>26</v>
      </c>
      <c r="D13" s="3">
        <v>36</v>
      </c>
      <c r="E13" s="2">
        <v>8.41</v>
      </c>
      <c r="F13">
        <v>0</v>
      </c>
      <c r="G13" s="3">
        <v>0</v>
      </c>
      <c r="H13" t="s">
        <v>27</v>
      </c>
      <c r="I13" s="2">
        <v>0</v>
      </c>
      <c r="J13" s="2">
        <v>0</v>
      </c>
      <c r="K13" s="2">
        <v>0</v>
      </c>
      <c r="L13" s="2">
        <v>0</v>
      </c>
      <c r="M13" s="2">
        <v>8.85</v>
      </c>
      <c r="N13">
        <v>0</v>
      </c>
      <c r="P13">
        <v>0</v>
      </c>
      <c r="Q13" s="2">
        <v>0</v>
      </c>
      <c r="R13" s="1">
        <v>0.46001157407407406</v>
      </c>
      <c r="S13" t="s">
        <v>91</v>
      </c>
      <c r="T13">
        <v>8.85</v>
      </c>
      <c r="V13" s="2">
        <v>1</v>
      </c>
      <c r="W13" s="2">
        <v>0</v>
      </c>
    </row>
    <row r="14" spans="1:24" x14ac:dyDescent="0.25">
      <c r="A14" t="s">
        <v>43</v>
      </c>
      <c r="B14" t="s">
        <v>25</v>
      </c>
      <c r="C14" t="s">
        <v>26</v>
      </c>
      <c r="D14" s="3">
        <v>14</v>
      </c>
      <c r="E14" s="2">
        <v>17.149999999999999</v>
      </c>
      <c r="F14">
        <v>19.95</v>
      </c>
      <c r="G14" s="3">
        <v>16</v>
      </c>
      <c r="H14" t="s">
        <v>27</v>
      </c>
      <c r="I14">
        <v>0</v>
      </c>
      <c r="J14">
        <v>0</v>
      </c>
      <c r="K14">
        <v>0</v>
      </c>
      <c r="L14">
        <v>0</v>
      </c>
      <c r="M14" s="2">
        <v>18</v>
      </c>
      <c r="N14">
        <v>0</v>
      </c>
      <c r="P14" s="2">
        <v>0</v>
      </c>
      <c r="Q14" s="2">
        <v>0</v>
      </c>
      <c r="R14" s="1">
        <v>0.59663194444444445</v>
      </c>
      <c r="S14" t="s">
        <v>91</v>
      </c>
      <c r="T14">
        <v>18</v>
      </c>
      <c r="V14" s="2">
        <v>1</v>
      </c>
      <c r="W14">
        <v>0</v>
      </c>
    </row>
    <row r="15" spans="1:24" x14ac:dyDescent="0.25">
      <c r="A15" t="s">
        <v>44</v>
      </c>
      <c r="B15" t="s">
        <v>25</v>
      </c>
      <c r="C15" t="s">
        <v>26</v>
      </c>
      <c r="D15">
        <v>2</v>
      </c>
      <c r="E15" s="2">
        <v>20.5</v>
      </c>
      <c r="F15">
        <v>0</v>
      </c>
      <c r="G15">
        <v>0</v>
      </c>
      <c r="H15" t="s">
        <v>27</v>
      </c>
      <c r="I15">
        <v>0</v>
      </c>
      <c r="J15">
        <v>0</v>
      </c>
      <c r="K15">
        <v>0</v>
      </c>
      <c r="L15">
        <v>0</v>
      </c>
      <c r="M15" s="2">
        <v>20.5</v>
      </c>
      <c r="N15">
        <v>0</v>
      </c>
      <c r="P15">
        <v>0</v>
      </c>
      <c r="Q15" s="2">
        <v>0</v>
      </c>
      <c r="R15" s="1">
        <v>0.51228009259259266</v>
      </c>
      <c r="S15" t="s">
        <v>91</v>
      </c>
      <c r="T15">
        <v>20.5</v>
      </c>
      <c r="V15" s="2">
        <v>1</v>
      </c>
      <c r="W15">
        <v>0</v>
      </c>
    </row>
    <row r="16" spans="1:24" x14ac:dyDescent="0.25">
      <c r="A16" t="s">
        <v>45</v>
      </c>
      <c r="B16" t="s">
        <v>25</v>
      </c>
      <c r="C16" t="s">
        <v>26</v>
      </c>
      <c r="D16" s="3">
        <v>8</v>
      </c>
      <c r="E16" s="2">
        <v>17.600000000000001</v>
      </c>
      <c r="F16" s="2">
        <v>19</v>
      </c>
      <c r="G16" s="3">
        <v>2</v>
      </c>
      <c r="H16" t="s">
        <v>27</v>
      </c>
      <c r="I16" s="2">
        <v>18</v>
      </c>
      <c r="J16" s="2">
        <v>17.600000000000001</v>
      </c>
      <c r="K16" s="2">
        <v>18.25</v>
      </c>
      <c r="L16" s="2">
        <v>17.600000000000001</v>
      </c>
      <c r="M16" s="2">
        <v>18</v>
      </c>
      <c r="N16">
        <v>-2.2200000000000002</v>
      </c>
      <c r="P16" s="2">
        <v>1535</v>
      </c>
      <c r="Q16" s="2">
        <v>27620</v>
      </c>
      <c r="R16" s="1">
        <v>0.70697916666666671</v>
      </c>
      <c r="S16" t="s">
        <v>91</v>
      </c>
      <c r="T16">
        <v>17.899999999999999</v>
      </c>
      <c r="V16" s="2">
        <v>1</v>
      </c>
      <c r="W16" s="2">
        <v>17.992999999999999</v>
      </c>
    </row>
    <row r="17" spans="1:23" x14ac:dyDescent="0.25">
      <c r="A17" t="s">
        <v>46</v>
      </c>
      <c r="B17" t="s">
        <v>25</v>
      </c>
      <c r="C17" t="s">
        <v>26</v>
      </c>
      <c r="D17" s="3">
        <v>12</v>
      </c>
      <c r="E17" s="2">
        <v>22.45</v>
      </c>
      <c r="F17" s="2">
        <v>23</v>
      </c>
      <c r="G17" s="3">
        <v>5</v>
      </c>
      <c r="H17" t="s">
        <v>27</v>
      </c>
      <c r="I17" s="2">
        <v>22.7</v>
      </c>
      <c r="J17" s="2">
        <v>22.45</v>
      </c>
      <c r="K17" s="2">
        <v>23</v>
      </c>
      <c r="L17" s="2">
        <v>22.45</v>
      </c>
      <c r="M17" s="2">
        <v>22.7</v>
      </c>
      <c r="N17">
        <v>-1.1000000000000001</v>
      </c>
      <c r="P17" s="2">
        <v>1434</v>
      </c>
      <c r="Q17" s="2">
        <v>32513</v>
      </c>
      <c r="R17" s="1">
        <v>0.70597222222222233</v>
      </c>
      <c r="S17" t="s">
        <v>91</v>
      </c>
      <c r="T17">
        <v>22.5</v>
      </c>
      <c r="U17" t="s">
        <v>49</v>
      </c>
      <c r="V17" s="2">
        <v>1</v>
      </c>
      <c r="W17" s="2">
        <v>22.672999999999998</v>
      </c>
    </row>
    <row r="18" spans="1:23" x14ac:dyDescent="0.25">
      <c r="A18" t="s">
        <v>47</v>
      </c>
      <c r="B18" t="s">
        <v>25</v>
      </c>
      <c r="C18" t="s">
        <v>26</v>
      </c>
      <c r="D18">
        <v>1</v>
      </c>
      <c r="E18" s="2">
        <v>37.799999999999997</v>
      </c>
      <c r="F18" s="2">
        <v>39</v>
      </c>
      <c r="G18" s="3">
        <v>113</v>
      </c>
      <c r="H18" t="s">
        <v>27</v>
      </c>
      <c r="I18">
        <v>38.5</v>
      </c>
      <c r="J18">
        <v>38</v>
      </c>
      <c r="K18">
        <v>39</v>
      </c>
      <c r="L18">
        <v>38.950000000000003</v>
      </c>
      <c r="M18" s="2">
        <v>37.5</v>
      </c>
      <c r="N18">
        <v>3.86</v>
      </c>
      <c r="P18">
        <v>84</v>
      </c>
      <c r="Q18" s="2">
        <v>3262</v>
      </c>
      <c r="R18" s="1">
        <v>0.70427083333333329</v>
      </c>
      <c r="S18" t="s">
        <v>91</v>
      </c>
      <c r="T18">
        <v>38.950000000000003</v>
      </c>
      <c r="V18" s="2">
        <v>1</v>
      </c>
      <c r="W18">
        <v>38.831000000000003</v>
      </c>
    </row>
    <row r="19" spans="1:23" x14ac:dyDescent="0.25">
      <c r="A19" t="s">
        <v>48</v>
      </c>
      <c r="B19" t="s">
        <v>25</v>
      </c>
      <c r="C19" t="s">
        <v>26</v>
      </c>
      <c r="D19" s="3">
        <v>1</v>
      </c>
      <c r="E19" s="2">
        <v>19.7</v>
      </c>
      <c r="F19" s="2">
        <v>0</v>
      </c>
      <c r="G19" s="3">
        <v>0</v>
      </c>
      <c r="H19" t="s">
        <v>27</v>
      </c>
      <c r="I19" s="2">
        <v>20</v>
      </c>
      <c r="J19" s="2">
        <v>19.7</v>
      </c>
      <c r="K19" s="2">
        <v>20</v>
      </c>
      <c r="L19" s="2">
        <v>19.7</v>
      </c>
      <c r="M19" s="2">
        <v>20</v>
      </c>
      <c r="N19">
        <v>-1.5</v>
      </c>
      <c r="P19" s="2">
        <v>335</v>
      </c>
      <c r="Q19" s="2">
        <v>6610</v>
      </c>
      <c r="R19" s="1">
        <v>0.7064583333333333</v>
      </c>
      <c r="S19" t="s">
        <v>91</v>
      </c>
      <c r="T19">
        <v>19.7</v>
      </c>
      <c r="V19" s="2">
        <v>1</v>
      </c>
      <c r="W19">
        <v>19.731999999999999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tabSelected="1" workbookViewId="0">
      <selection activeCell="L9" sqref="L9"/>
    </sheetView>
  </sheetViews>
  <sheetFormatPr baseColWidth="10" defaultRowHeight="15" x14ac:dyDescent="0.25"/>
  <cols>
    <col min="1" max="1" width="12.85546875" style="4" customWidth="1"/>
    <col min="2" max="2" width="9.28515625" style="4" customWidth="1"/>
    <col min="3" max="6" width="11.42578125" style="4" customWidth="1"/>
    <col min="7" max="7" width="14.42578125" style="4" customWidth="1"/>
    <col min="8" max="8" width="11.42578125" style="4" customWidth="1"/>
    <col min="9" max="10" width="13" style="4" customWidth="1"/>
    <col min="11" max="11" width="22.5703125" style="4" customWidth="1"/>
    <col min="12" max="12" width="8.42578125" style="4" bestFit="1" customWidth="1"/>
    <col min="13" max="13" width="8.42578125" style="4" customWidth="1"/>
    <col min="14" max="16384" width="11.42578125" style="4"/>
  </cols>
  <sheetData>
    <row r="1" spans="1:16" ht="37.5" x14ac:dyDescent="0.25">
      <c r="A1" s="11" t="s">
        <v>74</v>
      </c>
      <c r="B1" s="21">
        <f>+'ETF-USA'!A18</f>
        <v>44686.601527777777</v>
      </c>
      <c r="C1" s="22"/>
      <c r="D1" s="19"/>
    </row>
    <row r="2" spans="1:16" ht="36.75" customHeight="1" thickBot="1" x14ac:dyDescent="0.3">
      <c r="A2" s="8" t="s">
        <v>36</v>
      </c>
      <c r="B2" s="8" t="s">
        <v>76</v>
      </c>
      <c r="C2" s="8" t="s">
        <v>37</v>
      </c>
      <c r="D2" s="8" t="s">
        <v>90</v>
      </c>
      <c r="E2" s="8" t="s">
        <v>77</v>
      </c>
      <c r="F2" s="8" t="s">
        <v>54</v>
      </c>
      <c r="G2" s="8" t="s">
        <v>75</v>
      </c>
      <c r="H2" s="8" t="s">
        <v>73</v>
      </c>
      <c r="I2" s="8" t="s">
        <v>72</v>
      </c>
      <c r="J2" s="8" t="s">
        <v>53</v>
      </c>
      <c r="K2" s="8" t="s">
        <v>55</v>
      </c>
      <c r="L2" s="8" t="s">
        <v>38</v>
      </c>
      <c r="M2" s="11"/>
      <c r="N2" s="8" t="s">
        <v>70</v>
      </c>
      <c r="O2" s="8" t="s">
        <v>51</v>
      </c>
      <c r="P2" s="8" t="s">
        <v>71</v>
      </c>
    </row>
    <row r="3" spans="1:16" ht="15.75" thickTop="1" x14ac:dyDescent="0.25">
      <c r="A3" s="7" t="s">
        <v>24</v>
      </c>
      <c r="B3" s="7">
        <f>+'ETF-USA'!B2</f>
        <v>48.18</v>
      </c>
      <c r="C3" s="6">
        <f>+('ETF-USA'!B2-'ETF-USA'!C2)/'ETF-USA'!C2</f>
        <v>-8.1060461567804692E-2</v>
      </c>
      <c r="D3" s="6">
        <f>+'ETF-USA'!B2/'ETF-USA'!E2-1</f>
        <v>-0.63187654185114472</v>
      </c>
      <c r="E3" s="7">
        <f>+ETF!L11</f>
        <v>6.84</v>
      </c>
      <c r="F3" s="6">
        <f>+IF(E3=0,"",(E3-ETF!M11)/ETF!M11)</f>
        <v>-2.915451895043799E-3</v>
      </c>
      <c r="G3" s="6">
        <f>+IF(E3=0,"",I3/B3-1)</f>
        <v>0.41967621419676227</v>
      </c>
      <c r="H3" s="7">
        <f>+IF(ETF!P11=0,"",ETF!P11)</f>
        <v>946</v>
      </c>
      <c r="I3" s="9">
        <f>+IF(E3=0,"",E3*'ETF-USA'!F2)</f>
        <v>68.400000000000006</v>
      </c>
      <c r="J3" s="9">
        <f>+'ETF-USA'!B2/'ETF-USA'!F2</f>
        <v>4.8179999999999996</v>
      </c>
      <c r="K3" s="6">
        <f>+IF(I3="","",MonitorETF!I3/'ETF-USA'!D2-1)</f>
        <v>-0.56316260569595833</v>
      </c>
      <c r="L3" s="5">
        <f>+ETF!L2*'ETF-USA'!F2/'ETF-USA'!B2</f>
        <v>275.01037775010377</v>
      </c>
      <c r="M3" s="5"/>
      <c r="N3" s="5" t="s">
        <v>65</v>
      </c>
      <c r="O3" s="9">
        <f>+VLOOKUP(N3,'ETF-USA'!C12:H16,2)</f>
        <v>4156.6899999999996</v>
      </c>
      <c r="P3" s="6">
        <f>+VLOOKUP(N3,'ETF-USA'!C12:H16,6)</f>
        <v>-3.3399999999999999E-2</v>
      </c>
    </row>
    <row r="4" spans="1:16" x14ac:dyDescent="0.25">
      <c r="A4" s="7" t="s">
        <v>28</v>
      </c>
      <c r="B4" s="7">
        <f>+'ETF-USA'!B3</f>
        <v>330.95</v>
      </c>
      <c r="C4" s="6">
        <f>+('ETF-USA'!B3-'ETF-USA'!C3)/'ETF-USA'!C3</f>
        <v>-2.8303825714201789E-2</v>
      </c>
      <c r="D4" s="6">
        <f>+'ETF-USA'!B3/'ETF-USA'!E3-1</f>
        <v>-0.10036152882059979</v>
      </c>
      <c r="E4" s="7">
        <f>+ETF!L12</f>
        <v>18</v>
      </c>
      <c r="F4" s="6">
        <f>+IF(E4=0,"",(E4-ETF!M12)/ETF!M12)</f>
        <v>0</v>
      </c>
      <c r="G4" s="6">
        <f t="shared" ref="G4:G11" si="0">+IF(E4=0,"",I4/B4-1)</f>
        <v>8.7777609910862697E-2</v>
      </c>
      <c r="H4" s="7">
        <f>+IF(ETF!P12=0,"",ETF!P12)</f>
        <v>32</v>
      </c>
      <c r="I4" s="9">
        <f>+IF(E4=0,"",E4*'ETF-USA'!F3)</f>
        <v>360</v>
      </c>
      <c r="J4" s="9">
        <f>+'ETF-USA'!B3/'ETF-USA'!F3</f>
        <v>16.547499999999999</v>
      </c>
      <c r="K4" s="6">
        <f>+IF(I4="","",MonitorETF!I4/'ETF-USA'!D3-1)</f>
        <v>-2.1393414036609437E-2</v>
      </c>
      <c r="L4" s="5">
        <f>+ETF!L3*'ETF-USA'!F3/'ETF-USA'!B3</f>
        <v>208.85330110288564</v>
      </c>
      <c r="M4" s="5"/>
      <c r="N4" s="5" t="s">
        <v>67</v>
      </c>
      <c r="O4" s="9">
        <f>+VLOOKUP(N4,'ETF-USA'!C13:H17,2)</f>
        <v>33086.879999999997</v>
      </c>
      <c r="P4" s="6">
        <f>+VLOOKUP(N4,'ETF-USA'!C13:H17,6)</f>
        <v>-2.86E-2</v>
      </c>
    </row>
    <row r="5" spans="1:16" x14ac:dyDescent="0.25">
      <c r="A5" s="7" t="s">
        <v>29</v>
      </c>
      <c r="B5" s="7">
        <f>+'ETF-USA'!B4</f>
        <v>41.414999999999999</v>
      </c>
      <c r="C5" s="6">
        <f>+('ETF-USA'!B4-'ETF-USA'!C4)/'ETF-USA'!C4</f>
        <v>-3.8872128103968534E-2</v>
      </c>
      <c r="D5" s="6">
        <f>+'ETF-USA'!B4/'ETF-USA'!E4-1</f>
        <v>-0.25840001557424386</v>
      </c>
      <c r="E5" s="7">
        <f>+ETF!L13</f>
        <v>0</v>
      </c>
      <c r="F5" s="6" t="str">
        <f>+IF(E5=0,"",(E5-ETF!M13)/ETF!M13)</f>
        <v/>
      </c>
      <c r="G5" s="6" t="str">
        <f t="shared" si="0"/>
        <v/>
      </c>
      <c r="H5" s="7" t="str">
        <f>+IF(ETF!P13=0,"",ETF!P13)</f>
        <v/>
      </c>
      <c r="I5" s="9" t="str">
        <f>+IF(E5=0,"",E5*'ETF-USA'!F4)</f>
        <v/>
      </c>
      <c r="J5" s="9">
        <f>+'ETF-USA'!B4/'ETF-USA'!F4</f>
        <v>8.2829999999999995</v>
      </c>
      <c r="K5" s="6" t="str">
        <f>+IF(I5="","",MonitorETF!I5/'ETF-USA'!D4-1)</f>
        <v/>
      </c>
      <c r="L5" s="5">
        <f>+ETF!L4*'ETF-USA'!F4/'ETF-USA'!B4</f>
        <v>219.12350597609563</v>
      </c>
      <c r="M5" s="5"/>
      <c r="N5" s="5" t="s">
        <v>68</v>
      </c>
      <c r="O5" s="9">
        <f>+VLOOKUP(N5,'ETF-USA'!C14:H18,2)</f>
        <v>12904.17</v>
      </c>
      <c r="P5" s="6">
        <f>+VLOOKUP(N5,'ETF-USA'!C14:H18,6)</f>
        <v>-4.6699999999999998E-2</v>
      </c>
    </row>
    <row r="6" spans="1:16" x14ac:dyDescent="0.25">
      <c r="A6" s="7" t="s">
        <v>30</v>
      </c>
      <c r="B6" s="7">
        <f>+'ETF-USA'!B5</f>
        <v>31.43</v>
      </c>
      <c r="C6" s="6">
        <f>+('ETF-USA'!B5-'ETF-USA'!C5)/'ETF-USA'!C5</f>
        <v>-5.0166213357509926E-2</v>
      </c>
      <c r="D6" s="6">
        <f>+'ETF-USA'!B5/'ETF-USA'!E5-1</f>
        <v>-0.25095327250303245</v>
      </c>
      <c r="E6" s="7">
        <f>+ETF!L14</f>
        <v>0</v>
      </c>
      <c r="F6" s="6" t="str">
        <f>+IF(E6=0,"",(E6-ETF!M14)/ETF!M14)</f>
        <v/>
      </c>
      <c r="G6" s="6" t="str">
        <f t="shared" si="0"/>
        <v/>
      </c>
      <c r="H6" s="7" t="str">
        <f>+IF(ETF!P14=0,"",ETF!P14)</f>
        <v/>
      </c>
      <c r="I6" s="9" t="str">
        <f>+IF(E6=0,"",E6*'ETF-USA'!F5)</f>
        <v/>
      </c>
      <c r="J6" s="9">
        <f>+'ETF-USA'!B5/'ETF-USA'!F5</f>
        <v>15.715</v>
      </c>
      <c r="K6" s="6" t="str">
        <f>+IF(I6="","",MonitorETF!I6/'ETF-USA'!D5-1)</f>
        <v/>
      </c>
      <c r="L6" s="5">
        <f>+ETF!L5*'ETF-USA'!F5/'ETF-USA'!B5</f>
        <v>234.36207445116131</v>
      </c>
      <c r="M6" s="5"/>
      <c r="O6" s="9"/>
    </row>
    <row r="7" spans="1:16" x14ac:dyDescent="0.25">
      <c r="A7" s="7" t="s">
        <v>31</v>
      </c>
      <c r="B7" s="7">
        <f>+'ETF-USA'!B6</f>
        <v>185.84</v>
      </c>
      <c r="C7" s="6">
        <f>+('ETF-USA'!B6-'ETF-USA'!C6)/'ETF-USA'!C6</f>
        <v>-3.9685820587019464E-2</v>
      </c>
      <c r="D7" s="6">
        <f>+'ETF-USA'!B6/'ETF-USA'!E6-1</f>
        <v>-0.23383904242039022</v>
      </c>
      <c r="E7" s="7">
        <f>+ETF!L15</f>
        <v>0</v>
      </c>
      <c r="F7" s="6" t="str">
        <f>+IF(E7=0,"",(E7-ETF!M15)/ETF!M15)</f>
        <v/>
      </c>
      <c r="G7" s="6" t="str">
        <f t="shared" si="0"/>
        <v/>
      </c>
      <c r="H7" s="7" t="str">
        <f>+IF(ETF!P15=0,"",ETF!P15)</f>
        <v/>
      </c>
      <c r="I7" s="9" t="str">
        <f>+IF(E7=0,"",E7*'ETF-USA'!F6)</f>
        <v/>
      </c>
      <c r="J7" s="9">
        <f>+'ETF-USA'!B6/'ETF-USA'!F6</f>
        <v>18.584</v>
      </c>
      <c r="K7" s="6" t="str">
        <f>+IF(I7="","",MonitorETF!I7/'ETF-USA'!D6-1)</f>
        <v/>
      </c>
      <c r="L7" s="5">
        <f>+ETF!L6*'ETF-USA'!F6/'ETF-USA'!B6</f>
        <v>218.84416702539818</v>
      </c>
      <c r="M7" s="5"/>
    </row>
    <row r="8" spans="1:16" x14ac:dyDescent="0.25">
      <c r="A8" s="7" t="s">
        <v>32</v>
      </c>
      <c r="B8" s="7">
        <f>+'ETF-USA'!B7</f>
        <v>314.3</v>
      </c>
      <c r="C8" s="6">
        <f>+('ETF-USA'!B7-'ETF-USA'!C7)/'ETF-USA'!C7</f>
        <v>-4.6419902912621387E-2</v>
      </c>
      <c r="D8" s="6">
        <f>+'ETF-USA'!B7/'ETF-USA'!E7-1</f>
        <v>-0.22201042699682061</v>
      </c>
      <c r="E8" s="7">
        <f>+ETF!L16</f>
        <v>17.600000000000001</v>
      </c>
      <c r="F8" s="6">
        <f>+IF(E8=0,"",(E8-ETF!M16)/ETF!M16)</f>
        <v>-2.2222222222222143E-2</v>
      </c>
      <c r="G8" s="6">
        <f t="shared" si="0"/>
        <v>0.11994909322303537</v>
      </c>
      <c r="H8" s="7">
        <f>+IF(ETF!P16=0,"",ETF!P16)</f>
        <v>1535</v>
      </c>
      <c r="I8" s="9">
        <f>+IF(E8=0,"",E8*'ETF-USA'!F7)</f>
        <v>352</v>
      </c>
      <c r="J8" s="9">
        <f>+'ETF-USA'!B7/'ETF-USA'!F7</f>
        <v>15.715</v>
      </c>
      <c r="K8" s="6">
        <f>+IF(I8="","",MonitorETF!I8/'ETF-USA'!D7-1)</f>
        <v>-0.12869128317811285</v>
      </c>
      <c r="L8" s="5">
        <f>+ETF!L7*'ETF-USA'!F7/'ETF-USA'!B7</f>
        <v>225.26248806872414</v>
      </c>
      <c r="M8" s="5"/>
    </row>
    <row r="9" spans="1:16" x14ac:dyDescent="0.25">
      <c r="A9" s="7" t="s">
        <v>33</v>
      </c>
      <c r="B9" s="7">
        <f>+'ETF-USA'!B8</f>
        <v>414.84</v>
      </c>
      <c r="C9" s="6">
        <f>+('ETF-USA'!B8-'ETF-USA'!C8)/'ETF-USA'!C8</f>
        <v>-3.3142217871626412E-2</v>
      </c>
      <c r="D9" s="6">
        <f>+'ETF-USA'!B8/'ETF-USA'!E8-1</f>
        <v>-0.13160702639603505</v>
      </c>
      <c r="E9" s="7">
        <f>+ETF!L17</f>
        <v>22.45</v>
      </c>
      <c r="F9" s="6">
        <f>+IF(E9=0,"",(E9-ETF!M17)/ETF!M17)</f>
        <v>-1.1013215859030838E-2</v>
      </c>
      <c r="G9" s="6">
        <f>+IF(E9=0,"",I9/B9-1)</f>
        <v>8.2345000482113573E-2</v>
      </c>
      <c r="H9" s="7">
        <f>+IF(ETF!P17=0,"",ETF!P17)</f>
        <v>1434</v>
      </c>
      <c r="I9" s="9">
        <f>+IF(E9=0,"",E9*'ETF-USA'!F8)</f>
        <v>449</v>
      </c>
      <c r="J9" s="9">
        <f>+'ETF-USA'!B8/'ETF-USA'!F8</f>
        <v>20.741999999999997</v>
      </c>
      <c r="K9" s="6">
        <f>+IF(I9="","",MonitorETF!I9/'ETF-USA'!D8-1)</f>
        <v>-6.0099206565952468E-2</v>
      </c>
      <c r="L9" s="5">
        <f>+ETF!L8*'ETF-USA'!F8/'ETF-USA'!B8</f>
        <v>214.54054575257933</v>
      </c>
      <c r="M9" s="5"/>
    </row>
    <row r="10" spans="1:16" x14ac:dyDescent="0.25">
      <c r="A10" s="7" t="s">
        <v>34</v>
      </c>
      <c r="B10" s="7">
        <f>+'ETF-USA'!B9</f>
        <v>80.739999999999995</v>
      </c>
      <c r="C10" s="6">
        <f>+('ETF-USA'!B9-'ETF-USA'!C9)/'ETF-USA'!C9</f>
        <v>-1.2354740061162143E-2</v>
      </c>
      <c r="D10" s="6">
        <f>+'ETF-USA'!B9/'ETF-USA'!E9-1</f>
        <v>-1.2354740061162106E-2</v>
      </c>
      <c r="E10" s="7">
        <f>+ETF!L18</f>
        <v>38.950000000000003</v>
      </c>
      <c r="F10" s="6">
        <f>+IF(E10=0,"",(E10-ETF!M18)/ETF!M18)</f>
        <v>3.8666666666666745E-2</v>
      </c>
      <c r="G10" s="6">
        <f>+IF(E10=0,"",I10/B10-1)</f>
        <v>-3.5174634629675405E-2</v>
      </c>
      <c r="H10" s="7">
        <f>+IF(ETF!P18=0,"",ETF!P18)</f>
        <v>84</v>
      </c>
      <c r="I10" s="9">
        <f>+IF(E10=0,"",E10*'ETF-USA'!F9)</f>
        <v>77.900000000000006</v>
      </c>
      <c r="J10" s="9">
        <f>+'ETF-USA'!B9/'ETF-USA'!F9</f>
        <v>40.369999999999997</v>
      </c>
      <c r="K10" s="6">
        <f>+IF(I10="","",MonitorETF!I10/'ETF-USA'!D9-1)</f>
        <v>-4.70948012232415E-2</v>
      </c>
      <c r="L10" s="5">
        <f>+ETF!L9*'ETF-USA'!F9/'ETF-USA'!B9</f>
        <v>191.72652960118901</v>
      </c>
      <c r="M10" s="5"/>
    </row>
    <row r="11" spans="1:16" x14ac:dyDescent="0.25">
      <c r="A11" s="7" t="s">
        <v>35</v>
      </c>
      <c r="B11" s="7">
        <f>+'ETF-USA'!B10</f>
        <v>35.01</v>
      </c>
      <c r="C11" s="6">
        <f>+('ETF-USA'!B10-'ETF-USA'!C10)/'ETF-USA'!C10</f>
        <v>-2.8579356270810242E-2</v>
      </c>
      <c r="D11" s="6">
        <f>+'ETF-USA'!B10/'ETF-USA'!E10-1</f>
        <v>-0.15475611908044984</v>
      </c>
      <c r="E11" s="7">
        <f>+ETF!L19</f>
        <v>19.7</v>
      </c>
      <c r="F11" s="6">
        <f>+IF(E11=0,"",(E11-ETF!M19)/ETF!M19)</f>
        <v>-1.5000000000000036E-2</v>
      </c>
      <c r="G11" s="6">
        <f t="shared" si="0"/>
        <v>0.12539274493002006</v>
      </c>
      <c r="H11" s="7">
        <f>+IF(ETF!P19=0,"",ETF!P19)</f>
        <v>335</v>
      </c>
      <c r="I11" s="9">
        <f>+IF(E11=0,"",E11*'ETF-USA'!F10)</f>
        <v>39.4</v>
      </c>
      <c r="J11" s="9">
        <f>+'ETF-USA'!B10/'ETF-USA'!F10</f>
        <v>17.504999999999999</v>
      </c>
      <c r="K11" s="6">
        <f>+IF(I11="","",MonitorETF!I11/'ETF-USA'!D10-1)</f>
        <v>-4.8768668716644425E-2</v>
      </c>
      <c r="L11" s="5">
        <f>+ETF!L10*'ETF-USA'!F10/'ETF-USA'!B10</f>
        <v>222.50785489860041</v>
      </c>
      <c r="M11" s="5"/>
    </row>
  </sheetData>
  <mergeCells count="1">
    <mergeCell ref="B1:C1"/>
  </mergeCells>
  <conditionalFormatting sqref="C3:D11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{B3FEFD6F-E344-4337-BA73-FD800B301BAF}</x14:id>
        </ext>
      </extLst>
    </cfRule>
  </conditionalFormatting>
  <conditionalFormatting sqref="K3:K1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{8A9FA468-4B0C-4240-9352-2521B8FAE352}</x14:id>
        </ext>
      </extLst>
    </cfRule>
  </conditionalFormatting>
  <conditionalFormatting sqref="F3:G1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{AAC91465-1482-4AF1-B233-09A19044AD44}</x14:id>
        </ext>
      </extLst>
    </cfRule>
  </conditionalFormatting>
  <conditionalFormatting sqref="P3:P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{2040BA07-EEF1-45DC-A069-307F9DCBB1FB}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3FEFD6F-E344-4337-BA73-FD800B301BA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C3:D11</xm:sqref>
        </x14:conditionalFormatting>
        <x14:conditionalFormatting xmlns:xm="http://schemas.microsoft.com/office/excel/2006/main">
          <x14:cfRule type="dataBar" id="{8A9FA468-4B0C-4240-9352-2521B8FAE3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K3:K11</xm:sqref>
        </x14:conditionalFormatting>
        <x14:conditionalFormatting xmlns:xm="http://schemas.microsoft.com/office/excel/2006/main">
          <x14:cfRule type="dataBar" id="{AAC91465-1482-4AF1-B233-09A19044AD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F3:G11</xm:sqref>
        </x14:conditionalFormatting>
        <x14:conditionalFormatting xmlns:xm="http://schemas.microsoft.com/office/excel/2006/main">
          <x14:cfRule type="dataBar" id="{2040BA07-EEF1-45DC-A069-307F9DCBB1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P3:P5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showGridLines="0" workbookViewId="0">
      <selection activeCell="L7" sqref="L7"/>
    </sheetView>
  </sheetViews>
  <sheetFormatPr baseColWidth="10" defaultRowHeight="15" x14ac:dyDescent="0.25"/>
  <cols>
    <col min="2" max="10" width="12.28515625" customWidth="1"/>
  </cols>
  <sheetData>
    <row r="2" spans="2:10" ht="45.75" customHeight="1" x14ac:dyDescent="0.25">
      <c r="B2" s="12" t="s">
        <v>78</v>
      </c>
      <c r="C2" s="12" t="s">
        <v>79</v>
      </c>
      <c r="D2" s="12" t="s">
        <v>81</v>
      </c>
      <c r="E2" s="12" t="s">
        <v>82</v>
      </c>
      <c r="F2" s="12" t="s">
        <v>80</v>
      </c>
      <c r="G2" s="12" t="s">
        <v>83</v>
      </c>
      <c r="H2" s="12" t="s">
        <v>84</v>
      </c>
      <c r="I2" s="12" t="s">
        <v>86</v>
      </c>
      <c r="J2" s="12" t="s">
        <v>85</v>
      </c>
    </row>
    <row r="3" spans="2:10" x14ac:dyDescent="0.25">
      <c r="B3" s="13">
        <v>-116</v>
      </c>
      <c r="C3" s="17">
        <v>22.93</v>
      </c>
      <c r="D3" s="17">
        <v>23.75</v>
      </c>
      <c r="E3" s="17">
        <v>23.27</v>
      </c>
      <c r="F3" s="17">
        <f>+D3-E3</f>
        <v>0.48000000000000043</v>
      </c>
      <c r="G3" s="17">
        <f>+(F3*ABS(B3)-(E3+D3)*ABS(B3)*0.0008)</f>
        <v>51.31654400000005</v>
      </c>
      <c r="H3" s="14">
        <f>((1+F3/D3)-1)*180</f>
        <v>3.6378947368421022</v>
      </c>
      <c r="I3" s="15">
        <f>((1+F3/D3)^180)-1</f>
        <v>35.657600321891735</v>
      </c>
      <c r="J3" s="16">
        <f>+G3/(ABS(B3)*C3)</f>
        <v>1.9292804186655056E-2</v>
      </c>
    </row>
    <row r="4" spans="2:10" x14ac:dyDescent="0.25">
      <c r="B4" s="18" t="s">
        <v>88</v>
      </c>
      <c r="C4" s="18"/>
    </row>
    <row r="5" spans="2:10" x14ac:dyDescent="0.25">
      <c r="B5" s="18" t="s">
        <v>87</v>
      </c>
      <c r="C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ETF-USA</vt:lpstr>
      <vt:lpstr>ETF</vt:lpstr>
      <vt:lpstr>MonitorETF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2022-05-05T19:55:25Z</dcterms:modified>
</cp:coreProperties>
</file>