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64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0680" windowHeight="11124" activeTab="0" tabRatio="600"/>
  </bookViews>
  <sheets>
    <sheet name="2025.07-07月正式" sheetId="64" r:id="rId2"/>
  </sheets>
  <definedNames>
    <definedName name="_xlnm._FilterDatabase" localSheetId="0">'2025.07-07月正式'!$B$1:$L$55</definedName>
    <definedName name="_xlnm._FilterDatabase" localSheetId="0" hidden="1">2025.07-07月正式!B1:L55</definedName>
  </definedNames>
</workbook>
</file>

<file path=xl/sharedStrings.xml><?xml version="1.0" encoding="utf-8"?>
<sst xmlns="http://schemas.openxmlformats.org/spreadsheetml/2006/main" count="100" uniqueCount="97">
  <si>
    <t>2025年</t>
  </si>
  <si>
    <t>月 薪资计算（以实际薪资为准）</t>
  </si>
  <si>
    <t>输入格</t>
  </si>
  <si>
    <t>序号</t>
  </si>
  <si>
    <t>日期</t>
  </si>
  <si>
    <t>星期</t>
  </si>
  <si>
    <t>工作日正班</t>
  </si>
  <si>
    <t>工作日G1</t>
  </si>
  <si>
    <t>休息日G2</t>
  </si>
  <si>
    <t>节假日G3</t>
  </si>
  <si>
    <t>夜班标记</t>
  </si>
  <si>
    <t>膳食补贴</t>
  </si>
  <si>
    <t>早上请假标记</t>
  </si>
  <si>
    <t>计算结果</t>
  </si>
  <si>
    <t>2025/7/1</t>
  </si>
  <si>
    <t>2025/7/2</t>
  </si>
  <si>
    <t>2025/7/3</t>
  </si>
  <si>
    <t>2025/7/4</t>
  </si>
  <si>
    <t>2025/7/5</t>
  </si>
  <si>
    <t>2025/7/6</t>
  </si>
  <si>
    <t>日</t>
  </si>
  <si>
    <t>2025/7/7</t>
  </si>
  <si>
    <t>2025/7/8</t>
  </si>
  <si>
    <t>2025/7/9</t>
  </si>
  <si>
    <t>2025/7/10</t>
  </si>
  <si>
    <t>2025/7/11</t>
  </si>
  <si>
    <t>2025/7/12</t>
  </si>
  <si>
    <t>2025/7/13</t>
  </si>
  <si>
    <t>2025/7/14</t>
  </si>
  <si>
    <t>2025/7/15</t>
  </si>
  <si>
    <t>2025/7/16</t>
  </si>
  <si>
    <t>2025/7/17</t>
  </si>
  <si>
    <t>2025/7/18</t>
  </si>
  <si>
    <t>2025/7/19</t>
  </si>
  <si>
    <t>2025/7/20</t>
  </si>
  <si>
    <t>2025/7/21</t>
  </si>
  <si>
    <t>2025/7/22</t>
  </si>
  <si>
    <t>2025/7/23</t>
  </si>
  <si>
    <t>2025/7/24</t>
  </si>
  <si>
    <t>2025/7/25</t>
  </si>
  <si>
    <t>2025/7/26</t>
  </si>
  <si>
    <t>2025/7/27</t>
  </si>
  <si>
    <t>2025/7/28</t>
  </si>
  <si>
    <t>2025/7/29</t>
  </si>
  <si>
    <t>2025/7/30</t>
  </si>
  <si>
    <t>2025/7/31</t>
  </si>
  <si>
    <t>小计</t>
  </si>
  <si>
    <t>应出勤天数↓</t>
  </si>
  <si>
    <t>底薪→→</t>
  </si>
  <si>
    <t>本月基本薪资</t>
  </si>
  <si>
    <t>总工时: 316.5</t>
  </si>
  <si>
    <t>总加班时: 132.5</t>
  </si>
  <si>
    <t>厂牌应余: 0</t>
  </si>
  <si>
    <t>薪资小时化</t>
  </si>
  <si>
    <t>以下加项：</t>
  </si>
  <si>
    <t>基本、加班工资-&gt;</t>
  </si>
  <si>
    <t>加班工资</t>
  </si>
  <si>
    <t>←加班占比</t>
  </si>
  <si>
    <t>岗位津贴</t>
  </si>
  <si>
    <t>全勤奖</t>
  </si>
  <si>
    <t>绩效</t>
  </si>
  <si>
    <t>伙食</t>
  </si>
  <si>
    <t>车费补贴</t>
  </si>
  <si>
    <t>返厂奖金</t>
  </si>
  <si>
    <t>夜班</t>
  </si>
  <si>
    <t>其他</t>
  </si>
  <si>
    <t>月综合薪资</t>
  </si>
  <si>
    <t>以下减项：</t>
  </si>
  <si>
    <t>其他：</t>
  </si>
  <si>
    <t>迟到：</t>
  </si>
  <si>
    <t>早退：</t>
  </si>
  <si>
    <t xml:space="preserve">住宿水电   </t>
  </si>
  <si>
    <t>伙食：</t>
  </si>
  <si>
    <t>工伤/生育0%</t>
  </si>
  <si>
    <t>应纳税工资：</t>
  </si>
  <si>
    <t>本月基数→</t>
  </si>
  <si>
    <t>养老保险=本月基数→*8%</t>
  </si>
  <si>
    <t>非深户二档医疗保险=12964*0.2%</t>
  </si>
  <si>
    <t>上月↓</t>
  </si>
  <si>
    <t xml:space="preserve">失业保险=最低工资标准(4595)*0.5%+2 </t>
  </si>
  <si>
    <t>住房公积金=年平均*5%</t>
  </si>
  <si>
    <t>工伤</t>
  </si>
  <si>
    <t>扣除合计：</t>
  </si>
  <si>
    <t>生育</t>
  </si>
  <si>
    <t>个人所得税5000起征3%（粗算，测不准）</t>
  </si>
  <si>
    <t>税后工资</t>
  </si>
  <si>
    <t>实发工资：</t>
  </si>
  <si>
    <t>加上公积金</t>
  </si>
  <si>
    <t>扣除占比→</t>
  </si>
  <si>
    <t>统计：</t>
  </si>
  <si>
    <t>每月平均时薪</t>
  </si>
  <si>
    <t>每月日薪</t>
  </si>
  <si>
    <t>少加0.5</t>
  </si>
  <si>
    <t>月初计算</t>
  </si>
  <si>
    <t>←损失差</t>
  </si>
  <si>
    <t>←与历史均值1</t>
  </si>
  <si>
    <t>←与历史均值2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</si>
</sst>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176" formatCode="0.00"/>
    <numFmt numFmtId="177" formatCode="0.0"/>
    <numFmt numFmtId="178" formatCode="m&quot;月&quot;d&quot;日&quot;"/>
    <numFmt numFmtId="179" formatCode="0.00_ "/>
    <numFmt numFmtId="180" formatCode="yyyy\/m\/d"/>
    <numFmt numFmtId="181" formatCode="[DBNum1][$-804]General"/>
    <numFmt numFmtId="182" formatCode="0.000"/>
    <numFmt numFmtId="183" formatCode="0.000000000000_ "/>
    <numFmt numFmtId="184" formatCode="0.0_ "/>
    <numFmt numFmtId="185" formatCode="0"/>
    <numFmt numFmtId="186" formatCode="0.0000_ "/>
    <numFmt numFmtId="187" formatCode="0_);[Red](0)"/>
    <numFmt numFmtId="188" formatCode="0.00%"/>
    <numFmt numFmtId="189" formatCode="0.0000"/>
    <numFmt numFmtId="190" formatCode="yyyy/m;@"/>
    <numFmt numFmtId="191" formatCode="0.00_);[Red](0.00)"/>
    <numFmt numFmtId="192" formatCode="0.000%"/>
    <numFmt numFmtId="193" formatCode="0%"/>
    <numFmt numFmtId="194" formatCode="_ &quot;￥&quot;* #,##0.00_ ;_ &quot;￥&quot;* \-#,##0.00_ ;_ &quot;￥&quot;* &quot;-&quot;??_ ;_ @_ "/>
    <numFmt numFmtId="195" formatCode="_ &quot;￥&quot;* #,##0_ ;_ &quot;￥&quot;* \-#,##0_ ;_ &quot;￥&quot;* &quot;-&quot;_ ;_ @_ "/>
    <numFmt numFmtId="196" formatCode="_ * #,##0.00_ ;_ * -#,##0.00_ ;_ * &quot;-&quot;??_ ;_ @_ "/>
    <numFmt numFmtId="197" formatCode="_ * #,##0_ ;_ * -#,##0_ ;_ * &quot;-&quot;_ ;_ @_ "/>
  </numFmts>
  <fonts count="42" x14ac:knownFonts="42">
    <font>
      <sz val="11.0"/>
      <name val="等线"/>
      <charset val="134"/>
    </font>
    <font>
      <sz val="11.0"/>
      <name val="等线"/>
      <charset val="134"/>
    </font>
    <font>
      <sz val="11.0"/>
      <color rgb="FF000000"/>
      <name val="等线"/>
      <charset val="134"/>
    </font>
    <font>
      <sz val="18.0"/>
      <color rgb="FFFF0000"/>
      <name val="等线"/>
      <charset val="134"/>
    </font>
    <font>
      <sz val="9.0"/>
      <color rgb="FF000000"/>
      <name val="等线"/>
      <charset val="134"/>
    </font>
    <font>
      <sz val="11.0"/>
      <color rgb="FFBF0000"/>
      <name val="等线"/>
      <charset val="134"/>
    </font>
    <font>
      <sz val="11.0"/>
      <color rgb="FF808080"/>
      <name val="等线"/>
      <charset val="134"/>
    </font>
    <font>
      <sz val="18.0"/>
      <color rgb="FFBF0000"/>
      <name val="等线"/>
      <charset val="134"/>
    </font>
    <font>
      <sz val="14.0"/>
      <color rgb="FF000000"/>
      <name val="等线"/>
      <charset val="134"/>
      <b/>
    </font>
    <font>
      <sz val="12.0"/>
      <color rgb="FF000000"/>
      <name val="等线"/>
      <charset val="134"/>
    </font>
    <font>
      <sz val="12.0"/>
      <color rgb="FFFF0000"/>
      <name val="等线"/>
      <charset val="134"/>
    </font>
    <font>
      <sz val="10.0"/>
      <color rgb="FF000000"/>
      <name val="等线"/>
      <charset val="134"/>
    </font>
    <font>
      <sz val="11.0"/>
      <color rgb="FFFFFFFF"/>
      <name val="等线"/>
      <charset val="134"/>
    </font>
    <font>
      <sz val="8.0"/>
      <color rgb="FF000000"/>
      <name val="等线"/>
      <charset val="134"/>
    </font>
    <font>
      <sz val="11.0"/>
      <color rgb="FF000000"/>
      <name val="等线"/>
      <charset val="134"/>
      <b/>
    </font>
    <font>
      <sz val="12.0"/>
      <color rgb="FF000000"/>
      <name val="等线"/>
      <charset val="134"/>
      <b/>
    </font>
    <font>
      <sz val="18.0"/>
      <color rgb="FFFF0000"/>
      <name val="等线"/>
      <charset val="134"/>
      <b/>
    </font>
    <font>
      <sz val="11.0"/>
      <color rgb="FFFF0000"/>
      <name val="等线"/>
      <charset val="134"/>
    </font>
    <font>
      <sz val="12.0"/>
      <color rgb="FF7030A0"/>
      <name val="等线"/>
      <charset val="134"/>
      <b/>
    </font>
    <font>
      <sz val="12.0"/>
      <color rgb="FF7030A0"/>
      <name val="等线"/>
      <charset val="134"/>
      <b/>
      <strike/>
    </font>
    <font>
      <sz val="11.0"/>
      <color rgb="FF5B9BD5"/>
      <name val="等线"/>
      <charset val="134"/>
    </font>
    <font>
      <sz val="11.0"/>
      <color rgb="FF70AD47"/>
      <name val="等线"/>
      <charset val="134"/>
    </font>
    <font>
      <sz val="11.0"/>
      <color rgb="FFC00000"/>
      <name val="等线"/>
      <charset val="134"/>
    </font>
    <font>
      <sz val="12.0"/>
      <color rgb="FF9C0006"/>
      <name val="Droid Sans"/>
      <charset val="134"/>
    </font>
    <font>
      <sz val="12.0"/>
      <color rgb="FF006100"/>
      <name val="Droid Sans"/>
      <charset val="134"/>
    </font>
    <font>
      <sz val="12.0"/>
      <color rgb="FF9C6500"/>
      <name val="Droid Sans"/>
      <charset val="134"/>
    </font>
    <font>
      <sz val="12.0"/>
      <color rgb="FFFA7D00"/>
      <name val="Droid Sans"/>
      <charset val="134"/>
      <b/>
    </font>
    <font>
      <sz val="12.0"/>
      <color rgb="FFFFFFFF"/>
      <name val="Droid Sans"/>
      <charset val="134"/>
      <b/>
    </font>
    <font>
      <sz val="12.0"/>
      <color rgb="FF7F7F7F"/>
      <name val="Droid Sans"/>
      <charset val="134"/>
      <i/>
    </font>
    <font>
      <sz val="12.0"/>
      <color rgb="FFFF0000"/>
      <name val="Droid Sans"/>
      <charset val="134"/>
    </font>
    <font>
      <sz val="12.0"/>
      <color rgb="FFFA7D00"/>
      <name val="Droid Sans"/>
      <charset val="134"/>
    </font>
    <font>
      <sz val="12.0"/>
      <color rgb="FF3F3F3F"/>
      <name val="Droid Sans"/>
      <charset val="134"/>
      <b/>
    </font>
    <font>
      <sz val="12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12.0"/>
      <color rgb="FF000000"/>
      <name val="Droid Sans"/>
      <charset val="134"/>
      <b/>
    </font>
    <font>
      <sz val="12.0"/>
      <color rgb="FF000000"/>
      <name val="Droid Sans"/>
      <charset val="134"/>
    </font>
    <font>
      <sz val="12.0"/>
      <color rgb="FFFFFFFF"/>
      <name val="Droid Sans"/>
      <charset val="134"/>
    </font>
    <font>
      <sz val="11.0"/>
      <color rgb="FFD73434"/>
      <name val="等线"/>
      <charset val="134"/>
    </font>
    <font>
      <sz val="11.0"/>
      <name val="等线"/>
      <charset val="134"/>
    </font>
  </fonts>
  <fills count="47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EBAEAD"/>
        <bgColor indexed="64"/>
      </patternFill>
    </fill>
    <fill>
      <patternFill patternType="solid">
        <fgColor rgb="FF4473C4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EC8CE"/>
        <bgColor indexed="64"/>
      </patternFill>
    </fill>
  </fills>
  <borders count="1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1" applyFont="1" fillId="0" borderId="0" applyAlignment="1">
      <alignment vertical="center"/>
    </xf>
  </cellStyleXfs>
  <cellXfs count="252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0" borderId="0" applyAlignment="1" xfId="0">
      <alignment horizontal="center" vertical="center"/>
    </xf>
    <xf numFmtId="0" fontId="2" applyFont="1" fillId="2" applyFill="1" borderId="1" applyBorder="1" applyAlignment="1" xfId="0">
      <alignment horizontal="center" vertical="center"/>
    </xf>
    <xf numFmtId="0" fontId="2" applyFont="1" fillId="3" applyFill="1" borderId="2" applyBorder="1" applyAlignment="1" xfId="0">
      <alignment horizontal="center" vertical="center"/>
    </xf>
    <xf numFmtId="0" fontId="2" applyFont="1" fillId="2" applyFill="1" borderId="3" applyBorder="1" applyAlignment="1" xfId="0">
      <alignment horizontal="left" vertical="center"/>
    </xf>
    <xf numFmtId="0" fontId="2" applyFont="1" fillId="2" applyFill="1" borderId="4" applyBorder="1" applyAlignment="1" xfId="0">
      <alignment horizontal="center" vertical="center"/>
    </xf>
    <xf numFmtId="0" fontId="2" applyFont="1" fillId="2" applyFill="1" borderId="5" applyBorder="1" applyAlignment="1" xfId="0">
      <alignment horizontal="center" vertical="center" wrapText="1"/>
    </xf>
    <xf numFmtId="0" fontId="2" applyFont="1" fillId="4" applyFill="1" borderId="6" applyBorder="1" applyAlignment="1" xfId="0">
      <alignment horizontal="center" vertical="center"/>
    </xf>
    <xf numFmtId="0" fontId="2" applyFont="1" fillId="5" applyFill="1" borderId="7" applyBorder="1" applyAlignment="1" xfId="0">
      <alignment horizontal="center" vertical="center"/>
    </xf>
    <xf numFmtId="0" fontId="2" applyFont="1" fillId="5" applyFill="1" borderId="8" applyBorder="1" applyAlignment="1" xfId="0">
      <alignment horizontal="center" vertical="center" wrapText="1"/>
    </xf>
    <xf numFmtId="0" fontId="2" applyFont="1" fillId="5" applyFill="1" borderId="9" applyBorder="1" applyAlignment="1" xfId="0">
      <alignment horizontal="left" vertical="center"/>
    </xf>
    <xf numFmtId="176" applyNumberFormat="1" fontId="2" applyFont="1" fillId="4" applyFill="1" borderId="10" applyBorder="1" applyAlignment="1" xfId="0">
      <alignment horizontal="center" vertical="center"/>
    </xf>
    <xf numFmtId="176" applyNumberFormat="1" fontId="2" applyFont="1" fillId="5" applyFill="1" borderId="11" applyBorder="1" applyAlignment="1" xfId="0">
      <alignment horizontal="center" vertical="center"/>
    </xf>
    <xf numFmtId="0" fontId="2" applyFont="1" fillId="6" applyFill="1" borderId="12" applyBorder="1" applyAlignment="1" xfId="0">
      <alignment horizontal="center" vertical="center"/>
    </xf>
    <xf numFmtId="176" applyNumberFormat="1" fontId="2" applyFont="1" fillId="6" applyFill="1" borderId="13" applyBorder="1" applyAlignment="1" xfId="0">
      <alignment horizontal="center" vertical="center"/>
    </xf>
    <xf numFmtId="176" applyNumberFormat="1" fontId="3" applyFont="1" fillId="5" applyFill="1" borderId="14" applyBorder="1" applyAlignment="1" xfId="0">
      <alignment horizontal="center" vertical="center"/>
    </xf>
    <xf numFmtId="0" fontId="4" applyFont="1" fillId="5" applyFill="1" borderId="15" applyBorder="1" applyAlignment="1" xfId="0">
      <alignment horizontal="center" vertical="center" wrapText="1"/>
    </xf>
    <xf numFmtId="0" fontId="5" applyFont="1" fillId="0" borderId="0" applyAlignment="1" xfId="0">
      <alignment horizontal="center" vertical="center"/>
    </xf>
    <xf numFmtId="0" fontId="5" applyFont="1" fillId="2" applyFill="1" borderId="16" applyBorder="1" applyAlignment="1" xfId="0">
      <alignment horizontal="center" vertical="center"/>
    </xf>
    <xf numFmtId="0" fontId="5" applyFont="1" fillId="4" applyFill="1" borderId="17" applyBorder="1" applyAlignment="1" xfId="0">
      <alignment horizontal="center" vertical="center"/>
    </xf>
    <xf numFmtId="0" fontId="5" applyFont="1" fillId="0" borderId="0" applyAlignment="1" xfId="0">
      <alignment vertical="center"/>
    </xf>
    <xf numFmtId="0" fontId="6" applyFont="1" fillId="0" borderId="0" applyAlignment="1" xfId="0">
      <alignment horizontal="center" vertical="center"/>
    </xf>
    <xf numFmtId="0" fontId="6" applyFont="1" fillId="2" applyFill="1" borderId="18" applyBorder="1" applyAlignment="1" xfId="0">
      <alignment horizontal="center" vertical="center"/>
    </xf>
    <xf numFmtId="0" fontId="6" applyFont="1" fillId="4" applyFill="1" borderId="19" applyBorder="1" applyAlignment="1" xfId="0">
      <alignment horizontal="center" vertical="center"/>
    </xf>
    <xf numFmtId="177" applyNumberFormat="1" fontId="2" applyFont="1" fillId="4" applyFill="1" borderId="20" applyBorder="1" applyAlignment="1" xfId="0">
      <alignment horizontal="center" vertical="center"/>
    </xf>
    <xf numFmtId="0" fontId="6" applyFont="1" fillId="0" borderId="0" applyAlignment="1" xfId="0">
      <alignment vertical="center"/>
    </xf>
    <xf numFmtId="178" applyNumberFormat="1" fontId="2" applyFont="1" fillId="3" applyFill="1" borderId="21" applyBorder="1" applyAlignment="1" xfId="0">
      <alignment horizontal="center" vertical="center"/>
    </xf>
    <xf numFmtId="176" applyNumberFormat="1" fontId="7" applyFont="1" fillId="0" borderId="0" applyAlignment="1" xfId="0">
      <alignment horizontal="center" vertical="center"/>
    </xf>
    <xf numFmtId="176" applyNumberFormat="1" fontId="2" applyFont="1" fillId="0" borderId="0" applyAlignment="1" xfId="0">
      <alignment horizontal="center" vertical="center"/>
    </xf>
    <xf numFmtId="179" applyNumberFormat="1" fontId="2" applyFont="1" fillId="0" borderId="0" applyAlignment="1" xfId="0">
      <alignment horizontal="center" vertical="center"/>
    </xf>
    <xf numFmtId="0" fontId="8" applyFont="1" fillId="3" applyFill="1" borderId="22" applyBorder="1" applyAlignment="1" xfId="0">
      <alignment horizontal="center" vertical="center"/>
    </xf>
    <xf numFmtId="0" fontId="2" applyFont="1" fillId="2" applyFill="1" borderId="0" applyAlignment="1" xfId="0">
      <alignment horizontal="center" vertical="center"/>
    </xf>
    <xf numFmtId="0" fontId="9" applyFont="1" fillId="2" applyFill="1" borderId="23" applyBorder="1" applyAlignment="1" xfId="0">
      <alignment horizontal="center" vertical="center" wrapText="1"/>
    </xf>
    <xf numFmtId="180" applyNumberFormat="1" fontId="8" applyFont="1" fillId="2" applyFill="1" borderId="24" applyBorder="1" applyAlignment="1" xfId="0">
      <alignment horizontal="center" vertical="center"/>
    </xf>
    <xf numFmtId="181" applyNumberFormat="1" fontId="2" applyFont="1" fillId="2" applyFill="1" borderId="25" applyBorder="1" applyAlignment="1" xfId="0">
      <alignment horizontal="center" vertical="center"/>
    </xf>
    <xf numFmtId="0" fontId="10" applyFont="1" fillId="3" applyFill="1" borderId="26" applyBorder="1" applyAlignment="1" xfId="0">
      <alignment horizontal="center" vertical="center"/>
    </xf>
    <xf numFmtId="0" fontId="2" applyFont="1" fillId="5" applyFill="1" borderId="27" applyBorder="1" applyAlignment="1" xfId="0">
      <alignment horizontal="center" vertical="center"/>
    </xf>
    <xf numFmtId="176" applyNumberFormat="1" fontId="2" applyFont="1" fillId="5" applyFill="1" borderId="28" applyBorder="1" applyAlignment="1" xfId="0">
      <alignment horizontal="center" vertical="center"/>
    </xf>
    <xf numFmtId="177" applyNumberFormat="1" fontId="2" applyFont="1" fillId="5" applyFill="1" borderId="29" applyBorder="1" applyAlignment="1" xfId="0">
      <alignment horizontal="center" vertical="center"/>
    </xf>
    <xf numFmtId="182" applyNumberFormat="1" fontId="2" applyFont="1" fillId="5" applyFill="1" borderId="30" applyBorder="1" applyAlignment="1" xfId="0">
      <alignment horizontal="center" vertical="center"/>
    </xf>
    <xf numFmtId="0" fontId="2" applyFont="1" fillId="2" applyFill="1" borderId="31" applyBorder="1" applyAlignment="1" xfId="0">
      <alignment horizontal="center" vertical="center"/>
    </xf>
    <xf numFmtId="0" fontId="2" applyFont="1" fillId="2" applyFill="1" borderId="32" applyBorder="1" applyAlignment="1" xfId="0">
      <alignment horizontal="center" vertical="center"/>
    </xf>
    <xf numFmtId="0" fontId="4" applyFont="1" fillId="2" applyFill="1" borderId="33" applyBorder="1" applyAlignment="1" xfId="0">
      <alignment horizontal="center" vertical="center"/>
    </xf>
    <xf numFmtId="176" applyNumberFormat="1" fontId="2" applyFont="1" fillId="5" applyFill="1" borderId="34" applyBorder="1" applyAlignment="1" xfId="0">
      <alignment horizontal="center" vertical="center"/>
    </xf>
    <xf numFmtId="0" fontId="2" applyFont="1" fillId="5" applyFill="1" borderId="35" applyBorder="1" applyAlignment="1" xfId="0">
      <alignment horizontal="center" vertical="center"/>
    </xf>
    <xf numFmtId="0" fontId="11" applyFont="1" fillId="2" applyFill="1" borderId="36" applyBorder="1" applyAlignment="1" xfId="0">
      <alignment horizontal="center" vertical="center"/>
    </xf>
    <xf numFmtId="176" applyNumberFormat="1" fontId="2" applyFont="1" fillId="2" applyFill="1" borderId="37" applyBorder="1" applyAlignment="1" xfId="0">
      <alignment horizontal="center" vertical="center"/>
    </xf>
    <xf numFmtId="0" fontId="2" applyFont="1" fillId="2" applyFill="1" borderId="38" applyBorder="1" applyAlignment="1" xfId="0">
      <alignment horizontal="center" vertical="center"/>
    </xf>
    <xf numFmtId="0" fontId="2" applyFont="1" fillId="3" applyFill="1" borderId="39" applyBorder="1" applyAlignment="1" xfId="0">
      <alignment horizontal="center" vertical="center"/>
    </xf>
    <xf numFmtId="176" applyNumberFormat="1" fontId="2" applyFont="1" fillId="3" applyFill="1" borderId="40" applyBorder="1" applyAlignment="1" xfId="0">
      <alignment horizontal="center" vertical="center"/>
    </xf>
    <xf numFmtId="0" fontId="2" applyFont="1" fillId="2" applyFill="1" borderId="41" applyBorder="1" applyAlignment="1" xfId="0">
      <alignment horizontal="center" vertical="center"/>
    </xf>
    <xf numFmtId="0" fontId="2" applyFont="1" fillId="2" applyFill="1" borderId="42" applyBorder="1" applyAlignment="1" xfId="0">
      <alignment horizontal="center" vertical="center"/>
    </xf>
    <xf numFmtId="0" fontId="2" applyFont="1" fillId="2" applyFill="1" borderId="43" applyBorder="1" applyAlignment="1" xfId="0">
      <alignment horizontal="center" vertical="center"/>
    </xf>
    <xf numFmtId="176" applyNumberFormat="1" fontId="2" applyFont="1" fillId="2" applyFill="1" borderId="44" applyBorder="1" applyAlignment="1" xfId="0">
      <alignment horizontal="center" vertical="center"/>
    </xf>
    <xf numFmtId="0" fontId="2" applyFont="1" fillId="2" applyFill="1" borderId="45" applyBorder="1" applyAlignment="1" xfId="0">
      <alignment horizontal="center" vertical="center"/>
    </xf>
    <xf numFmtId="183" applyNumberFormat="1" fontId="2" applyFont="1" fillId="0" borderId="0" applyAlignment="1" xfId="0">
      <alignment horizontal="center" vertical="center"/>
    </xf>
    <xf numFmtId="0" fontId="2" applyFont="1" fillId="7" applyFill="1" borderId="46" applyBorder="1" applyAlignment="1" xfId="0">
      <alignment horizontal="center" vertical="center"/>
    </xf>
    <xf numFmtId="176" applyNumberFormat="1" fontId="12" applyFont="1" fillId="7" applyFill="1" borderId="47" applyBorder="1" applyAlignment="1" xfId="0">
      <alignment horizontal="center" vertical="center"/>
    </xf>
    <xf numFmtId="0" fontId="2" applyFont="1" fillId="6" applyFill="1" borderId="48" applyBorder="1" applyAlignment="1" xfId="0">
      <alignment horizontal="center" vertical="center"/>
    </xf>
    <xf numFmtId="0" fontId="2" applyFont="1" fillId="6" applyFill="1" borderId="49" applyBorder="1" applyAlignment="1" xfId="0">
      <alignment horizontal="center" vertical="center"/>
    </xf>
    <xf numFmtId="0" fontId="2" applyFont="1" fillId="3" applyFill="1" borderId="50" applyBorder="1" applyAlignment="1" xfId="0">
      <alignment horizontal="center" vertical="center"/>
    </xf>
    <xf numFmtId="0" fontId="2" applyFont="1" fillId="6" applyFill="1" borderId="51" applyBorder="1" applyAlignment="1" xfId="0">
      <alignment horizontal="center" vertical="center"/>
    </xf>
    <xf numFmtId="0" fontId="2" applyFont="1" fillId="6" applyFill="1" borderId="52" applyBorder="1" applyAlignment="1" xfId="0">
      <alignment horizontal="right" vertical="center"/>
    </xf>
    <xf numFmtId="0" fontId="2" applyFont="1" fillId="6" applyFill="1" borderId="53" applyBorder="1" applyAlignment="1" xfId="0">
      <alignment horizontal="right" vertical="center"/>
    </xf>
    <xf numFmtId="0" fontId="2" applyFont="1" fillId="6" applyFill="1" borderId="54" applyBorder="1" applyAlignment="1" xfId="0">
      <alignment horizontal="center" vertical="center"/>
    </xf>
    <xf numFmtId="0" fontId="2" applyFont="1" fillId="6" applyFill="1" borderId="55" applyBorder="1" applyAlignment="1" xfId="0">
      <alignment horizontal="right" vertical="center"/>
    </xf>
    <xf numFmtId="184" applyNumberFormat="1" fontId="2" applyFont="1" fillId="5" applyFill="1" borderId="56" applyBorder="1" applyAlignment="1" xfId="0">
      <alignment horizontal="center" vertical="center"/>
    </xf>
    <xf numFmtId="176" applyNumberFormat="1" fontId="2" applyFont="1" fillId="6" applyFill="1" borderId="57" applyBorder="1" applyAlignment="1" xfId="0">
      <alignment horizontal="center" vertical="center"/>
    </xf>
    <xf numFmtId="0" fontId="2" applyFont="1" fillId="6" applyFill="1" borderId="58" applyBorder="1" applyAlignment="1" xfId="0">
      <alignment horizontal="right" vertical="center"/>
    </xf>
    <xf numFmtId="185" applyNumberFormat="1" fontId="2" applyFont="1" fillId="3" applyFill="1" borderId="59" applyBorder="1" applyAlignment="1" xfId="0">
      <alignment horizontal="center" vertical="center"/>
    </xf>
    <xf numFmtId="0" fontId="2" applyFont="1" fillId="6" applyFill="1" borderId="60" applyBorder="1" applyAlignment="1" xfId="0">
      <alignment horizontal="right" vertical="center"/>
    </xf>
    <xf numFmtId="0" fontId="2" applyFont="1" fillId="6" applyFill="1" borderId="61" applyBorder="1" applyAlignment="1" xfId="0">
      <alignment horizontal="right" vertical="center"/>
    </xf>
    <xf numFmtId="0" fontId="2" applyFont="1" fillId="3" applyFill="1" borderId="62" applyBorder="1" applyAlignment="1" xfId="0">
      <alignment horizontal="center" vertical="center"/>
    </xf>
    <xf numFmtId="0" fontId="2" applyFont="1" fillId="6" applyFill="1" borderId="63" applyBorder="1" applyAlignment="1" xfId="0">
      <alignment horizontal="center" vertical="center"/>
    </xf>
    <xf numFmtId="176" applyNumberFormat="1" fontId="2" applyFont="1" fillId="5" applyFill="1" borderId="64" applyBorder="1" applyAlignment="1" xfId="0">
      <alignment horizontal="center" vertical="center"/>
    </xf>
    <xf numFmtId="176" applyNumberFormat="1" fontId="2" applyFont="1" fillId="6" applyFill="1" borderId="65" applyBorder="1" applyAlignment="1" xfId="0">
      <alignment horizontal="center" vertical="center"/>
    </xf>
    <xf numFmtId="0" fontId="2" applyFont="1" fillId="5" applyFill="1" borderId="66" applyBorder="1" applyAlignment="1" xfId="0">
      <alignment horizontal="center" vertical="center"/>
    </xf>
    <xf numFmtId="176" applyNumberFormat="1" fontId="3" applyFont="1" fillId="5" applyFill="1" borderId="67" applyBorder="1" applyAlignment="1" xfId="0">
      <alignment horizontal="center" vertical="center"/>
    </xf>
    <xf numFmtId="0" fontId="11" applyFont="1" fillId="5" applyFill="1" borderId="68" applyBorder="1" applyAlignment="1" xfId="0">
      <alignment horizontal="center" vertical="center"/>
    </xf>
    <xf numFmtId="179" applyNumberFormat="1" fontId="2" applyFont="1" fillId="5" applyFill="1" borderId="69" applyBorder="1" applyAlignment="1" xfId="0">
      <alignment horizontal="center" vertical="center"/>
    </xf>
    <xf numFmtId="179" applyNumberFormat="1" fontId="11" applyFont="1" fillId="6" applyFill="1" borderId="70" applyBorder="1" applyAlignment="1" xfId="0">
      <alignment horizontal="center" vertical="center"/>
    </xf>
    <xf numFmtId="186" applyNumberFormat="1" fontId="2" applyFont="1" fillId="0" borderId="0" applyAlignment="1" xfId="0">
      <alignment horizontal="center" vertical="center"/>
    </xf>
    <xf numFmtId="185" applyNumberFormat="1" fontId="2" applyFont="1" fillId="4" applyFill="1" borderId="71" applyBorder="1" applyAlignment="1" xfId="0">
      <alignment horizontal="center" vertical="center"/>
    </xf>
    <xf numFmtId="0" fontId="11" applyFont="1" fillId="5" applyFill="1" borderId="72" applyBorder="1" applyAlignment="1" xfId="0">
      <alignment horizontal="center" vertical="center" wrapText="1"/>
    </xf>
    <xf numFmtId="187" applyNumberFormat="1" fontId="10" applyFont="1" fillId="3" applyFill="1" borderId="73" applyBorder="1" applyAlignment="1" xfId="0">
      <alignment horizontal="center" vertical="center"/>
    </xf>
    <xf numFmtId="0" fontId="2" applyFont="1" fillId="8" applyFill="1" borderId="74" applyBorder="1" applyAlignment="1" xfId="0">
      <alignment horizontal="center" vertical="center"/>
    </xf>
    <xf numFmtId="176" applyNumberFormat="1" fontId="2" applyFont="1" fillId="5" applyFill="1" borderId="75" applyBorder="1" applyAlignment="1" xfId="0">
      <alignment horizontal="center" vertical="center"/>
    </xf>
    <xf numFmtId="0" fontId="13" applyFont="1" fillId="2" applyFill="1" borderId="76" applyBorder="1" applyAlignment="1" xfId="0">
      <alignment horizontal="center" vertical="center"/>
    </xf>
    <xf numFmtId="179" applyNumberFormat="1" fontId="9" applyFont="1" fillId="5" applyFill="1" borderId="77" applyBorder="1" applyAlignment="1" xfId="0">
      <alignment horizontal="center" vertical="center"/>
    </xf>
    <xf numFmtId="0" fontId="4" applyFont="1" fillId="6" applyFill="1" borderId="78" applyBorder="1" applyAlignment="1" xfId="0">
      <alignment horizontal="center" vertical="center" wrapText="1"/>
    </xf>
    <xf numFmtId="0" fontId="11" applyFont="1" fillId="6" applyFill="1" borderId="79" applyBorder="1" applyAlignment="1" xfId="0">
      <alignment horizontal="center" vertical="center"/>
    </xf>
    <xf numFmtId="0" fontId="11" applyFont="1" fillId="6" applyFill="1" borderId="80" applyBorder="1" applyAlignment="1" xfId="0">
      <alignment horizontal="right" vertical="center"/>
    </xf>
    <xf numFmtId="0" fontId="11" applyFont="1" fillId="6" applyFill="1" borderId="81" applyBorder="1" applyAlignment="1" xfId="0">
      <alignment horizontal="right" vertical="center"/>
    </xf>
    <xf numFmtId="0" fontId="14" applyFont="1" fillId="6" applyFill="1" borderId="82" applyBorder="1" applyAlignment="1" xfId="0">
      <alignment horizontal="right" vertical="center"/>
    </xf>
    <xf numFmtId="0" fontId="14" applyFont="1" fillId="6" applyFill="1" borderId="83" applyBorder="1" applyAlignment="1" xfId="0">
      <alignment horizontal="right" vertical="center"/>
    </xf>
    <xf numFmtId="176" applyNumberFormat="1" fontId="2" applyFont="1" fillId="6" applyFill="1" borderId="84" applyBorder="1" applyAlignment="1" xfId="0">
      <alignment horizontal="center" vertical="center" wrapText="1"/>
    </xf>
    <xf numFmtId="0" fontId="11" applyFont="1" fillId="6" applyFill="1" borderId="85" applyBorder="1" applyAlignment="1" xfId="0">
      <alignment horizontal="center" vertical="center"/>
    </xf>
    <xf numFmtId="0" fontId="15" applyFont="1" fillId="5" applyFill="1" borderId="86" applyBorder="1" applyAlignment="1" xfId="0">
      <alignment horizontal="center" vertical="center"/>
    </xf>
    <xf numFmtId="176" applyNumberFormat="1" fontId="16" applyFont="1" fillId="5" applyFill="1" borderId="87" applyBorder="1" applyAlignment="1" xfId="0">
      <alignment horizontal="center" vertical="center"/>
    </xf>
    <xf numFmtId="0" fontId="2" applyFont="1" fillId="0" borderId="0" applyAlignment="1" xfId="0">
      <alignment horizontal="right" vertical="center"/>
    </xf>
    <xf numFmtId="0" fontId="2" applyFont="1" fillId="4" applyFill="1" borderId="88" applyBorder="1" applyAlignment="1" xfId="0">
      <alignment horizontal="center" vertical="center" wrapText="1"/>
    </xf>
    <xf numFmtId="180" applyNumberFormat="1" fontId="8" applyFont="1" fillId="2" applyFill="1" borderId="89" applyBorder="1" applyAlignment="1" xfId="0">
      <alignment horizontal="left" vertical="center"/>
    </xf>
    <xf numFmtId="0" fontId="11" applyFont="1" fillId="6" applyFill="1" borderId="90" applyBorder="1" applyAlignment="1" xfId="0">
      <alignment horizontal="right" vertical="center"/>
    </xf>
    <xf numFmtId="0" fontId="11" applyFont="1" fillId="6" applyFill="1" borderId="91" applyBorder="1" applyAlignment="1" xfId="0">
      <alignment horizontal="right" vertical="center"/>
    </xf>
    <xf numFmtId="0" fontId="11" applyFont="1" fillId="6" applyFill="1" borderId="92" applyBorder="1" applyAlignment="1" xfId="0">
      <alignment horizontal="center" vertical="center"/>
    </xf>
    <xf numFmtId="185" applyNumberFormat="1" fontId="2" applyFont="1" fillId="3" applyFill="1" borderId="93" applyBorder="1" applyAlignment="1" xfId="0">
      <alignment horizontal="center" vertical="center"/>
    </xf>
    <xf numFmtId="0" fontId="17" applyFont="1" fillId="5" applyFill="1" borderId="94" applyBorder="1" applyAlignment="1" xfId="0">
      <alignment horizontal="center" vertical="center" wrapText="1"/>
    </xf>
    <xf numFmtId="188" applyNumberFormat="1" fontId="2" applyFont="1" fillId="2" applyFill="1" borderId="95" applyBorder="1" applyAlignment="1" xfId="0">
      <alignment horizontal="center" vertical="center"/>
    </xf>
    <xf numFmtId="0" fontId="2" applyFont="1" fillId="6" applyFill="1" borderId="96" applyBorder="1" applyAlignment="1" xfId="0">
      <alignment horizontal="center" vertical="center"/>
    </xf>
    <xf numFmtId="0" fontId="2" applyFont="1" fillId="6" applyFill="1" borderId="97" applyBorder="1" applyAlignment="1" xfId="0">
      <alignment horizontal="center" vertical="center"/>
    </xf>
    <xf numFmtId="0" fontId="11" applyFont="1" fillId="6" applyFill="1" borderId="98" applyBorder="1" applyAlignment="1" xfId="0">
      <alignment horizontal="center" vertical="center"/>
    </xf>
    <xf numFmtId="0" fontId="11" applyFont="1" fillId="6" applyFill="1" borderId="99" applyBorder="1" applyAlignment="1" xfId="0">
      <alignment horizontal="center" vertical="center"/>
    </xf>
    <xf numFmtId="0" fontId="14" applyFont="1" fillId="6" applyFill="1" borderId="100" applyBorder="1" applyAlignment="1" xfId="0">
      <alignment horizontal="center" vertical="center"/>
    </xf>
    <xf numFmtId="0" fontId="2" applyFont="1" fillId="9" applyFill="1" borderId="101" applyBorder="1" applyAlignment="1" xfId="0">
      <alignment horizontal="center" vertical="center"/>
    </xf>
    <xf numFmtId="188" applyNumberFormat="1" fontId="2" applyFont="1" fillId="9" applyFill="1" borderId="102" applyBorder="1" applyAlignment="1" xfId="0">
      <alignment horizontal="center" vertical="center"/>
    </xf>
    <xf numFmtId="0" fontId="2" applyFont="1" fillId="0" borderId="0" applyAlignment="1" xfId="0">
      <alignment horizontal="left" vertical="center"/>
    </xf>
    <xf numFmtId="0" fontId="1" applyFont="1" fillId="0" borderId="0" applyAlignment="1" xfId="0">
      <alignment horizontal="left" vertical="center"/>
    </xf>
    <xf numFmtId="176" applyNumberFormat="1" fontId="18" applyFont="1" fillId="0" borderId="0" applyAlignment="1" xfId="0">
      <alignment horizontal="right" vertical="center"/>
    </xf>
    <xf numFmtId="176" applyNumberFormat="1" fontId="19" applyFont="1" fillId="0" borderId="0" applyAlignment="1" xfId="0">
      <alignment horizontal="right" vertical="center"/>
    </xf>
    <xf numFmtId="176" applyNumberFormat="1" fontId="20" applyFont="1" fillId="0" borderId="0" applyAlignment="1" xfId="0">
      <alignment horizontal="right" vertical="center"/>
    </xf>
    <xf numFmtId="188" applyNumberFormat="1" fontId="20" applyFont="1" fillId="0" borderId="0" applyAlignment="1" xfId="0">
      <alignment horizontal="right" vertical="center"/>
    </xf>
    <xf numFmtId="189" applyNumberFormat="1" fontId="2" applyFont="1" fillId="0" borderId="0" applyAlignment="1" xfId="0">
      <alignment horizontal="center" vertical="center"/>
    </xf>
    <xf numFmtId="188" applyNumberFormat="1" fontId="2" applyFont="1" fillId="0" borderId="0" applyAlignment="1" xfId="0">
      <alignment horizontal="center" vertical="center"/>
    </xf>
    <xf numFmtId="176" applyNumberFormat="1" fontId="2" applyFont="1" fillId="0" borderId="0" applyAlignment="1" xfId="0">
      <alignment horizontal="right" vertical="center"/>
    </xf>
    <xf numFmtId="188" applyNumberFormat="1" fontId="2" applyFont="1" fillId="0" borderId="0" applyAlignment="1" xfId="0">
      <alignment horizontal="right" vertical="center"/>
    </xf>
    <xf numFmtId="176" applyNumberFormat="1" fontId="21" applyFont="1" fillId="0" borderId="0" applyAlignment="1" xfId="0">
      <alignment horizontal="right" vertical="center"/>
    </xf>
    <xf numFmtId="188" applyNumberFormat="1" fontId="21" applyFont="1" fillId="0" borderId="0" applyAlignment="1" xfId="0">
      <alignment horizontal="right" vertical="center"/>
    </xf>
    <xf numFmtId="176" applyNumberFormat="1" fontId="17" applyFont="1" fillId="0" borderId="0" applyAlignment="1" xfId="0">
      <alignment horizontal="right" vertical="center"/>
    </xf>
    <xf numFmtId="188" applyNumberFormat="1" fontId="17" applyFont="1" fillId="0" borderId="0" applyAlignment="1" xfId="0">
      <alignment horizontal="right" vertical="center"/>
    </xf>
    <xf numFmtId="0" fontId="12" applyFont="1" fillId="10" applyFill="1" borderId="103" applyBorder="1" applyAlignment="1" xfId="0">
      <alignment horizontal="center" vertical="center"/>
    </xf>
    <xf numFmtId="176" applyNumberFormat="1" fontId="12" applyFont="1" fillId="10" applyFill="1" borderId="104" applyBorder="1" applyAlignment="1" xfId="0">
      <alignment horizontal="center" vertical="center"/>
    </xf>
    <xf numFmtId="0" fontId="12" applyFont="1" fillId="10" applyFill="1" borderId="105" applyBorder="1" applyAlignment="1" xfId="0">
      <alignment horizontal="right" vertical="center"/>
    </xf>
    <xf numFmtId="190" applyNumberFormat="1" fontId="2" applyFont="1" fillId="0" borderId="106" applyBorder="1" applyAlignment="1" xfId="0">
      <alignment horizontal="center" vertical="center"/>
    </xf>
    <xf numFmtId="176" applyNumberFormat="1" fontId="2" applyFont="1" fillId="0" borderId="107" applyBorder="1" applyAlignment="1" xfId="0">
      <alignment horizontal="right" vertical="center"/>
    </xf>
    <xf numFmtId="0" fontId="2" applyFont="1" fillId="0" borderId="108" applyBorder="1" applyAlignment="1" xfId="0">
      <alignment horizontal="center" vertical="center"/>
    </xf>
    <xf numFmtId="191" applyNumberFormat="1" fontId="2" applyFont="1" fillId="0" borderId="109" applyBorder="1" applyAlignment="1" xfId="0">
      <alignment horizontal="right" vertical="center"/>
    </xf>
    <xf numFmtId="192" applyNumberFormat="1" fontId="2" applyFont="1" fillId="11" applyFill="1" borderId="110" applyBorder="1" applyAlignment="1" xfId="0">
      <alignment horizontal="center" vertical="center"/>
    </xf>
    <xf numFmtId="192" applyNumberFormat="1" fontId="2" applyFont="1" fillId="11" applyFill="1" borderId="111" applyBorder="1" applyAlignment="1" xfId="0">
      <alignment horizontal="right" vertical="center"/>
    </xf>
    <xf numFmtId="176" applyNumberFormat="1" fontId="2" applyFont="1" fillId="11" applyFill="1" borderId="112" applyBorder="1" applyAlignment="1" xfId="0">
      <alignment horizontal="right" vertical="center"/>
    </xf>
    <xf numFmtId="176" applyNumberFormat="1" fontId="1" applyFont="1" fillId="0" borderId="113" applyBorder="1" applyAlignment="1" xfId="0">
      <alignment vertical="center"/>
    </xf>
    <xf numFmtId="0" fontId="1" applyFont="1" fillId="0" borderId="114" applyBorder="1" applyAlignment="1" xfId="0">
      <alignment horizontal="center" vertical="center"/>
    </xf>
    <xf numFmtId="191" applyNumberFormat="1" fontId="1" applyFont="1" fillId="0" borderId="115" applyBorder="1" applyAlignment="1" xfId="0">
      <alignment horizontal="right" vertical="center"/>
    </xf>
    <xf numFmtId="0" fontId="1" applyFont="1" fillId="0" borderId="0" applyAlignment="1" xfId="0">
      <alignment horizontal="right" vertical="center"/>
    </xf>
    <xf numFmtId="0" fontId="1" applyFont="1" fillId="0" borderId="0" applyAlignment="1" xfId="0">
      <alignment horizontal="center" vertical="center"/>
    </xf>
    <xf numFmtId="0" fontId="22" applyFont="1" fillId="0" borderId="0" applyAlignment="1" xfId="0">
      <alignment horizontal="center" vertical="center"/>
    </xf>
    <xf numFmtId="190" applyNumberFormat="1" fontId="22" applyFont="1" fillId="0" borderId="116" applyBorder="1" applyAlignment="1" xfId="0">
      <alignment horizontal="center" vertical="center"/>
    </xf>
    <xf numFmtId="176" applyNumberFormat="1" fontId="22" applyFont="1" fillId="0" borderId="117" applyBorder="1" applyAlignment="1" xfId="0">
      <alignment horizontal="right" vertical="center"/>
    </xf>
    <xf numFmtId="0" fontId="22" applyFont="1" fillId="0" borderId="118" applyBorder="1" applyAlignment="1" xfId="0">
      <alignment horizontal="center" vertical="center"/>
    </xf>
    <xf numFmtId="191" applyNumberFormat="1" fontId="22" applyFont="1" fillId="0" borderId="119" applyBorder="1" applyAlignment="1" xfId="0">
      <alignment horizontal="right" vertical="center"/>
    </xf>
    <xf numFmtId="192" applyNumberFormat="1" fontId="22" applyFont="1" fillId="11" applyFill="1" borderId="120" applyBorder="1" applyAlignment="1" xfId="0">
      <alignment horizontal="center" vertical="center"/>
    </xf>
    <xf numFmtId="192" applyNumberFormat="1" fontId="22" applyFont="1" fillId="11" applyFill="1" borderId="121" applyBorder="1" applyAlignment="1" xfId="0">
      <alignment horizontal="right" vertical="center"/>
    </xf>
    <xf numFmtId="176" applyNumberFormat="1" fontId="22" applyFont="1" fillId="11" applyFill="1" borderId="122" applyBorder="1" applyAlignment="1" xfId="0">
      <alignment horizontal="right" vertical="center"/>
    </xf>
    <xf numFmtId="0" fontId="22" applyFont="1" fillId="0" borderId="0" applyAlignment="1" xfId="0">
      <alignment vertical="center"/>
    </xf>
    <xf numFmtId="189" applyNumberFormat="1" fontId="2" applyFont="1" fillId="0" borderId="0" applyAlignment="1" xfId="0">
      <alignment horizontal="left" vertical="center"/>
    </xf>
    <xf numFmtId="188" applyNumberFormat="1" fontId="2" applyFont="1" fillId="0" borderId="0" applyAlignment="1" xfId="0">
      <alignment horizontal="left" vertical="center"/>
    </xf>
    <xf numFmtId="0" fontId="13" applyFont="1" fillId="0" borderId="0" applyAlignment="1" xfId="0">
      <alignment horizontal="left" vertical="center"/>
    </xf>
    <xf numFmtId="176" applyNumberFormat="1" fontId="2" applyFont="1" fillId="0" borderId="0" applyAlignment="1" xfId="0">
      <alignment horizontal="left" vertical="center"/>
    </xf>
    <xf numFmtId="0" fontId="1" applyFont="1" fillId="0" borderId="0" applyAlignment="1" xfId="0">
      <alignment horizontal="left" vertical="center" wrapText="1"/>
    </xf>
    <xf numFmtId="0" fontId="2" applyFont="1" fillId="0" borderId="0" applyAlignment="1" xfId="0">
      <alignment horizontal="left" vertical="center" wrapText="1"/>
    </xf>
    <xf numFmtId="0" fontId="18" applyFont="1" fillId="0" borderId="0" applyAlignment="1" xfId="0">
      <alignment horizontal="center" vertical="center"/>
    </xf>
    <xf numFmtId="0" fontId="20" applyFont="1" fillId="0" borderId="0" applyAlignment="1" xfId="0">
      <alignment horizontal="center" vertical="center"/>
    </xf>
    <xf numFmtId="0" fontId="21" applyFont="1" fillId="0" borderId="0" applyAlignment="1" xfId="0">
      <alignment horizontal="center" vertical="center"/>
    </xf>
    <xf numFmtId="0" fontId="17" applyFont="1" fillId="0" borderId="0" applyAlignment="1" xfId="0">
      <alignment horizontal="center" vertical="center"/>
    </xf>
    <xf numFmtId="176" applyNumberFormat="1" fontId="2" applyFont="1" fillId="12" applyFill="1" borderId="123" applyBorder="1" applyAlignment="1" xfId="0">
      <alignment horizontal="right" vertical="center"/>
    </xf>
    <xf numFmtId="176" applyNumberFormat="1" fontId="2" applyFont="1" fillId="13" applyFill="1" borderId="124" applyBorder="1" applyAlignment="1" xfId="0">
      <alignment horizontal="right" vertical="center"/>
    </xf>
    <xf numFmtId="176" applyNumberFormat="1" fontId="2" applyFont="1" fillId="14" applyFill="1" borderId="125" applyBorder="1" applyAlignment="1" xfId="0">
      <alignment horizontal="right" vertical="center"/>
    </xf>
    <xf numFmtId="0" fontId="2" applyFont="1" fillId="11" applyFill="1" borderId="126" applyBorder="1" applyAlignment="1" xfId="0">
      <alignment horizontal="center" vertical="center"/>
    </xf>
    <xf numFmtId="176" applyNumberFormat="1" fontId="22" applyFont="1" fillId="12" applyFill="1" borderId="127" applyBorder="1" applyAlignment="1" xfId="0">
      <alignment horizontal="right" vertical="center"/>
    </xf>
    <xf numFmtId="176" applyNumberFormat="1" fontId="22" applyFont="1" fillId="13" applyFill="1" borderId="128" applyBorder="1" applyAlignment="1" xfId="0">
      <alignment horizontal="right" vertical="center"/>
    </xf>
    <xf numFmtId="176" applyNumberFormat="1" fontId="22" applyFont="1" fillId="14" applyFill="1" borderId="129" applyBorder="1" applyAlignment="1" xfId="0">
      <alignment horizontal="right" vertical="center"/>
    </xf>
    <xf numFmtId="182" applyNumberFormat="1" fontId="2" applyFont="1" fillId="0" borderId="0" applyAlignment="1" xfId="0">
      <alignment horizontal="center" vertical="center"/>
    </xf>
    <xf numFmtId="0" fontId="12" applyFont="1" fillId="10" applyFill="1" borderId="0" applyAlignment="1" xfId="0">
      <alignment horizontal="center" vertical="center"/>
    </xf>
    <xf numFmtId="176" applyNumberFormat="1" fontId="12" applyFont="1" fillId="10" applyFill="1" borderId="0" applyAlignment="1" xfId="0">
      <alignment horizontal="center" vertical="center"/>
    </xf>
    <xf numFmtId="190" applyNumberFormat="1" fontId="2" applyFont="1" fillId="0" borderId="0" applyAlignment="1" xfId="0">
      <alignment horizontal="center" vertical="center"/>
    </xf>
    <xf numFmtId="0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176" applyNumberFormat="1" fontId="2" applyFont="1" fillId="5" applyFill="1" borderId="130" applyBorder="1" applyAlignment="1" xfId="0">
      <alignment horizontal="center" vertical="center"/>
    </xf>
    <xf numFmtId="176" applyNumberFormat="1" fontId="2" applyFont="1" fillId="5" applyFill="1" borderId="131" applyBorder="1" applyAlignment="1" xfId="0">
      <alignment horizontal="center" vertical="center"/>
    </xf>
    <xf numFmtId="0" fontId="2" applyFont="1" fillId="6" applyFill="1" borderId="132" applyBorder="1" applyAlignment="1" xfId="0">
      <alignment horizontal="right" vertical="center"/>
    </xf>
    <xf numFmtId="0" fontId="2" applyFont="1" fillId="6" applyFill="1" borderId="133" applyBorder="1" applyAlignment="1" xfId="0">
      <alignment horizontal="center" vertical="center"/>
    </xf>
    <xf numFmtId="0" fontId="11" applyFont="1" fillId="6" applyFill="1" borderId="134" applyBorder="1" applyAlignment="1" xfId="0">
      <alignment horizontal="center" vertical="center"/>
    </xf>
    <xf numFmtId="0" fontId="11" applyFont="1" fillId="6" applyFill="1" borderId="135" applyBorder="1" applyAlignment="1" xfId="0">
      <alignment horizontal="right" vertical="center"/>
    </xf>
    <xf numFmtId="0" fontId="11" applyFont="1" fillId="6" applyFill="1" borderId="136" applyBorder="1" applyAlignment="1" xfId="0">
      <alignment horizontal="center" vertical="center"/>
    </xf>
    <xf numFmtId="0" fontId="14" applyFont="1" fillId="6" applyFill="1" borderId="137" applyBorder="1" applyAlignment="1" xfId="0">
      <alignment horizontal="right" vertical="center"/>
    </xf>
    <xf numFmtId="0" fontId="14" applyFont="1" fillId="6" applyFill="1" borderId="138" applyBorder="1" applyAlignment="1" xfId="0">
      <alignment horizontal="center" vertical="center"/>
    </xf>
    <xf numFmtId="0" fontId="11" applyFont="1" fillId="6" applyFill="1" borderId="139" applyBorder="1" applyAlignment="1" xfId="0">
      <alignment horizontal="center" vertical="center"/>
    </xf>
    <xf numFmtId="0" fontId="15" applyFont="1" fillId="5" applyFill="1" borderId="140" applyBorder="1" applyAlignment="1" xfId="0">
      <alignment horizontal="center" vertical="center"/>
    </xf>
    <xf numFmtId="0" fontId="23" applyFont="1" fillId="15" applyFill="1" borderId="0" applyAlignment="1" xfId="0">
      <alignment vertical="center"/>
    </xf>
    <xf numFmtId="0" fontId="24" applyFont="1" fillId="16" applyFill="1" borderId="0" applyAlignment="1" xfId="0">
      <alignment vertical="center"/>
    </xf>
    <xf numFmtId="0" fontId="25" applyFont="1" fillId="17" applyFill="1" borderId="0" applyAlignment="1" xfId="0">
      <alignment vertical="center"/>
    </xf>
    <xf numFmtId="0" fontId="26" applyFont="1" fillId="18" applyFill="1" borderId="141" applyBorder="1" applyAlignment="1" xfId="0">
      <alignment vertical="center"/>
    </xf>
    <xf numFmtId="0" fontId="27" applyFont="1" fillId="19" applyFill="1" borderId="142" applyBorder="1" applyAlignment="1" xfId="0">
      <alignment vertical="center"/>
    </xf>
    <xf numFmtId="0" fontId="28" applyFont="1" fillId="0" borderId="0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143" applyBorder="1" applyAlignment="1" xfId="0">
      <alignment vertical="center"/>
    </xf>
    <xf numFmtId="0" fontId="31" applyFont="1" fillId="18" applyFill="1" borderId="144" applyBorder="1" applyAlignment="1" xfId="0">
      <alignment vertical="center"/>
    </xf>
    <xf numFmtId="0" fontId="32" applyFont="1" fillId="20" applyFill="1" borderId="145" applyBorder="1" applyAlignment="1" xfId="0">
      <alignment vertical="center"/>
    </xf>
    <xf numFmtId="0" fontId="1" applyFont="1" fillId="21" applyFill="1" borderId="146" applyBorder="1" applyAlignment="1" xfId="0">
      <alignment vertical="center"/>
    </xf>
    <xf numFmtId="0" fontId="33" applyFont="1" fillId="0" borderId="0" applyAlignment="1" xfId="0">
      <alignment vertical="center"/>
    </xf>
    <xf numFmtId="0" fontId="34" applyFont="1" fillId="0" borderId="147" applyBorder="1" applyAlignment="1" xfId="0">
      <alignment vertical="center"/>
    </xf>
    <xf numFmtId="0" fontId="35" applyFont="1" fillId="0" borderId="148" applyBorder="1" applyAlignment="1" xfId="0">
      <alignment vertical="center"/>
    </xf>
    <xf numFmtId="0" fontId="36" applyFont="1" fillId="0" borderId="149" applyBorder="1" applyAlignment="1" xfId="0">
      <alignment vertical="center"/>
    </xf>
    <xf numFmtId="0" fontId="36" applyFont="1" fillId="0" borderId="0" applyAlignment="1" xfId="0">
      <alignment vertical="center"/>
    </xf>
    <xf numFmtId="0" fontId="37" applyFont="1" fillId="0" borderId="150" applyBorder="1" applyAlignment="1" xfId="0">
      <alignment vertical="center"/>
    </xf>
    <xf numFmtId="0" fontId="38" applyFont="1" fillId="22" applyFill="1" borderId="0" applyAlignment="1" xfId="0">
      <alignment vertical="center"/>
    </xf>
    <xf numFmtId="0" fontId="38" applyFont="1" fillId="23" applyFill="1" borderId="0" applyAlignment="1" xfId="0">
      <alignment vertical="center"/>
    </xf>
    <xf numFmtId="0" fontId="38" applyFont="1" fillId="24" applyFill="1" borderId="0" applyAlignment="1" xfId="0">
      <alignment vertical="center"/>
    </xf>
    <xf numFmtId="0" fontId="38" applyFont="1" fillId="25" applyFill="1" borderId="0" applyAlignment="1" xfId="0">
      <alignment vertical="center"/>
    </xf>
    <xf numFmtId="0" fontId="38" applyFont="1" fillId="26" applyFill="1" borderId="0" applyAlignment="1" xfId="0">
      <alignment vertical="center"/>
    </xf>
    <xf numFmtId="0" fontId="38" applyFont="1" fillId="27" applyFill="1" borderId="0" applyAlignment="1" xfId="0">
      <alignment vertical="center"/>
    </xf>
    <xf numFmtId="0" fontId="38" applyFont="1" fillId="28" applyFill="1" borderId="0" applyAlignment="1" xfId="0">
      <alignment vertical="center"/>
    </xf>
    <xf numFmtId="0" fontId="38" applyFont="1" fillId="29" applyFill="1" borderId="0" applyAlignment="1" xfId="0">
      <alignment vertical="center"/>
    </xf>
    <xf numFmtId="0" fontId="38" applyFont="1" fillId="30" applyFill="1" borderId="0" applyAlignment="1" xfId="0">
      <alignment vertical="center"/>
    </xf>
    <xf numFmtId="0" fontId="38" applyFont="1" fillId="31" applyFill="1" borderId="0" applyAlignment="1" xfId="0">
      <alignment vertical="center"/>
    </xf>
    <xf numFmtId="0" fontId="38" applyFont="1" fillId="32" applyFill="1" borderId="0" applyAlignment="1" xfId="0">
      <alignment vertical="center"/>
    </xf>
    <xf numFmtId="0" fontId="38" applyFont="1" fillId="33" applyFill="1" borderId="0" applyAlignment="1" xfId="0">
      <alignment vertical="center"/>
    </xf>
    <xf numFmtId="0" fontId="39" applyFont="1" fillId="34" applyFill="1" borderId="0" applyAlignment="1" xfId="0">
      <alignment vertical="center"/>
    </xf>
    <xf numFmtId="0" fontId="39" applyFont="1" fillId="35" applyFill="1" borderId="0" applyAlignment="1" xfId="0">
      <alignment vertical="center"/>
    </xf>
    <xf numFmtId="0" fontId="39" applyFont="1" fillId="36" applyFill="1" borderId="0" applyAlignment="1" xfId="0">
      <alignment vertical="center"/>
    </xf>
    <xf numFmtId="0" fontId="39" applyFont="1" fillId="37" applyFill="1" borderId="0" applyAlignment="1" xfId="0">
      <alignment vertical="center"/>
    </xf>
    <xf numFmtId="0" fontId="39" applyFont="1" fillId="38" applyFill="1" borderId="0" applyAlignment="1" xfId="0">
      <alignment vertical="center"/>
    </xf>
    <xf numFmtId="0" fontId="39" applyFont="1" fillId="39" applyFill="1" borderId="0" applyAlignment="1" xfId="0">
      <alignment vertical="center"/>
    </xf>
    <xf numFmtId="0" fontId="39" applyFont="1" fillId="40" applyFill="1" borderId="0" applyAlignment="1" xfId="0">
      <alignment vertical="center"/>
    </xf>
    <xf numFmtId="0" fontId="39" applyFont="1" fillId="41" applyFill="1" borderId="0" applyAlignment="1" xfId="0">
      <alignment vertical="center"/>
    </xf>
    <xf numFmtId="0" fontId="39" applyFont="1" fillId="42" applyFill="1" borderId="0" applyAlignment="1" xfId="0">
      <alignment vertical="center"/>
    </xf>
    <xf numFmtId="0" fontId="39" applyFont="1" fillId="43" applyFill="1" borderId="0" applyAlignment="1" xfId="0">
      <alignment vertical="center"/>
    </xf>
    <xf numFmtId="0" fontId="39" applyFont="1" fillId="44" applyFill="1" borderId="0" applyAlignment="1" xfId="0">
      <alignment vertical="center"/>
    </xf>
    <xf numFmtId="0" fontId="39" applyFont="1" fillId="45" applyFill="1" borderId="0" applyAlignment="1" xfId="0">
      <alignment vertical="center"/>
    </xf>
    <xf numFmtId="193" applyNumberFormat="1" fontId="1" applyFont="1" fillId="0" borderId="0" applyAlignment="1" xfId="0">
      <alignment vertical="center"/>
    </xf>
    <xf numFmtId="194" applyNumberFormat="1" fontId="1" applyFont="1" fillId="0" borderId="0" applyAlignment="1" xfId="0">
      <alignment vertical="center"/>
    </xf>
    <xf numFmtId="195" applyNumberFormat="1" fontId="1" applyFont="1" fillId="0" borderId="0" applyAlignment="1" xfId="0">
      <alignment vertical="center"/>
    </xf>
    <xf numFmtId="196" applyNumberFormat="1" fontId="1" applyFont="1" fillId="0" borderId="0" applyAlignment="1" xfId="0">
      <alignment vertical="center"/>
    </xf>
    <xf numFmtId="197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5" applyFill="1" borderId="151" applyBorder="1" applyAlignment="1" xfId="0">
      <alignment horizontal="center" vertical="center"/>
    </xf>
    <xf numFmtId="0" fontId="2" applyFont="1" fillId="6" applyFill="1" borderId="152" applyBorder="1" applyAlignment="1" xfId="0">
      <alignment horizontal="center" vertical="center"/>
    </xf>
    <xf numFmtId="0" fontId="2" applyFont="1" fillId="6" applyFill="1" borderId="153" applyBorder="1" applyAlignment="1" xfId="0">
      <alignment horizontal="right" vertical="center"/>
    </xf>
    <xf numFmtId="0" fontId="2" applyFont="1" fillId="6" applyFill="1" borderId="154" applyBorder="1" applyAlignment="1" xfId="0">
      <alignment horizontal="right" vertical="center"/>
    </xf>
    <xf numFmtId="0" fontId="2" applyFont="1" fillId="6" applyFill="1" borderId="155" applyBorder="1" applyAlignment="1" xfId="0">
      <alignment horizontal="right" vertical="center"/>
    </xf>
    <xf numFmtId="0" fontId="2" applyFont="1" fillId="6" applyFill="1" borderId="156" applyBorder="1" applyAlignment="1" xfId="0">
      <alignment horizontal="right" vertical="center"/>
    </xf>
    <xf numFmtId="0" fontId="2" applyFont="1" fillId="6" applyFill="1" borderId="157" applyBorder="1" applyAlignment="1" xfId="0">
      <alignment horizontal="right" vertical="center"/>
    </xf>
    <xf numFmtId="0" fontId="2" applyFont="1" fillId="6" applyFill="1" borderId="158" applyBorder="1" applyAlignment="1" xfId="0">
      <alignment horizontal="center" vertical="center"/>
    </xf>
    <xf numFmtId="0" fontId="2" applyFont="1" fillId="5" applyFill="1" borderId="159" applyBorder="1" applyAlignment="1" xfId="0">
      <alignment horizontal="center" vertical="center"/>
    </xf>
    <xf numFmtId="0" fontId="11" applyFont="1" fillId="6" applyFill="1" borderId="160" applyBorder="1" applyAlignment="1" xfId="0">
      <alignment horizontal="right" vertical="center"/>
    </xf>
    <xf numFmtId="0" fontId="14" applyFont="1" fillId="6" applyFill="1" borderId="161" applyBorder="1" applyAlignment="1" xfId="0">
      <alignment horizontal="right" vertical="center"/>
    </xf>
    <xf numFmtId="0" fontId="40" applyFont="1" fillId="46" applyFill="1" borderId="0" applyAlignment="1" xfId="0">
      <alignment vertical="center"/>
    </xf>
    <xf numFmtId="0" fontId="2" applyFont="1" fillId="0" borderId="0" applyAlignment="1" xfId="0">
      <alignment horizontal="center" vertical="center"/>
    </xf>
    <xf numFmtId="0" fontId="1" applyFont="1" fillId="0" borderId="0" applyAlignment="1" xfId="0">
      <alignment horizontal="right" vertical="center"/>
    </xf>
    <xf numFmtId="0" fontId="1" applyFont="1" fillId="0" borderId="0" applyAlignment="1" xfId="0">
      <alignment horizontal="center" vertical="center"/>
    </xf>
    <xf numFmtId="177" applyNumberFormat="1" fontId="2" applyFont="1" fillId="0" borderId="0" applyAlignment="1" xfId="0">
      <alignment horizontal="center"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64.xml"/><Relationship Id="rId3" Type="http://schemas.openxmlformats.org/officeDocument/2006/relationships/sharedStrings" Target="sharedStrings.xml"/></Relationships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outlinePr showOutlineSymbols="1"/>
  </sheetPr>
  <dimension ref="A1:XFC63"/>
  <sheetViews>
    <sheetView tabSelected="1" zoomScale="38" zoomScaleNormal="38" topLeftCell="C1" workbookViewId="0">
      <pane ySplit="2" topLeftCell="C11" activePane="bottomLeft" state="frozen"/>
      <selection activeCell="K49" activeCellId="0" sqref="K49"/>
      <selection pane="bottomLeft" activeCell="K49" activeCellId="0" sqref="K49"/>
    </sheetView>
  </sheetViews>
  <sheetFormatPr defaultRowHeight="14.25" defaultColWidth="9.0" x14ac:dyDescent="0.15"/>
  <cols>
    <col min="1" max="1" width="9.0" style="2"/>
    <col min="2" max="2" width="4.375" customWidth="1" style="2"/>
    <col min="3" max="3" width="17.625" customWidth="1" style="2"/>
    <col min="4" max="4" width="13.0" customWidth="1" style="2"/>
    <col min="5" max="5" width="11.875" customWidth="1" style="2"/>
    <col min="6" max="6" width="16.0" customWidth="1" style="2"/>
    <col min="7" max="7" width="11.875" customWidth="1" style="2"/>
    <col min="8" max="8" width="11.5" customWidth="1" style="2"/>
    <col min="9" max="9" width="8.0" customWidth="1" style="2"/>
    <col min="10" max="10" width="12.75" customWidth="1" style="2"/>
    <col min="11" max="11" width="10.75" customWidth="1" style="2"/>
    <col min="12" max="12" width="9.0" style="2"/>
    <col min="13" max="13" width="18.125" customWidth="1" style="2"/>
    <col min="14" max="16383" width="9.0" style="2"/>
  </cols>
  <sheetData>
    <row r="1" spans="1:12" ht="22.5" customHeight="1" x14ac:dyDescent="0.15">
      <c r="B1" s="3"/>
      <c r="C1" s="3"/>
      <c r="D1" s="3"/>
      <c r="E1" s="3" t="s">
        <v>0</v>
      </c>
      <c r="F1" s="31">
        <v>7.0</v>
      </c>
      <c r="G1" s="5" t="s">
        <v>1</v>
      </c>
      <c r="H1" s="3"/>
      <c r="I1" s="3"/>
      <c r="J1" s="3"/>
      <c r="K1" s="32"/>
      <c r="L1" s="8" t="s">
        <v>2</v>
      </c>
    </row>
    <row r="2" spans="1:12" ht="33.0" customHeight="1" x14ac:dyDescent="0.15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33" t="s">
        <v>10</v>
      </c>
      <c r="J2" s="7" t="s">
        <v>11</v>
      </c>
      <c r="K2" s="7" t="s">
        <v>12</v>
      </c>
      <c r="L2" s="9" t="s">
        <v>13</v>
      </c>
    </row>
    <row r="3" spans="1:11" ht="22.5" customHeight="1" x14ac:dyDescent="0.15">
      <c r="B3" s="6">
        <v>1.0</v>
      </c>
      <c r="C3" s="34" t="s">
        <f>"2025/"&amp;$F$1&amp;"/"&amp;B3&amp;""</f>
        <v>14</v>
      </c>
      <c r="D3" s="35">
        <f>IF(WEEKDAY(VALUE(C3),2)=7,"日",WEEKDAY(VALUE(C3),2))</f>
        <v>2</v>
      </c>
      <c r="E3" s="8">
        <v>8.0</v>
      </c>
      <c r="F3" s="8">
        <v>3.0</v>
      </c>
      <c r="G3" s="8"/>
      <c r="H3" s="8"/>
      <c r="I3" s="8">
        <v>1.0</v>
      </c>
      <c r="J3" s="9">
        <f>IF(K3&lt;&gt;"","",IF(OR(E3&gt;=4,G3&gt;=4,H3&gt;=4,F3&gt;1),21,""))</f>
        <v>21</v>
      </c>
      <c r="K3" s="8"/>
    </row>
    <row r="4" spans="1:11" ht="22.5" customHeight="1" x14ac:dyDescent="0.15">
      <c r="B4" s="6">
        <f>B3+1</f>
        <v>2</v>
      </c>
      <c r="C4" s="34" t="s">
        <f>"2025/"&amp;$F$1&amp;"/"&amp;B4&amp;""</f>
        <v>15</v>
      </c>
      <c r="D4" s="35">
        <f>IF(WEEKDAY(VALUE(C4),2)=7,"日",WEEKDAY(VALUE(C4),2))</f>
        <v>3</v>
      </c>
      <c r="E4" s="8">
        <v>8.0</v>
      </c>
      <c r="F4" s="8">
        <v>3.0</v>
      </c>
      <c r="G4" s="8"/>
      <c r="H4" s="8"/>
      <c r="I4" s="8">
        <v>1.0</v>
      </c>
      <c r="J4" s="9">
        <f>IF(K4&lt;&gt;"","",IF(OR(E4&gt;=4,G4&gt;=4,H4&gt;=4,F4&gt;1),21,""))</f>
        <v>21</v>
      </c>
      <c r="K4" s="8"/>
    </row>
    <row r="5" spans="1:11" ht="22.5" customHeight="1" x14ac:dyDescent="0.15">
      <c r="B5" s="6">
        <v>3.0</v>
      </c>
      <c r="C5" s="34" t="s">
        <f>"2025/"&amp;$F$1&amp;"/"&amp;B5&amp;""</f>
        <v>16</v>
      </c>
      <c r="D5" s="35">
        <f>IF(WEEKDAY(VALUE(C5),2)=7,"日",WEEKDAY(VALUE(C5),2))</f>
        <v>4</v>
      </c>
      <c r="E5" s="8">
        <v>8.0</v>
      </c>
      <c r="F5" s="8">
        <v>3.0</v>
      </c>
      <c r="G5" s="8"/>
      <c r="H5" s="8"/>
      <c r="I5" s="8">
        <v>1.0</v>
      </c>
      <c r="J5" s="9">
        <f>IF(K5&lt;&gt;"","",IF(OR(E5&gt;=4,G5&gt;=4,H5&gt;=4,F5&gt;1),21,""))</f>
        <v>21</v>
      </c>
      <c r="K5" s="8"/>
    </row>
    <row r="6" spans="1:11" ht="22.5" customHeight="1" x14ac:dyDescent="0.15">
      <c r="B6" s="6">
        <v>4.0</v>
      </c>
      <c r="C6" s="34" t="s">
        <f>"2025/"&amp;$F$1&amp;"/"&amp;B6&amp;""</f>
        <v>17</v>
      </c>
      <c r="D6" s="35">
        <f>IF(WEEKDAY(VALUE(C6),2)=7,"日",WEEKDAY(VALUE(C6),2))</f>
        <v>5</v>
      </c>
      <c r="E6" s="8">
        <v>8.0</v>
      </c>
      <c r="F6" s="8">
        <v>3.0</v>
      </c>
      <c r="G6" s="8"/>
      <c r="H6" s="8"/>
      <c r="I6" s="8">
        <v>1.0</v>
      </c>
      <c r="J6" s="9">
        <f>IF(K6&lt;&gt;"","",IF(OR(E6&gt;=4,G6&gt;=4,H6&gt;=4,F6&gt;1),21,""))</f>
        <v>21</v>
      </c>
      <c r="K6" s="8"/>
    </row>
    <row r="7" spans="1:11" ht="22.5" customHeight="1" x14ac:dyDescent="0.15">
      <c r="B7" s="6">
        <v>5.0</v>
      </c>
      <c r="C7" s="34" t="s">
        <f>"2025/"&amp;$F$1&amp;"/"&amp;B7&amp;""</f>
        <v>18</v>
      </c>
      <c r="D7" s="35">
        <f>IF(WEEKDAY(VALUE(C7),2)=7,"日",WEEKDAY(VALUE(C7),2))</f>
        <v>6</v>
      </c>
      <c r="E7" s="8"/>
      <c r="F7" s="8"/>
      <c r="G7" s="8">
        <v>11.0</v>
      </c>
      <c r="H7" s="8"/>
      <c r="I7" s="8">
        <v>1.0</v>
      </c>
      <c r="J7" s="9">
        <f>IF(K7&lt;&gt;"","",IF(OR(E7&gt;=4,G7&gt;=4,H7&gt;=4,F7&gt;1),21,""))</f>
        <v>21</v>
      </c>
      <c r="K7" s="8"/>
    </row>
    <row r="8" spans="1:11" ht="22.5" customHeight="1" x14ac:dyDescent="0.15">
      <c r="B8" s="6">
        <v>6.0</v>
      </c>
      <c r="C8" s="34" t="s">
        <f>"2025/"&amp;$F$1&amp;"/"&amp;B8&amp;""</f>
        <v>19</v>
      </c>
      <c r="D8" s="35" t="s">
        <f>IF(WEEKDAY(VALUE(C8),2)=7,"日",WEEKDAY(VALUE(C8),2))</f>
        <v>20</v>
      </c>
      <c r="E8" s="8"/>
      <c r="F8" s="8"/>
      <c r="G8" s="8"/>
      <c r="H8" s="8"/>
      <c r="I8" s="8"/>
      <c r="J8" s="9">
        <f>IF(K8&lt;&gt;"","",IF(OR(E8&gt;=4,G8&gt;=4,H8&gt;=4,F8&gt;1),21,""))</f>
        <v/>
      </c>
      <c r="K8" s="8"/>
    </row>
    <row r="9" spans="1:11" ht="22.5" customHeight="1" x14ac:dyDescent="0.15">
      <c r="B9" s="6">
        <v>7.0</v>
      </c>
      <c r="C9" s="34" t="s">
        <f>"2025/"&amp;$F$1&amp;"/"&amp;B9&amp;""</f>
        <v>21</v>
      </c>
      <c r="D9" s="35">
        <f>IF(WEEKDAY(VALUE(C9),2)=7,"日",WEEKDAY(VALUE(C9),2))</f>
        <v>1</v>
      </c>
      <c r="E9" s="8">
        <v>8.0</v>
      </c>
      <c r="F9" s="8">
        <v>3.0</v>
      </c>
      <c r="G9" s="8"/>
      <c r="H9" s="8"/>
      <c r="I9" s="8"/>
      <c r="J9" s="9">
        <f>IF(K9&lt;&gt;"","",IF(OR(E9&gt;=4,G9&gt;=4,H9&gt;=4,F9&gt;1),21,""))</f>
        <v>21</v>
      </c>
      <c r="K9" s="8"/>
    </row>
    <row r="10" spans="1:11" ht="22.5" customHeight="1" x14ac:dyDescent="0.15">
      <c r="B10" s="6">
        <v>8.0</v>
      </c>
      <c r="C10" s="34" t="s">
        <f>"2025/"&amp;$F$1&amp;"/"&amp;B10&amp;""</f>
        <v>22</v>
      </c>
      <c r="D10" s="35">
        <f>IF(WEEKDAY(VALUE(C10),2)=7,"日",WEEKDAY(VALUE(C10),2))</f>
        <v>2</v>
      </c>
      <c r="E10" s="8"/>
      <c r="F10" s="8"/>
      <c r="G10" s="8">
        <f>11.5-0.5</f>
        <v>11</v>
      </c>
      <c r="H10" s="8"/>
      <c r="I10" s="8"/>
      <c r="J10" s="9">
        <f>IF(K10&lt;&gt;"","",IF(OR(E10&gt;=4,G10&gt;=4,H10&gt;=4,F10&gt;1),21,""))</f>
        <v>21</v>
      </c>
      <c r="K10" s="8"/>
    </row>
    <row r="11" spans="1:11" ht="22.5" customHeight="1" x14ac:dyDescent="0.15">
      <c r="B11" s="6">
        <v>9.0</v>
      </c>
      <c r="C11" s="34" t="s">
        <f>"2025/"&amp;$F$1&amp;"/"&amp;B11&amp;""</f>
        <v>23</v>
      </c>
      <c r="D11" s="35">
        <f>IF(WEEKDAY(VALUE(C11),2)=7,"日",WEEKDAY(VALUE(C11),2))</f>
        <v>3</v>
      </c>
      <c r="E11" s="8"/>
      <c r="F11" s="8"/>
      <c r="G11" s="8">
        <v>11.0</v>
      </c>
      <c r="H11" s="8"/>
      <c r="I11" s="8"/>
      <c r="J11" s="9">
        <f>IF(K11&lt;&gt;"","",IF(OR(E11&gt;=4,G11&gt;=4,H11&gt;=4,F11&gt;1),21,""))</f>
        <v>21</v>
      </c>
      <c r="K11" s="8"/>
    </row>
    <row r="12" spans="1:11" ht="22.5" customHeight="1" x14ac:dyDescent="0.15">
      <c r="B12" s="6">
        <v>10.0</v>
      </c>
      <c r="C12" s="34" t="s">
        <f>"2025/"&amp;$F$1&amp;"/"&amp;B12&amp;""</f>
        <v>24</v>
      </c>
      <c r="D12" s="35">
        <f>IF(WEEKDAY(VALUE(C12),2)=7,"日",WEEKDAY(VALUE(C12),2))</f>
        <v>4</v>
      </c>
      <c r="E12" s="8">
        <v>8.0</v>
      </c>
      <c r="F12" s="8">
        <v>3.0</v>
      </c>
      <c r="G12" s="8"/>
      <c r="H12" s="8"/>
      <c r="I12" s="8"/>
      <c r="J12" s="9">
        <f>IF(K12&lt;&gt;"","",IF(OR(E12&gt;=4,G12&gt;=4,H12&gt;=4,F12&gt;1),21,""))</f>
        <v>21</v>
      </c>
      <c r="K12" s="8"/>
    </row>
    <row r="13" spans="1:11" ht="22.5" customHeight="1" x14ac:dyDescent="0.15">
      <c r="B13" s="6">
        <v>11.0</v>
      </c>
      <c r="C13" s="34" t="s">
        <f>"2025/"&amp;$F$1&amp;"/"&amp;B13&amp;""</f>
        <v>25</v>
      </c>
      <c r="D13" s="35">
        <f>IF(WEEKDAY(VALUE(C13),2)=7,"日",WEEKDAY(VALUE(C13),2))</f>
        <v>5</v>
      </c>
      <c r="E13" s="8">
        <v>8.0</v>
      </c>
      <c r="F13" s="8">
        <v>3.0</v>
      </c>
      <c r="G13" s="8"/>
      <c r="H13" s="8"/>
      <c r="I13" s="8"/>
      <c r="J13" s="9">
        <f>IF(K13&lt;&gt;"","",IF(OR(E13&gt;=4,G13&gt;=4,H13&gt;=4,F13&gt;1),21,""))</f>
        <v>21</v>
      </c>
      <c r="K13" s="8"/>
    </row>
    <row r="14" spans="1:11" ht="22.5" customHeight="1" x14ac:dyDescent="0.15">
      <c r="B14" s="6">
        <v>12.0</v>
      </c>
      <c r="C14" s="34" t="s">
        <f>"2025/"&amp;$F$1&amp;"/"&amp;B14&amp;""</f>
        <v>26</v>
      </c>
      <c r="D14" s="35">
        <f>IF(WEEKDAY(VALUE(C14),2)=7,"日",WEEKDAY(VALUE(C14),2))</f>
        <v>6</v>
      </c>
      <c r="E14" s="8">
        <v>8.0</v>
      </c>
      <c r="F14" s="8">
        <v>3.0</v>
      </c>
      <c r="G14" s="101"/>
      <c r="H14" s="8"/>
      <c r="I14" s="8"/>
      <c r="J14" s="9">
        <f>IF(K14&lt;&gt;"","",IF(OR(E14&gt;=4,G14&gt;=4,H14&gt;=4,F14&gt;1),21,""))</f>
        <v>21</v>
      </c>
      <c r="K14" s="8"/>
    </row>
    <row r="15" spans="1:11" ht="22.5" customHeight="1" x14ac:dyDescent="0.15">
      <c r="B15" s="6">
        <v>13.0</v>
      </c>
      <c r="C15" s="34" t="s">
        <f>"2025/"&amp;$F$1&amp;"/"&amp;B15&amp;""</f>
        <v>27</v>
      </c>
      <c r="D15" s="35" t="s">
        <f>IF(WEEKDAY(VALUE(C15),2)=7,"日",WEEKDAY(VALUE(C15),2))</f>
        <v>20</v>
      </c>
      <c r="E15" s="8">
        <v>8.0</v>
      </c>
      <c r="F15" s="8">
        <v>3.0</v>
      </c>
      <c r="G15" s="8"/>
      <c r="H15" s="8"/>
      <c r="I15" s="8"/>
      <c r="J15" s="9">
        <f>IF(K15&lt;&gt;"","",IF(OR(E15&gt;=4,G15&gt;=4,H15&gt;=4,F15&gt;1),21,""))</f>
        <v>21</v>
      </c>
      <c r="K15" s="8"/>
    </row>
    <row r="16" spans="1:11" ht="22.5" customHeight="1" x14ac:dyDescent="0.15">
      <c r="B16" s="6">
        <v>14.0</v>
      </c>
      <c r="C16" s="34" t="s">
        <f>"2025/"&amp;$F$1&amp;"/"&amp;B16&amp;""</f>
        <v>28</v>
      </c>
      <c r="D16" s="35">
        <f>IF(WEEKDAY(VALUE(C16),2)=7,"日",WEEKDAY(VALUE(C16),2))</f>
        <v>1</v>
      </c>
      <c r="E16" s="8">
        <v>8.0</v>
      </c>
      <c r="F16" s="8">
        <v>3.0</v>
      </c>
      <c r="G16" s="8"/>
      <c r="H16" s="8"/>
      <c r="I16" s="8"/>
      <c r="J16" s="9">
        <f>IF(K16&lt;&gt;"","",IF(OR(E16&gt;=4,G16&gt;=4,H16&gt;=4,F16&gt;1),21,""))</f>
        <v>21</v>
      </c>
      <c r="K16" s="8"/>
    </row>
    <row r="17" spans="1:11" ht="22.5" customHeight="1" x14ac:dyDescent="0.15">
      <c r="B17" s="6">
        <v>15.0</v>
      </c>
      <c r="C17" s="34" t="s">
        <f>"2025/"&amp;$F$1&amp;"/"&amp;B17&amp;""</f>
        <v>29</v>
      </c>
      <c r="D17" s="35">
        <f>IF(WEEKDAY(VALUE(C17),2)=7,"日",WEEKDAY(VALUE(C17),2))</f>
        <v>2</v>
      </c>
      <c r="E17" s="8"/>
      <c r="F17" s="8"/>
      <c r="G17" s="8">
        <f>11.5-0.5</f>
        <v>11</v>
      </c>
      <c r="H17" s="8"/>
      <c r="I17" s="8"/>
      <c r="J17" s="9">
        <f>IF(K17&lt;&gt;"","",IF(OR(E17&gt;=4,G17&gt;=4,H17&gt;=4,F17&gt;1),21,""))</f>
        <v>21</v>
      </c>
      <c r="K17" s="8"/>
    </row>
    <row r="18" spans="1:11" ht="22.5" customHeight="1" x14ac:dyDescent="0.15">
      <c r="B18" s="6">
        <v>16.0</v>
      </c>
      <c r="C18" s="34" t="s">
        <f>"2025/"&amp;$F$1&amp;"/"&amp;B18&amp;""</f>
        <v>30</v>
      </c>
      <c r="D18" s="35">
        <f>IF(WEEKDAY(VALUE(C18),2)=7,"日",WEEKDAY(VALUE(C18),2))</f>
        <v>3</v>
      </c>
      <c r="E18" s="8"/>
      <c r="F18" s="8"/>
      <c r="G18" s="8">
        <f>11-11</f>
        <v>0</v>
      </c>
      <c r="H18" s="8"/>
      <c r="I18" s="8"/>
      <c r="J18" s="9">
        <f>IF(K18&lt;&gt;"","",IF(OR(E18&gt;=4,G18&gt;=4,H18&gt;=4,F18&gt;1),21,""))</f>
        <v/>
      </c>
      <c r="K18" s="8"/>
    </row>
    <row r="19" spans="1:11" ht="22.5" customHeight="1" x14ac:dyDescent="0.15">
      <c r="B19" s="6">
        <v>17.0</v>
      </c>
      <c r="C19" s="34" t="s">
        <f>"2025/"&amp;$F$1&amp;"/"&amp;B19&amp;""</f>
        <v>31</v>
      </c>
      <c r="D19" s="35">
        <f>IF(WEEKDAY(VALUE(C19),2)=7,"日",WEEKDAY(VALUE(C19),2))</f>
        <v>4</v>
      </c>
      <c r="E19" s="8">
        <v>8.0</v>
      </c>
      <c r="F19" s="8">
        <v>3.0</v>
      </c>
      <c r="G19" s="8"/>
      <c r="H19" s="8"/>
      <c r="I19" s="8"/>
      <c r="J19" s="9">
        <f>IF(K19&lt;&gt;"","",IF(OR(E19&gt;=4,G19&gt;=4,H19&gt;=4,F19&gt;1),21,""))</f>
        <v>21</v>
      </c>
      <c r="K19" s="8"/>
    </row>
    <row r="20" spans="1:11" ht="22.5" customHeight="1" x14ac:dyDescent="0.15">
      <c r="B20" s="6">
        <v>18.0</v>
      </c>
      <c r="C20" s="34" t="s">
        <f>"2025/"&amp;$F$1&amp;"/"&amp;B20&amp;""</f>
        <v>32</v>
      </c>
      <c r="D20" s="35">
        <f>IF(WEEKDAY(VALUE(C20),2)=7,"日",WEEKDAY(VALUE(C20),2))</f>
        <v>5</v>
      </c>
      <c r="E20" s="8">
        <v>8.0</v>
      </c>
      <c r="F20" s="8">
        <v>3.0</v>
      </c>
      <c r="G20" s="8"/>
      <c r="H20" s="8"/>
      <c r="I20" s="8"/>
      <c r="J20" s="9">
        <f>IF(K20&lt;&gt;"","",IF(OR(E20&gt;=4,G20&gt;=4,H20&gt;=4,F20&gt;1),21,""))</f>
        <v>21</v>
      </c>
      <c r="K20" s="8"/>
    </row>
    <row r="21" spans="1:11" ht="22.5" customHeight="1" x14ac:dyDescent="0.15">
      <c r="B21" s="6">
        <v>19.0</v>
      </c>
      <c r="C21" s="34" t="s">
        <f>"2025/"&amp;$F$1&amp;"/"&amp;B21&amp;""</f>
        <v>33</v>
      </c>
      <c r="D21" s="35">
        <f>IF(WEEKDAY(VALUE(C21),2)=7,"日",WEEKDAY(VALUE(C21),2))</f>
        <v>6</v>
      </c>
      <c r="E21" s="8">
        <v>8.0</v>
      </c>
      <c r="F21" s="8">
        <f>3+0.5</f>
        <v>3.5</v>
      </c>
      <c r="G21" s="8"/>
      <c r="H21" s="8"/>
      <c r="I21" s="8"/>
      <c r="J21" s="9">
        <f>IF(K21&lt;&gt;"","",IF(OR(E21&gt;=4,G21&gt;=4,H21&gt;=4,F21&gt;1),21,""))</f>
        <v>21</v>
      </c>
      <c r="K21" s="8"/>
    </row>
    <row r="22" spans="1:11" ht="22.5" customHeight="1" x14ac:dyDescent="0.15">
      <c r="B22" s="6">
        <v>20.0</v>
      </c>
      <c r="C22" s="34" t="s">
        <f>"2025/"&amp;$F$1&amp;"/"&amp;B22&amp;""</f>
        <v>34</v>
      </c>
      <c r="D22" s="35" t="s">
        <f>IF(WEEKDAY(VALUE(C22),2)=7,"日",WEEKDAY(VALUE(C22),2))</f>
        <v>20</v>
      </c>
      <c r="E22" s="8">
        <v>8.0</v>
      </c>
      <c r="F22" s="8">
        <v>3.0</v>
      </c>
      <c r="G22" s="8"/>
      <c r="H22" s="8"/>
      <c r="I22" s="8"/>
      <c r="J22" s="9">
        <f>IF(K22&lt;&gt;"","",IF(OR(E22&gt;=4,G22&gt;=4,H22&gt;=4,F22&gt;1),21,""))</f>
        <v>21</v>
      </c>
      <c r="K22" s="8"/>
    </row>
    <row r="23" spans="1:11" ht="22.5" customHeight="1" x14ac:dyDescent="0.15">
      <c r="B23" s="6">
        <v>21.0</v>
      </c>
      <c r="C23" s="34" t="s">
        <f>"2025/"&amp;$F$1&amp;"/"&amp;B23&amp;""</f>
        <v>35</v>
      </c>
      <c r="D23" s="35">
        <f>IF(WEEKDAY(VALUE(C23),2)=7,"日",WEEKDAY(VALUE(C23),2))</f>
        <v>1</v>
      </c>
      <c r="E23" s="8">
        <v>8.0</v>
      </c>
      <c r="F23" s="8">
        <v>3.0</v>
      </c>
      <c r="G23" s="8"/>
      <c r="H23" s="8"/>
      <c r="I23" s="8"/>
      <c r="J23" s="9">
        <f>IF(K23&lt;&gt;"","",IF(OR(E23&gt;=4,G23&gt;=4,H23&gt;=4,F23&gt;1),21,""))</f>
        <v>21</v>
      </c>
      <c r="K23" s="8"/>
    </row>
    <row r="24" spans="1:11" ht="22.5" customHeight="1" x14ac:dyDescent="0.15">
      <c r="B24" s="6">
        <v>22.0</v>
      </c>
      <c r="C24" s="34" t="s">
        <f>"2025/"&amp;$F$1&amp;"/"&amp;B24&amp;""</f>
        <v>36</v>
      </c>
      <c r="D24" s="35">
        <f>IF(WEEKDAY(VALUE(C24),2)=7,"日",WEEKDAY(VALUE(C24),2))</f>
        <v>2</v>
      </c>
      <c r="E24" s="8">
        <v>8.0</v>
      </c>
      <c r="F24" s="8"/>
      <c r="G24" s="8">
        <f>11.5-0.5</f>
        <v>11</v>
      </c>
      <c r="H24" s="8"/>
      <c r="I24" s="8"/>
      <c r="J24" s="9">
        <f>IF(K24&lt;&gt;"","",IF(OR(E24&gt;=4,G24&gt;=4,H24&gt;=4,F24&gt;1),21,""))</f>
        <v>21</v>
      </c>
      <c r="K24" s="8"/>
    </row>
    <row r="25" spans="1:11" ht="22.5" customHeight="1" x14ac:dyDescent="0.15">
      <c r="B25" s="6">
        <v>23.0</v>
      </c>
      <c r="C25" s="34" t="s">
        <f>"2025/"&amp;$F$1&amp;"/"&amp;B25&amp;""</f>
        <v>37</v>
      </c>
      <c r="D25" s="35">
        <f>IF(WEEKDAY(VALUE(C25),2)=7,"日",WEEKDAY(VALUE(C25),2))</f>
        <v>3</v>
      </c>
      <c r="E25" s="8"/>
      <c r="F25" s="8"/>
      <c r="G25" s="8">
        <f>11-11</f>
        <v>0</v>
      </c>
      <c r="H25" s="8"/>
      <c r="I25" s="8"/>
      <c r="J25" s="9">
        <f>IF(K25&lt;&gt;"","",IF(OR(E25&gt;=4,G25&gt;=4,H25&gt;=4,F25&gt;1),21,""))</f>
        <v/>
      </c>
      <c r="K25" s="8"/>
    </row>
    <row r="26" spans="1:11" ht="22.5" customHeight="1" x14ac:dyDescent="0.15">
      <c r="B26" s="6">
        <v>24.0</v>
      </c>
      <c r="C26" s="34" t="s">
        <f>"2025/"&amp;$F$1&amp;"/"&amp;B26&amp;""</f>
        <v>38</v>
      </c>
      <c r="D26" s="35">
        <f>IF(WEEKDAY(VALUE(C26),2)=7,"日",WEEKDAY(VALUE(C26),2))</f>
        <v>4</v>
      </c>
      <c r="E26" s="8">
        <v>8.0</v>
      </c>
      <c r="F26" s="8">
        <v>3.0</v>
      </c>
      <c r="G26" s="8"/>
      <c r="H26" s="8"/>
      <c r="I26" s="8"/>
      <c r="J26" s="9">
        <f>IF(K26&lt;&gt;"","",IF(OR(E26&gt;=4,G26&gt;=4,H26&gt;=4,F26&gt;1),21,""))</f>
        <v>21</v>
      </c>
      <c r="K26" s="8"/>
    </row>
    <row r="27" spans="1:11" ht="22.5" customHeight="1" x14ac:dyDescent="0.15">
      <c r="B27" s="6">
        <v>25.0</v>
      </c>
      <c r="C27" s="34" t="s">
        <f>"2025/"&amp;$F$1&amp;"/"&amp;B27&amp;""</f>
        <v>39</v>
      </c>
      <c r="D27" s="35">
        <f>IF(WEEKDAY(VALUE(C27),2)=7,"日",WEEKDAY(VALUE(C27),2))</f>
        <v>5</v>
      </c>
      <c r="E27" s="8">
        <v>8.0</v>
      </c>
      <c r="F27" s="8">
        <v>3.0</v>
      </c>
      <c r="G27" s="8"/>
      <c r="H27" s="8"/>
      <c r="I27" s="8"/>
      <c r="J27" s="9">
        <f>IF(K27&lt;&gt;"","",IF(OR(E27&gt;=4,G27&gt;=4,H27&gt;=4,F27&gt;1),21,""))</f>
        <v>21</v>
      </c>
      <c r="K27" s="8"/>
    </row>
    <row r="28" spans="1:11" ht="22.5" customHeight="1" x14ac:dyDescent="0.15">
      <c r="B28" s="6">
        <v>26.0</v>
      </c>
      <c r="C28" s="34" t="s">
        <f>"2025/"&amp;$F$1&amp;"/"&amp;B28&amp;""</f>
        <v>40</v>
      </c>
      <c r="D28" s="35">
        <f>IF(WEEKDAY(VALUE(C28),2)=7,"日",WEEKDAY(VALUE(C28),2))</f>
        <v>6</v>
      </c>
      <c r="E28" s="8">
        <v>8.0</v>
      </c>
      <c r="F28" s="8">
        <v>3.0</v>
      </c>
      <c r="G28" s="8"/>
      <c r="H28" s="8"/>
      <c r="I28" s="8"/>
      <c r="J28" s="9">
        <f>IF(K28&lt;&gt;"","",IF(OR(E28&gt;=4,G28&gt;=4,H28&gt;=4,F28&gt;1),21,""))</f>
        <v>21</v>
      </c>
      <c r="K28" s="8"/>
    </row>
    <row r="29" spans="1:11" ht="22.5" customHeight="1" x14ac:dyDescent="0.15">
      <c r="B29" s="6">
        <v>27.0</v>
      </c>
      <c r="C29" s="34" t="s">
        <f>"2025/"&amp;$F$1&amp;"/"&amp;B29&amp;""</f>
        <v>41</v>
      </c>
      <c r="D29" s="35" t="s">
        <f>IF(WEEKDAY(VALUE(C29),2)=7,"日",WEEKDAY(VALUE(C29),2))</f>
        <v>20</v>
      </c>
      <c r="E29" s="8">
        <v>8.0</v>
      </c>
      <c r="F29" s="8">
        <v>3.0</v>
      </c>
      <c r="G29" s="8"/>
      <c r="H29" s="8"/>
      <c r="I29" s="8"/>
      <c r="J29" s="9">
        <f>IF(K29&lt;&gt;"","",IF(OR(E29&gt;=4,G29&gt;=4,H29&gt;=4,F29&gt;1),21,""))</f>
        <v>21</v>
      </c>
      <c r="K29" s="8"/>
    </row>
    <row r="30" spans="1:11" ht="22.5" customHeight="1" x14ac:dyDescent="0.15">
      <c r="B30" s="6">
        <v>28.0</v>
      </c>
      <c r="C30" s="34" t="s">
        <f>"2025/"&amp;$F$1&amp;"/"&amp;B30&amp;""</f>
        <v>42</v>
      </c>
      <c r="D30" s="35">
        <f>IF(WEEKDAY(VALUE(C30),2)=7,"日",WEEKDAY(VALUE(C30),2))</f>
        <v>1</v>
      </c>
      <c r="E30" s="8">
        <v>8.0</v>
      </c>
      <c r="F30" s="8">
        <v>3.0</v>
      </c>
      <c r="G30" s="101"/>
      <c r="H30" s="8"/>
      <c r="I30" s="8"/>
      <c r="J30" s="9">
        <f>IF(K30&lt;&gt;"","",IF(OR(E30&gt;=4,G30&gt;=4,H30&gt;=4,F30&gt;1),21,""))</f>
        <v>21</v>
      </c>
      <c r="K30" s="8"/>
    </row>
    <row r="31" spans="1:11" ht="19.35" customHeight="1" x14ac:dyDescent="0.15">
      <c r="B31" s="6">
        <v>29.0</v>
      </c>
      <c r="C31" s="34" t="s">
        <f>"2025/"&amp;$F$1&amp;"/"&amp;B31&amp;""</f>
        <v>43</v>
      </c>
      <c r="D31" s="35">
        <f>IF(WEEKDAY(VALUE(C31),2)=7,"日",WEEKDAY(VALUE(C31),2))</f>
        <v>2</v>
      </c>
      <c r="E31" s="8"/>
      <c r="F31" s="8"/>
      <c r="G31" s="8">
        <f>11.5-0.5</f>
        <v>11</v>
      </c>
      <c r="H31" s="8"/>
      <c r="I31" s="8"/>
      <c r="J31" s="9">
        <f>IF(K31&lt;&gt;"","",IF(OR(E31&gt;=4,G31&gt;=4,H31&gt;=4,F31&gt;1),21,""))</f>
        <v>21</v>
      </c>
      <c r="K31" s="8"/>
    </row>
    <row r="32" spans="1:11" ht="22.5" customHeight="1" x14ac:dyDescent="0.15">
      <c r="B32" s="6">
        <v>30.0</v>
      </c>
      <c r="C32" s="34" t="s">
        <f>"2025/"&amp;$F$1&amp;"/"&amp;B32&amp;""</f>
        <v>44</v>
      </c>
      <c r="D32" s="35">
        <f>IF(WEEKDAY(VALUE(C32),2)=7,"日",WEEKDAY(VALUE(C32),2))</f>
        <v>3</v>
      </c>
      <c r="E32" s="8">
        <v>8.0</v>
      </c>
      <c r="F32" s="8">
        <v>3.0</v>
      </c>
      <c r="G32" s="8"/>
      <c r="H32" s="8"/>
      <c r="I32" s="8"/>
      <c r="J32" s="9">
        <v>21.0</v>
      </c>
      <c r="K32" s="8"/>
    </row>
    <row r="33" spans="1:11" ht="22.5" customHeight="1" x14ac:dyDescent="0.15">
      <c r="B33" s="6">
        <v>31.0</v>
      </c>
      <c r="C33" s="34" t="s">
        <f>"2025/"&amp;$F$1&amp;"/"&amp;B33&amp;""</f>
        <v>45</v>
      </c>
      <c r="D33" s="35">
        <f>IF(WEEKDAY(VALUE(C33),2)=7,"日",WEEKDAY(VALUE(C33),2))</f>
        <v>4</v>
      </c>
      <c r="E33" s="8">
        <v>8.0</v>
      </c>
      <c r="F33" s="8">
        <v>3.0</v>
      </c>
      <c r="G33" s="8"/>
      <c r="H33" s="8"/>
      <c r="I33" s="8"/>
      <c r="J33" s="9">
        <f>IF(K33&lt;&gt;"","",IF(OR(E33&gt;=4,G33&gt;=4,H33&gt;=4,F33&gt;1),21,""))</f>
        <v>21</v>
      </c>
      <c r="K33" s="8"/>
    </row>
    <row r="34" spans="1:11" ht="28.5" customHeight="1" x14ac:dyDescent="0.15">
      <c r="B34" s="6">
        <f>B33+1</f>
        <v>32</v>
      </c>
      <c r="C34" s="9" t="s">
        <v>46</v>
      </c>
      <c r="D34" s="84" t="s">
        <v>47</v>
      </c>
      <c r="E34" s="9">
        <f>COUNT(E3:E33)*8</f>
        <v>184</v>
      </c>
      <c r="F34" s="9">
        <f>SUM(F3:F33)</f>
        <v>66.5</v>
      </c>
      <c r="G34" s="9">
        <f>SUM(G3:G33)</f>
        <v>66</v>
      </c>
      <c r="H34" s="9">
        <f>SUM(H3:H33)</f>
        <v>0</v>
      </c>
      <c r="I34" s="9">
        <f>COUNT(I3:I33)</f>
        <v>5</v>
      </c>
      <c r="J34" s="9">
        <f>SUM(J3:J33)</f>
        <v>588</v>
      </c>
      <c r="K34" s="9">
        <f>COUNT(K3:K33)</f>
        <v>0</v>
      </c>
    </row>
    <row r="35" spans="1:11" ht="19.35" customHeight="1" x14ac:dyDescent="0.15">
      <c r="B35" s="6">
        <f>B34+1</f>
        <v>33</v>
      </c>
      <c r="C35" s="9" t="s">
        <v>48</v>
      </c>
      <c r="D35" s="107">
        <f>COUNTIF(D3:D33,1)+COUNTIF(D3:D33,2)+COUNTIF(D3:D33,3)+COUNTIF(D3:D33,4)+COUNTIF(D3:D33,5)</f>
        <v>23</v>
      </c>
      <c r="E35" s="86">
        <v>2740.0</v>
      </c>
      <c r="F35" s="9"/>
      <c r="G35" s="9"/>
      <c r="H35" s="9"/>
      <c r="I35" s="9"/>
      <c r="J35" s="9"/>
      <c r="K35" s="9"/>
    </row>
    <row r="36" spans="1:11" ht="17.85" customHeight="1" x14ac:dyDescent="0.15">
      <c r="B36" s="6">
        <f>B35+1</f>
        <v>34</v>
      </c>
      <c r="C36" s="10" t="s">
        <v>49</v>
      </c>
      <c r="D36" s="10"/>
      <c r="E36" s="178">
        <f>IF(D39/8&gt;D35,E35,E34*E37)</f>
        <v>2740</v>
      </c>
      <c r="F36" s="177"/>
      <c r="G36" s="9" t="s">
        <f>"总工时: "&amp;(E34+F34+G34+H34+0)</f>
        <v>50</v>
      </c>
      <c r="H36" s="9" t="s">
        <f>"总加班时: "&amp;F34+G34+H34</f>
        <v>51</v>
      </c>
      <c r="I36" s="9"/>
      <c r="J36" s="11" t="s">
        <f>"厂牌应余: "&amp;(400-J34)*0</f>
        <v>52</v>
      </c>
      <c r="K36" s="11"/>
    </row>
    <row r="37" spans="1:11" ht="17.85" customHeight="1" x14ac:dyDescent="0.15">
      <c r="B37" s="6">
        <f>B36+1</f>
        <v>35</v>
      </c>
      <c r="C37" s="37" t="s">
        <v>53</v>
      </c>
      <c r="D37" s="37"/>
      <c r="E37" s="38">
        <f>E35/D35/8</f>
        <v>14.891304347826</v>
      </c>
      <c r="F37" s="39">
        <v>23.8</v>
      </c>
      <c r="G37" s="38">
        <v>31.73</v>
      </c>
      <c r="H37" s="37">
        <v>47.6</v>
      </c>
      <c r="I37" s="37">
        <v>60.0</v>
      </c>
      <c r="J37" s="37">
        <v>21.0</v>
      </c>
      <c r="K37" s="37"/>
    </row>
    <row r="38" spans="1:12" ht="17.85" customHeight="1" x14ac:dyDescent="0.15">
      <c r="B38" s="41">
        <f>B37+1</f>
        <v>36</v>
      </c>
      <c r="C38" s="42" t="s">
        <v>54</v>
      </c>
      <c r="D38" s="88" t="s">
        <v>55</v>
      </c>
      <c r="E38" s="44">
        <f>IF(E37*E34&gt;E35,E35,E34*E37)</f>
        <v>2740</v>
      </c>
      <c r="F38" s="45">
        <f>F37*F34</f>
        <v>1582.7</v>
      </c>
      <c r="G38" s="45">
        <f>G34*G37</f>
        <v>2094.18</v>
      </c>
      <c r="H38" s="45">
        <f>H37*H34</f>
        <v>0</v>
      </c>
      <c r="I38" s="43" t="s">
        <v>56</v>
      </c>
      <c r="J38" s="44">
        <f>F38+G38+H38</f>
        <v>3676.88</v>
      </c>
      <c r="K38" s="108">
        <f>J38/E42</f>
        <v>0.4681013586458355</v>
      </c>
      <c r="L38" s="2" t="s">
        <v>57</v>
      </c>
    </row>
    <row r="39" spans="1:11" ht="16.7" customHeight="1" x14ac:dyDescent="0.15">
      <c r="B39" s="41">
        <f>B38+1</f>
        <v>37</v>
      </c>
      <c r="C39" s="48" t="s">
        <v>58</v>
      </c>
      <c r="D39" s="49">
        <v>500</v>
      </c>
      <c r="E39" s="13">
        <f>IF(D39/D35*E34/8&gt;D39,D39,D39/D35*E34/8)</f>
        <v>500</v>
      </c>
      <c r="F39" s="6" t="s">
        <v>59</v>
      </c>
      <c r="G39" s="50">
        <v>50.0</v>
      </c>
      <c r="H39" s="6" t="s">
        <v>60</v>
      </c>
      <c r="I39" s="50"/>
      <c r="J39" s="49"/>
      <c r="K39" s="51"/>
    </row>
    <row r="40" spans="1:11" ht="17.85" customHeight="1" x14ac:dyDescent="0.15">
      <c r="B40" s="41">
        <f>B39+1</f>
        <v>38</v>
      </c>
      <c r="C40" s="48" t="s">
        <v>61</v>
      </c>
      <c r="D40" s="49">
        <v>0.0</v>
      </c>
      <c r="E40" s="13">
        <f>J34</f>
        <v>588</v>
      </c>
      <c r="F40" s="6" t="s">
        <v>62</v>
      </c>
      <c r="G40" s="50"/>
      <c r="H40" s="6" t="s">
        <v>63</v>
      </c>
      <c r="I40" s="50"/>
      <c r="J40" s="6" t="s">
        <v>64</v>
      </c>
      <c r="K40" s="51">
        <f>I34*I37</f>
        <v>300</v>
      </c>
    </row>
    <row r="41" spans="1:13" ht="17.85" customHeight="1" x14ac:dyDescent="0.15">
      <c r="B41" s="41">
        <f>B40+1</f>
        <v>39</v>
      </c>
      <c r="C41" s="52" t="s">
        <v>65</v>
      </c>
      <c r="D41" s="53"/>
      <c r="E41" s="54">
        <f>D41-D41</f>
        <v>0</v>
      </c>
      <c r="F41" s="53"/>
      <c r="G41" s="53"/>
      <c r="H41" s="53"/>
      <c r="I41" s="53"/>
      <c r="J41" s="53"/>
      <c r="K41" s="55"/>
      <c r="M41" s="56"/>
    </row>
    <row r="42" spans="1:11" ht="17.85" customHeight="1" x14ac:dyDescent="0.15">
      <c r="B42" s="6">
        <f>B41+1</f>
        <v>40</v>
      </c>
      <c r="C42" s="57" t="s">
        <v>66</v>
      </c>
      <c r="D42" s="57"/>
      <c r="E42" s="58">
        <f>E36+(F34*F37)+(G34*G37)+(H34*H37)+(I34*I37)+SUM(E39:E41,G39:G41,I39:I41)</f>
        <v>7854.879999999999</v>
      </c>
      <c r="F42" s="57"/>
      <c r="G42" s="57"/>
      <c r="H42" s="57"/>
      <c r="I42" s="57"/>
      <c r="J42" s="57"/>
      <c r="K42" s="57"/>
    </row>
    <row r="43" spans="1:11" ht="19.35" customHeight="1" x14ac:dyDescent="0.15">
      <c r="B43" s="41">
        <f>B42+1</f>
        <v>41</v>
      </c>
      <c r="C43" s="59" t="s">
        <v>67</v>
      </c>
      <c r="D43" s="60" t="s">
        <v>68</v>
      </c>
      <c r="E43" s="61"/>
      <c r="F43" s="60" t="s">
        <v>69</v>
      </c>
      <c r="G43" s="61"/>
      <c r="H43" s="60" t="s">
        <v>70</v>
      </c>
      <c r="I43" s="61"/>
      <c r="J43" s="60"/>
      <c r="K43" s="62"/>
    </row>
    <row r="44" spans="1:11" ht="16.7" customHeight="1" x14ac:dyDescent="0.15">
      <c r="B44" s="41">
        <f>B43+1</f>
        <v>42</v>
      </c>
      <c r="C44" s="180" t="s">
        <v>71</v>
      </c>
      <c r="D44" s="179"/>
      <c r="E44" s="49"/>
      <c r="F44" s="14" t="s">
        <v>72</v>
      </c>
      <c r="G44" s="49">
        <f>IF(J36&gt;=400,J34,J34)*0</f>
        <v>0</v>
      </c>
      <c r="H44" s="14" t="s">
        <v>73</v>
      </c>
      <c r="I44" s="14"/>
      <c r="J44" s="14" t="s">
        <v>74</v>
      </c>
      <c r="K44" s="81">
        <f>E42-F45-J45-F46-J46</f>
        <v>6654.3853199999985</v>
      </c>
    </row>
    <row r="45" spans="1:11" ht="30.7" customHeight="1" x14ac:dyDescent="0.15">
      <c r="B45" s="41">
        <f>B44+1</f>
        <v>43</v>
      </c>
      <c r="C45" s="110" t="s">
        <v>75</v>
      </c>
      <c r="D45" s="89">
        <f>E42</f>
        <v>7854.879999999999</v>
      </c>
      <c r="E45" s="90" t="s">
        <v>76</v>
      </c>
      <c r="F45" s="13">
        <f>D45*8%</f>
        <v>628.3904</v>
      </c>
      <c r="G45" s="181" t="s">
        <v>77</v>
      </c>
      <c r="H45" s="181"/>
      <c r="I45" s="181"/>
      <c r="J45" s="13">
        <f>E42*0.2%*3</f>
        <v>47.129279999999994</v>
      </c>
      <c r="K45" s="68" t="s">
        <v>78</v>
      </c>
    </row>
    <row r="46" spans="1:11" ht="17.85" customHeight="1" x14ac:dyDescent="0.15">
      <c r="B46" s="41">
        <f>B45+1</f>
        <v>44</v>
      </c>
      <c r="C46" s="183" t="s">
        <v>79</v>
      </c>
      <c r="D46" s="182"/>
      <c r="E46" s="182"/>
      <c r="F46" s="13">
        <f>4595*0.5%+2</f>
        <v>24.975</v>
      </c>
      <c r="G46" s="181" t="s">
        <v>80</v>
      </c>
      <c r="H46" s="181"/>
      <c r="I46" s="181"/>
      <c r="J46" s="13">
        <f>K46*0.05</f>
        <v>500</v>
      </c>
      <c r="K46" s="70">
        <v>10000</v>
      </c>
    </row>
    <row r="47" spans="1:11" ht="17.85" customHeight="1" x14ac:dyDescent="0.15">
      <c r="B47" s="41"/>
      <c r="C47" s="112"/>
      <c r="D47" s="104"/>
      <c r="E47" s="104" t="s">
        <v>81</v>
      </c>
      <c r="F47" s="38">
        <v>0.0</v>
      </c>
      <c r="G47" s="105" t="s">
        <v>82</v>
      </c>
      <c r="H47" s="38">
        <f>F45+J45+F46+F47+J46+J47+G48+E44</f>
        <v>1205.1262396</v>
      </c>
      <c r="I47" s="105" t="s">
        <v>83</v>
      </c>
      <c r="J47" s="38"/>
      <c r="K47" s="106"/>
    </row>
    <row r="48" spans="1:11" ht="24.4" customHeight="1" x14ac:dyDescent="0.15">
      <c r="B48" s="41">
        <f>B46+1</f>
        <v>45</v>
      </c>
      <c r="C48" s="185" t="s">
        <v>84</v>
      </c>
      <c r="D48" s="184"/>
      <c r="E48" s="184"/>
      <c r="F48" s="184"/>
      <c r="G48" s="13">
        <f>IF(F1&gt;=12,(E42-F45-J45-F46-F47-J46-1500-5000)*0.03,IF((K46*(F1+1)-5000*(F1+1)-1500*(F1+1))&lt;36000,(E42-F45-J45-F46-F47-J46-1500-5000)*0.03,(E42-F45-J45-F46-F47-J46-1500-5000)*0.1))</f>
        <v>4.631559599999955</v>
      </c>
      <c r="H48" s="186" t="s">
        <v>85</v>
      </c>
      <c r="I48" s="186"/>
      <c r="J48" s="75">
        <f>E42-G48</f>
        <v>7850.248440399999</v>
      </c>
      <c r="K48" s="76"/>
    </row>
    <row r="49" spans="1:11" ht="28.5" customHeight="1" x14ac:dyDescent="0.15">
      <c r="B49" s="6">
        <f>B48+1</f>
        <v>46</v>
      </c>
      <c r="C49" s="187" t="s">
        <v>86</v>
      </c>
      <c r="D49" s="187"/>
      <c r="E49" s="187"/>
      <c r="F49" s="99">
        <f>E42-SUM(E43,E44,F45,F46,G44,G43,I43,I44,J45,J46,G48,F47,J47)</f>
        <v>6649.753760399999</v>
      </c>
      <c r="G49" s="79" t="s">
        <v>87</v>
      </c>
      <c r="H49" s="80">
        <f>F49+J46</f>
        <v>7149.753760399999</v>
      </c>
      <c r="I49" s="114"/>
      <c r="J49" s="114" t="s">
        <v>88</v>
      </c>
      <c r="K49" s="115">
        <f>H47/E42</f>
        <v>0.15342388930193715</v>
      </c>
    </row>
    <row r="50" spans="1:6" ht="17.85" customHeight="1" x14ac:dyDescent="0.15">
      <c r="D50" s="2" t="s">
        <v>89</v>
      </c>
      <c r="E50" s="100" t="s">
        <v>90</v>
      </c>
      <c r="F50" s="2">
        <f>E42/((SUM(F34:H34))+E34)</f>
        <v>24.817946287519746</v>
      </c>
    </row>
    <row r="51" spans="1:8" ht="17.85" customHeight="1" x14ac:dyDescent="0.15">
      <c r="E51" s="100" t="s">
        <v>91</v>
      </c>
      <c r="F51" s="2">
        <f>E42/((E34/8)+COUNT(G3:G33)+COUNT(H3:H33))</f>
        <v>253.38322580645158</v>
      </c>
      <c r="G51" s="2">
        <f>G37*11</f>
        <v>349.03</v>
      </c>
      <c r="H51" s="2">
        <f>H37*11</f>
        <v>523.6</v>
      </c>
    </row>
    <row r="52" spans="1:7" ht="17.999725" customHeight="1" x14ac:dyDescent="0.15">
      <c r="E52" s="2" t="s">
        <v>92</v>
      </c>
      <c r="F52" s="250">
        <f>F37*0.5+F52</f>
        <v>0</v>
      </c>
      <c r="G52" s="2">
        <f>G37*0.5</f>
        <v>15.865</v>
      </c>
    </row>
    <row r="53" spans="1:8" ht="17.999725" customHeight="1" x14ac:dyDescent="0.15">
      <c r="E53" s="2" t="s">
        <v>93</v>
      </c>
      <c r="F53" s="2"/>
      <c r="G53" s="2">
        <f>F49-F53</f>
        <v>6649.753760399999</v>
      </c>
      <c r="H53" s="2" t="s">
        <v>94</v>
      </c>
    </row>
    <row r="54" spans="1:8" ht="14.25" customHeight="1" x14ac:dyDescent="0.15">
      <c r="G54" s="2" t="e">
        <f>F49-'#REF!'!D20</f>
        <v>#REF!</v>
      </c>
      <c r="H54" s="116" t="s">
        <v>95</v>
      </c>
    </row>
    <row r="55" spans="1:8" ht="14.25" customHeight="1" x14ac:dyDescent="0.15">
      <c r="G55" s="2" t="e">
        <f>F49-'#REF!'!D6</f>
        <v>#REF!</v>
      </c>
      <c r="H55" s="116" t="s">
        <v>96</v>
      </c>
    </row>
    <row r="56" spans="8:8" x14ac:dyDescent="0.15">
      <c r="H56" s="116"/>
    </row>
    <row r="63" spans="1:6" ht="17.85" customHeight="1" x14ac:dyDescent="0.15">
      <c r="F63" s="2">
        <f>9950-9718</f>
        <v>232</v>
      </c>
    </row>
  </sheetData>
  <sheetProtection formatCells="0" insertHyperlinks="0" autoFilter="0"/>
  <autoFilter ref="B1:L55"/>
  <mergeCells count="8">
    <mergeCell ref="E36:F36"/>
    <mergeCell ref="C44:D44"/>
    <mergeCell ref="G45:I45"/>
    <mergeCell ref="C46:E46"/>
    <mergeCell ref="G46:I46"/>
    <mergeCell ref="C48:F48"/>
    <mergeCell ref="H48:I48"/>
    <mergeCell ref="C49:E49"/>
  </mergeCells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9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 8 Lite</dc:creator>
  <cp:lastModifiedBy>root</cp:lastModifiedBy>
  <cp:revision>0</cp:revision>
  <dcterms:created xsi:type="dcterms:W3CDTF">2015-01-12T18:19:00Z</dcterms:created>
  <dcterms:modified xsi:type="dcterms:W3CDTF">2025-08-07T13:01:42Z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b620b058ac52408db2a69f142099aa40_23</vt:lpwstr>
  </property>
  <property fmtid="{D5CDD505-2E9C-101B-9397-08002B2CF9AE}" pid="3" name="KSOProductBuildVer">
    <vt:lpwstr>2052-12.9.0.22036</vt:lpwstr>
  </property>
</Properties>
</file>