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<sst xmlns="http://schemas.openxmlformats.org/spreadsheetml/2006/main" count="64" uniqueCount="49">
  <si>
    <t xml:space="preserve">V_in_mV</t>
  </si>
  <si>
    <t xml:space="preserve">V_BATT MEASURE</t>
  </si>
  <si>
    <t xml:space="preserve">SOFTWARE</t>
  </si>
  <si>
    <t xml:space="preserve">V_in_V</t>
  </si>
  <si>
    <t xml:space="preserve">R1</t>
  </si>
  <si>
    <t xml:space="preserve">R2</t>
  </si>
  <si>
    <t xml:space="preserve">offset</t>
  </si>
  <si>
    <t xml:space="preserve">V_Batt</t>
  </si>
  <si>
    <t xml:space="preserve">Switching Boost Circuit:</t>
  </si>
  <si>
    <t xml:space="preserve">RPROG</t>
  </si>
  <si>
    <t xml:space="preserve">IB</t>
  </si>
  <si>
    <t xml:space="preserve">Ibat</t>
  </si>
  <si>
    <t xml:space="preserve">Rprog</t>
  </si>
  <si>
    <t xml:space="preserve">Vref</t>
  </si>
  <si>
    <t xml:space="preserve">Vo</t>
  </si>
  <si>
    <t xml:space="preserve">V</t>
  </si>
  <si>
    <t xml:space="preserve">I_Lim_sw</t>
  </si>
  <si>
    <t xml:space="preserve">A</t>
  </si>
  <si>
    <t xml:space="preserve">Valley current limit </t>
  </si>
  <si>
    <t xml:space="preserve">Iout(CL)</t>
  </si>
  <si>
    <t xml:space="preserve">Vin</t>
  </si>
  <si>
    <t xml:space="preserve">efficiency</t>
  </si>
  <si>
    <t xml:space="preserve">Vout</t>
  </si>
  <si>
    <t xml:space="preserve">D</t>
  </si>
  <si>
    <t xml:space="preserve">capacity</t>
  </si>
  <si>
    <t xml:space="preserve">mAhr</t>
  </si>
  <si>
    <t xml:space="preserve">discharge rate</t>
  </si>
  <si>
    <t xml:space="preserve">mA</t>
  </si>
  <si>
    <t xml:space="preserve">hours</t>
  </si>
  <si>
    <t xml:space="preserve">hr</t>
  </si>
  <si>
    <t xml:space="preserve">days</t>
  </si>
  <si>
    <t xml:space="preserve">Iout</t>
  </si>
  <si>
    <t xml:space="preserve">IL(DC)</t>
  </si>
  <si>
    <t xml:space="preserve">L</t>
  </si>
  <si>
    <t xml:space="preserve">H</t>
  </si>
  <si>
    <t xml:space="preserve">fSW</t>
  </si>
  <si>
    <t xml:space="preserve">Hz</t>
  </si>
  <si>
    <t xml:space="preserve">I_L(P-P)_ripple</t>
  </si>
  <si>
    <t xml:space="preserve">IL(P)</t>
  </si>
  <si>
    <t xml:space="preserve">=</t>
  </si>
  <si>
    <t xml:space="preserve">uH</t>
  </si>
  <si>
    <t xml:space="preserve">Required</t>
  </si>
  <si>
    <t xml:space="preserve">Selected</t>
  </si>
  <si>
    <t xml:space="preserve">Vout_ripple</t>
  </si>
  <si>
    <t xml:space="preserve">mV</t>
  </si>
  <si>
    <t xml:space="preserve">Designed</t>
  </si>
  <si>
    <t xml:space="preserve">Cout</t>
  </si>
  <si>
    <t xml:space="preserve">F</t>
  </si>
  <si>
    <t xml:space="preserve">uF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</si>
</sst>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0.00%"/>
    <numFmt numFmtId="167" formatCode="#,##0.000"/>
    <numFmt numFmtId="168" formatCode="#,##0.0000"/>
    <numFmt numFmtId="169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Sheet1!$L$24</c:f>
              <c:strCache>
                <c:ptCount val="1"/>
                <c:pt idx="0">
                  <c:v>IB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Sheet1!$K$25:$K$30</c:f>
              <c:strCache>
                <c:ptCount val="6"/>
                <c:pt idx="0">
                  <c:v>10</c:v>
                </c:pt>
                <c:pt idx="1">
                  <c:v>5</c:v>
                </c:pt>
                <c:pt idx="2">
                  <c:v>1.2</c:v>
                </c:pt>
                <c:pt idx="3">
                  <c:v>0.75</c:v>
                </c:pt>
                <c:pt idx="4">
                  <c:v>0.68</c:v>
                </c:pt>
                <c:pt idx="5">
                  <c:v/>
                </c:pt>
              </c:strCache>
            </c:strRef>
          </c:cat>
          <c:val>
            <c:numRef>
              <c:f>Sheet1!$L$25:$L$30</c:f>
              <c:numCache>
                <c:formatCode>General</c:formatCode>
                <c:ptCount val="6"/>
                <c:pt idx="0">
                  <c:v>80</c:v>
                </c:pt>
                <c:pt idx="1">
                  <c:v>160</c:v>
                </c:pt>
                <c:pt idx="2">
                  <c:v>580</c:v>
                </c:pt>
                <c:pt idx="3">
                  <c:v>900</c:v>
                </c:pt>
                <c:pt idx="4">
                  <c:v>1000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71363377"/>
        <c:axId val="96150114"/>
      </c:lineChart>
      <c:catAx>
        <c:axId val="7136337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150114"/>
        <c:crosses val="autoZero"/>
        <c:auto val="1"/>
        <c:lblAlgn val="ctr"/>
        <c:lblOffset val="100"/>
        <c:noMultiLvlLbl val="0"/>
      </c:catAx>
      <c:valAx>
        <c:axId val="9615011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36337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498600</xdr:colOff>
      <xdr:row>13</xdr:row>
      <xdr:rowOff>0</xdr:rowOff>
    </xdr:from>
    <xdr:to>
      <xdr:col>20</xdr:col>
      <xdr:colOff>566640</xdr:colOff>
      <xdr:row>32</xdr:row>
      <xdr:rowOff>146160</xdr:rowOff>
    </xdr:to>
    <xdr:graphicFrame>
      <xdr:nvGraphicFramePr>
        <xdr:cNvPr id="0" name=""/>
        <xdr:cNvGraphicFramePr/>
      </xdr:nvGraphicFramePr>
      <xdr:xfrm>
        <a:off x="11202120" y="2113200"/>
        <a:ext cx="5757840" cy="323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99360</xdr:colOff>
      <xdr:row>57</xdr:row>
      <xdr:rowOff>38160</xdr:rowOff>
    </xdr:from>
    <xdr:to>
      <xdr:col>4</xdr:col>
      <xdr:colOff>723960</xdr:colOff>
      <xdr:row>77</xdr:row>
      <xdr:rowOff>123120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99360" y="9447120"/>
          <a:ext cx="3875760" cy="3336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4</xdr:col>
      <xdr:colOff>786240</xdr:colOff>
      <xdr:row>55</xdr:row>
      <xdr:rowOff>73800</xdr:rowOff>
    </xdr:to>
    <xdr:pic>
      <xdr:nvPicPr>
        <xdr:cNvPr id="2" name="Image 2" descr=""/>
        <xdr:cNvPicPr/>
      </xdr:nvPicPr>
      <xdr:blipFill>
        <a:blip r:embed="rId3"/>
        <a:stretch/>
      </xdr:blipFill>
      <xdr:spPr>
        <a:xfrm>
          <a:off x="0" y="6827400"/>
          <a:ext cx="4037400" cy="2329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38160</xdr:colOff>
      <xdr:row>77</xdr:row>
      <xdr:rowOff>98280</xdr:rowOff>
    </xdr:from>
    <xdr:to>
      <xdr:col>4</xdr:col>
      <xdr:colOff>745200</xdr:colOff>
      <xdr:row>86</xdr:row>
      <xdr:rowOff>151920</xdr:rowOff>
    </xdr:to>
    <xdr:pic>
      <xdr:nvPicPr>
        <xdr:cNvPr id="3" name="Image 3" descr=""/>
        <xdr:cNvPicPr/>
      </xdr:nvPicPr>
      <xdr:blipFill>
        <a:blip r:embed="rId4"/>
        <a:stretch/>
      </xdr:blipFill>
      <xdr:spPr>
        <a:xfrm>
          <a:off x="38160" y="12758400"/>
          <a:ext cx="3958200" cy="1516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71640</xdr:colOff>
      <xdr:row>25</xdr:row>
      <xdr:rowOff>9360</xdr:rowOff>
    </xdr:from>
    <xdr:to>
      <xdr:col>5</xdr:col>
      <xdr:colOff>540000</xdr:colOff>
      <xdr:row>36</xdr:row>
      <xdr:rowOff>58680</xdr:rowOff>
    </xdr:to>
    <xdr:pic>
      <xdr:nvPicPr>
        <xdr:cNvPr id="4" name="Image 4" descr=""/>
        <xdr:cNvPicPr/>
      </xdr:nvPicPr>
      <xdr:blipFill>
        <a:blip r:embed="rId5"/>
        <a:stretch/>
      </xdr:blipFill>
      <xdr:spPr>
        <a:xfrm>
          <a:off x="71640" y="4073400"/>
          <a:ext cx="4532400" cy="1837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10800</xdr:colOff>
      <xdr:row>96</xdr:row>
      <xdr:rowOff>118440</xdr:rowOff>
    </xdr:from>
    <xdr:to>
      <xdr:col>4</xdr:col>
      <xdr:colOff>713160</xdr:colOff>
      <xdr:row>115</xdr:row>
      <xdr:rowOff>47160</xdr:rowOff>
    </xdr:to>
    <xdr:pic>
      <xdr:nvPicPr>
        <xdr:cNvPr id="5" name="Image 5" descr=""/>
        <xdr:cNvPicPr/>
      </xdr:nvPicPr>
      <xdr:blipFill>
        <a:blip r:embed="rId6"/>
        <a:stretch/>
      </xdr:blipFill>
      <xdr:spPr>
        <a:xfrm>
          <a:off x="10800" y="15867000"/>
          <a:ext cx="3953520" cy="3017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4</xdr:col>
      <xdr:colOff>589680</xdr:colOff>
      <xdr:row>92</xdr:row>
      <xdr:rowOff>84600</xdr:rowOff>
    </xdr:to>
    <xdr:pic>
      <xdr:nvPicPr>
        <xdr:cNvPr id="6" name="Image 6" descr=""/>
        <xdr:cNvPicPr/>
      </xdr:nvPicPr>
      <xdr:blipFill>
        <a:blip r:embed="rId7"/>
        <a:stretch/>
      </xdr:blipFill>
      <xdr:spPr>
        <a:xfrm>
          <a:off x="0" y="14448240"/>
          <a:ext cx="3840840" cy="734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21960</xdr:colOff>
      <xdr:row>92</xdr:row>
      <xdr:rowOff>5760</xdr:rowOff>
    </xdr:from>
    <xdr:to>
      <xdr:col>4</xdr:col>
      <xdr:colOff>750240</xdr:colOff>
      <xdr:row>95</xdr:row>
      <xdr:rowOff>15120</xdr:rowOff>
    </xdr:to>
    <xdr:pic>
      <xdr:nvPicPr>
        <xdr:cNvPr id="7" name="Image 7" descr=""/>
        <xdr:cNvPicPr/>
      </xdr:nvPicPr>
      <xdr:blipFill>
        <a:blip r:embed="rId8"/>
        <a:stretch/>
      </xdr:blipFill>
      <xdr:spPr>
        <a:xfrm>
          <a:off x="21960" y="15104160"/>
          <a:ext cx="3979440" cy="497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O102"/>
  <sheetViews>
    <sheetView showFormulas="false" showGridLines="true" showRowColHeaders="true" showZeros="true" rightToLeft="false" tabSelected="true" showOutlineSymbols="true" defaultGridColor="true" view="normal" topLeftCell="A41" colorId="64" zoomScale="120" zoomScaleNormal="120" zoomScalePageLayoutView="100" workbookViewId="0">
      <selection pane="topLeft" activeCell="K66" activeCellId="0" sqref="K66"/>
    </sheetView>
  </sheetViews>
  <sheetFormatPr defaultColWidth="11.53515625" defaultRowHeight="12.8" zeroHeight="false" outlineLevelRow="0" outlineLevelCol="0"/>
  <cols>
    <col collapsed="false" customWidth="true" hidden="false" outlineLevel="0" max="6" min="6" style="1" width="13.48"/>
  </cols>
  <sheetData>
    <row r="3" customFormat="false" ht="12.8" hidden="false" customHeight="false" outlineLevel="0" collapsed="false">
      <c r="D3" s="2" t="s">
        <v>0</v>
      </c>
      <c r="E3" s="2" t="n">
        <v>1480</v>
      </c>
    </row>
    <row r="5" customFormat="false" ht="12.8" hidden="false" customHeight="false" outlineLevel="0" collapsed="false">
      <c r="B5" s="3" t="s">
        <v>1</v>
      </c>
    </row>
    <row r="6" customFormat="false" ht="12.8" hidden="false" customHeight="false" outlineLevel="0" collapsed="false">
      <c r="B6" s="3" t="s">
        <v>2</v>
      </c>
      <c r="D6" s="2" t="s">
        <v>3</v>
      </c>
      <c r="E6" s="2" t="n">
        <f aca="false">E3/1000</f>
        <v>1.48</v>
      </c>
    </row>
    <row r="7" customFormat="false" ht="12.8" hidden="false" customHeight="false" outlineLevel="0" collapsed="false">
      <c r="D7" s="2" t="s">
        <v>4</v>
      </c>
      <c r="E7" s="2" t="n">
        <v>10000</v>
      </c>
    </row>
    <row r="8" customFormat="false" ht="12.8" hidden="false" customHeight="false" outlineLevel="0" collapsed="false">
      <c r="D8" s="2" t="s">
        <v>5</v>
      </c>
      <c r="E8" s="2" t="n">
        <v>3300</v>
      </c>
    </row>
    <row r="9" customFormat="false" ht="12.8" hidden="false" customHeight="false" outlineLevel="0" collapsed="false">
      <c r="E9" s="4" t="n">
        <f aca="false">(E8+E7)*E6/E8</f>
        <v>5.96484848484849</v>
      </c>
    </row>
    <row r="10" customFormat="false" ht="12.8" hidden="false" customHeight="false" outlineLevel="0" collapsed="false">
      <c r="D10" s="2" t="s">
        <v>6</v>
      </c>
      <c r="E10" s="2" t="n">
        <v>290</v>
      </c>
    </row>
    <row r="11" customFormat="false" ht="12.8" hidden="false" customHeight="false" outlineLevel="0" collapsed="false">
      <c r="D11" s="2" t="s">
        <v>7</v>
      </c>
      <c r="E11" s="4" t="n">
        <f aca="false">E9+E10/1000</f>
        <v>6.25484848484849</v>
      </c>
    </row>
    <row r="24" customFormat="false" ht="12.8" hidden="false" customHeight="false" outlineLevel="0" collapsed="false">
      <c r="B24" s="3" t="s">
        <v>8</v>
      </c>
      <c r="K24" s="5" t="s">
        <v>9</v>
      </c>
      <c r="L24" s="2" t="s">
        <v>10</v>
      </c>
    </row>
    <row r="25" customFormat="false" ht="12.8" hidden="false" customHeight="false" outlineLevel="0" collapsed="false">
      <c r="K25" s="2" t="n">
        <v>10</v>
      </c>
      <c r="L25" s="2" t="n">
        <v>80</v>
      </c>
    </row>
    <row r="26" customFormat="false" ht="12.8" hidden="false" customHeight="false" outlineLevel="0" collapsed="false">
      <c r="K26" s="2" t="n">
        <v>5</v>
      </c>
      <c r="L26" s="2" t="n">
        <v>160</v>
      </c>
    </row>
    <row r="27" customFormat="false" ht="12.8" hidden="false" customHeight="false" outlineLevel="0" collapsed="false">
      <c r="K27" s="2" t="n">
        <v>1.2</v>
      </c>
      <c r="L27" s="2" t="n">
        <v>580</v>
      </c>
    </row>
    <row r="28" customFormat="false" ht="12.8" hidden="false" customHeight="false" outlineLevel="0" collapsed="false">
      <c r="K28" s="2" t="n">
        <v>0.75</v>
      </c>
      <c r="L28" s="2" t="n">
        <v>900</v>
      </c>
    </row>
    <row r="29" customFormat="false" ht="12.8" hidden="false" customHeight="false" outlineLevel="0" collapsed="false">
      <c r="K29" s="2" t="n">
        <v>0.68</v>
      </c>
      <c r="L29" s="2" t="n">
        <v>1000</v>
      </c>
    </row>
    <row r="30" customFormat="false" ht="12.8" hidden="false" customHeight="false" outlineLevel="0" collapsed="false">
      <c r="G30" s="0" t="s">
        <v>4</v>
      </c>
      <c r="H30" s="0" t="n">
        <f aca="false">(5.4/D40-1)*D39</f>
        <v>803.010033444816</v>
      </c>
    </row>
    <row r="31" customFormat="false" ht="12.8" hidden="false" customHeight="false" outlineLevel="0" collapsed="false">
      <c r="K31" s="2" t="s">
        <v>11</v>
      </c>
      <c r="L31" s="2" t="n">
        <v>250</v>
      </c>
      <c r="M31" s="4" t="n">
        <f aca="false">700/M32</f>
        <v>216.71826625387</v>
      </c>
    </row>
    <row r="32" customFormat="false" ht="12.8" hidden="false" customHeight="false" outlineLevel="0" collapsed="false">
      <c r="K32" s="2" t="s">
        <v>12</v>
      </c>
      <c r="L32" s="2" t="n">
        <f aca="false">700/L31</f>
        <v>2.8</v>
      </c>
      <c r="M32" s="2" t="n">
        <f aca="false">L36+M36</f>
        <v>3.23</v>
      </c>
    </row>
    <row r="33" customFormat="false" ht="12.8" hidden="false" customHeight="false" outlineLevel="0" collapsed="false">
      <c r="L33" s="2" t="n">
        <v>0.68</v>
      </c>
    </row>
    <row r="34" customFormat="false" ht="12.8" hidden="false" customHeight="false" outlineLevel="0" collapsed="false">
      <c r="L34" s="2" t="n">
        <f aca="false">L32-L33</f>
        <v>2.12</v>
      </c>
    </row>
    <row r="36" customFormat="false" ht="12.8" hidden="false" customHeight="false" outlineLevel="0" collapsed="false">
      <c r="L36" s="2" t="n">
        <v>0.68</v>
      </c>
      <c r="M36" s="2" t="n">
        <v>2.55</v>
      </c>
    </row>
    <row r="38" customFormat="false" ht="12.8" hidden="false" customHeight="false" outlineLevel="0" collapsed="false">
      <c r="C38" s="2" t="s">
        <v>4</v>
      </c>
      <c r="D38" s="2" t="n">
        <v>806</v>
      </c>
      <c r="E38" s="1" t="n">
        <f aca="false">$D38*(1-$G$38)</f>
        <v>801.97</v>
      </c>
      <c r="F38" s="1" t="n">
        <f aca="false">$D38*(1+$G$38)</f>
        <v>810.03</v>
      </c>
      <c r="G38" s="6" t="n">
        <v>0.005</v>
      </c>
    </row>
    <row r="39" customFormat="false" ht="12.8" hidden="false" customHeight="false" outlineLevel="0" collapsed="false">
      <c r="C39" s="2" t="s">
        <v>5</v>
      </c>
      <c r="D39" s="2" t="n">
        <v>100</v>
      </c>
      <c r="E39" s="1" t="n">
        <f aca="false">$D39*(1-$G$39)</f>
        <v>99.5</v>
      </c>
      <c r="F39" s="1" t="n">
        <f aca="false">$D39*(1+$G$39)</f>
        <v>100.5</v>
      </c>
      <c r="G39" s="6" t="n">
        <v>0.005</v>
      </c>
    </row>
    <row r="40" customFormat="false" ht="12.8" hidden="false" customHeight="false" outlineLevel="0" collapsed="false">
      <c r="C40" s="2" t="s">
        <v>13</v>
      </c>
      <c r="D40" s="7" t="n">
        <v>0.598</v>
      </c>
      <c r="E40" s="7" t="n">
        <v>0.596</v>
      </c>
      <c r="F40" s="4" t="n">
        <v>0.6</v>
      </c>
    </row>
    <row r="41" customFormat="false" ht="12.8" hidden="false" customHeight="false" outlineLevel="0" collapsed="false">
      <c r="C41" s="2" t="s">
        <v>14</v>
      </c>
      <c r="D41" s="4" t="n">
        <f aca="false">(D38/D39+1)*D40</f>
        <v>5.41788</v>
      </c>
      <c r="E41" s="4" t="n">
        <f aca="false">(E38/F39+1)*E40</f>
        <v>5.35196139303483</v>
      </c>
      <c r="F41" s="4" t="n">
        <f aca="false">(F38/E39+1)*F40</f>
        <v>5.48460301507538</v>
      </c>
      <c r="G41" s="1" t="s">
        <v>15</v>
      </c>
    </row>
    <row r="43" customFormat="false" ht="24.05" hidden="false" customHeight="false" outlineLevel="0" collapsed="false">
      <c r="F43" s="1" t="s">
        <v>16</v>
      </c>
      <c r="G43" s="1" t="n">
        <v>3.7</v>
      </c>
      <c r="H43" s="1" t="s">
        <v>17</v>
      </c>
      <c r="I43" s="8" t="s">
        <v>18</v>
      </c>
    </row>
    <row r="45" customFormat="false" ht="12.8" hidden="false" customHeight="false" outlineLevel="0" collapsed="false">
      <c r="F45" s="1" t="s">
        <v>19</v>
      </c>
      <c r="G45" s="1" t="n">
        <f aca="false">(1-G53)*(G43+G73/2)</f>
        <v>2.64537937408692</v>
      </c>
      <c r="H45" s="1" t="s">
        <v>17</v>
      </c>
    </row>
    <row r="49" customFormat="false" ht="12.8" hidden="false" customHeight="false" outlineLevel="0" collapsed="false">
      <c r="F49" s="1" t="s">
        <v>20</v>
      </c>
      <c r="G49" s="4" t="n">
        <v>3.6</v>
      </c>
      <c r="H49" s="1" t="n">
        <v>3</v>
      </c>
      <c r="I49" s="1" t="n">
        <v>4.2</v>
      </c>
    </row>
    <row r="50" customFormat="false" ht="12.8" hidden="false" customHeight="false" outlineLevel="0" collapsed="false">
      <c r="F50" s="1" t="s">
        <v>21</v>
      </c>
      <c r="G50" s="4" t="n">
        <v>0.9</v>
      </c>
    </row>
    <row r="51" customFormat="false" ht="12.8" hidden="false" customHeight="false" outlineLevel="0" collapsed="false">
      <c r="F51" s="1" t="s">
        <v>22</v>
      </c>
      <c r="G51" s="4" t="n">
        <f aca="false">D41</f>
        <v>5.41788</v>
      </c>
    </row>
    <row r="53" customFormat="false" ht="12.8" hidden="false" customHeight="false" outlineLevel="0" collapsed="false">
      <c r="F53" s="1" t="s">
        <v>23</v>
      </c>
      <c r="G53" s="1" t="n">
        <f aca="false">1-(G49*G50/G51)</f>
        <v>0.401980110301446</v>
      </c>
    </row>
    <row r="56" customFormat="false" ht="12.8" hidden="false" customHeight="false" outlineLevel="0" collapsed="false">
      <c r="M56" s="0" t="s">
        <v>24</v>
      </c>
      <c r="N56" s="0" t="n">
        <v>550</v>
      </c>
      <c r="O56" s="0" t="s">
        <v>25</v>
      </c>
    </row>
    <row r="57" customFormat="false" ht="12.8" hidden="false" customHeight="false" outlineLevel="0" collapsed="false">
      <c r="M57" s="0" t="s">
        <v>26</v>
      </c>
      <c r="N57" s="0" t="n">
        <v>0.1</v>
      </c>
      <c r="O57" s="0" t="s">
        <v>27</v>
      </c>
    </row>
    <row r="58" customFormat="false" ht="12.8" hidden="false" customHeight="false" outlineLevel="0" collapsed="false">
      <c r="M58" s="0" t="s">
        <v>28</v>
      </c>
      <c r="N58" s="0" t="n">
        <f aca="false">N56/N57</f>
        <v>5500</v>
      </c>
      <c r="O58" s="0" t="s">
        <v>29</v>
      </c>
    </row>
    <row r="59" customFormat="false" ht="12.8" hidden="false" customHeight="false" outlineLevel="0" collapsed="false">
      <c r="M59" s="0" t="s">
        <v>30</v>
      </c>
      <c r="N59" s="0" t="n">
        <f aca="false">N58/24</f>
        <v>229.166666666667</v>
      </c>
      <c r="O59" s="0" t="s">
        <v>30</v>
      </c>
    </row>
    <row r="61" customFormat="false" ht="12.8" hidden="false" customHeight="false" outlineLevel="0" collapsed="false">
      <c r="F61" s="1" t="s">
        <v>31</v>
      </c>
      <c r="G61" s="7" t="n">
        <v>0.05</v>
      </c>
    </row>
    <row r="63" customFormat="false" ht="12.8" hidden="false" customHeight="false" outlineLevel="0" collapsed="false">
      <c r="F63" s="1" t="s">
        <v>32</v>
      </c>
      <c r="G63" s="9" t="n">
        <f aca="false">G51*G61/(G49*G50)</f>
        <v>0.0836092592592593</v>
      </c>
      <c r="H63" s="1" t="s">
        <v>17</v>
      </c>
    </row>
    <row r="70" customFormat="false" ht="12.8" hidden="false" customHeight="false" outlineLevel="0" collapsed="false">
      <c r="F70" s="1" t="s">
        <v>33</v>
      </c>
      <c r="G70" s="10" t="n">
        <v>1E-006</v>
      </c>
      <c r="H70" s="1" t="s">
        <v>34</v>
      </c>
    </row>
    <row r="71" customFormat="false" ht="12.8" hidden="false" customHeight="false" outlineLevel="0" collapsed="false">
      <c r="F71" s="1" t="s">
        <v>35</v>
      </c>
      <c r="G71" s="10" t="n">
        <v>1000000</v>
      </c>
      <c r="H71" s="1" t="s">
        <v>36</v>
      </c>
    </row>
    <row r="73" customFormat="false" ht="12.8" hidden="false" customHeight="false" outlineLevel="0" collapsed="false">
      <c r="F73" s="1" t="s">
        <v>37</v>
      </c>
      <c r="G73" s="1" t="n">
        <f aca="false">G49*G53/(G70*G71)</f>
        <v>1.44712839708521</v>
      </c>
      <c r="H73" s="1" t="s">
        <v>17</v>
      </c>
    </row>
    <row r="79" customFormat="false" ht="12.8" hidden="false" customHeight="false" outlineLevel="0" collapsed="false">
      <c r="F79" s="1" t="s">
        <v>38</v>
      </c>
      <c r="G79" s="1" t="n">
        <f aca="false">G63+G73</f>
        <v>1.53073765634447</v>
      </c>
      <c r="H79" s="1" t="s">
        <v>17</v>
      </c>
    </row>
    <row r="90" customFormat="false" ht="12.8" hidden="false" customHeight="false" outlineLevel="0" collapsed="false">
      <c r="F90" s="1" t="s">
        <v>33</v>
      </c>
      <c r="G90" s="1" t="n">
        <f aca="false">G49*(G51-G49)/(G51*G71*G73)</f>
        <v>8.34701636453799E-007</v>
      </c>
      <c r="H90" s="1" t="s">
        <v>34</v>
      </c>
    </row>
    <row r="91" customFormat="false" ht="12.8" hidden="false" customHeight="false" outlineLevel="0" collapsed="false">
      <c r="F91" s="1" t="s">
        <v>39</v>
      </c>
      <c r="G91" s="4" t="n">
        <f aca="false">G90*1000000</f>
        <v>0.834701636453799</v>
      </c>
      <c r="H91" s="1" t="s">
        <v>40</v>
      </c>
    </row>
    <row r="92" customFormat="false" ht="12.8" hidden="false" customHeight="false" outlineLevel="0" collapsed="false">
      <c r="F92" s="1" t="s">
        <v>41</v>
      </c>
      <c r="G92" s="4" t="n">
        <f aca="false">G91*1.3</f>
        <v>1.08511212738994</v>
      </c>
      <c r="H92" s="1" t="s">
        <v>40</v>
      </c>
    </row>
    <row r="93" customFormat="false" ht="12.8" hidden="false" customHeight="false" outlineLevel="0" collapsed="false">
      <c r="F93" s="1" t="s">
        <v>42</v>
      </c>
      <c r="G93" s="1" t="n">
        <v>1</v>
      </c>
      <c r="H93" s="1" t="s">
        <v>40</v>
      </c>
    </row>
    <row r="98" customFormat="false" ht="12.8" hidden="false" customHeight="false" outlineLevel="0" collapsed="false">
      <c r="F98" s="1" t="s">
        <v>43</v>
      </c>
      <c r="G98" s="1" t="n">
        <v>0.001</v>
      </c>
      <c r="H98" s="1" t="s">
        <v>15</v>
      </c>
    </row>
    <row r="99" customFormat="false" ht="12.8" hidden="false" customHeight="false" outlineLevel="0" collapsed="false">
      <c r="F99" s="1" t="s">
        <v>39</v>
      </c>
      <c r="G99" s="1" t="n">
        <f aca="false">G98*1000</f>
        <v>1</v>
      </c>
      <c r="H99" s="1" t="s">
        <v>44</v>
      </c>
      <c r="I99" s="1" t="s">
        <v>45</v>
      </c>
    </row>
    <row r="101" customFormat="false" ht="12.8" hidden="false" customHeight="false" outlineLevel="0" collapsed="false">
      <c r="F101" s="1" t="s">
        <v>46</v>
      </c>
      <c r="G101" s="1" t="n">
        <f aca="false">G61*G53/(G71*G98)</f>
        <v>2.00990055150723E-005</v>
      </c>
      <c r="H101" s="1" t="s">
        <v>47</v>
      </c>
    </row>
    <row r="102" customFormat="false" ht="12.8" hidden="false" customHeight="false" outlineLevel="0" collapsed="false">
      <c r="F102" s="1" t="s">
        <v>39</v>
      </c>
      <c r="G102" s="4" t="n">
        <f aca="false">G101*1000000</f>
        <v>20.0990055150723</v>
      </c>
      <c r="H10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17261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2023-09-30T14:52:14Z</dcterms:created>
  <dc:creator/>
  <dc:description/>
  <dc:language>en-US</dc:language>
  <cp:lastModifiedBy/>
  <dcterms:modified xsi:type="dcterms:W3CDTF">2023-10-26T01:48:43Z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