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Classes\Computational Bio\"/>
    </mc:Choice>
  </mc:AlternateContent>
  <xr:revisionPtr revIDLastSave="0" documentId="8_{2BB87B28-DE51-47AD-9624-EDFA63A45494}" xr6:coauthVersionLast="45" xr6:coauthVersionMax="45" xr10:uidLastSave="{00000000-0000-0000-0000-000000000000}"/>
  <bookViews>
    <workbookView xWindow="-120" yWindow="-120" windowWidth="29040" windowHeight="15840" tabRatio="679" xr2:uid="{00000000-000D-0000-FFFF-FFFF00000000}"/>
  </bookViews>
  <sheets>
    <sheet name="Cooking" sheetId="14" r:id="rId1"/>
    <sheet name="Crops" sheetId="10" r:id="rId2"/>
    <sheet name="Trees" sheetId="16" r:id="rId3"/>
    <sheet name="Animals" sheetId="17" r:id="rId4"/>
    <sheet name="Foraging" sheetId="4" r:id="rId5"/>
    <sheet name="Fish" sheetId="2" r:id="rId6"/>
    <sheet name="Minerals" sheetId="12" r:id="rId7"/>
    <sheet name="Artisan" sheetId="8" r:id="rId8"/>
    <sheet name="Crafting" sheetId="11" r:id="rId9"/>
  </sheets>
  <definedNames>
    <definedName name="_xlnm._FilterDatabase" localSheetId="7" hidden="1">Artisan!$A$3:$D$7</definedName>
    <definedName name="_xlnm._FilterDatabase" localSheetId="0" hidden="1">Cooking!$A$1:$J$72</definedName>
    <definedName name="_xlnm._FilterDatabase" localSheetId="1" hidden="1">'Crops'!$B$3:$S$12</definedName>
    <definedName name="_xlnm._FilterDatabase" localSheetId="5" hidden="1">Fish!$A$1:$I$46</definedName>
    <definedName name="_xlnm._FilterDatabase" localSheetId="4" hidden="1">Foraging!$A$1:$G$35</definedName>
    <definedName name="_xlcn.WorksheetConnection_StardewValleyMain.xlsxTable11" hidden="1">Table1[]</definedName>
    <definedName name="_xlcn.WorksheetConnection_StardewValleyMain.xlsxTable181" hidden="1">Table18</definedName>
    <definedName name="_xlcn.WorksheetConnection_StardewValleyMain.xlsxTable221" hidden="1">Crops[]</definedName>
    <definedName name="BenoemdBereik1">#REF!</definedName>
    <definedName name="BenoemdBereik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2" name="Table22" connection="WorksheetConnection_Stardew Valley Main.xlsx!Table22"/>
          <x15:modelTable id="Table18" name="Table18" connection="WorksheetConnection_Stardew Valley Main.xlsx!Table18"/>
          <x15:modelTable id="Table1" name="Table1" connection="WorksheetConnection_Stardew Valley Main.xlsx!Table1"/>
        </x15:modelTables>
        <x15:modelRelationships>
          <x15:modelRelationship fromTable="Table18" fromColumn="Plant #1" toTable="Table22" toColumn="Plant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8" l="1"/>
  <c r="G29" i="8"/>
  <c r="G30" i="8"/>
  <c r="G7" i="8"/>
  <c r="E17" i="8"/>
  <c r="E11" i="8"/>
  <c r="E16" i="8"/>
  <c r="E23" i="8"/>
  <c r="E12" i="8"/>
  <c r="E5" i="8"/>
  <c r="E19" i="8"/>
  <c r="E26" i="8"/>
  <c r="E21" i="8"/>
  <c r="E22" i="8"/>
  <c r="E6" i="8"/>
  <c r="E10" i="8"/>
  <c r="E25" i="8"/>
  <c r="E4" i="8"/>
  <c r="E30" i="8"/>
  <c r="E20" i="8"/>
  <c r="E13" i="8"/>
  <c r="E18" i="8"/>
  <c r="E28" i="8"/>
  <c r="E27" i="8"/>
  <c r="E29" i="8"/>
  <c r="E24" i="8"/>
  <c r="E7" i="8"/>
  <c r="E15" i="8"/>
  <c r="K12" i="17" l="1"/>
  <c r="K11" i="17"/>
  <c r="K10" i="17"/>
  <c r="K9" i="17"/>
  <c r="K8" i="17"/>
  <c r="K7" i="17"/>
  <c r="K6" i="17"/>
  <c r="K5" i="17"/>
  <c r="K4" i="17"/>
  <c r="D5" i="17"/>
  <c r="E6" i="17"/>
  <c r="D9" i="16"/>
  <c r="D4" i="16"/>
  <c r="G4" i="10"/>
  <c r="D6" i="16"/>
  <c r="D4" i="17"/>
  <c r="D12" i="17"/>
  <c r="E4" i="17"/>
  <c r="D8" i="16"/>
  <c r="E10" i="17"/>
  <c r="D6" i="17"/>
  <c r="D7" i="17"/>
  <c r="D11" i="17"/>
  <c r="E11" i="17"/>
  <c r="E7" i="17"/>
  <c r="F6" i="16"/>
  <c r="E6" i="16"/>
  <c r="D7" i="16"/>
  <c r="E12" i="17"/>
  <c r="D5" i="16"/>
  <c r="F5" i="16" s="1"/>
  <c r="E5" i="17"/>
  <c r="E9" i="17"/>
  <c r="D8" i="17"/>
  <c r="D9" i="17"/>
  <c r="D10" i="17"/>
  <c r="M31" i="10" l="1"/>
  <c r="M28" i="10"/>
  <c r="M24" i="10"/>
  <c r="M21" i="10"/>
  <c r="M19" i="10"/>
  <c r="M37" i="10"/>
  <c r="M25" i="10"/>
  <c r="M16" i="10"/>
  <c r="M13" i="10"/>
  <c r="M9" i="10"/>
  <c r="E7" i="16"/>
  <c r="E8" i="16"/>
  <c r="F8" i="16"/>
  <c r="E9" i="16"/>
  <c r="F9" i="16"/>
  <c r="F4" i="16"/>
  <c r="F7" i="16"/>
  <c r="E4" i="16"/>
  <c r="E5" i="16"/>
  <c r="M34" i="10" l="1"/>
  <c r="M17" i="10"/>
  <c r="M14" i="10"/>
  <c r="M36" i="10"/>
  <c r="M35" i="10"/>
  <c r="M33" i="10"/>
  <c r="M32" i="10"/>
  <c r="M30" i="10"/>
  <c r="M29" i="10"/>
  <c r="M26" i="10"/>
  <c r="M23" i="10"/>
  <c r="M15" i="10"/>
  <c r="M7" i="10"/>
  <c r="M6" i="10"/>
  <c r="M5" i="10"/>
  <c r="M4" i="10"/>
  <c r="V4" i="10" s="1"/>
  <c r="G36" i="10"/>
  <c r="G20" i="10"/>
  <c r="F18" i="10"/>
  <c r="G25" i="10"/>
  <c r="F9" i="10"/>
  <c r="G16" i="10"/>
  <c r="F34" i="10"/>
  <c r="G37" i="10"/>
  <c r="G17" i="10"/>
  <c r="F20" i="10"/>
  <c r="G22" i="10"/>
  <c r="G11" i="10"/>
  <c r="G26" i="10"/>
  <c r="F21" i="10"/>
  <c r="G28" i="10"/>
  <c r="G24" i="10"/>
  <c r="F25" i="10"/>
  <c r="G13" i="10"/>
  <c r="F4" i="10"/>
  <c r="G15" i="10"/>
  <c r="F6" i="10"/>
  <c r="F19" i="10"/>
  <c r="F17" i="10"/>
  <c r="F13" i="10"/>
  <c r="G19" i="10"/>
  <c r="F30" i="10"/>
  <c r="G31" i="10"/>
  <c r="F24" i="10"/>
  <c r="G21" i="10"/>
  <c r="F37" i="10"/>
  <c r="G18" i="10"/>
  <c r="F36" i="10"/>
  <c r="F27" i="10"/>
  <c r="G8" i="10"/>
  <c r="F28" i="10"/>
  <c r="F22" i="10"/>
  <c r="G9" i="10"/>
  <c r="F26" i="10"/>
  <c r="F15" i="10"/>
  <c r="F10" i="10"/>
  <c r="F12" i="10"/>
  <c r="G34" i="10"/>
  <c r="G5" i="10"/>
  <c r="F11" i="10"/>
  <c r="G12" i="10"/>
  <c r="F16" i="10"/>
  <c r="F8" i="10"/>
  <c r="G6" i="10"/>
  <c r="G27" i="10"/>
  <c r="F5" i="10"/>
  <c r="G10" i="10"/>
  <c r="F31" i="10"/>
  <c r="V5" i="10" l="1"/>
  <c r="V6" i="10"/>
  <c r="V8" i="10"/>
  <c r="V9" i="10"/>
  <c r="V11" i="10"/>
  <c r="V12" i="10"/>
  <c r="V13" i="10"/>
  <c r="V17" i="10"/>
  <c r="V33" i="10"/>
  <c r="V37" i="10"/>
  <c r="U5" i="10"/>
  <c r="U6" i="10"/>
  <c r="U8" i="10"/>
  <c r="U9" i="10"/>
  <c r="U11" i="10"/>
  <c r="U12" i="10"/>
  <c r="U13" i="10"/>
  <c r="U17" i="10"/>
  <c r="U33" i="10"/>
  <c r="U37" i="10"/>
  <c r="U4" i="10"/>
  <c r="G30" i="10"/>
  <c r="N26" i="10" l="1"/>
  <c r="T37" i="10" l="1"/>
  <c r="T36" i="10"/>
  <c r="T35" i="10"/>
  <c r="T34" i="10"/>
  <c r="T33" i="10"/>
  <c r="T32" i="10"/>
  <c r="T31" i="10"/>
  <c r="T30" i="10"/>
  <c r="T29" i="10"/>
  <c r="T28" i="10"/>
  <c r="T27" i="10"/>
  <c r="T26" i="10"/>
  <c r="T25" i="10"/>
  <c r="T24" i="10"/>
  <c r="T23" i="10"/>
  <c r="T22" i="10"/>
  <c r="T21" i="10"/>
  <c r="T20" i="10"/>
  <c r="T19" i="10"/>
  <c r="T18" i="10"/>
  <c r="T17" i="10"/>
  <c r="T16" i="10"/>
  <c r="T15" i="10"/>
  <c r="T14" i="10"/>
  <c r="T13" i="10"/>
  <c r="T12" i="10"/>
  <c r="T11" i="10"/>
  <c r="T10" i="10"/>
  <c r="T9" i="10"/>
  <c r="T8" i="10"/>
  <c r="T7" i="10"/>
  <c r="T6" i="10"/>
  <c r="T5" i="10"/>
  <c r="T4" i="10"/>
  <c r="N2" i="16"/>
  <c r="N3" i="16"/>
  <c r="N7" i="16"/>
  <c r="N6" i="16"/>
  <c r="N5" i="16"/>
  <c r="N4" i="16"/>
  <c r="N33" i="10"/>
  <c r="O33" i="10" s="1"/>
  <c r="N9" i="10"/>
  <c r="O9" i="10" s="1"/>
  <c r="N37" i="10"/>
  <c r="O37" i="10" s="1"/>
  <c r="N4" i="10"/>
  <c r="O13" i="10"/>
  <c r="N6" i="10"/>
  <c r="O6" i="10" s="1"/>
  <c r="N5" i="10"/>
  <c r="O5" i="10" s="1"/>
  <c r="O12" i="10"/>
  <c r="O11" i="10"/>
  <c r="O26" i="10"/>
  <c r="N30" i="10"/>
  <c r="O30" i="10" s="1"/>
  <c r="O8" i="10"/>
  <c r="H26" i="10"/>
  <c r="F5" i="17"/>
  <c r="F12" i="17"/>
  <c r="H18" i="10"/>
  <c r="H16" i="10"/>
  <c r="H5" i="10"/>
  <c r="H12" i="10"/>
  <c r="H23" i="10"/>
  <c r="I11" i="10"/>
  <c r="F7" i="17"/>
  <c r="F11" i="17"/>
  <c r="F9" i="17"/>
  <c r="H25" i="10"/>
  <c r="I12" i="10"/>
  <c r="I13" i="10"/>
  <c r="G9" i="16"/>
  <c r="G6" i="16"/>
  <c r="H33" i="10"/>
  <c r="H4" i="10"/>
  <c r="F8" i="17"/>
  <c r="H30" i="10"/>
  <c r="I8" i="10"/>
  <c r="H20" i="10"/>
  <c r="H29" i="10"/>
  <c r="H7" i="10"/>
  <c r="H13" i="10"/>
  <c r="H6" i="10"/>
  <c r="H14" i="10"/>
  <c r="H27" i="10"/>
  <c r="H11" i="10"/>
  <c r="G4" i="16"/>
  <c r="F6" i="17"/>
  <c r="G7" i="16"/>
  <c r="H35" i="10"/>
  <c r="H32" i="10"/>
  <c r="H37" i="10"/>
  <c r="F10" i="17"/>
  <c r="G8" i="16"/>
  <c r="H22" i="10"/>
  <c r="H9" i="10"/>
  <c r="G5" i="16"/>
  <c r="L13" i="10" l="1"/>
  <c r="L12" i="10"/>
  <c r="O4" i="10"/>
  <c r="I6" i="10"/>
  <c r="L6" i="10" s="1"/>
  <c r="I33" i="10"/>
  <c r="L33" i="10" s="1"/>
  <c r="I30" i="10"/>
  <c r="I25" i="10"/>
  <c r="I4" i="10"/>
  <c r="L4" i="10" s="1"/>
  <c r="M27" i="10" s="1"/>
  <c r="I26" i="10"/>
  <c r="I5" i="10"/>
  <c r="L5" i="10" s="1"/>
  <c r="I14" i="10" s="1"/>
  <c r="I9" i="10"/>
  <c r="L9" i="10" s="1"/>
  <c r="M18" i="10" s="1"/>
  <c r="I37" i="10"/>
  <c r="L37" i="10" s="1"/>
  <c r="G11" i="17"/>
  <c r="H11" i="17" s="1"/>
  <c r="G7" i="17"/>
  <c r="G9" i="17"/>
  <c r="H9" i="17" s="1"/>
  <c r="G12" i="17"/>
  <c r="G10" i="17"/>
  <c r="G5" i="17"/>
  <c r="G8" i="17"/>
  <c r="H8" i="17" s="1"/>
  <c r="G6" i="17"/>
  <c r="H34" i="10"/>
  <c r="H6" i="16"/>
  <c r="H8" i="10"/>
  <c r="H36" i="10"/>
  <c r="O18" i="10" l="1"/>
  <c r="V18" i="10"/>
  <c r="U18" i="10"/>
  <c r="H8" i="16"/>
  <c r="H7" i="16"/>
  <c r="I18" i="10"/>
  <c r="H5" i="16"/>
  <c r="H9" i="16"/>
  <c r="H4" i="16"/>
  <c r="I36" i="10" l="1"/>
  <c r="J36" i="10" s="1"/>
  <c r="V30" i="10"/>
  <c r="U30" i="10"/>
  <c r="N27" i="10"/>
  <c r="O27" i="10" s="1"/>
  <c r="M22" i="10"/>
  <c r="M10" i="10"/>
  <c r="I27" i="10"/>
  <c r="J27" i="10" s="1"/>
  <c r="I32" i="10"/>
  <c r="J32" i="10" s="1"/>
  <c r="V36" i="10"/>
  <c r="L11" i="10" s="1"/>
  <c r="U36" i="10"/>
  <c r="N36" i="10"/>
  <c r="O36" i="10" s="1"/>
  <c r="U32" i="10"/>
  <c r="V32" i="10"/>
  <c r="O32" i="10"/>
  <c r="V28" i="10"/>
  <c r="U28" i="10"/>
  <c r="V25" i="10"/>
  <c r="U25" i="10"/>
  <c r="N25" i="10"/>
  <c r="O25" i="10" s="1"/>
  <c r="U24" i="10"/>
  <c r="V24" i="10"/>
  <c r="V14" i="10"/>
  <c r="U14" i="10"/>
  <c r="N14" i="10"/>
  <c r="O14" i="10" s="1"/>
  <c r="V7" i="10"/>
  <c r="U7" i="10"/>
  <c r="I7" i="10"/>
  <c r="J7" i="10" s="1"/>
  <c r="K11" i="10"/>
  <c r="J11" i="10"/>
  <c r="K18" i="10"/>
  <c r="J18" i="10"/>
  <c r="K13" i="10"/>
  <c r="J13" i="10"/>
  <c r="J12" i="10"/>
  <c r="K12" i="10"/>
  <c r="J8" i="10"/>
  <c r="K8" i="10"/>
  <c r="K25" i="10"/>
  <c r="H6" i="17"/>
  <c r="H10" i="17"/>
  <c r="H5" i="17"/>
  <c r="H12" i="17"/>
  <c r="H7" i="17"/>
  <c r="J26" i="10"/>
  <c r="K26" i="10"/>
  <c r="J5" i="10"/>
  <c r="K5" i="10"/>
  <c r="J6" i="10"/>
  <c r="K6" i="10"/>
  <c r="J30" i="10"/>
  <c r="K30" i="10"/>
  <c r="J14" i="10"/>
  <c r="K14" i="10"/>
  <c r="J37" i="10"/>
  <c r="K37" i="10"/>
  <c r="J9" i="10"/>
  <c r="K9" i="10"/>
  <c r="J4" i="10"/>
  <c r="K4" i="10"/>
  <c r="J33" i="10"/>
  <c r="K33" i="10"/>
  <c r="J25" i="10"/>
  <c r="J5" i="16"/>
  <c r="K7" i="16"/>
  <c r="I6" i="16"/>
  <c r="J7" i="16"/>
  <c r="I9" i="16"/>
  <c r="K8" i="16"/>
  <c r="I7" i="16"/>
  <c r="J6" i="16"/>
  <c r="J9" i="16"/>
  <c r="K4" i="16"/>
  <c r="K9" i="16"/>
  <c r="I8" i="16"/>
  <c r="I5" i="16"/>
  <c r="K6" i="16"/>
  <c r="J4" i="16"/>
  <c r="J8" i="16"/>
  <c r="K5" i="16"/>
  <c r="I4" i="16"/>
  <c r="V10" i="10" l="1"/>
  <c r="U10" i="10"/>
  <c r="L8" i="10"/>
  <c r="K36" i="10"/>
  <c r="K27" i="10"/>
  <c r="L18" i="10"/>
  <c r="U27" i="10"/>
  <c r="V27" i="10"/>
  <c r="L36" i="10"/>
  <c r="U16" i="10"/>
  <c r="V16" i="10"/>
  <c r="O16" i="10"/>
  <c r="K32" i="10"/>
  <c r="L32" i="10"/>
  <c r="L25" i="10"/>
  <c r="L14" i="10"/>
  <c r="K7" i="10"/>
  <c r="L7" i="10"/>
  <c r="M20" i="10" s="1"/>
  <c r="N7" i="10"/>
  <c r="O7" i="10" s="1"/>
  <c r="O17" i="10"/>
  <c r="N10" i="10"/>
  <c r="N24" i="10"/>
  <c r="O24" i="10" s="1"/>
  <c r="N28" i="10"/>
  <c r="O28" i="10" s="1"/>
  <c r="I17" i="10"/>
  <c r="H10" i="10"/>
  <c r="I16" i="10"/>
  <c r="H15" i="10"/>
  <c r="L27" i="10" l="1"/>
  <c r="I20" i="10"/>
  <c r="J20" i="10" s="1"/>
  <c r="V20" i="10"/>
  <c r="U20" i="10"/>
  <c r="V26" i="10"/>
  <c r="L26" i="10" s="1"/>
  <c r="U26" i="10"/>
  <c r="N20" i="10"/>
  <c r="O20" i="10" s="1"/>
  <c r="K16" i="10"/>
  <c r="J16" i="10"/>
  <c r="L16" i="10"/>
  <c r="V29" i="10"/>
  <c r="U29" i="10"/>
  <c r="N29" i="10"/>
  <c r="O29" i="10" s="1"/>
  <c r="I29" i="10"/>
  <c r="V21" i="10"/>
  <c r="U21" i="10"/>
  <c r="N21" i="10"/>
  <c r="O21" i="10" s="1"/>
  <c r="V19" i="10"/>
  <c r="U19" i="10"/>
  <c r="N19" i="10"/>
  <c r="O19" i="10" s="1"/>
  <c r="U15" i="10"/>
  <c r="V15" i="10"/>
  <c r="N15" i="10"/>
  <c r="O15" i="10" s="1"/>
  <c r="O10" i="10"/>
  <c r="I15" i="10"/>
  <c r="I10" i="10"/>
  <c r="K17" i="10"/>
  <c r="J17" i="10"/>
  <c r="D21" i="4"/>
  <c r="C21" i="4"/>
  <c r="D17" i="4"/>
  <c r="C17" i="4"/>
  <c r="D11" i="4"/>
  <c r="C11" i="4"/>
  <c r="D9" i="4"/>
  <c r="C9" i="4"/>
  <c r="H24" i="10"/>
  <c r="H17" i="10"/>
  <c r="H28" i="10"/>
  <c r="H19" i="10"/>
  <c r="H21" i="10"/>
  <c r="H31" i="10"/>
  <c r="K20" i="10" l="1"/>
  <c r="L20" i="10"/>
  <c r="L10" i="10"/>
  <c r="U31" i="10"/>
  <c r="V31" i="10"/>
  <c r="O31" i="10"/>
  <c r="V22" i="10"/>
  <c r="O22" i="10"/>
  <c r="U22" i="10"/>
  <c r="V35" i="10"/>
  <c r="U35" i="10"/>
  <c r="I35" i="10"/>
  <c r="N35" i="10"/>
  <c r="O35" i="10" s="1"/>
  <c r="L29" i="10"/>
  <c r="K29" i="10"/>
  <c r="J29" i="10"/>
  <c r="L15" i="10"/>
  <c r="I21" i="10"/>
  <c r="L21" i="10" s="1"/>
  <c r="I24" i="10"/>
  <c r="L24" i="10" s="1"/>
  <c r="I19" i="10"/>
  <c r="L19" i="10" s="1"/>
  <c r="I28" i="10"/>
  <c r="L28" i="10" s="1"/>
  <c r="L17" i="10"/>
  <c r="J15" i="10"/>
  <c r="K15" i="10"/>
  <c r="I22" i="10"/>
  <c r="I31" i="10"/>
  <c r="L30" i="10" l="1"/>
  <c r="U34" i="10"/>
  <c r="V34" i="10"/>
  <c r="O34" i="10"/>
  <c r="J31" i="10"/>
  <c r="L31" i="10"/>
  <c r="K31" i="10"/>
  <c r="J22" i="10"/>
  <c r="K22" i="10"/>
  <c r="L22" i="10"/>
  <c r="L35" i="10"/>
  <c r="J35" i="10"/>
  <c r="K35" i="10"/>
  <c r="U23" i="10"/>
  <c r="V23" i="10"/>
  <c r="N23" i="10"/>
  <c r="O23" i="10" s="1"/>
  <c r="I23" i="10"/>
  <c r="K19" i="10"/>
  <c r="J19" i="10"/>
  <c r="J24" i="10"/>
  <c r="J28" i="10"/>
  <c r="K28" i="10"/>
  <c r="K24" i="10"/>
  <c r="K10" i="10"/>
  <c r="J10" i="10"/>
  <c r="J21" i="10"/>
  <c r="K21" i="10"/>
  <c r="I34" i="10"/>
  <c r="J34" i="10" l="1"/>
  <c r="K34" i="10"/>
  <c r="L34" i="10"/>
  <c r="L23" i="10"/>
  <c r="K23" i="10"/>
  <c r="J23" i="10"/>
  <c r="F4" i="17"/>
  <c r="G4" i="17" l="1"/>
  <c r="H4" i="1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Casey Purser</author>
  </authors>
  <commentList>
    <comment ref="D3" authorId="0" shapeId="0" xr:uid="{00000000-0006-0000-0200-000001000000}">
      <text>
        <r>
          <rPr>
            <sz val="9"/>
            <color indexed="81"/>
            <rFont val="Tahoma"/>
            <family val="2"/>
          </rPr>
          <t xml:space="preserve">Uses Large Variant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Stardew Valley Main.xlsx!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WorksheetConnection_StardewValleyMain.xlsxTable11"/>
        </x15:connection>
      </ext>
    </extLst>
  </connection>
  <connection id="3" xr16:uid="{00000000-0015-0000-FFFF-FFFF02000000}" name="WorksheetConnection_Stardew Valley Main.xlsx!Table18" type="102" refreshedVersion="6" minRefreshableVersion="5">
    <extLst>
      <ext xmlns:x15="http://schemas.microsoft.com/office/spreadsheetml/2010/11/main" uri="{DE250136-89BD-433C-8126-D09CA5730AF9}">
        <x15:connection id="Table18">
          <x15:rangePr sourceName="_xlcn.WorksheetConnection_StardewValleyMain.xlsxTable181"/>
        </x15:connection>
      </ext>
    </extLst>
  </connection>
  <connection id="4" xr16:uid="{00000000-0015-0000-FFFF-FFFF03000000}" name="WorksheetConnection_Stardew Valley Main.xlsx!Table22" type="102" refreshedVersion="6" minRefreshableVersion="5">
    <extLst>
      <ext xmlns:x15="http://schemas.microsoft.com/office/spreadsheetml/2010/11/main" uri="{DE250136-89BD-433C-8126-D09CA5730AF9}">
        <x15:connection id="Table22">
          <x15:rangePr sourceName="_xlcn.WorksheetConnection_StardewValleyMain.xlsxTable221"/>
        </x15:connection>
      </ext>
    </extLst>
  </connection>
</connections>
</file>

<file path=xl/sharedStrings.xml><?xml version="1.0" encoding="utf-8"?>
<sst xmlns="http://schemas.openxmlformats.org/spreadsheetml/2006/main" count="2529" uniqueCount="861">
  <si>
    <t>Spring</t>
  </si>
  <si>
    <t>Plant</t>
  </si>
  <si>
    <t>Seed Price</t>
  </si>
  <si>
    <t>Profit</t>
  </si>
  <si>
    <t>Days</t>
  </si>
  <si>
    <t>Profit/d</t>
  </si>
  <si>
    <t>Place</t>
  </si>
  <si>
    <t>Parsnip</t>
  </si>
  <si>
    <t>Garlic</t>
  </si>
  <si>
    <t>Potato</t>
  </si>
  <si>
    <t>Tulip</t>
  </si>
  <si>
    <t>Kale</t>
  </si>
  <si>
    <t>Blue Jazz</t>
  </si>
  <si>
    <t>Strawberry</t>
  </si>
  <si>
    <t>Notes</t>
  </si>
  <si>
    <t>Green Bean</t>
  </si>
  <si>
    <t>Cauliflower</t>
  </si>
  <si>
    <t>Rhubarb</t>
  </si>
  <si>
    <t>Desert Store</t>
  </si>
  <si>
    <t>General Store</t>
  </si>
  <si>
    <t>Spring Egg Vestival</t>
  </si>
  <si>
    <t>Summer</t>
  </si>
  <si>
    <t>Wheat</t>
  </si>
  <si>
    <t>Radish</t>
  </si>
  <si>
    <t>Poppy</t>
  </si>
  <si>
    <t>Red Cabbage</t>
  </si>
  <si>
    <t>Hops</t>
  </si>
  <si>
    <t>Tomato</t>
  </si>
  <si>
    <t>Melon</t>
  </si>
  <si>
    <t>Blueberry</t>
  </si>
  <si>
    <t>Starfruit</t>
  </si>
  <si>
    <t>Corn</t>
  </si>
  <si>
    <t>Fall</t>
  </si>
  <si>
    <t>Bok Choy</t>
  </si>
  <si>
    <t>Eggplant</t>
  </si>
  <si>
    <t>Beet</t>
  </si>
  <si>
    <t>Cranberry</t>
  </si>
  <si>
    <t>Amaranth</t>
  </si>
  <si>
    <t>Sunflower</t>
  </si>
  <si>
    <t>Artichoke</t>
  </si>
  <si>
    <t>Yam</t>
  </si>
  <si>
    <t>Grape</t>
  </si>
  <si>
    <t>Fairy Rose</t>
  </si>
  <si>
    <t>Pumpkin</t>
  </si>
  <si>
    <t>Fish</t>
  </si>
  <si>
    <t>Location</t>
  </si>
  <si>
    <t>Pufferfish</t>
  </si>
  <si>
    <t>Ocean</t>
  </si>
  <si>
    <t>Anchovy</t>
  </si>
  <si>
    <t>Time</t>
  </si>
  <si>
    <t>All</t>
  </si>
  <si>
    <t>Season</t>
  </si>
  <si>
    <t>2nd Season</t>
  </si>
  <si>
    <t>Tuna</t>
  </si>
  <si>
    <t>Winter</t>
  </si>
  <si>
    <t>Sardine</t>
  </si>
  <si>
    <t>Bream</t>
  </si>
  <si>
    <t>River</t>
  </si>
  <si>
    <t>Night</t>
  </si>
  <si>
    <t>Largemouth Bass</t>
  </si>
  <si>
    <t>Lake</t>
  </si>
  <si>
    <t>Smallmouth Bass</t>
  </si>
  <si>
    <t>River/Lake</t>
  </si>
  <si>
    <t>Rainbow Trout</t>
  </si>
  <si>
    <t>Salmon</t>
  </si>
  <si>
    <t>Walleye</t>
  </si>
  <si>
    <t>Weather</t>
  </si>
  <si>
    <t>Any</t>
  </si>
  <si>
    <t>Perch</t>
  </si>
  <si>
    <t>Carp</t>
  </si>
  <si>
    <t>3rd Season</t>
  </si>
  <si>
    <t>Catfish</t>
  </si>
  <si>
    <t>Pike</t>
  </si>
  <si>
    <t>Sunfish</t>
  </si>
  <si>
    <t>Sunny</t>
  </si>
  <si>
    <t>Red Mullet</t>
  </si>
  <si>
    <t>Herring</t>
  </si>
  <si>
    <t>Eel</t>
  </si>
  <si>
    <t>Octopus</t>
  </si>
  <si>
    <t>Red Snapper</t>
  </si>
  <si>
    <t>Squid</t>
  </si>
  <si>
    <t>Sea Cucumer</t>
  </si>
  <si>
    <t>Super Cucumber</t>
  </si>
  <si>
    <t>Ghostfish</t>
  </si>
  <si>
    <t>The Mines</t>
  </si>
  <si>
    <t>Stonefish</t>
  </si>
  <si>
    <t>Crimsonfish</t>
  </si>
  <si>
    <t>Angler</t>
  </si>
  <si>
    <t>Ice Pip</t>
  </si>
  <si>
    <t>The Mines 100F</t>
  </si>
  <si>
    <t>Lava Eel</t>
  </si>
  <si>
    <t>Legend</t>
  </si>
  <si>
    <t>Sandfish</t>
  </si>
  <si>
    <t>Scorpion Carp</t>
  </si>
  <si>
    <t>Sturgeon</t>
  </si>
  <si>
    <t>Tiger Trout</t>
  </si>
  <si>
    <t>Bullhead</t>
  </si>
  <si>
    <t>Tilapia</t>
  </si>
  <si>
    <t>Dorado</t>
  </si>
  <si>
    <t>Albacore</t>
  </si>
  <si>
    <t>Shad</t>
  </si>
  <si>
    <t>Lingcod</t>
  </si>
  <si>
    <t>Halibut</t>
  </si>
  <si>
    <t>Woodskip</t>
  </si>
  <si>
    <t>Forest Pond</t>
  </si>
  <si>
    <t>Chub</t>
  </si>
  <si>
    <t>Glacierfish</t>
  </si>
  <si>
    <t>Mutant Carp</t>
  </si>
  <si>
    <t>Sewers</t>
  </si>
  <si>
    <t>?</t>
  </si>
  <si>
    <t>Wild Horseradish</t>
  </si>
  <si>
    <t>Pelican Town</t>
  </si>
  <si>
    <t>Daffodil</t>
  </si>
  <si>
    <t>Leek</t>
  </si>
  <si>
    <t>Dandelion</t>
  </si>
  <si>
    <t>Spring Onion</t>
  </si>
  <si>
    <t>Morel</t>
  </si>
  <si>
    <t>Hidden Forest</t>
  </si>
  <si>
    <t>Common Mushroom</t>
  </si>
  <si>
    <t>Salmonberry</t>
  </si>
  <si>
    <t>Bushes in season</t>
  </si>
  <si>
    <t>Spice Berry</t>
  </si>
  <si>
    <t>Sweet Pea</t>
  </si>
  <si>
    <t>Red Mushroom</t>
  </si>
  <si>
    <t>Wild Plum</t>
  </si>
  <si>
    <t>Hazlenut</t>
  </si>
  <si>
    <t>Blackberry</t>
  </si>
  <si>
    <t>Chanterelle</t>
  </si>
  <si>
    <t>Winter Root</t>
  </si>
  <si>
    <t>Crystal Fruit</t>
  </si>
  <si>
    <t>Snow Yam</t>
  </si>
  <si>
    <t>Crocus</t>
  </si>
  <si>
    <t>Nautilus Shell</t>
  </si>
  <si>
    <t>Beach</t>
  </si>
  <si>
    <t>Coral</t>
  </si>
  <si>
    <t>Sea Urchin</t>
  </si>
  <si>
    <t>Rainbow Shell</t>
  </si>
  <si>
    <t>Clam</t>
  </si>
  <si>
    <t>Mussel</t>
  </si>
  <si>
    <t>Purple Mushroom</t>
  </si>
  <si>
    <t>Cave Carrot</t>
  </si>
  <si>
    <t>Cactus Fruit</t>
  </si>
  <si>
    <t>Desert</t>
  </si>
  <si>
    <t>Coconut</t>
  </si>
  <si>
    <t>Spangle</t>
  </si>
  <si>
    <t>Pepper</t>
  </si>
  <si>
    <t>Big Coop</t>
  </si>
  <si>
    <t>Hardwood (10)</t>
  </si>
  <si>
    <t>Stone (99)</t>
  </si>
  <si>
    <t>Maple Syrup</t>
  </si>
  <si>
    <t>Oak Resin</t>
  </si>
  <si>
    <t>Pine Tar</t>
  </si>
  <si>
    <t>Wool</t>
  </si>
  <si>
    <t>Duck Egg</t>
  </si>
  <si>
    <t>Truffle Oil</t>
  </si>
  <si>
    <t>Cloth</t>
  </si>
  <si>
    <t>Goat Cheese</t>
  </si>
  <si>
    <t>Oyster</t>
  </si>
  <si>
    <t>Fiddlehead Fern</t>
  </si>
  <si>
    <t>Truffle</t>
  </si>
  <si>
    <t>Reharvest</t>
  </si>
  <si>
    <t>No</t>
  </si>
  <si>
    <t>Keg</t>
  </si>
  <si>
    <t>Name</t>
  </si>
  <si>
    <t>Sell Price</t>
  </si>
  <si>
    <t>Ingredient</t>
  </si>
  <si>
    <t>Beer</t>
  </si>
  <si>
    <t>Pale Ale</t>
  </si>
  <si>
    <t>Vegetable</t>
  </si>
  <si>
    <t>Sweet Gem Berry</t>
  </si>
  <si>
    <t>Gypsy Caravan</t>
  </si>
  <si>
    <t>-</t>
  </si>
  <si>
    <t>Bee House</t>
  </si>
  <si>
    <t>Wild Honey</t>
  </si>
  <si>
    <t>Spangle Honey</t>
  </si>
  <si>
    <t>Poppy Honey</t>
  </si>
  <si>
    <t>Fairy Rose Honey</t>
  </si>
  <si>
    <t>Cheese Press</t>
  </si>
  <si>
    <t xml:space="preserve">Cheese  </t>
  </si>
  <si>
    <t>Milk / L. Milk</t>
  </si>
  <si>
    <t>Goat Milk / L. Goat Milk</t>
  </si>
  <si>
    <t>Mayonaise Machine</t>
  </si>
  <si>
    <t>Mayonnaise</t>
  </si>
  <si>
    <t>Chicken Egg</t>
  </si>
  <si>
    <t>Duck Mayonnaise</t>
  </si>
  <si>
    <t>3 Hours</t>
  </si>
  <si>
    <t>Loom</t>
  </si>
  <si>
    <t>Oil Maker</t>
  </si>
  <si>
    <t>Maple Trees</t>
  </si>
  <si>
    <t>Oak Trees</t>
  </si>
  <si>
    <t>Pine Trees</t>
  </si>
  <si>
    <t>Fruit</t>
  </si>
  <si>
    <t>Preserves Jar</t>
  </si>
  <si>
    <t>North-West of Joja (Sandy area)</t>
  </si>
  <si>
    <t>Rain/Snow</t>
  </si>
  <si>
    <t>River/Forest Pond</t>
  </si>
  <si>
    <t>Ocean (East Pier)</t>
  </si>
  <si>
    <t>Rain</t>
  </si>
  <si>
    <t>The Mines 60F</t>
  </si>
  <si>
    <t>Mine Lake (Cast into log)</t>
  </si>
  <si>
    <t>River/Mountain</t>
  </si>
  <si>
    <t>The Mines 20F</t>
  </si>
  <si>
    <t>River/Lake/Forest Pond</t>
  </si>
  <si>
    <t>The Mines 20F, 60F, 100F</t>
  </si>
  <si>
    <t>Big Barn</t>
  </si>
  <si>
    <t>Deluxe Barn</t>
  </si>
  <si>
    <t>Deluxe Coop</t>
  </si>
  <si>
    <t>Barn</t>
  </si>
  <si>
    <t>Coop</t>
  </si>
  <si>
    <t>Wine Formula</t>
  </si>
  <si>
    <t>Yield</t>
  </si>
  <si>
    <t>Continuous</t>
  </si>
  <si>
    <t>Yes</t>
  </si>
  <si>
    <t>Juice Formula</t>
  </si>
  <si>
    <t>Tulip Honey</t>
  </si>
  <si>
    <t>Blue Jazz Honey</t>
  </si>
  <si>
    <t>Pickles Formula</t>
  </si>
  <si>
    <t>Jelly Formula</t>
  </si>
  <si>
    <t>Location 2</t>
  </si>
  <si>
    <t>Charcoal Kiln</t>
  </si>
  <si>
    <t>Quality Sprinkler</t>
  </si>
  <si>
    <t>Seed Maker</t>
  </si>
  <si>
    <t>Recycling Machine</t>
  </si>
  <si>
    <t>Gold Bar (5)</t>
  </si>
  <si>
    <t>Lightning Rod</t>
  </si>
  <si>
    <t>Gate</t>
  </si>
  <si>
    <t>Wood (10)</t>
  </si>
  <si>
    <t>Wood Fence</t>
  </si>
  <si>
    <t>Wood (2)</t>
  </si>
  <si>
    <t>Stone Fence</t>
  </si>
  <si>
    <t>Stone (2)</t>
  </si>
  <si>
    <t>Farming Level 2</t>
  </si>
  <si>
    <t>Iron Fence</t>
  </si>
  <si>
    <t>Iron Bar (1)</t>
  </si>
  <si>
    <t>Farming Level 4</t>
  </si>
  <si>
    <t>Hardwood Fence</t>
  </si>
  <si>
    <t>Hardwood (1)</t>
  </si>
  <si>
    <t>Farming Level 6</t>
  </si>
  <si>
    <t>Fences</t>
  </si>
  <si>
    <t>Wood (15)</t>
  </si>
  <si>
    <t>Stone (15)</t>
  </si>
  <si>
    <t>Earth Crystal (1)</t>
  </si>
  <si>
    <t>Copper Bar (1)</t>
  </si>
  <si>
    <t>Wood (40)</t>
  </si>
  <si>
    <t>Coal (8)</t>
  </si>
  <si>
    <t>Farming Level 3</t>
  </si>
  <si>
    <t>Wood (50)</t>
  </si>
  <si>
    <t>Stone (30)</t>
  </si>
  <si>
    <t>Wood (45)</t>
  </si>
  <si>
    <t>Stone (45)</t>
  </si>
  <si>
    <t>Wood (60)</t>
  </si>
  <si>
    <t>Fiber (30)</t>
  </si>
  <si>
    <t>Pine Tar (1)</t>
  </si>
  <si>
    <t>Farming Level 7</t>
  </si>
  <si>
    <t>Wood (30)</t>
  </si>
  <si>
    <t>Farming Level 8</t>
  </si>
  <si>
    <t>Slime (50)</t>
  </si>
  <si>
    <t>Hardwood (20)</t>
  </si>
  <si>
    <t>Gold Bar (1)</t>
  </si>
  <si>
    <t>Farming Level 9</t>
  </si>
  <si>
    <t>Copper Bar (2)</t>
  </si>
  <si>
    <t>Fertilizer</t>
  </si>
  <si>
    <t>Basic Ferilizer</t>
  </si>
  <si>
    <t>Sap (2)</t>
  </si>
  <si>
    <t>Farming Level 1</t>
  </si>
  <si>
    <t>Speed-Gro</t>
  </si>
  <si>
    <t>Clam (1)</t>
  </si>
  <si>
    <t>Basic Retaining Soil</t>
  </si>
  <si>
    <t>Quality Retaining Soil</t>
  </si>
  <si>
    <t>Stone (3)</t>
  </si>
  <si>
    <t>Clay (1)</t>
  </si>
  <si>
    <t>Deluxe Speed-Gro</t>
  </si>
  <si>
    <t>Oak Resin (1)</t>
  </si>
  <si>
    <t>Quality Fertilizer</t>
  </si>
  <si>
    <t>Seeds</t>
  </si>
  <si>
    <t>Wild Seeds (Sp)</t>
  </si>
  <si>
    <t>Wild HorseRadish (1)</t>
  </si>
  <si>
    <t>Daffodil (1)</t>
  </si>
  <si>
    <t>Leek (1)</t>
  </si>
  <si>
    <t>Dandelion (1)</t>
  </si>
  <si>
    <t>Foraging Level 1</t>
  </si>
  <si>
    <t>Wild Seeds (Su)</t>
  </si>
  <si>
    <t>Spice Berry (1)</t>
  </si>
  <si>
    <t>Grape (1)</t>
  </si>
  <si>
    <t>Sweet Pea (1)</t>
  </si>
  <si>
    <t>Foraging Level 4</t>
  </si>
  <si>
    <t>Wild Seeds (Fa)</t>
  </si>
  <si>
    <t>Common Mushroom (1)</t>
  </si>
  <si>
    <t>Wild Plum (1)</t>
  </si>
  <si>
    <t>Hazelnut (1)</t>
  </si>
  <si>
    <t>Blackberry (1)</t>
  </si>
  <si>
    <t>Foraging Level 6</t>
  </si>
  <si>
    <t>Wild Seeds (Wi)</t>
  </si>
  <si>
    <t>Winter Root (1)</t>
  </si>
  <si>
    <t>Crystal Fruit (1)</t>
  </si>
  <si>
    <t>Snow Yam (1)</t>
  </si>
  <si>
    <t>Crocus (1)</t>
  </si>
  <si>
    <t>Foraging Level 7</t>
  </si>
  <si>
    <t>Ancient Seeds</t>
  </si>
  <si>
    <t>Ancient Seed (1)</t>
  </si>
  <si>
    <t>Donating Ancient Seed</t>
  </si>
  <si>
    <t>Spinner</t>
  </si>
  <si>
    <t>Iron Bar (2)</t>
  </si>
  <si>
    <t>Fishing Level 6</t>
  </si>
  <si>
    <t>Trap Bobber</t>
  </si>
  <si>
    <t>Sap (10)</t>
  </si>
  <si>
    <t>Cork Bobber</t>
  </si>
  <si>
    <t>Wood (1)</t>
  </si>
  <si>
    <t>Hardwood (5)</t>
  </si>
  <si>
    <t>Slime (10)</t>
  </si>
  <si>
    <t>Fishing Level 7</t>
  </si>
  <si>
    <t>Treasure Hunter</t>
  </si>
  <si>
    <t>Gold Bar (2)</t>
  </si>
  <si>
    <t>Dressed Spinner</t>
  </si>
  <si>
    <t>Cloth (1)</t>
  </si>
  <si>
    <t>Fishing Level 8</t>
  </si>
  <si>
    <t>Barbed Hook</t>
  </si>
  <si>
    <t>Magnet</t>
  </si>
  <si>
    <t>Fishing Level 9</t>
  </si>
  <si>
    <t>Rings</t>
  </si>
  <si>
    <t>Sturdy Ring</t>
  </si>
  <si>
    <t>Copper Bar (10)</t>
  </si>
  <si>
    <t>Refined Quartz (5)</t>
  </si>
  <si>
    <t>Earth Crystl (10)</t>
  </si>
  <si>
    <t>Combat Level 1</t>
  </si>
  <si>
    <t>Warrior Ring</t>
  </si>
  <si>
    <t>Iron Bar (10)</t>
  </si>
  <si>
    <t>Coal (25)</t>
  </si>
  <si>
    <t>Frozen Tear (10)</t>
  </si>
  <si>
    <t>Ring of Yoba</t>
  </si>
  <si>
    <t>Iron Bar (5)</t>
  </si>
  <si>
    <t>Diamond (1)</t>
  </si>
  <si>
    <t>Lighting</t>
  </si>
  <si>
    <t>Torch</t>
  </si>
  <si>
    <t>Campfire</t>
  </si>
  <si>
    <t>Stone (10)</t>
  </si>
  <si>
    <t>Fiber (10)</t>
  </si>
  <si>
    <t>Fishing</t>
  </si>
  <si>
    <t>Bait (5)</t>
  </si>
  <si>
    <t>Bug Meat (1)</t>
  </si>
  <si>
    <t>Fishing Level 2</t>
  </si>
  <si>
    <t>Wild Bait (5)</t>
  </si>
  <si>
    <t>Bug Meat (5)</t>
  </si>
  <si>
    <t>Slime (5)</t>
  </si>
  <si>
    <t>Linus Friendship event</t>
  </si>
  <si>
    <t>Crab Pot</t>
  </si>
  <si>
    <t>Iron Bar (3)</t>
  </si>
  <si>
    <t>Fishing Level 3</t>
  </si>
  <si>
    <t>Crab Pot (Trapper)</t>
  </si>
  <si>
    <t>Wood (25)</t>
  </si>
  <si>
    <t>Misc</t>
  </si>
  <si>
    <t>Chest</t>
  </si>
  <si>
    <t>Scarecrow</t>
  </si>
  <si>
    <t>Coal (1)</t>
  </si>
  <si>
    <t>Fiber (20)</t>
  </si>
  <si>
    <t>Coal (10)</t>
  </si>
  <si>
    <t>Staircase</t>
  </si>
  <si>
    <t>Mining Level 2</t>
  </si>
  <si>
    <t>Wood (20)</t>
  </si>
  <si>
    <t>Refined Quartz (1)</t>
  </si>
  <si>
    <t>Bat Wing (5)</t>
  </si>
  <si>
    <t>Stone (25)</t>
  </si>
  <si>
    <t>Fishing Level 4</t>
  </si>
  <si>
    <t>Fire Quartz (1)</t>
  </si>
  <si>
    <t>Battery Pack (1)</t>
  </si>
  <si>
    <t>Blacksmith</t>
  </si>
  <si>
    <t>Iridium Bar (5)</t>
  </si>
  <si>
    <t>Stone (100)</t>
  </si>
  <si>
    <t>South end of Arrowhead Island in Forest</t>
  </si>
  <si>
    <t>Profit/Season</t>
  </si>
  <si>
    <t>Harvests</t>
  </si>
  <si>
    <t>Profit/Season/d</t>
  </si>
  <si>
    <t>Numbers shown for 56 days</t>
  </si>
  <si>
    <t>Multiple per harvest</t>
  </si>
  <si>
    <t>Impassable, multiple yield</t>
  </si>
  <si>
    <t>Quartz</t>
  </si>
  <si>
    <t>Emerald</t>
  </si>
  <si>
    <t>Aquamarine</t>
  </si>
  <si>
    <t>Ruby</t>
  </si>
  <si>
    <t>Gold Ore</t>
  </si>
  <si>
    <t xml:space="preserve">Oil  </t>
  </si>
  <si>
    <t>Cat.</t>
  </si>
  <si>
    <t>Geode</t>
  </si>
  <si>
    <t>Frozen Geode</t>
  </si>
  <si>
    <t>Magma Geode</t>
  </si>
  <si>
    <t>Omni Geode</t>
  </si>
  <si>
    <t>Mine Lvl</t>
  </si>
  <si>
    <t>Panning</t>
  </si>
  <si>
    <t>40-79</t>
  </si>
  <si>
    <t>Fishing Chest</t>
  </si>
  <si>
    <t>80-120</t>
  </si>
  <si>
    <t>Gem</t>
  </si>
  <si>
    <t>Emerald Node</t>
  </si>
  <si>
    <t>Gem Node</t>
  </si>
  <si>
    <t>80+</t>
  </si>
  <si>
    <t>Aquamarine Node</t>
  </si>
  <si>
    <t>Gem Note</t>
  </si>
  <si>
    <t>Ruby Node</t>
  </si>
  <si>
    <t>Amethyst</t>
  </si>
  <si>
    <t>Amethyst Node</t>
  </si>
  <si>
    <t>1+</t>
  </si>
  <si>
    <t>Topaz</t>
  </si>
  <si>
    <t>Topaz Node</t>
  </si>
  <si>
    <t>Jade</t>
  </si>
  <si>
    <t>Jade Node</t>
  </si>
  <si>
    <t>Diamond</t>
  </si>
  <si>
    <t>Diamond Node</t>
  </si>
  <si>
    <t>Prismatic Shard</t>
  </si>
  <si>
    <t>Iridium Node</t>
  </si>
  <si>
    <t>Mystic Stone</t>
  </si>
  <si>
    <t>Fire Quartz</t>
  </si>
  <si>
    <t>Fire Quarz</t>
  </si>
  <si>
    <t>Frozen Tear</t>
  </si>
  <si>
    <t>Earth Crystal</t>
  </si>
  <si>
    <t>Alamite</t>
  </si>
  <si>
    <t>Bixite</t>
  </si>
  <si>
    <t>Baryte</t>
  </si>
  <si>
    <t>Aerinite</t>
  </si>
  <si>
    <t>Calcite</t>
  </si>
  <si>
    <t>Dolomite</t>
  </si>
  <si>
    <t>Esperite</t>
  </si>
  <si>
    <t>Fluorapatite</t>
  </si>
  <si>
    <t>Geminite</t>
  </si>
  <si>
    <t>Helvite</t>
  </si>
  <si>
    <t>Jamborite</t>
  </si>
  <si>
    <t>Jagoite</t>
  </si>
  <si>
    <t>Kyanite</t>
  </si>
  <si>
    <t>Lunarite</t>
  </si>
  <si>
    <t>Malachite</t>
  </si>
  <si>
    <t>Neptunite</t>
  </si>
  <si>
    <t>Lemon Stone</t>
  </si>
  <si>
    <t>Nekoite</t>
  </si>
  <si>
    <t>Orpiment</t>
  </si>
  <si>
    <t>Petrified Slime</t>
  </si>
  <si>
    <t>Thunder Egg</t>
  </si>
  <si>
    <t>Pyrite</t>
  </si>
  <si>
    <t>Ocean Stone</t>
  </si>
  <si>
    <t>Ghost Crystal</t>
  </si>
  <si>
    <t>Tigerseye</t>
  </si>
  <si>
    <t>Jasper</t>
  </si>
  <si>
    <t>Opal</t>
  </si>
  <si>
    <t>Fire Opal</t>
  </si>
  <si>
    <t>Celestine</t>
  </si>
  <si>
    <t>Marble</t>
  </si>
  <si>
    <t>Sandstone</t>
  </si>
  <si>
    <t>Granite</t>
  </si>
  <si>
    <t>Basalt</t>
  </si>
  <si>
    <t>Limestone</t>
  </si>
  <si>
    <t>Soapstone</t>
  </si>
  <si>
    <t>Hematite</t>
  </si>
  <si>
    <t>Mudstone</t>
  </si>
  <si>
    <t>Obsidian</t>
  </si>
  <si>
    <t>Slate</t>
  </si>
  <si>
    <t>Fairy Stone</t>
  </si>
  <si>
    <t>Star Shards</t>
  </si>
  <si>
    <t>Ore</t>
  </si>
  <si>
    <t>Coal</t>
  </si>
  <si>
    <t>Copper Ore</t>
  </si>
  <si>
    <t>Iron Ore</t>
  </si>
  <si>
    <t>Iridium Ore</t>
  </si>
  <si>
    <t>Veg</t>
  </si>
  <si>
    <t>Flower</t>
  </si>
  <si>
    <t>Preserve</t>
  </si>
  <si>
    <t>Energy</t>
  </si>
  <si>
    <t>Health</t>
  </si>
  <si>
    <t>Stat Bonus</t>
  </si>
  <si>
    <t>Source</t>
  </si>
  <si>
    <t>Fried Egg</t>
  </si>
  <si>
    <t>Egg</t>
  </si>
  <si>
    <t>Omelet</t>
  </si>
  <si>
    <t>Milk</t>
  </si>
  <si>
    <t>Cooking Channel</t>
  </si>
  <si>
    <t>Salad</t>
  </si>
  <si>
    <t>Vinegar</t>
  </si>
  <si>
    <t>Cheese</t>
  </si>
  <si>
    <t>Baked Fish</t>
  </si>
  <si>
    <t>Wheat Flour</t>
  </si>
  <si>
    <t>Parsnip Soup</t>
  </si>
  <si>
    <t>Vegetable Stew</t>
  </si>
  <si>
    <t>Complete Breakfast</t>
  </si>
  <si>
    <t>Hashbrowns</t>
  </si>
  <si>
    <t>Pancakes</t>
  </si>
  <si>
    <t>Farming+2, Max Energy +50</t>
  </si>
  <si>
    <t>Fried Calamari</t>
  </si>
  <si>
    <t>Oil</t>
  </si>
  <si>
    <t>Jodi - Mail</t>
  </si>
  <si>
    <t>Strange Bun</t>
  </si>
  <si>
    <t>Periwinkle</t>
  </si>
  <si>
    <t>Lucky Lunch</t>
  </si>
  <si>
    <t>Sea Cucumber</t>
  </si>
  <si>
    <t>Tortilla</t>
  </si>
  <si>
    <t>Luck+3</t>
  </si>
  <si>
    <t>Fried Mushroom</t>
  </si>
  <si>
    <t>Pizza</t>
  </si>
  <si>
    <t>Bean Hotpot</t>
  </si>
  <si>
    <t>Green Bean (2)</t>
  </si>
  <si>
    <t>Max Energy+2</t>
  </si>
  <si>
    <t>Glazed Yams</t>
  </si>
  <si>
    <t>Sugar</t>
  </si>
  <si>
    <t>Carp Surprise</t>
  </si>
  <si>
    <t>Carp (4)</t>
  </si>
  <si>
    <t>Farming+1</t>
  </si>
  <si>
    <t>Foraging+2</t>
  </si>
  <si>
    <t>Salmon Dinner</t>
  </si>
  <si>
    <t>Amarinth</t>
  </si>
  <si>
    <t>Fish Taco</t>
  </si>
  <si>
    <t>Fishing+2</t>
  </si>
  <si>
    <t>Crispy Bass</t>
  </si>
  <si>
    <t>Magnetism+64</t>
  </si>
  <si>
    <t>Pepper Poppers</t>
  </si>
  <si>
    <t>Hot Pepper</t>
  </si>
  <si>
    <t>Farming+2, Speed+1</t>
  </si>
  <si>
    <t>Bread</t>
  </si>
  <si>
    <t>Trout Soup</t>
  </si>
  <si>
    <t>Green Algae</t>
  </si>
  <si>
    <t>Fishing+1</t>
  </si>
  <si>
    <t>Chocolate Cake</t>
  </si>
  <si>
    <t>Pink Cake</t>
  </si>
  <si>
    <t>Rhubarb Pie</t>
  </si>
  <si>
    <t>Cookie</t>
  </si>
  <si>
    <t>Evelyn - Heart Event</t>
  </si>
  <si>
    <t>Spaghetti</t>
  </si>
  <si>
    <t>Fried Eel</t>
  </si>
  <si>
    <t>Luck+1</t>
  </si>
  <si>
    <t>Spicy Eel</t>
  </si>
  <si>
    <t>Luck+1, Speed+1</t>
  </si>
  <si>
    <t>Sashimi</t>
  </si>
  <si>
    <t>Mining+1</t>
  </si>
  <si>
    <t>Maki Roll</t>
  </si>
  <si>
    <t>Seaweed</t>
  </si>
  <si>
    <t>Rice</t>
  </si>
  <si>
    <t>Red Plate</t>
  </si>
  <si>
    <t>Max Energy+50</t>
  </si>
  <si>
    <t>Eggplant Parmesan</t>
  </si>
  <si>
    <t>Mining+1, Defense+3</t>
  </si>
  <si>
    <t>Rice Pudding</t>
  </si>
  <si>
    <t>Ice Cream</t>
  </si>
  <si>
    <t>Blueberry Tart</t>
  </si>
  <si>
    <t>Pierre - Mail</t>
  </si>
  <si>
    <t>Autumn's Bounty</t>
  </si>
  <si>
    <t>Foraging+2, Defense+2</t>
  </si>
  <si>
    <t>Pumpkin Soup</t>
  </si>
  <si>
    <t>Luck+2, Defense+2</t>
  </si>
  <si>
    <t>Robin - Mail</t>
  </si>
  <si>
    <t>Super Meal</t>
  </si>
  <si>
    <t>Hazelnut</t>
  </si>
  <si>
    <t>Max Energy+40, Speed+1</t>
  </si>
  <si>
    <t>Cranberry Sauce</t>
  </si>
  <si>
    <t>Mining+2</t>
  </si>
  <si>
    <t>Stuffing</t>
  </si>
  <si>
    <t>Defense+2</t>
  </si>
  <si>
    <t>Farmer's Lunch</t>
  </si>
  <si>
    <t>Farming+3</t>
  </si>
  <si>
    <t>Survival Burger</t>
  </si>
  <si>
    <t>Foaging+3</t>
  </si>
  <si>
    <t>Dish O' The Sea</t>
  </si>
  <si>
    <t>Sardine (2)</t>
  </si>
  <si>
    <t>Fishing+3</t>
  </si>
  <si>
    <t>Miner's Treat</t>
  </si>
  <si>
    <t>Cave Carrot (2)</t>
  </si>
  <si>
    <t>Mining+3, Magnetism+32</t>
  </si>
  <si>
    <t>Roots Platter</t>
  </si>
  <si>
    <t>Algae Soup</t>
  </si>
  <si>
    <t>Green Algae (4)</t>
  </si>
  <si>
    <t>Clint - Mail</t>
  </si>
  <si>
    <t>Pale Broth</t>
  </si>
  <si>
    <t>White Algae (2)</t>
  </si>
  <si>
    <t>Plum Pudding</t>
  </si>
  <si>
    <t>Wild Plum (2)</t>
  </si>
  <si>
    <t>Artichoke Dip</t>
  </si>
  <si>
    <t>Stir Fry</t>
  </si>
  <si>
    <t xml:space="preserve">Cave Carrot  </t>
  </si>
  <si>
    <t>Roasted Hazelnuts</t>
  </si>
  <si>
    <t>Hazelnut (3)</t>
  </si>
  <si>
    <t>Pumpkin Pie</t>
  </si>
  <si>
    <t>Radish Salad</t>
  </si>
  <si>
    <t>Fruit Salad</t>
  </si>
  <si>
    <t>Apricot</t>
  </si>
  <si>
    <t>Blackberry Cobbler</t>
  </si>
  <si>
    <t>Blackberry (2)</t>
  </si>
  <si>
    <t>Cranberry Candy</t>
  </si>
  <si>
    <t>Apple</t>
  </si>
  <si>
    <t>Bruschetta</t>
  </si>
  <si>
    <t>Coleslaw</t>
  </si>
  <si>
    <t>Fiddlehead Risotto</t>
  </si>
  <si>
    <t>Poppyseed Muffin</t>
  </si>
  <si>
    <t>Chowder</t>
  </si>
  <si>
    <t>Willy - Mail</t>
  </si>
  <si>
    <t>Lobster Bisque</t>
  </si>
  <si>
    <t>Lobster</t>
  </si>
  <si>
    <t>Escargot</t>
  </si>
  <si>
    <t>Snail</t>
  </si>
  <si>
    <t>Fish Stew</t>
  </si>
  <si>
    <t>Crayfish</t>
  </si>
  <si>
    <t>Maple Bar</t>
  </si>
  <si>
    <t>Crab Cakes</t>
  </si>
  <si>
    <t>Crab</t>
  </si>
  <si>
    <t>Lake/Forest Pond/Sewers</t>
  </si>
  <si>
    <t>4-Winter</t>
  </si>
  <si>
    <t>3-Fall</t>
  </si>
  <si>
    <t>2-Summer</t>
  </si>
  <si>
    <t>1-Spring</t>
  </si>
  <si>
    <t>Days 8-12</t>
  </si>
  <si>
    <t>6:00 PM - 2:00 AM</t>
  </si>
  <si>
    <t>Difficulty</t>
  </si>
  <si>
    <t>6:00 AM - 7:00 PM</t>
  </si>
  <si>
    <t>6:00 AM - 10:00 PM</t>
  </si>
  <si>
    <t>6:00 AM - 11:00 AM, 6:00 PM - 2:00 AM</t>
  </si>
  <si>
    <t>8:00 PM - 2:00 AM</t>
  </si>
  <si>
    <t>6:00 AM - 12:00 AM</t>
  </si>
  <si>
    <t>6:00 AM - 11:00 AM, 7:00 PM - 2:00 AM</t>
  </si>
  <si>
    <t>6:00 AM - 12:00 PM</t>
  </si>
  <si>
    <t>6:00 AM - 1:00 PM</t>
  </si>
  <si>
    <t>12:00 PM - 4:00 PM</t>
  </si>
  <si>
    <t>9:00 AM - 2:00 AM</t>
  </si>
  <si>
    <t>6:00 AM - 2:00 PM</t>
  </si>
  <si>
    <t>Lake outside Mines</t>
  </si>
  <si>
    <t>6:00 AM - 2:00 AM</t>
  </si>
  <si>
    <t>7-8 Days</t>
  </si>
  <si>
    <t>6-7 Days</t>
  </si>
  <si>
    <t>4-5 Days</t>
  </si>
  <si>
    <t>Method</t>
  </si>
  <si>
    <t>ROI Season 1</t>
  </si>
  <si>
    <t>ROI Season 2</t>
  </si>
  <si>
    <t>ROI Season 3</t>
  </si>
  <si>
    <t>Place to Buy</t>
  </si>
  <si>
    <t>JojaMart</t>
  </si>
  <si>
    <r>
      <rPr>
        <sz val="11"/>
        <color rgb="FFFF0000"/>
        <rFont val="Calibri"/>
        <family val="2"/>
        <scheme val="minor"/>
      </rPr>
      <t>Summer</t>
    </r>
    <r>
      <rPr>
        <sz val="11"/>
        <color theme="1"/>
        <rFont val="Calibri"/>
        <family val="2"/>
        <scheme val="minor"/>
      </rPr>
      <t>+</t>
    </r>
    <r>
      <rPr>
        <sz val="11"/>
        <color theme="5"/>
        <rFont val="Calibri"/>
        <family val="2"/>
        <scheme val="minor"/>
      </rPr>
      <t>Fall</t>
    </r>
  </si>
  <si>
    <t>Preserve^^</t>
  </si>
  <si>
    <t>Keg^^</t>
  </si>
  <si>
    <t>Sell Price^^</t>
  </si>
  <si>
    <t>Insert Number^^</t>
  </si>
  <si>
    <t>ROI</t>
  </si>
  <si>
    <t>Animal</t>
  </si>
  <si>
    <t>Buy Price</t>
  </si>
  <si>
    <t>Chicken</t>
  </si>
  <si>
    <t>Sell Price 1</t>
  </si>
  <si>
    <t>Artisan</t>
  </si>
  <si>
    <t>Void Chicken</t>
  </si>
  <si>
    <t>Duck</t>
  </si>
  <si>
    <t>Rabbit</t>
  </si>
  <si>
    <t>Dinosaurs</t>
  </si>
  <si>
    <t>Cow</t>
  </si>
  <si>
    <t>Goat</t>
  </si>
  <si>
    <t>Sheep</t>
  </si>
  <si>
    <t>Pig</t>
  </si>
  <si>
    <t>Does NOT take into account rare drops</t>
  </si>
  <si>
    <t>Demetrius - Mail</t>
  </si>
  <si>
    <t>Cooking Channel+Saloon</t>
  </si>
  <si>
    <t>Pam-Mail</t>
  </si>
  <si>
    <t>Speed+1, Defense+1</t>
  </si>
  <si>
    <t>Gus - Mail</t>
  </si>
  <si>
    <t>Kent - Mail</t>
  </si>
  <si>
    <t>Fishing Lv 3</t>
  </si>
  <si>
    <t>Farming Lv 3</t>
  </si>
  <si>
    <t>Lewis - Mail</t>
  </si>
  <si>
    <t>Linus - Mail</t>
  </si>
  <si>
    <t>George - Mail</t>
  </si>
  <si>
    <t>Upgrade farmhouse</t>
  </si>
  <si>
    <t>Attack+2</t>
  </si>
  <si>
    <t>Fishing+3, Max Energy+50</t>
  </si>
  <si>
    <t>Mining Lv 3</t>
  </si>
  <si>
    <t>Marnie - Mail</t>
  </si>
  <si>
    <t>Caroline -Mail</t>
  </si>
  <si>
    <t>Shane - Mail</t>
  </si>
  <si>
    <t>Emily - Mail</t>
  </si>
  <si>
    <t>Evelyn - Mail</t>
  </si>
  <si>
    <t>Attack+3</t>
  </si>
  <si>
    <t>Combat Lv 3</t>
  </si>
  <si>
    <t>Foraging Lv 2</t>
  </si>
  <si>
    <t>Tom Kha Soup</t>
  </si>
  <si>
    <t>Shrimp</t>
  </si>
  <si>
    <t>Farming+2, Max Energy+30</t>
  </si>
  <si>
    <t>Sandy - Mail</t>
  </si>
  <si>
    <t>Unlock</t>
  </si>
  <si>
    <t>Wood Floor</t>
  </si>
  <si>
    <t>Stone Floor</t>
  </si>
  <si>
    <t>Carpenter's Shop</t>
  </si>
  <si>
    <t>Cherry Tree</t>
  </si>
  <si>
    <t>Apricot Tree</t>
  </si>
  <si>
    <t>Orange Tree</t>
  </si>
  <si>
    <t>Peach Tree</t>
  </si>
  <si>
    <t>Apple Tree</t>
  </si>
  <si>
    <t>Pomegranate Tree</t>
  </si>
  <si>
    <t>Bombs</t>
  </si>
  <si>
    <t>Cherry Bomb</t>
  </si>
  <si>
    <t>Mining Level 1</t>
  </si>
  <si>
    <t>Mining Level 6</t>
  </si>
  <si>
    <t>Mining Level 8</t>
  </si>
  <si>
    <t>Copper Ore (4)</t>
  </si>
  <si>
    <t>Bomb</t>
  </si>
  <si>
    <t>Iron Ore (4)</t>
  </si>
  <si>
    <t>Gold Ore (4)</t>
  </si>
  <si>
    <t>Solor Essence (1)</t>
  </si>
  <si>
    <t>Void Essence (1)</t>
  </si>
  <si>
    <t>Starter</t>
  </si>
  <si>
    <t>Sprinklers</t>
  </si>
  <si>
    <t>Sprinkler</t>
  </si>
  <si>
    <t>Iridium Sprinkler</t>
  </si>
  <si>
    <t>Iron  Bar (1)</t>
  </si>
  <si>
    <t>Gold  Bar (1)</t>
  </si>
  <si>
    <t>Iridium  Bar (1)</t>
  </si>
  <si>
    <t>Artisan Equipment</t>
  </si>
  <si>
    <t>Cask</t>
  </si>
  <si>
    <t>Farmhouse Cellar Upgrade</t>
  </si>
  <si>
    <t>Coral (1)</t>
  </si>
  <si>
    <t>Any Fish (1)</t>
  </si>
  <si>
    <t>Décor</t>
  </si>
  <si>
    <t>Dwarf</t>
  </si>
  <si>
    <t>Krobus</t>
  </si>
  <si>
    <t>Straw Floor</t>
  </si>
  <si>
    <t>Weathered Floor</t>
  </si>
  <si>
    <t>Crystal Floor</t>
  </si>
  <si>
    <t>Wood Path</t>
  </si>
  <si>
    <t>Gravel Path</t>
  </si>
  <si>
    <t>Cobblestone Path</t>
  </si>
  <si>
    <t>Stepping Stone Path</t>
  </si>
  <si>
    <t>Crystal Path</t>
  </si>
  <si>
    <t>Fiber (1)</t>
  </si>
  <si>
    <t>Stone (1)</t>
  </si>
  <si>
    <t>Combat Level 2</t>
  </si>
  <si>
    <t>Combat Level 4</t>
  </si>
  <si>
    <t>Combat Level 7</t>
  </si>
  <si>
    <t>Iridium Band</t>
  </si>
  <si>
    <t>Solar Essence (50)</t>
  </si>
  <si>
    <t>Void Essence (5)</t>
  </si>
  <si>
    <t>Field Snack</t>
  </si>
  <si>
    <t>Life Elixir</t>
  </si>
  <si>
    <t>Oil of Garlic</t>
  </si>
  <si>
    <t>Edible Items</t>
  </si>
  <si>
    <t>Acorn (1)</t>
  </si>
  <si>
    <t>Red Mushroom (1)</t>
  </si>
  <si>
    <t>Garlic (10)</t>
  </si>
  <si>
    <t>Maple Seed (1)</t>
  </si>
  <si>
    <t>Pine Cone (1)</t>
  </si>
  <si>
    <t>Chanterelle (1)</t>
  </si>
  <si>
    <t>Combat Level 6</t>
  </si>
  <si>
    <t>Purple Mushroom (1)</t>
  </si>
  <si>
    <t>Oil (1)</t>
  </si>
  <si>
    <t>Morel (1)</t>
  </si>
  <si>
    <t>Spirit's Eve Festival</t>
  </si>
  <si>
    <t>Wooden Brazier</t>
  </si>
  <si>
    <t>Argiculteralist (Y/N) ^^</t>
  </si>
  <si>
    <t>N</t>
  </si>
  <si>
    <t>Rancher (Y/N) ^^</t>
  </si>
  <si>
    <t>Artisan (Y/N) ^^</t>
  </si>
  <si>
    <t>Tiller (Y/N) ^^</t>
  </si>
  <si>
    <t xml:space="preserve">Enter Value </t>
  </si>
  <si>
    <t>Result</t>
  </si>
  <si>
    <t>Mayonnaise Machine</t>
  </si>
  <si>
    <t>16.6 Hours</t>
  </si>
  <si>
    <t>6 Hours</t>
  </si>
  <si>
    <t>Sunflower Seeds</t>
  </si>
  <si>
    <t>1 Hour</t>
  </si>
  <si>
    <t>2.2 Days</t>
  </si>
  <si>
    <t>66 Hours</t>
  </si>
  <si>
    <t>4 Hours</t>
  </si>
  <si>
    <t>4.2 Days</t>
  </si>
  <si>
    <t>Summer Spangle</t>
  </si>
  <si>
    <t>1.5 Days</t>
  </si>
  <si>
    <t>1.6 Days</t>
  </si>
  <si>
    <t>4.1 Days</t>
  </si>
  <si>
    <t>Mead</t>
  </si>
  <si>
    <t>Honey</t>
  </si>
  <si>
    <t>Coffee</t>
  </si>
  <si>
    <t>Coffee Bean</t>
  </si>
  <si>
    <t>10 Hours</t>
  </si>
  <si>
    <t>2 Hours</t>
  </si>
  <si>
    <t>7 Days</t>
  </si>
  <si>
    <t>Void Mayonnaise</t>
  </si>
  <si>
    <t>Void Egg</t>
  </si>
  <si>
    <t>Tapper</t>
  </si>
  <si>
    <t>Fiber (5)</t>
  </si>
  <si>
    <t>Solar Essence (1)</t>
  </si>
  <si>
    <t>Marble (1)</t>
  </si>
  <si>
    <t>Aquamarine (1)</t>
  </si>
  <si>
    <t>Pumpkin (1)</t>
  </si>
  <si>
    <t>Torch (1)</t>
  </si>
  <si>
    <t>Stone Brazier</t>
  </si>
  <si>
    <t>Gold Brazier</t>
  </si>
  <si>
    <t>Carved Brazier</t>
  </si>
  <si>
    <t>Stump Brazier</t>
  </si>
  <si>
    <t>Barrel Brazier</t>
  </si>
  <si>
    <t>Skull Brazier</t>
  </si>
  <si>
    <t>Marble Brazier</t>
  </si>
  <si>
    <t>Wood Lamp-post</t>
  </si>
  <si>
    <t>Iron Lamp-post</t>
  </si>
  <si>
    <t>Jack-O-Lantern</t>
  </si>
  <si>
    <t>Refining Equipment</t>
  </si>
  <si>
    <t>Crystalarium</t>
  </si>
  <si>
    <t>Furnace</t>
  </si>
  <si>
    <t>Slime Incubator</t>
  </si>
  <si>
    <t>slime Egg-Press</t>
  </si>
  <si>
    <t>Worm Bin</t>
  </si>
  <si>
    <t>Copper Ore (20)</t>
  </si>
  <si>
    <t>Iridium Bar (2)</t>
  </si>
  <si>
    <t>Hardwood (25)</t>
  </si>
  <si>
    <t>Gold  Bar (5)</t>
  </si>
  <si>
    <t>Clint</t>
  </si>
  <si>
    <t>Slime (100)</t>
  </si>
  <si>
    <t>Combat Level 8</t>
  </si>
  <si>
    <t>Foraging Level 3</t>
  </si>
  <si>
    <t>Mining Level 9</t>
  </si>
  <si>
    <t>Fiber (50)</t>
  </si>
  <si>
    <t>Furniture</t>
  </si>
  <si>
    <t>Tub o' Flowers</t>
  </si>
  <si>
    <t>Wicked Statue</t>
  </si>
  <si>
    <t>Flute Block</t>
  </si>
  <si>
    <t>Drum Block</t>
  </si>
  <si>
    <t>Flower Dance</t>
  </si>
  <si>
    <t>Robin</t>
  </si>
  <si>
    <t>Tulip Bulb (1)</t>
  </si>
  <si>
    <t>Jazz Seeds (1)</t>
  </si>
  <si>
    <t>Poppy Seeds</t>
  </si>
  <si>
    <t>Spangle Seeds</t>
  </si>
  <si>
    <t>Part of Tub &gt;&gt;</t>
  </si>
  <si>
    <t>Coal (5)</t>
  </si>
  <si>
    <t>Copper Ore (2)</t>
  </si>
  <si>
    <t>Coal (2)</t>
  </si>
  <si>
    <t>Copper Bar (3)</t>
  </si>
  <si>
    <t>Coral (2)</t>
  </si>
  <si>
    <t>Pine Tar (5)</t>
  </si>
  <si>
    <t>Truffle Oil (1)</t>
  </si>
  <si>
    <t>Honey (1)</t>
  </si>
  <si>
    <t>Mining Level 4</t>
  </si>
  <si>
    <t>Mining Level 7</t>
  </si>
  <si>
    <t>Foraging Level 8</t>
  </si>
  <si>
    <t>Foraging Level 9</t>
  </si>
  <si>
    <t>Explosive Ammo (5)</t>
  </si>
  <si>
    <t>Transmute (Fe)</t>
  </si>
  <si>
    <t>Transmute (Au)</t>
  </si>
  <si>
    <t>Warp Totem: Beach</t>
  </si>
  <si>
    <t>Warp Totem: Mountains</t>
  </si>
  <si>
    <t>Warp Totem: Farm</t>
  </si>
  <si>
    <t>Rain Totem</t>
  </si>
  <si>
    <t>Ingredient 2</t>
  </si>
  <si>
    <t>Ingredient 3</t>
  </si>
  <si>
    <t>Ingredient 4</t>
  </si>
  <si>
    <t>Artisan Good ^^</t>
  </si>
  <si>
    <t>Foraged Mineral</t>
  </si>
  <si>
    <t>Geode Mineral</t>
  </si>
  <si>
    <t>Black Slime</t>
  </si>
  <si>
    <t>Slime Ball</t>
  </si>
  <si>
    <t>Duggy</t>
  </si>
  <si>
    <t>Tilling</t>
  </si>
  <si>
    <t>Feast of Winter Star</t>
  </si>
  <si>
    <t>The Oasis (Wed)</t>
  </si>
  <si>
    <t>Krobus (Tue)</t>
  </si>
  <si>
    <t>Desert Mine</t>
  </si>
  <si>
    <t>Tilling (Winter)</t>
  </si>
  <si>
    <t>1-39</t>
  </si>
  <si>
    <t>Location 3</t>
  </si>
  <si>
    <t>All Geodes</t>
  </si>
  <si>
    <t>All Geodes Expext Geode</t>
  </si>
  <si>
    <t>1+ (Best: 60-90)</t>
  </si>
  <si>
    <t>40+ (Best: 70-72)</t>
  </si>
  <si>
    <t>Skull Cavern</t>
  </si>
  <si>
    <t>Omni &amp; Magma Geode</t>
  </si>
  <si>
    <t>Mystic Stones</t>
  </si>
  <si>
    <t>100+</t>
  </si>
  <si>
    <t>Cheese Cauliflower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</si>
</sst>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&quot;G&quot;"/>
    <numFmt numFmtId="165" formatCode="##,##0&quot;g&quot;"/>
  </numFmts>
  <fonts count="1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sz val="9"/>
      <color indexed="81"/>
      <name val="Tahoma"/>
      <family val="2"/>
    </font>
    <font>
      <sz val="11"/>
      <color rgb="FF9C65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2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3F3F3F"/>
      </left>
      <right/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0" applyNumberFormat="0" applyBorder="0" applyAlignment="0" applyProtection="0"/>
    <xf numFmtId="0" fontId="4" fillId="0" borderId="0"/>
    <xf numFmtId="0" fontId="5" fillId="0" borderId="6" applyNumberFormat="0" applyFill="0" applyAlignment="0" applyProtection="0"/>
    <xf numFmtId="9" fontId="3" fillId="0" borderId="0" applyFont="0" applyFill="0" applyBorder="0" applyAlignment="0" applyProtection="0"/>
    <xf numFmtId="0" fontId="17" fillId="7" borderId="0" applyNumberFormat="0" applyBorder="0" applyAlignment="0" applyProtection="0"/>
  </cellStyleXfs>
  <cellXfs count="86">
    <xf numFmtId="0" fontId="0" fillId="0" borderId="0" xfId="0"/>
    <xf numFmtId="0" fontId="0" fillId="0" borderId="0" xfId="0" applyFill="1"/>
    <xf numFmtId="0" fontId="7" fillId="5" borderId="0" xfId="0" applyFont="1" applyFill="1"/>
    <xf numFmtId="0" fontId="0" fillId="5" borderId="0" xfId="0" applyFill="1"/>
    <xf numFmtId="2" fontId="0" fillId="5" borderId="0" xfId="0" applyNumberFormat="1" applyFill="1"/>
    <xf numFmtId="9" fontId="0" fillId="5" borderId="0" xfId="6" applyFont="1" applyFill="1"/>
    <xf numFmtId="0" fontId="0" fillId="5" borderId="0" xfId="0" applyFill="1" applyAlignment="1">
      <alignment wrapText="1"/>
    </xf>
    <xf numFmtId="0" fontId="0" fillId="5" borderId="0" xfId="6" applyNumberFormat="1" applyFont="1" applyFill="1"/>
    <xf numFmtId="0" fontId="0" fillId="5" borderId="0" xfId="0" applyFont="1" applyFill="1"/>
    <xf numFmtId="0" fontId="15" fillId="0" borderId="0" xfId="0" applyFont="1" applyFill="1"/>
    <xf numFmtId="9" fontId="0" fillId="0" borderId="0" xfId="6" applyFont="1" applyFill="1"/>
    <xf numFmtId="0" fontId="6" fillId="0" borderId="0" xfId="0" applyFont="1" applyFill="1"/>
    <xf numFmtId="0" fontId="9" fillId="0" borderId="0" xfId="0" applyFont="1" applyFill="1"/>
    <xf numFmtId="0" fontId="0" fillId="0" borderId="8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2" fontId="0" fillId="0" borderId="0" xfId="0" applyNumberFormat="1" applyFill="1"/>
    <xf numFmtId="0" fontId="0" fillId="0" borderId="0" xfId="6" applyNumberFormat="1" applyFont="1" applyFill="1"/>
    <xf numFmtId="0" fontId="10" fillId="0" borderId="0" xfId="0" applyFont="1" applyFill="1"/>
    <xf numFmtId="0" fontId="11" fillId="0" borderId="0" xfId="0" applyFont="1" applyFill="1"/>
    <xf numFmtId="0" fontId="8" fillId="0" borderId="0" xfId="0" applyFont="1" applyFill="1"/>
    <xf numFmtId="0" fontId="12" fillId="0" borderId="0" xfId="0" applyFont="1" applyFill="1"/>
    <xf numFmtId="9" fontId="0" fillId="0" borderId="0" xfId="6" applyNumberFormat="1" applyFont="1" applyFill="1"/>
    <xf numFmtId="0" fontId="0" fillId="0" borderId="0" xfId="0" applyFill="1" applyAlignment="1">
      <alignment wrapText="1"/>
    </xf>
    <xf numFmtId="0" fontId="0" fillId="0" borderId="0" xfId="0" quotePrefix="1" applyFill="1"/>
    <xf numFmtId="165" fontId="0" fillId="0" borderId="0" xfId="0" applyNumberFormat="1" applyFill="1"/>
    <xf numFmtId="165" fontId="14" fillId="0" borderId="0" xfId="0" applyNumberFormat="1" applyFont="1" applyFill="1"/>
    <xf numFmtId="0" fontId="0" fillId="0" borderId="0" xfId="0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164" fontId="14" fillId="0" borderId="0" xfId="0" applyNumberFormat="1" applyFont="1" applyFill="1" applyBorder="1" applyAlignment="1">
      <alignment horizontal="left"/>
    </xf>
    <xf numFmtId="0" fontId="14" fillId="5" borderId="0" xfId="0" applyFont="1" applyFill="1" applyAlignment="1">
      <alignment horizontal="left"/>
    </xf>
    <xf numFmtId="164" fontId="14" fillId="5" borderId="0" xfId="0" applyNumberFormat="1" applyFont="1" applyFill="1" applyAlignment="1">
      <alignment horizontal="left"/>
    </xf>
    <xf numFmtId="0" fontId="14" fillId="5" borderId="0" xfId="1" applyFont="1" applyFill="1" applyAlignment="1">
      <alignment horizontal="left"/>
    </xf>
    <xf numFmtId="165" fontId="6" fillId="0" borderId="0" xfId="0" applyNumberFormat="1" applyFont="1" applyFill="1"/>
    <xf numFmtId="0" fontId="14" fillId="0" borderId="0" xfId="0" applyFont="1" applyFill="1"/>
    <xf numFmtId="0" fontId="0" fillId="6" borderId="2" xfId="0" applyFill="1" applyBorder="1"/>
    <xf numFmtId="0" fontId="0" fillId="0" borderId="2" xfId="0" applyFill="1" applyBorder="1"/>
    <xf numFmtId="2" fontId="0" fillId="0" borderId="2" xfId="0" applyNumberFormat="1" applyFill="1" applyBorder="1"/>
    <xf numFmtId="0" fontId="13" fillId="0" borderId="14" xfId="2" applyFont="1" applyFill="1" applyBorder="1" applyAlignment="1">
      <alignment horizontal="left"/>
    </xf>
    <xf numFmtId="0" fontId="13" fillId="0" borderId="3" xfId="2" applyFont="1" applyFill="1" applyBorder="1" applyAlignment="1">
      <alignment horizontal="left"/>
    </xf>
    <xf numFmtId="0" fontId="13" fillId="0" borderId="15" xfId="2" applyFont="1" applyFill="1" applyBorder="1" applyAlignment="1">
      <alignment horizontal="left"/>
    </xf>
    <xf numFmtId="164" fontId="13" fillId="0" borderId="15" xfId="2" applyNumberFormat="1" applyFont="1" applyFill="1" applyBorder="1" applyAlignment="1">
      <alignment horizontal="left"/>
    </xf>
    <xf numFmtId="0" fontId="14" fillId="0" borderId="0" xfId="0" applyFont="1" applyFill="1" applyBorder="1" applyAlignment="1">
      <alignment horizontal="left"/>
    </xf>
    <xf numFmtId="0" fontId="14" fillId="0" borderId="8" xfId="0" applyFont="1" applyFill="1" applyBorder="1" applyAlignment="1">
      <alignment horizontal="left"/>
    </xf>
    <xf numFmtId="0" fontId="14" fillId="0" borderId="7" xfId="0" applyFont="1" applyFill="1" applyBorder="1" applyAlignment="1">
      <alignment horizontal="left"/>
    </xf>
    <xf numFmtId="164" fontId="14" fillId="0" borderId="9" xfId="3" applyNumberFormat="1" applyFont="1" applyFill="1" applyBorder="1" applyAlignment="1">
      <alignment horizontal="left"/>
    </xf>
    <xf numFmtId="0" fontId="14" fillId="0" borderId="13" xfId="0" applyFont="1" applyFill="1" applyBorder="1" applyAlignment="1">
      <alignment horizontal="left"/>
    </xf>
    <xf numFmtId="0" fontId="14" fillId="0" borderId="10" xfId="0" applyFont="1" applyFill="1" applyBorder="1" applyAlignment="1">
      <alignment horizontal="left"/>
    </xf>
    <xf numFmtId="0" fontId="14" fillId="0" borderId="11" xfId="0" applyFont="1" applyFill="1" applyBorder="1" applyAlignment="1">
      <alignment horizontal="left"/>
    </xf>
    <xf numFmtId="164" fontId="14" fillId="0" borderId="12" xfId="3" applyNumberFormat="1" applyFont="1" applyFill="1" applyBorder="1" applyAlignment="1">
      <alignment horizontal="left"/>
    </xf>
    <xf numFmtId="0" fontId="14" fillId="0" borderId="3" xfId="0" applyFont="1" applyFill="1" applyBorder="1" applyAlignment="1">
      <alignment horizontal="left"/>
    </xf>
    <xf numFmtId="0" fontId="14" fillId="0" borderId="5" xfId="0" applyFont="1" applyFill="1" applyBorder="1" applyAlignment="1">
      <alignment horizontal="left"/>
    </xf>
    <xf numFmtId="0" fontId="14" fillId="0" borderId="16" xfId="0" applyFont="1" applyFill="1" applyBorder="1" applyAlignment="1">
      <alignment horizontal="left"/>
    </xf>
    <xf numFmtId="164" fontId="14" fillId="0" borderId="11" xfId="0" applyNumberFormat="1" applyFont="1" applyFill="1" applyBorder="1" applyAlignment="1">
      <alignment horizontal="left"/>
    </xf>
    <xf numFmtId="164" fontId="14" fillId="0" borderId="16" xfId="0" applyNumberFormat="1" applyFont="1" applyFill="1" applyBorder="1" applyAlignment="1">
      <alignment horizontal="left"/>
    </xf>
    <xf numFmtId="164" fontId="14" fillId="0" borderId="5" xfId="0" applyNumberFormat="1" applyFont="1" applyFill="1" applyBorder="1" applyAlignment="1">
      <alignment horizontal="left"/>
    </xf>
    <xf numFmtId="0" fontId="14" fillId="0" borderId="9" xfId="0" applyFont="1" applyFill="1" applyBorder="1" applyAlignment="1">
      <alignment horizontal="left"/>
    </xf>
    <xf numFmtId="164" fontId="14" fillId="0" borderId="7" xfId="0" applyNumberFormat="1" applyFont="1" applyFill="1" applyBorder="1" applyAlignment="1">
      <alignment horizontal="left"/>
    </xf>
    <xf numFmtId="164" fontId="14" fillId="0" borderId="3" xfId="0" applyNumberFormat="1" applyFont="1" applyFill="1" applyBorder="1" applyAlignment="1">
      <alignment horizontal="left"/>
    </xf>
    <xf numFmtId="165" fontId="14" fillId="0" borderId="4" xfId="0" applyNumberFormat="1" applyFont="1" applyFill="1" applyBorder="1" applyAlignment="1">
      <alignment horizontal="left"/>
    </xf>
    <xf numFmtId="165" fontId="14" fillId="0" borderId="12" xfId="0" applyNumberFormat="1" applyFont="1" applyFill="1" applyBorder="1" applyAlignment="1">
      <alignment horizontal="left"/>
    </xf>
    <xf numFmtId="165" fontId="14" fillId="0" borderId="5" xfId="0" applyNumberFormat="1" applyFont="1" applyFill="1" applyBorder="1" applyAlignment="1">
      <alignment horizontal="left"/>
    </xf>
    <xf numFmtId="165" fontId="14" fillId="0" borderId="16" xfId="0" applyNumberFormat="1" applyFont="1" applyFill="1" applyBorder="1" applyAlignment="1">
      <alignment horizontal="left"/>
    </xf>
    <xf numFmtId="165" fontId="14" fillId="5" borderId="0" xfId="0" applyNumberFormat="1" applyFont="1" applyFill="1" applyBorder="1" applyAlignment="1">
      <alignment horizontal="left"/>
    </xf>
    <xf numFmtId="165" fontId="14" fillId="0" borderId="9" xfId="3" applyNumberFormat="1" applyFont="1" applyFill="1" applyBorder="1" applyAlignment="1">
      <alignment horizontal="left"/>
    </xf>
    <xf numFmtId="165" fontId="14" fillId="0" borderId="4" xfId="3" applyNumberFormat="1" applyFont="1" applyFill="1" applyBorder="1" applyAlignment="1">
      <alignment horizontal="left"/>
    </xf>
    <xf numFmtId="165" fontId="14" fillId="0" borderId="12" xfId="3" applyNumberFormat="1" applyFont="1" applyFill="1" applyBorder="1" applyAlignment="1">
      <alignment horizontal="left"/>
    </xf>
    <xf numFmtId="165" fontId="14" fillId="0" borderId="5" xfId="3" applyNumberFormat="1" applyFont="1" applyFill="1" applyBorder="1" applyAlignment="1">
      <alignment horizontal="left"/>
    </xf>
    <xf numFmtId="0" fontId="0" fillId="0" borderId="17" xfId="0" applyBorder="1" applyAlignment="1">
      <alignment horizontal="left"/>
    </xf>
    <xf numFmtId="0" fontId="14" fillId="0" borderId="18" xfId="5" applyFont="1" applyFill="1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17" fillId="7" borderId="0" xfId="7" applyAlignment="1">
      <alignment horizontal="left"/>
    </xf>
    <xf numFmtId="0" fontId="17" fillId="7" borderId="19" xfId="7" applyBorder="1" applyAlignment="1">
      <alignment horizontal="left"/>
    </xf>
    <xf numFmtId="0" fontId="0" fillId="5" borderId="0" xfId="0" applyFill="1" applyAlignment="1">
      <alignment horizontal="left"/>
    </xf>
    <xf numFmtId="0" fontId="5" fillId="5" borderId="0" xfId="5" applyFill="1" applyBorder="1" applyAlignment="1">
      <alignment horizontal="left"/>
    </xf>
    <xf numFmtId="0" fontId="0" fillId="5" borderId="0" xfId="0" applyFill="1" applyBorder="1" applyAlignment="1">
      <alignment horizontal="left"/>
    </xf>
    <xf numFmtId="0" fontId="5" fillId="5" borderId="6" xfId="5" applyFill="1" applyAlignment="1">
      <alignment horizontal="left"/>
    </xf>
    <xf numFmtId="49" fontId="0" fillId="0" borderId="0" xfId="0" applyNumberFormat="1" applyFill="1"/>
    <xf numFmtId="165" fontId="0" fillId="5" borderId="0" xfId="0" applyNumberFormat="1" applyFill="1"/>
    <xf numFmtId="0" fontId="0" fillId="5" borderId="0" xfId="0" applyFill="1" applyBorder="1"/>
    <xf numFmtId="165" fontId="0" fillId="5" borderId="0" xfId="0" applyNumberFormat="1" applyFill="1" applyBorder="1"/>
  </cellXfs>
  <cellStyles count="8">
    <cellStyle name="20% - Accent3" xfId="3" builtinId="38"/>
    <cellStyle name="Good" xfId="1" builtinId="26"/>
    <cellStyle name="Heading 3" xfId="5" builtinId="18"/>
    <cellStyle name="Neutral" xfId="7" builtinId="28"/>
    <cellStyle name="Normal" xfId="0" builtinId="0"/>
    <cellStyle name="Normal 2" xfId="4" xr:uid="{00000000-0005-0000-0000-000005000000}"/>
    <cellStyle name="Output" xfId="2" builtinId="21"/>
    <cellStyle name="Percent" xfId="6" builtinId="5"/>
  </cellStyles>
  <dxfs count="106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2"/>
        </bottom>
        <vertical/>
        <horizontal/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&quot;G&quot;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rgb="FF3F3F3F"/>
        </top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5" formatCode="##,##0&quot;g&quot;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5" formatCode="##,##0&quot;g&quot;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5" formatCode="##,##0&quot;g&quot;"/>
      <fill>
        <patternFill patternType="none">
          <fgColor indexed="64"/>
          <bgColor auto="1"/>
        </patternFill>
      </fill>
    </dxf>
    <dxf>
      <numFmt numFmtId="165" formatCode="##,##0&quot;g&quot;"/>
      <fill>
        <patternFill patternType="none">
          <fgColor indexed="64"/>
          <bgColor auto="1"/>
        </patternFill>
      </fill>
    </dxf>
    <dxf>
      <numFmt numFmtId="165" formatCode="##,##0&quot;g&quot;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fill>
        <patternFill patternType="none">
          <fgColor indexed="64"/>
          <bgColor auto="1"/>
        </patternFill>
      </fill>
    </dxf>
    <dxf>
      <numFmt numFmtId="165" formatCode="##,##0&quot;g&quot;"/>
      <fill>
        <patternFill patternType="none">
          <fgColor indexed="64"/>
          <bgColor auto="1"/>
        </patternFill>
      </fill>
    </dxf>
    <dxf>
      <numFmt numFmtId="165" formatCode="##,##0&quot;g&quot;"/>
      <fill>
        <patternFill patternType="none">
          <fgColor indexed="64"/>
          <bgColor auto="1"/>
        </patternFill>
      </fill>
    </dxf>
    <dxf>
      <numFmt numFmtId="165" formatCode="##,##0&quot;g&quot;"/>
      <fill>
        <patternFill patternType="none">
          <fgColor indexed="64"/>
          <bgColor auto="1"/>
        </patternFill>
      </fill>
    </dxf>
    <dxf>
      <numFmt numFmtId="165" formatCode="##,##0&quot;g&quot;"/>
      <fill>
        <patternFill patternType="none">
          <fgColor indexed="64"/>
          <bgColor auto="1"/>
        </patternFill>
      </fill>
    </dxf>
    <dxf>
      <numFmt numFmtId="165" formatCode="##,##0&quot;g&quot;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3" formatCode="0%"/>
      <fill>
        <patternFill patternType="none">
          <fgColor indexed="64"/>
          <bgColor auto="1"/>
        </patternFill>
      </fill>
    </dxf>
    <dxf>
      <numFmt numFmtId="13" formatCode="0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5" formatCode="##,##0&quot;g&quot;"/>
      <fill>
        <patternFill patternType="none">
          <fgColor indexed="64"/>
          <bgColor auto="1"/>
        </patternFill>
      </fill>
    </dxf>
    <dxf>
      <numFmt numFmtId="165" formatCode="##,##0&quot;g&quot;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##,##0&quot;g&quot;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##,##0&quot;g&quot;"/>
      <fill>
        <patternFill patternType="none">
          <fgColor indexed="64"/>
          <bgColor auto="1"/>
        </patternFill>
      </fill>
    </dxf>
    <dxf>
      <numFmt numFmtId="165" formatCode="##,##0&quot;g&quot;"/>
      <fill>
        <patternFill patternType="none">
          <fgColor indexed="64"/>
          <bgColor auto="1"/>
        </patternFill>
      </fill>
    </dxf>
    <dxf>
      <numFmt numFmtId="165" formatCode="##,##0&quot;g&quot;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5" formatCode="##,##0&quot;g&quot;"/>
      <fill>
        <patternFill patternType="none">
          <fgColor indexed="64"/>
          <bgColor auto="1"/>
        </patternFill>
      </fill>
    </dxf>
    <dxf>
      <numFmt numFmtId="165" formatCode="##,##0&quot;g&quot;"/>
      <fill>
        <patternFill patternType="none">
          <fgColor indexed="64"/>
          <bgColor auto="1"/>
        </patternFill>
      </fill>
    </dxf>
    <dxf>
      <numFmt numFmtId="165" formatCode="##,##0&quot;g&quot;"/>
      <fill>
        <patternFill patternType="none">
          <fgColor indexed="64"/>
          <bgColor auto="1"/>
        </patternFill>
      </fill>
    </dxf>
    <dxf>
      <numFmt numFmtId="165" formatCode="##,##0&quot;g&quot;"/>
      <fill>
        <patternFill patternType="none">
          <fgColor indexed="64"/>
          <bgColor auto="1"/>
        </patternFill>
      </fill>
    </dxf>
    <dxf>
      <numFmt numFmtId="165" formatCode="##,##0&quot;g&quot;"/>
      <fill>
        <patternFill patternType="none">
          <fgColor indexed="64"/>
          <bgColor auto="1"/>
        </patternFill>
      </fill>
    </dxf>
    <dxf>
      <numFmt numFmtId="165" formatCode="##,##0&quot;g&quot;"/>
      <fill>
        <patternFill patternType="none">
          <fgColor indexed="64"/>
          <bgColor auto="1"/>
        </patternFill>
      </fill>
    </dxf>
    <dxf>
      <numFmt numFmtId="165" formatCode="##,##0&quot;g&quot;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theme="1" tint="0.499984740745262"/>
        </patternFill>
      </fill>
    </dxf>
    <dxf>
      <fill>
        <patternFill patternType="none">
          <fgColor indexed="64"/>
          <bgColor theme="1" tint="0.499984740745262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5" formatCode="##,##0&quot;g&quot;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top style="thin">
          <color rgb="FF3F3F3F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rgb="FF3F3F3F"/>
        </bottom>
      </border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mruColors>
      <color rgb="FFF5DD99"/>
      <color rgb="FFFFFF99"/>
      <color rgb="FFDBEDDC"/>
      <color rgb="FFBDCC9C"/>
      <color rgb="FF8CB290"/>
      <color rgb="FFD0DFCF"/>
      <color rgb="FFDFE9E1"/>
      <color rgb="FFC9E1CA"/>
      <color rgb="FF4C2C66"/>
      <color rgb="FFCDAC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owerPivotData" Target="model/item.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11" displayName="Table11" ref="A1:J72" totalsRowShown="0" headerRowDxfId="105" dataDxfId="103" headerRowBorderDxfId="104" tableBorderDxfId="102" headerRowCellStyle="Normal" dataCellStyle="Normal">
  <autoFilter ref="A1:J72" xr:uid="{00000000-0009-0000-0100-00000B000000}"/>
  <sortState xmlns:xlrd2="http://schemas.microsoft.com/office/spreadsheetml/2017/richdata2" ref="A2:J72">
    <sortCondition ref="A1:A72"/>
  </sortState>
  <tableColumns count="10">
    <tableColumn id="1" xr3:uid="{00000000-0010-0000-0800-000001000000}" name="Name" dataDxfId="101" dataCellStyle="Normal"/>
    <tableColumn id="2" xr3:uid="{00000000-0010-0000-0800-000002000000}" name="Sell Price" dataDxfId="100" dataCellStyle="Normal"/>
    <tableColumn id="3" xr3:uid="{00000000-0010-0000-0800-000003000000}" name="Ingredient" dataDxfId="99" dataCellStyle="Normal"/>
    <tableColumn id="4" xr3:uid="{00000000-0010-0000-0800-000004000000}" name="Ingredient 2" dataDxfId="98" dataCellStyle="Normal"/>
    <tableColumn id="5" xr3:uid="{00000000-0010-0000-0800-000005000000}" name="Ingredient 3" dataDxfId="97" dataCellStyle="Normal"/>
    <tableColumn id="6" xr3:uid="{00000000-0010-0000-0800-000006000000}" name="Ingredient 4" dataDxfId="96" dataCellStyle="Normal"/>
    <tableColumn id="7" xr3:uid="{00000000-0010-0000-0800-000007000000}" name="Energy" dataDxfId="95" dataCellStyle="Normal"/>
    <tableColumn id="8" xr3:uid="{00000000-0010-0000-0800-000008000000}" name="Health" dataDxfId="94" dataCellStyle="Normal"/>
    <tableColumn id="9" xr3:uid="{00000000-0010-0000-0800-000009000000}" name="Stat Bonus" dataDxfId="93" dataCellStyle="Normal"/>
    <tableColumn id="10" xr3:uid="{00000000-0010-0000-0800-00000A000000}" name="Source" dataDxfId="92" dataCellStyle="Normal"/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00000000}" name="Crops" displayName="Crops" ref="A3:S37" totalsRowShown="0" headerRowDxfId="91" dataDxfId="90">
  <autoFilter ref="A3:S37" xr:uid="{00000000-0009-0000-0100-000016000000}"/>
  <sortState xmlns:xlrd2="http://schemas.microsoft.com/office/spreadsheetml/2017/richdata2" ref="A4:S37">
    <sortCondition ref="A3:A37"/>
  </sortState>
  <tableColumns count="19">
    <tableColumn id="1" xr3:uid="{00000000-0010-0000-0000-000001000000}" name="Plant" dataDxfId="89"/>
    <tableColumn id="2" xr3:uid="{00000000-0010-0000-0000-000002000000}" name="Cat." dataDxfId="88"/>
    <tableColumn id="18" xr3:uid="{00000000-0010-0000-0000-000012000000}" name="Season" dataDxfId="87"/>
    <tableColumn id="3" xr3:uid="{00000000-0010-0000-0000-000003000000}" name="Seed Price" dataDxfId="86"/>
    <tableColumn id="4" xr3:uid="{00000000-0010-0000-0000-000004000000}" name="Sell Price" dataDxfId="85"/>
    <tableColumn id="5" xr3:uid="{00000000-0010-0000-0000-000005000000}" name="Preserve" dataDxfId="84"/>
    <tableColumn id="6" xr3:uid="{00000000-0010-0000-0000-000006000000}" name="Keg" dataDxfId="83"/>
    <tableColumn id="9" xr3:uid="{00000000-0010-0000-0000-000009000000}" name="Profit" dataDxfId="82">
      <calculatedColumnFormula>IFERROR((P4*(INDIRECT(ADDRESS(ROW(),COLUMN(H4)-T4))))-D4, "-")</calculatedColumnFormula>
    </tableColumn>
    <tableColumn id="12" xr3:uid="{00000000-0010-0000-0000-00000C000000}" name="Profit/Season" dataDxfId="81">
      <calculatedColumnFormula>IFERROR(IF(Q4 = "No", ROUNDDOWN(27/M4,0)*H4, ((INDIRECT(ADDRESS(ROW(),COLUMN(I4)-(T4+1))))*P4*O4)-D4), "-")</calculatedColumnFormula>
    </tableColumn>
    <tableColumn id="14" xr3:uid="{00000000-0010-0000-0000-00000E000000}" name="Profit/Season/d" dataDxfId="80">
      <calculatedColumnFormula>IFERROR(I4/28,"-")</calculatedColumnFormula>
    </tableColumn>
    <tableColumn id="24" xr3:uid="{00000000-0010-0000-0000-000018000000}" name="ROI" dataDxfId="79" dataCellStyle="Percent"/>
    <tableColumn id="7" xr3:uid="{00000000-0010-0000-0000-000007000000}" name="Fertilizer" dataDxfId="78">
      <calculatedColumnFormula>IFERROR(IF(Q4 = "No", IF(AND(V4*H4-150&lt;I4,U4*H4-100)&lt;I4=TRUE,"No Speed-Gro", IF(V4*H4-150&lt;U4*H4-100,"Speed-Gro","Deluxe Speed-Gro")), IF(AND(V4*H4-150&lt;I4,U4*H4-100&lt;I4) = TRUE, "No Speed-Gro", IF(V4*H4-150&lt;U4*H4-100,"Speed-Gro","Deluxe Speed-Gro"))), "-")</calculatedColumnFormula>
    </tableColumn>
    <tableColumn id="23" xr3:uid="{00000000-0010-0000-0000-000017000000}" name="Days" dataDxfId="77"/>
    <tableColumn id="22" xr3:uid="{00000000-0010-0000-0000-000016000000}" name="Reharvest" dataDxfId="76"/>
    <tableColumn id="21" xr3:uid="{00000000-0010-0000-0000-000015000000}" name="Harvests" dataDxfId="75">
      <calculatedColumnFormula>1+(ROUNDDOWN((27-M4)/N4,0))</calculatedColumnFormula>
    </tableColumn>
    <tableColumn id="20" xr3:uid="{00000000-0010-0000-0000-000014000000}" name="Yield" dataDxfId="74"/>
    <tableColumn id="16" xr3:uid="{00000000-0010-0000-0000-000010000000}" name="Continuous" dataDxfId="73"/>
    <tableColumn id="19" xr3:uid="{00000000-0010-0000-0000-000013000000}" name="Place" dataDxfId="72"/>
    <tableColumn id="17" xr3:uid="{00000000-0010-0000-0000-000011000000}" name="Notes" dataDxfId="71"/>
  </tableColumns>
  <tableStyleInfo name="TableStyleMedium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3:M9" totalsRowShown="0">
  <autoFilter ref="A3:M9" xr:uid="{00000000-0009-0000-0100-000001000000}"/>
  <tableColumns count="13">
    <tableColumn id="1" xr3:uid="{00000000-0010-0000-0100-000001000000}" name="Plant" dataDxfId="70" dataCellStyle="Normal"/>
    <tableColumn id="20" xr3:uid="{00000000-0010-0000-0100-000014000000}" name="Season" dataDxfId="69"/>
    <tableColumn id="3" xr3:uid="{00000000-0010-0000-0100-000003000000}" name="Seed Price" dataDxfId="68" dataCellStyle="Normal"/>
    <tableColumn id="4" xr3:uid="{00000000-0010-0000-0100-000004000000}" name="Sell Price" dataDxfId="67" dataCellStyle="Normal"/>
    <tableColumn id="5" xr3:uid="{00000000-0010-0000-0100-000005000000}" name="Preserve" dataDxfId="66" dataCellStyle="Normal">
      <calculatedColumnFormula>IF(INDIRECT(ADDRESS(ROW()-(ROW()-1),COLUMN(H1)))="N",IF(INDIRECT(ADDRESS(ROW()-(ROW()-1),COLUMN(K1)))="N",50+(2*D4),(50+(2*D4))*1.4),IF(INDIRECT(ADDRESS(ROW()-(ROW()-1),COLUMN(K1)))="N",50+(2*(D4/1.1)),(50+(2*(D4/1.1)))*1.4))</calculatedColumnFormula>
    </tableColumn>
    <tableColumn id="6" xr3:uid="{00000000-0010-0000-0100-000006000000}" name="Keg" dataDxfId="65" dataCellStyle="Normal">
      <calculatedColumnFormula>IF(INDIRECT(ADDRESS(ROW()-(ROW()-1),COLUMN(H1)))="N",IF(INDIRECT(ADDRESS(ROW()-(ROW()-1),COLUMN(K1)))="N",(3*D4),(3*D4)*1.4),IF(INDIRECT(ADDRESS(ROW()-(ROW()-1),COLUMN(K1)))="N",3*(D4/1.1),(3*(D4/1.1)*1.4)))</calculatedColumnFormula>
    </tableColumn>
    <tableColumn id="9" xr3:uid="{00000000-0010-0000-0100-000009000000}" name="Profit/d" dataDxfId="64" dataCellStyle="Normal">
      <calculatedColumnFormula>(INDIRECT(ADDRESS(ROW(), COLUMN()-(N2))))</calculatedColumnFormula>
    </tableColumn>
    <tableColumn id="10" xr3:uid="{00000000-0010-0000-0100-00000A000000}" name="Profit/Season" dataDxfId="63" dataCellStyle="Normal">
      <calculatedColumnFormula>(INDIRECT(ADDRESS(ROW(), COLUMN(G4))))*28</calculatedColumnFormula>
    </tableColumn>
    <tableColumn id="17" xr3:uid="{00000000-0010-0000-0100-000011000000}" name="ROI Season 1" dataDxfId="62" dataCellStyle="Percent">
      <calculatedColumnFormula>(INDIRECT(ADDRESS(ROW(), COLUMN(H4))))/(INDIRECT(ADDRESS(ROW(), COLUMN(C4))))</calculatedColumnFormula>
    </tableColumn>
    <tableColumn id="18" xr3:uid="{00000000-0010-0000-0100-000012000000}" name="ROI Season 2" dataDxfId="61" dataCellStyle="Percent">
      <calculatedColumnFormula>((INDIRECT(ADDRESS(ROW(), COLUMN(H4))))*2)/((INDIRECT(ADDRESS(ROW(), COLUMN(C4)))))</calculatedColumnFormula>
    </tableColumn>
    <tableColumn id="19" xr3:uid="{00000000-0010-0000-0100-000013000000}" name="ROI Season 3" dataDxfId="60" dataCellStyle="Percent">
      <calculatedColumnFormula>((INDIRECT(ADDRESS(ROW(), COLUMN(H4))))*3)/((INDIRECT(ADDRESS(ROW(), COLUMN(C4)))))</calculatedColumnFormula>
    </tableColumn>
    <tableColumn id="15" xr3:uid="{00000000-0010-0000-0100-00000F000000}" name="Days" dataDxfId="59"/>
    <tableColumn id="12" xr3:uid="{00000000-0010-0000-0100-00000C000000}" name="Place to Buy" dataDxfId="58" dataCellStyle="Normal"/>
  </tableColumns>
  <tableStyleInfo name="TableStyleMedium2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02000000}" name="Table21" displayName="Table21" ref="A3:J12" totalsRowShown="0" headerRowDxfId="57" dataDxfId="56">
  <autoFilter ref="A3:J12" xr:uid="{00000000-0009-0000-0100-000015000000}"/>
  <tableColumns count="10">
    <tableColumn id="1" xr3:uid="{00000000-0010-0000-0200-000001000000}" name="Animal" dataDxfId="55"/>
    <tableColumn id="2" xr3:uid="{00000000-0010-0000-0200-000002000000}" name="Cat." dataDxfId="54"/>
    <tableColumn id="3" xr3:uid="{00000000-0010-0000-0200-000003000000}" name="Buy Price" dataDxfId="53"/>
    <tableColumn id="4" xr3:uid="{00000000-0010-0000-0200-000004000000}" name="Sell Price 1" dataDxfId="52"/>
    <tableColumn id="6" xr3:uid="{00000000-0010-0000-0200-000006000000}" name="Artisan" dataDxfId="51"/>
    <tableColumn id="7" xr3:uid="{00000000-0010-0000-0200-000007000000}" name="Profit/d" dataDxfId="50">
      <calculatedColumnFormula>IFERROR((I4*(INDIRECT(ADDRESS(ROW(),COLUMN()-(INDIRECT(ADDRESS(ROW(),COLUMN(K4)))))))), "-")</calculatedColumnFormula>
    </tableColumn>
    <tableColumn id="8" xr3:uid="{00000000-0010-0000-0200-000008000000}" name="Profit/Season" dataDxfId="49">
      <calculatedColumnFormula>IFERROR(F4*28, "-")</calculatedColumnFormula>
    </tableColumn>
    <tableColumn id="9" xr3:uid="{00000000-0010-0000-0200-000009000000}" name="ROI" dataDxfId="48" dataCellStyle="Percent">
      <calculatedColumnFormula>IFERROR(G4/C4, "-")</calculatedColumnFormula>
    </tableColumn>
    <tableColumn id="10" xr3:uid="{00000000-0010-0000-0200-00000A000000}" name="Yield" dataDxfId="47"/>
    <tableColumn id="11" xr3:uid="{00000000-0010-0000-0200-00000B000000}" name="Place" dataDxfId="46"/>
  </tableColumns>
  <tableStyleInfo name="TableStyleMedium2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3000000}" name="Table19" displayName="Table19" ref="A1:H35" totalsRowShown="0" headerRowDxfId="45" dataDxfId="44">
  <autoFilter ref="A1:H35" xr:uid="{00000000-0009-0000-0100-000013000000}"/>
  <tableColumns count="8">
    <tableColumn id="1" xr3:uid="{00000000-0010-0000-0300-000001000000}" name="Plant" dataDxfId="43"/>
    <tableColumn id="2" xr3:uid="{00000000-0010-0000-0300-000002000000}" name="Sell Price" dataDxfId="42"/>
    <tableColumn id="5" xr3:uid="{00000000-0010-0000-0300-000005000000}" name="Preserve" dataDxfId="41"/>
    <tableColumn id="6" xr3:uid="{00000000-0010-0000-0300-000006000000}" name="Keg" dataDxfId="40"/>
    <tableColumn id="7" xr3:uid="{00000000-0010-0000-0300-000007000000}" name="Location" dataDxfId="39"/>
    <tableColumn id="8" xr3:uid="{00000000-0010-0000-0300-000008000000}" name="Location 2" dataDxfId="38"/>
    <tableColumn id="9" xr3:uid="{00000000-0010-0000-0300-000009000000}" name="Season" dataDxfId="37"/>
    <tableColumn id="10" xr3:uid="{00000000-0010-0000-0300-00000A000000}" name="Notes" dataDxfId="36"/>
  </tableColumns>
  <tableStyleInfo name="TableStyleMedium2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4000000}" name="Table17" displayName="Table17" ref="A1:I46" totalsRowShown="0" headerRowDxfId="35" dataDxfId="34">
  <autoFilter ref="A1:I46" xr:uid="{00000000-0009-0000-0100-000011000000}"/>
  <tableColumns count="9">
    <tableColumn id="1" xr3:uid="{00000000-0010-0000-0400-000001000000}" name="Fish" dataDxfId="33"/>
    <tableColumn id="2" xr3:uid="{00000000-0010-0000-0400-000002000000}" name="Sell Price" dataDxfId="32"/>
    <tableColumn id="3" xr3:uid="{00000000-0010-0000-0400-000003000000}" name="Season" dataDxfId="31"/>
    <tableColumn id="4" xr3:uid="{00000000-0010-0000-0400-000004000000}" name="2nd Season" dataDxfId="30"/>
    <tableColumn id="5" xr3:uid="{00000000-0010-0000-0400-000005000000}" name="3rd Season" dataDxfId="29"/>
    <tableColumn id="6" xr3:uid="{00000000-0010-0000-0400-000006000000}" name="Weather" dataDxfId="28"/>
    <tableColumn id="7" xr3:uid="{00000000-0010-0000-0400-000007000000}" name="Time" dataDxfId="27"/>
    <tableColumn id="8" xr3:uid="{00000000-0010-0000-0400-000008000000}" name="Location" dataDxfId="26"/>
    <tableColumn id="9" xr3:uid="{00000000-0010-0000-0400-000009000000}" name="Difficulty" dataDxfId="25"/>
  </tableColumns>
  <tableStyleInfo name="TableStyleMedium2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5000000}" name="Table16" displayName="Table16" ref="A1:H63" totalsRowShown="0" headerRowDxfId="24" dataDxfId="23" headerRowCellStyle="Normal" dataCellStyle="Normal">
  <autoFilter ref="A1:H63" xr:uid="{00000000-0009-0000-0100-000010000000}"/>
  <sortState xmlns:xlrd2="http://schemas.microsoft.com/office/spreadsheetml/2017/richdata2" ref="A2:H68">
    <sortCondition ref="B1:B68"/>
  </sortState>
  <tableColumns count="8">
    <tableColumn id="12" xr3:uid="{00000000-0010-0000-0500-00000C000000}" name="Name" dataDxfId="22" dataCellStyle="Normal"/>
    <tableColumn id="1" xr3:uid="{00000000-0010-0000-0500-000001000000}" name="Cat." dataDxfId="21" dataCellStyle="Normal"/>
    <tableColumn id="3" xr3:uid="{00000000-0010-0000-0500-000003000000}" name="Sell Price" dataDxfId="20" dataCellStyle="Normal"/>
    <tableColumn id="6" xr3:uid="{00000000-0010-0000-0500-000006000000}" name="Location" dataDxfId="19" dataCellStyle="Normal"/>
    <tableColumn id="7" xr3:uid="{00000000-0010-0000-0500-000007000000}" name="Location 2" dataDxfId="18" dataCellStyle="Normal"/>
    <tableColumn id="8" xr3:uid="{00000000-0010-0000-0500-000008000000}" name="Location 3" dataDxfId="17" dataCellStyle="Normal"/>
    <tableColumn id="9" xr3:uid="{00000000-0010-0000-0500-000009000000}" name="Mine Lvl" dataDxfId="16" dataCellStyle="Normal"/>
    <tableColumn id="10" xr3:uid="{00000000-0010-0000-0500-00000A000000}" name="Panning" dataDxfId="15" dataCellStyle="Normal"/>
  </tableColumns>
  <tableStyleInfo name="TableStyleMedium2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06000000}" name="Table25" displayName="Table25" ref="A3:E30" totalsRowShown="0" headerRowDxfId="14" dataDxfId="13">
  <autoFilter ref="A3:E30" xr:uid="{00000000-0009-0000-0100-000019000000}"/>
  <tableColumns count="5">
    <tableColumn id="1" xr3:uid="{00000000-0010-0000-0600-000001000000}" name="Name" dataDxfId="12"/>
    <tableColumn id="2" xr3:uid="{00000000-0010-0000-0600-000002000000}" name="Method" dataDxfId="11"/>
    <tableColumn id="4" xr3:uid="{00000000-0010-0000-0600-000004000000}" name="Ingredient" dataDxfId="10"/>
    <tableColumn id="5" xr3:uid="{00000000-0010-0000-0600-000005000000}" name="Time" dataDxfId="9"/>
    <tableColumn id="3" xr3:uid="{00000000-0010-0000-0600-000003000000}" name="Sell Price" dataDxfId="8"/>
  </tableColumns>
  <tableStyleInfo name="TableStyleMedium2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7000000}" name="Table2" displayName="Table2" ref="A1:G96" totalsRowShown="0" dataDxfId="7">
  <autoFilter ref="A1:G96" xr:uid="{00000000-0009-0000-0100-000002000000}"/>
  <tableColumns count="7">
    <tableColumn id="1" xr3:uid="{00000000-0010-0000-0700-000001000000}" name="Name" dataDxfId="6"/>
    <tableColumn id="2" xr3:uid="{00000000-0010-0000-0700-000002000000}" name="Cat." dataDxfId="5"/>
    <tableColumn id="3" xr3:uid="{00000000-0010-0000-0700-000003000000}" name="Ingredient" dataDxfId="4"/>
    <tableColumn id="4" xr3:uid="{00000000-0010-0000-0700-000004000000}" name="Ingredient 2" dataDxfId="3"/>
    <tableColumn id="5" xr3:uid="{00000000-0010-0000-0700-000005000000}" name="Ingredient 3" dataDxfId="2"/>
    <tableColumn id="6" xr3:uid="{00000000-0010-0000-0700-000006000000}" name="Ingredient 4" dataDxfId="1"/>
    <tableColumn id="7" xr3:uid="{00000000-0010-0000-0700-000007000000}" name="Unlock" dataDxfId="0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1"/>
  <dimension ref="A1:J7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20" sqref="O20"/>
    </sheetView>
  </sheetViews>
  <sheetFormatPr defaultColWidth="8.85546875" defaultRowHeight="15" x14ac:dyDescent="0.25"/>
  <cols>
    <col min="1" max="1" width="20.140625" style="3" customWidth="1"/>
    <col min="2" max="2" width="10.28515625" style="3" customWidth="1"/>
    <col min="3" max="3" width="18.140625" style="3" customWidth="1"/>
    <col min="4" max="4" width="18.7109375" style="3" customWidth="1"/>
    <col min="5" max="5" width="13.28515625" style="3" customWidth="1"/>
    <col min="6" max="6" width="13.5703125" style="3" customWidth="1"/>
    <col min="7" max="7" width="8.85546875" style="3"/>
    <col min="8" max="8" width="8.85546875" style="4"/>
    <col min="9" max="10" width="8.85546875" style="3"/>
    <col min="11" max="11" width="25.140625" style="3" customWidth="1"/>
    <col min="12" max="12" width="22" style="3" customWidth="1"/>
    <col min="13" max="16384" width="8.85546875" style="3"/>
  </cols>
  <sheetData>
    <row r="1" spans="1:10" x14ac:dyDescent="0.25">
      <c r="A1" s="1" t="s">
        <v>163</v>
      </c>
      <c r="B1" s="1" t="s">
        <v>164</v>
      </c>
      <c r="C1" s="1" t="s">
        <v>165</v>
      </c>
      <c r="D1" s="1" t="s">
        <v>835</v>
      </c>
      <c r="E1" s="1" t="s">
        <v>836</v>
      </c>
      <c r="F1" s="1" t="s">
        <v>837</v>
      </c>
      <c r="G1" s="1" t="s">
        <v>463</v>
      </c>
      <c r="H1" s="1" t="s">
        <v>464</v>
      </c>
      <c r="I1" s="1" t="s">
        <v>465</v>
      </c>
      <c r="J1" s="1" t="s">
        <v>466</v>
      </c>
    </row>
    <row r="2" spans="1:10" x14ac:dyDescent="0.25">
      <c r="A2" s="1" t="s">
        <v>562</v>
      </c>
      <c r="B2" s="28">
        <v>100</v>
      </c>
      <c r="C2" s="1" t="s">
        <v>563</v>
      </c>
      <c r="D2" s="1" t="s">
        <v>171</v>
      </c>
      <c r="E2" s="1" t="s">
        <v>171</v>
      </c>
      <c r="F2" s="1" t="s">
        <v>171</v>
      </c>
      <c r="G2" s="1">
        <v>75</v>
      </c>
      <c r="H2" s="1">
        <v>33</v>
      </c>
      <c r="I2" s="1"/>
      <c r="J2" s="1" t="s">
        <v>564</v>
      </c>
    </row>
    <row r="3" spans="1:10" x14ac:dyDescent="0.25">
      <c r="A3" s="1" t="s">
        <v>569</v>
      </c>
      <c r="B3" s="28">
        <v>210</v>
      </c>
      <c r="C3" s="1" t="s">
        <v>39</v>
      </c>
      <c r="D3" s="1" t="s">
        <v>470</v>
      </c>
      <c r="E3" s="1" t="s">
        <v>171</v>
      </c>
      <c r="F3" s="1" t="s">
        <v>171</v>
      </c>
      <c r="G3" s="1">
        <v>100</v>
      </c>
      <c r="H3" s="1">
        <v>45</v>
      </c>
      <c r="I3" s="1"/>
      <c r="J3" s="1" t="s">
        <v>471</v>
      </c>
    </row>
    <row r="4" spans="1:10" x14ac:dyDescent="0.25">
      <c r="A4" s="1" t="s">
        <v>539</v>
      </c>
      <c r="B4" s="28">
        <v>350</v>
      </c>
      <c r="C4" s="1" t="s">
        <v>40</v>
      </c>
      <c r="D4" s="1" t="s">
        <v>43</v>
      </c>
      <c r="E4" s="1" t="s">
        <v>171</v>
      </c>
      <c r="F4" s="1" t="s">
        <v>171</v>
      </c>
      <c r="G4" s="1">
        <v>220</v>
      </c>
      <c r="H4" s="1">
        <v>99</v>
      </c>
      <c r="I4" s="1" t="s">
        <v>540</v>
      </c>
      <c r="J4" s="1" t="s">
        <v>647</v>
      </c>
    </row>
    <row r="5" spans="1:10" x14ac:dyDescent="0.25">
      <c r="A5" s="1" t="s">
        <v>475</v>
      </c>
      <c r="B5" s="28">
        <v>100</v>
      </c>
      <c r="C5" s="1" t="s">
        <v>73</v>
      </c>
      <c r="D5" s="1" t="s">
        <v>56</v>
      </c>
      <c r="E5" s="1" t="s">
        <v>476</v>
      </c>
      <c r="F5" s="1" t="s">
        <v>171</v>
      </c>
      <c r="G5" s="1">
        <v>75</v>
      </c>
      <c r="H5" s="1">
        <v>33</v>
      </c>
      <c r="I5" s="1"/>
      <c r="J5" s="1" t="s">
        <v>471</v>
      </c>
    </row>
    <row r="6" spans="1:10" x14ac:dyDescent="0.25">
      <c r="A6" s="1" t="s">
        <v>494</v>
      </c>
      <c r="B6" s="28">
        <v>100</v>
      </c>
      <c r="C6" s="1" t="s">
        <v>495</v>
      </c>
      <c r="D6" s="1" t="s">
        <v>171</v>
      </c>
      <c r="E6" s="1" t="s">
        <v>171</v>
      </c>
      <c r="F6" s="1" t="s">
        <v>171</v>
      </c>
      <c r="G6" s="1">
        <v>125</v>
      </c>
      <c r="H6" s="1">
        <v>56</v>
      </c>
      <c r="I6" s="1" t="s">
        <v>496</v>
      </c>
      <c r="J6" s="1" t="s">
        <v>564</v>
      </c>
    </row>
    <row r="7" spans="1:10" x14ac:dyDescent="0.25">
      <c r="A7" s="1" t="s">
        <v>578</v>
      </c>
      <c r="B7" s="28">
        <v>260</v>
      </c>
      <c r="C7" s="1" t="s">
        <v>579</v>
      </c>
      <c r="D7" s="1" t="s">
        <v>498</v>
      </c>
      <c r="E7" s="1" t="s">
        <v>476</v>
      </c>
      <c r="F7" s="1" t="s">
        <v>171</v>
      </c>
      <c r="G7" s="1">
        <v>175</v>
      </c>
      <c r="H7" s="1">
        <v>78</v>
      </c>
      <c r="I7" s="1"/>
      <c r="J7" s="1" t="s">
        <v>471</v>
      </c>
    </row>
    <row r="8" spans="1:10" x14ac:dyDescent="0.25">
      <c r="A8" s="1" t="s">
        <v>537</v>
      </c>
      <c r="B8" s="28">
        <v>150</v>
      </c>
      <c r="C8" s="1" t="s">
        <v>29</v>
      </c>
      <c r="D8" s="1" t="s">
        <v>476</v>
      </c>
      <c r="E8" s="1" t="s">
        <v>498</v>
      </c>
      <c r="F8" s="1" t="s">
        <v>468</v>
      </c>
      <c r="G8" s="1">
        <v>125</v>
      </c>
      <c r="H8" s="1">
        <v>56</v>
      </c>
      <c r="I8" s="1"/>
      <c r="J8" s="1" t="s">
        <v>538</v>
      </c>
    </row>
    <row r="9" spans="1:10" x14ac:dyDescent="0.25">
      <c r="A9" s="1" t="s">
        <v>512</v>
      </c>
      <c r="B9" s="28">
        <v>60</v>
      </c>
      <c r="C9" s="1" t="s">
        <v>476</v>
      </c>
      <c r="D9" s="1" t="s">
        <v>171</v>
      </c>
      <c r="E9" s="1" t="s">
        <v>171</v>
      </c>
      <c r="F9" s="1" t="s">
        <v>171</v>
      </c>
      <c r="G9" s="1">
        <v>50</v>
      </c>
      <c r="H9" s="1">
        <v>22</v>
      </c>
      <c r="I9" s="1"/>
      <c r="J9" s="1" t="s">
        <v>648</v>
      </c>
    </row>
    <row r="10" spans="1:10" x14ac:dyDescent="0.25">
      <c r="A10" s="1" t="s">
        <v>582</v>
      </c>
      <c r="B10" s="28">
        <v>210</v>
      </c>
      <c r="C10" s="1" t="s">
        <v>512</v>
      </c>
      <c r="D10" s="1" t="s">
        <v>484</v>
      </c>
      <c r="E10" s="1" t="s">
        <v>27</v>
      </c>
      <c r="F10" s="1" t="s">
        <v>171</v>
      </c>
      <c r="G10" s="1">
        <v>113</v>
      </c>
      <c r="H10" s="1">
        <v>50</v>
      </c>
      <c r="I10" s="1"/>
      <c r="J10" s="1" t="s">
        <v>471</v>
      </c>
    </row>
    <row r="11" spans="1:10" x14ac:dyDescent="0.25">
      <c r="A11" s="1" t="s">
        <v>499</v>
      </c>
      <c r="B11" s="28">
        <v>150</v>
      </c>
      <c r="C11" s="1" t="s">
        <v>500</v>
      </c>
      <c r="D11" s="1" t="s">
        <v>171</v>
      </c>
      <c r="E11" s="1" t="s">
        <v>171</v>
      </c>
      <c r="F11" s="1" t="s">
        <v>171</v>
      </c>
      <c r="G11" s="1">
        <v>90</v>
      </c>
      <c r="H11" s="1">
        <v>40</v>
      </c>
      <c r="I11" s="1"/>
      <c r="J11" s="1" t="s">
        <v>471</v>
      </c>
    </row>
    <row r="12" spans="1:10" x14ac:dyDescent="0.25">
      <c r="A12" s="1" t="s">
        <v>860</v>
      </c>
      <c r="B12" s="28">
        <v>300</v>
      </c>
      <c r="C12" s="1" t="s">
        <v>16</v>
      </c>
      <c r="D12" s="1" t="s">
        <v>474</v>
      </c>
      <c r="E12" s="1" t="s">
        <v>171</v>
      </c>
      <c r="F12" s="1" t="s">
        <v>171</v>
      </c>
      <c r="G12" s="1">
        <v>138</v>
      </c>
      <c r="H12" s="1">
        <v>62</v>
      </c>
      <c r="I12" s="1"/>
      <c r="J12" s="1" t="s">
        <v>649</v>
      </c>
    </row>
    <row r="13" spans="1:10" x14ac:dyDescent="0.25">
      <c r="A13" s="1" t="s">
        <v>516</v>
      </c>
      <c r="B13" s="28">
        <v>200</v>
      </c>
      <c r="C13" s="1" t="s">
        <v>476</v>
      </c>
      <c r="D13" s="1" t="s">
        <v>498</v>
      </c>
      <c r="E13" s="1" t="s">
        <v>468</v>
      </c>
      <c r="F13" s="1" t="s">
        <v>171</v>
      </c>
      <c r="G13" s="1">
        <v>150</v>
      </c>
      <c r="H13" s="1">
        <v>67</v>
      </c>
      <c r="I13" s="1"/>
      <c r="J13" s="1" t="s">
        <v>471</v>
      </c>
    </row>
    <row r="14" spans="1:10" x14ac:dyDescent="0.25">
      <c r="A14" s="1" t="s">
        <v>586</v>
      </c>
      <c r="B14" s="28">
        <v>135</v>
      </c>
      <c r="C14" s="1" t="s">
        <v>137</v>
      </c>
      <c r="D14" s="1" t="s">
        <v>470</v>
      </c>
      <c r="E14" s="1" t="s">
        <v>171</v>
      </c>
      <c r="F14" s="1" t="s">
        <v>171</v>
      </c>
      <c r="G14" s="1">
        <v>225</v>
      </c>
      <c r="H14" s="1">
        <v>101</v>
      </c>
      <c r="I14" s="1" t="s">
        <v>515</v>
      </c>
      <c r="J14" s="1" t="s">
        <v>587</v>
      </c>
    </row>
    <row r="15" spans="1:10" x14ac:dyDescent="0.25">
      <c r="A15" s="1" t="s">
        <v>583</v>
      </c>
      <c r="B15" s="28">
        <v>345</v>
      </c>
      <c r="C15" s="1" t="s">
        <v>25</v>
      </c>
      <c r="D15" s="1" t="s">
        <v>473</v>
      </c>
      <c r="E15" s="1" t="s">
        <v>182</v>
      </c>
      <c r="F15" s="1" t="s">
        <v>171</v>
      </c>
      <c r="G15" s="1">
        <v>213</v>
      </c>
      <c r="H15" s="1">
        <v>95</v>
      </c>
      <c r="I15" s="1"/>
      <c r="J15" s="1" t="s">
        <v>471</v>
      </c>
    </row>
    <row r="16" spans="1:10" x14ac:dyDescent="0.25">
      <c r="A16" s="1" t="s">
        <v>479</v>
      </c>
      <c r="B16" s="28">
        <v>350</v>
      </c>
      <c r="C16" s="1" t="s">
        <v>467</v>
      </c>
      <c r="D16" s="1" t="s">
        <v>470</v>
      </c>
      <c r="E16" s="1" t="s">
        <v>480</v>
      </c>
      <c r="F16" s="1" t="s">
        <v>481</v>
      </c>
      <c r="G16" s="1">
        <v>200</v>
      </c>
      <c r="H16" s="1">
        <v>90</v>
      </c>
      <c r="I16" s="1" t="s">
        <v>482</v>
      </c>
      <c r="J16" s="1" t="s">
        <v>471</v>
      </c>
    </row>
    <row r="17" spans="1:10" x14ac:dyDescent="0.25">
      <c r="A17" s="1" t="s">
        <v>519</v>
      </c>
      <c r="B17" s="28">
        <v>140</v>
      </c>
      <c r="C17" s="1" t="s">
        <v>476</v>
      </c>
      <c r="D17" s="1" t="s">
        <v>498</v>
      </c>
      <c r="E17" s="1" t="s">
        <v>468</v>
      </c>
      <c r="F17" s="1" t="s">
        <v>171</v>
      </c>
      <c r="G17" s="1">
        <v>90</v>
      </c>
      <c r="H17" s="1">
        <v>40</v>
      </c>
      <c r="I17" s="1"/>
      <c r="J17" s="1" t="s">
        <v>520</v>
      </c>
    </row>
    <row r="18" spans="1:10" x14ac:dyDescent="0.25">
      <c r="A18" s="1" t="s">
        <v>595</v>
      </c>
      <c r="B18" s="28">
        <v>275</v>
      </c>
      <c r="C18" s="1" t="s">
        <v>596</v>
      </c>
      <c r="D18" s="1" t="s">
        <v>476</v>
      </c>
      <c r="E18" s="1" t="s">
        <v>468</v>
      </c>
      <c r="F18" s="1" t="s">
        <v>484</v>
      </c>
      <c r="G18" s="1">
        <v>225</v>
      </c>
      <c r="H18" s="1">
        <v>101</v>
      </c>
      <c r="I18" s="1" t="s">
        <v>650</v>
      </c>
      <c r="J18" s="1" t="s">
        <v>471</v>
      </c>
    </row>
    <row r="19" spans="1:10" x14ac:dyDescent="0.25">
      <c r="A19" s="1" t="s">
        <v>580</v>
      </c>
      <c r="B19" s="28">
        <v>175</v>
      </c>
      <c r="C19" s="1" t="s">
        <v>36</v>
      </c>
      <c r="D19" s="1" t="s">
        <v>581</v>
      </c>
      <c r="E19" s="1" t="s">
        <v>498</v>
      </c>
      <c r="F19" s="1" t="s">
        <v>171</v>
      </c>
      <c r="G19" s="1">
        <v>125</v>
      </c>
      <c r="H19" s="1">
        <v>56</v>
      </c>
      <c r="I19" s="1"/>
      <c r="J19" s="1" t="s">
        <v>471</v>
      </c>
    </row>
    <row r="20" spans="1:10" x14ac:dyDescent="0.25">
      <c r="A20" s="1" t="s">
        <v>547</v>
      </c>
      <c r="B20" s="28">
        <v>120</v>
      </c>
      <c r="C20" s="1" t="s">
        <v>36</v>
      </c>
      <c r="D20" s="1" t="s">
        <v>498</v>
      </c>
      <c r="E20" s="1" t="s">
        <v>171</v>
      </c>
      <c r="F20" s="1" t="s">
        <v>171</v>
      </c>
      <c r="G20" s="1">
        <v>125</v>
      </c>
      <c r="H20" s="1">
        <v>56</v>
      </c>
      <c r="I20" s="1" t="s">
        <v>548</v>
      </c>
      <c r="J20" s="1" t="s">
        <v>651</v>
      </c>
    </row>
    <row r="21" spans="1:10" x14ac:dyDescent="0.25">
      <c r="A21" s="1" t="s">
        <v>507</v>
      </c>
      <c r="B21" s="28">
        <v>150</v>
      </c>
      <c r="C21" s="1" t="s">
        <v>59</v>
      </c>
      <c r="D21" s="1" t="s">
        <v>476</v>
      </c>
      <c r="E21" s="1" t="s">
        <v>484</v>
      </c>
      <c r="F21" s="1" t="s">
        <v>171</v>
      </c>
      <c r="G21" s="1">
        <v>90</v>
      </c>
      <c r="H21" s="1">
        <v>40</v>
      </c>
      <c r="I21" s="1" t="s">
        <v>508</v>
      </c>
      <c r="J21" s="1" t="s">
        <v>652</v>
      </c>
    </row>
    <row r="22" spans="1:10" x14ac:dyDescent="0.25">
      <c r="A22" s="1" t="s">
        <v>555</v>
      </c>
      <c r="B22" s="28">
        <v>220</v>
      </c>
      <c r="C22" s="1" t="s">
        <v>556</v>
      </c>
      <c r="D22" s="1" t="s">
        <v>480</v>
      </c>
      <c r="E22" s="1" t="s">
        <v>171</v>
      </c>
      <c r="F22" s="1" t="s">
        <v>171</v>
      </c>
      <c r="G22" s="1">
        <v>125</v>
      </c>
      <c r="H22" s="1">
        <v>56</v>
      </c>
      <c r="I22" s="1" t="s">
        <v>557</v>
      </c>
      <c r="J22" s="1" t="s">
        <v>653</v>
      </c>
    </row>
    <row r="23" spans="1:10" x14ac:dyDescent="0.25">
      <c r="A23" s="1" t="s">
        <v>533</v>
      </c>
      <c r="B23" s="28">
        <v>200</v>
      </c>
      <c r="C23" s="1" t="s">
        <v>34</v>
      </c>
      <c r="D23" s="1" t="s">
        <v>27</v>
      </c>
      <c r="E23" s="1" t="s">
        <v>171</v>
      </c>
      <c r="F23" s="1" t="s">
        <v>171</v>
      </c>
      <c r="G23" s="1">
        <v>175</v>
      </c>
      <c r="H23" s="1">
        <v>78</v>
      </c>
      <c r="I23" s="1" t="s">
        <v>534</v>
      </c>
      <c r="J23" s="1" t="s">
        <v>655</v>
      </c>
    </row>
    <row r="24" spans="1:10" x14ac:dyDescent="0.25">
      <c r="A24" s="1" t="s">
        <v>590</v>
      </c>
      <c r="B24" s="28">
        <v>125</v>
      </c>
      <c r="C24" s="1" t="s">
        <v>591</v>
      </c>
      <c r="D24" s="1" t="s">
        <v>8</v>
      </c>
      <c r="E24" s="1" t="s">
        <v>171</v>
      </c>
      <c r="F24" s="1" t="s">
        <v>171</v>
      </c>
      <c r="G24" s="1">
        <v>225</v>
      </c>
      <c r="H24" s="1">
        <v>101</v>
      </c>
      <c r="I24" s="1" t="s">
        <v>506</v>
      </c>
      <c r="J24" s="1" t="s">
        <v>587</v>
      </c>
    </row>
    <row r="25" spans="1:10" x14ac:dyDescent="0.25">
      <c r="A25" s="1" t="s">
        <v>551</v>
      </c>
      <c r="B25" s="28">
        <v>150</v>
      </c>
      <c r="C25" s="1" t="s">
        <v>469</v>
      </c>
      <c r="D25" s="1" t="s">
        <v>7</v>
      </c>
      <c r="E25" s="1" t="s">
        <v>171</v>
      </c>
      <c r="F25" s="1" t="s">
        <v>171</v>
      </c>
      <c r="G25" s="1">
        <v>200</v>
      </c>
      <c r="H25" s="1">
        <v>90</v>
      </c>
      <c r="I25" s="1" t="s">
        <v>552</v>
      </c>
      <c r="J25" s="1" t="s">
        <v>654</v>
      </c>
    </row>
    <row r="26" spans="1:10" x14ac:dyDescent="0.25">
      <c r="A26" s="1" t="s">
        <v>584</v>
      </c>
      <c r="B26" s="28">
        <v>350</v>
      </c>
      <c r="C26" s="1" t="s">
        <v>484</v>
      </c>
      <c r="D26" s="1" t="s">
        <v>158</v>
      </c>
      <c r="E26" s="1" t="s">
        <v>8</v>
      </c>
      <c r="F26" s="1" t="s">
        <v>171</v>
      </c>
      <c r="G26" s="1">
        <v>225</v>
      </c>
      <c r="H26" s="1">
        <v>101</v>
      </c>
      <c r="I26" s="1"/>
      <c r="J26" s="1" t="s">
        <v>471</v>
      </c>
    </row>
    <row r="27" spans="1:10" x14ac:dyDescent="0.25">
      <c r="A27" s="1" t="s">
        <v>592</v>
      </c>
      <c r="B27" s="28">
        <v>175</v>
      </c>
      <c r="C27" s="1" t="s">
        <v>593</v>
      </c>
      <c r="D27" s="1" t="s">
        <v>138</v>
      </c>
      <c r="E27" s="1" t="s">
        <v>487</v>
      </c>
      <c r="F27" s="1" t="s">
        <v>27</v>
      </c>
      <c r="G27" s="1">
        <v>225</v>
      </c>
      <c r="H27" s="1">
        <v>101</v>
      </c>
      <c r="I27" s="1" t="s">
        <v>557</v>
      </c>
      <c r="J27" s="1" t="s">
        <v>587</v>
      </c>
    </row>
    <row r="28" spans="1:10" x14ac:dyDescent="0.25">
      <c r="A28" s="1" t="s">
        <v>505</v>
      </c>
      <c r="B28" s="28">
        <v>500</v>
      </c>
      <c r="C28" s="1" t="s">
        <v>53</v>
      </c>
      <c r="D28" s="1" t="s">
        <v>490</v>
      </c>
      <c r="E28" s="1" t="s">
        <v>25</v>
      </c>
      <c r="F28" s="1" t="s">
        <v>182</v>
      </c>
      <c r="G28" s="1">
        <v>165</v>
      </c>
      <c r="H28" s="1">
        <v>74</v>
      </c>
      <c r="I28" s="1" t="s">
        <v>506</v>
      </c>
      <c r="J28" s="1" t="s">
        <v>656</v>
      </c>
    </row>
    <row r="29" spans="1:10" x14ac:dyDescent="0.25">
      <c r="A29" s="1" t="s">
        <v>483</v>
      </c>
      <c r="B29" s="28">
        <v>150</v>
      </c>
      <c r="C29" s="1" t="s">
        <v>80</v>
      </c>
      <c r="D29" s="1" t="s">
        <v>476</v>
      </c>
      <c r="E29" s="1" t="s">
        <v>484</v>
      </c>
      <c r="F29" s="1" t="s">
        <v>171</v>
      </c>
      <c r="G29" s="1">
        <v>80</v>
      </c>
      <c r="H29" s="1">
        <v>36</v>
      </c>
      <c r="I29" s="1"/>
      <c r="J29" s="1" t="s">
        <v>485</v>
      </c>
    </row>
    <row r="30" spans="1:10" x14ac:dyDescent="0.25">
      <c r="A30" s="1" t="s">
        <v>522</v>
      </c>
      <c r="B30" s="28">
        <v>120</v>
      </c>
      <c r="C30" s="1" t="s">
        <v>77</v>
      </c>
      <c r="D30" s="1" t="s">
        <v>484</v>
      </c>
      <c r="E30" s="1" t="s">
        <v>171</v>
      </c>
      <c r="F30" s="1" t="s">
        <v>171</v>
      </c>
      <c r="G30" s="1">
        <v>75</v>
      </c>
      <c r="H30" s="1">
        <v>33</v>
      </c>
      <c r="I30" s="1" t="s">
        <v>523</v>
      </c>
      <c r="J30" s="1" t="s">
        <v>657</v>
      </c>
    </row>
    <row r="31" spans="1:10" x14ac:dyDescent="0.25">
      <c r="A31" s="1" t="s">
        <v>467</v>
      </c>
      <c r="B31" s="28">
        <v>35</v>
      </c>
      <c r="C31" s="1" t="s">
        <v>468</v>
      </c>
      <c r="D31" s="1" t="s">
        <v>171</v>
      </c>
      <c r="E31" s="1" t="s">
        <v>171</v>
      </c>
      <c r="F31" s="1" t="s">
        <v>171</v>
      </c>
      <c r="G31" s="1">
        <v>50</v>
      </c>
      <c r="H31" s="1">
        <v>22</v>
      </c>
      <c r="I31" s="1"/>
      <c r="J31" s="1" t="s">
        <v>658</v>
      </c>
    </row>
    <row r="32" spans="1:10" x14ac:dyDescent="0.25">
      <c r="A32" s="1" t="s">
        <v>492</v>
      </c>
      <c r="B32" s="28">
        <v>200</v>
      </c>
      <c r="C32" s="1" t="s">
        <v>118</v>
      </c>
      <c r="D32" s="1" t="s">
        <v>116</v>
      </c>
      <c r="E32" s="1" t="s">
        <v>484</v>
      </c>
      <c r="F32" s="1" t="s">
        <v>171</v>
      </c>
      <c r="G32" s="1">
        <v>135</v>
      </c>
      <c r="H32" s="1">
        <v>60</v>
      </c>
      <c r="I32" s="1" t="s">
        <v>659</v>
      </c>
      <c r="J32" s="1" t="s">
        <v>647</v>
      </c>
    </row>
    <row r="33" spans="1:10" x14ac:dyDescent="0.25">
      <c r="A33" s="1" t="s">
        <v>576</v>
      </c>
      <c r="B33" s="28">
        <v>450</v>
      </c>
      <c r="C33" s="1" t="s">
        <v>29</v>
      </c>
      <c r="D33" s="1" t="s">
        <v>28</v>
      </c>
      <c r="E33" s="1" t="s">
        <v>577</v>
      </c>
      <c r="F33" s="1" t="s">
        <v>171</v>
      </c>
      <c r="G33" s="1">
        <v>263</v>
      </c>
      <c r="H33" s="1">
        <v>118</v>
      </c>
      <c r="I33" s="1"/>
      <c r="J33" s="1" t="s">
        <v>471</v>
      </c>
    </row>
    <row r="34" spans="1:10" x14ac:dyDescent="0.25">
      <c r="A34" s="1" t="s">
        <v>497</v>
      </c>
      <c r="B34" s="28">
        <v>200</v>
      </c>
      <c r="C34" s="1" t="s">
        <v>40</v>
      </c>
      <c r="D34" s="1" t="s">
        <v>498</v>
      </c>
      <c r="E34" s="1" t="s">
        <v>171</v>
      </c>
      <c r="F34" s="1" t="s">
        <v>171</v>
      </c>
      <c r="G34" s="1">
        <v>200</v>
      </c>
      <c r="H34" s="1">
        <v>90</v>
      </c>
      <c r="I34" s="1"/>
      <c r="J34" s="1" t="s">
        <v>471</v>
      </c>
    </row>
    <row r="35" spans="1:10" x14ac:dyDescent="0.25">
      <c r="A35" s="1" t="s">
        <v>480</v>
      </c>
      <c r="B35" s="28">
        <v>120</v>
      </c>
      <c r="C35" s="1" t="s">
        <v>9</v>
      </c>
      <c r="D35" s="1" t="s">
        <v>484</v>
      </c>
      <c r="E35" s="1" t="s">
        <v>171</v>
      </c>
      <c r="F35" s="1" t="s">
        <v>171</v>
      </c>
      <c r="G35" s="1">
        <v>90</v>
      </c>
      <c r="H35" s="1">
        <v>40</v>
      </c>
      <c r="I35" s="1" t="s">
        <v>501</v>
      </c>
      <c r="J35" s="1" t="s">
        <v>648</v>
      </c>
    </row>
    <row r="36" spans="1:10" x14ac:dyDescent="0.25">
      <c r="A36" s="1" t="s">
        <v>536</v>
      </c>
      <c r="B36" s="28">
        <v>120</v>
      </c>
      <c r="C36" s="1" t="s">
        <v>470</v>
      </c>
      <c r="D36" s="1" t="s">
        <v>498</v>
      </c>
      <c r="E36" s="1" t="s">
        <v>171</v>
      </c>
      <c r="F36" s="1" t="s">
        <v>171</v>
      </c>
      <c r="G36" s="1">
        <v>100</v>
      </c>
      <c r="H36" s="1">
        <v>45</v>
      </c>
      <c r="I36" s="1"/>
      <c r="J36" s="1" t="s">
        <v>485</v>
      </c>
    </row>
    <row r="37" spans="1:10" x14ac:dyDescent="0.25">
      <c r="A37" s="1" t="s">
        <v>588</v>
      </c>
      <c r="B37" s="28">
        <v>205</v>
      </c>
      <c r="C37" s="1" t="s">
        <v>589</v>
      </c>
      <c r="D37" s="1" t="s">
        <v>470</v>
      </c>
      <c r="E37" s="1" t="s">
        <v>171</v>
      </c>
      <c r="F37" s="1" t="s">
        <v>171</v>
      </c>
      <c r="G37" s="1">
        <v>225</v>
      </c>
      <c r="H37" s="1">
        <v>101</v>
      </c>
      <c r="I37" s="1" t="s">
        <v>660</v>
      </c>
      <c r="J37" s="1" t="s">
        <v>587</v>
      </c>
    </row>
    <row r="38" spans="1:10" x14ac:dyDescent="0.25">
      <c r="A38" s="1" t="s">
        <v>488</v>
      </c>
      <c r="B38" s="28">
        <v>250</v>
      </c>
      <c r="C38" s="1" t="s">
        <v>489</v>
      </c>
      <c r="D38" s="1" t="s">
        <v>490</v>
      </c>
      <c r="E38" s="1" t="s">
        <v>12</v>
      </c>
      <c r="F38" s="1" t="s">
        <v>171</v>
      </c>
      <c r="G38" s="1">
        <v>100</v>
      </c>
      <c r="H38" s="1">
        <v>45</v>
      </c>
      <c r="I38" s="1" t="s">
        <v>491</v>
      </c>
      <c r="J38" s="1" t="s">
        <v>471</v>
      </c>
    </row>
    <row r="39" spans="1:10" x14ac:dyDescent="0.25">
      <c r="A39" s="1" t="s">
        <v>528</v>
      </c>
      <c r="B39" s="28">
        <v>220</v>
      </c>
      <c r="C39" s="1" t="s">
        <v>44</v>
      </c>
      <c r="D39" s="1" t="s">
        <v>529</v>
      </c>
      <c r="E39" s="1" t="s">
        <v>530</v>
      </c>
      <c r="F39" s="1" t="s">
        <v>171</v>
      </c>
      <c r="G39" s="1">
        <v>100</v>
      </c>
      <c r="H39" s="1">
        <v>45</v>
      </c>
      <c r="I39" s="1"/>
      <c r="J39" s="1" t="s">
        <v>648</v>
      </c>
    </row>
    <row r="40" spans="1:10" x14ac:dyDescent="0.25">
      <c r="A40" s="1" t="s">
        <v>594</v>
      </c>
      <c r="B40" s="28">
        <v>300</v>
      </c>
      <c r="C40" s="1" t="s">
        <v>149</v>
      </c>
      <c r="D40" s="1" t="s">
        <v>498</v>
      </c>
      <c r="E40" s="1" t="s">
        <v>476</v>
      </c>
      <c r="F40" s="1" t="s">
        <v>171</v>
      </c>
      <c r="G40" s="1">
        <v>225</v>
      </c>
      <c r="H40" s="1">
        <v>101</v>
      </c>
      <c r="I40" s="1"/>
      <c r="J40" s="1" t="s">
        <v>471</v>
      </c>
    </row>
    <row r="41" spans="1:10" x14ac:dyDescent="0.25">
      <c r="A41" s="1" t="s">
        <v>558</v>
      </c>
      <c r="B41" s="28">
        <v>200</v>
      </c>
      <c r="C41" s="1" t="s">
        <v>559</v>
      </c>
      <c r="D41" s="1" t="s">
        <v>498</v>
      </c>
      <c r="E41" s="1" t="s">
        <v>470</v>
      </c>
      <c r="F41" s="1"/>
      <c r="G41" s="1">
        <v>125</v>
      </c>
      <c r="H41" s="1">
        <v>56</v>
      </c>
      <c r="I41" s="1" t="s">
        <v>560</v>
      </c>
      <c r="J41" s="1" t="s">
        <v>661</v>
      </c>
    </row>
    <row r="42" spans="1:10" x14ac:dyDescent="0.25">
      <c r="A42" s="1" t="s">
        <v>469</v>
      </c>
      <c r="B42" s="28">
        <v>125</v>
      </c>
      <c r="C42" s="1" t="s">
        <v>468</v>
      </c>
      <c r="D42" s="1" t="s">
        <v>470</v>
      </c>
      <c r="E42" s="1" t="s">
        <v>171</v>
      </c>
      <c r="F42" s="1" t="s">
        <v>171</v>
      </c>
      <c r="G42" s="1">
        <v>100</v>
      </c>
      <c r="H42" s="1">
        <v>45</v>
      </c>
      <c r="I42" s="1"/>
      <c r="J42" s="1" t="s">
        <v>648</v>
      </c>
    </row>
    <row r="43" spans="1:10" x14ac:dyDescent="0.25">
      <c r="A43" s="1" t="s">
        <v>565</v>
      </c>
      <c r="B43" s="28">
        <v>150</v>
      </c>
      <c r="C43" s="1" t="s">
        <v>566</v>
      </c>
      <c r="D43" s="1" t="s">
        <v>171</v>
      </c>
      <c r="E43" s="1" t="s">
        <v>171</v>
      </c>
      <c r="F43" s="1" t="s">
        <v>171</v>
      </c>
      <c r="G43" s="1">
        <v>125</v>
      </c>
      <c r="H43" s="1">
        <v>56</v>
      </c>
      <c r="I43" s="1"/>
      <c r="J43" s="1" t="s">
        <v>662</v>
      </c>
    </row>
    <row r="44" spans="1:10" x14ac:dyDescent="0.25">
      <c r="A44" s="1" t="s">
        <v>481</v>
      </c>
      <c r="B44" s="28">
        <v>80</v>
      </c>
      <c r="C44" s="1" t="s">
        <v>476</v>
      </c>
      <c r="D44" s="1" t="s">
        <v>468</v>
      </c>
      <c r="E44" s="1" t="s">
        <v>171</v>
      </c>
      <c r="F44" s="1" t="s">
        <v>171</v>
      </c>
      <c r="G44" s="1">
        <v>90</v>
      </c>
      <c r="H44" s="1">
        <v>40</v>
      </c>
      <c r="I44" s="1" t="s">
        <v>502</v>
      </c>
      <c r="J44" s="1" t="s">
        <v>648</v>
      </c>
    </row>
    <row r="45" spans="1:10" x14ac:dyDescent="0.25">
      <c r="A45" s="1" t="s">
        <v>477</v>
      </c>
      <c r="B45" s="28">
        <v>120</v>
      </c>
      <c r="C45" s="1" t="s">
        <v>7</v>
      </c>
      <c r="D45" s="1" t="s">
        <v>470</v>
      </c>
      <c r="E45" s="1" t="s">
        <v>473</v>
      </c>
      <c r="F45" s="1" t="s">
        <v>171</v>
      </c>
      <c r="G45" s="1">
        <v>85</v>
      </c>
      <c r="H45" s="1">
        <v>38</v>
      </c>
      <c r="I45" s="1"/>
      <c r="J45" s="1" t="s">
        <v>663</v>
      </c>
    </row>
    <row r="46" spans="1:10" x14ac:dyDescent="0.25">
      <c r="A46" s="1" t="s">
        <v>509</v>
      </c>
      <c r="B46" s="28">
        <v>200</v>
      </c>
      <c r="C46" s="1" t="s">
        <v>510</v>
      </c>
      <c r="D46" s="1" t="s">
        <v>474</v>
      </c>
      <c r="E46" s="1" t="s">
        <v>171</v>
      </c>
      <c r="F46" s="1" t="s">
        <v>171</v>
      </c>
      <c r="G46" s="1">
        <v>130</v>
      </c>
      <c r="H46" s="1">
        <v>58</v>
      </c>
      <c r="I46" s="1" t="s">
        <v>511</v>
      </c>
      <c r="J46" s="1" t="s">
        <v>664</v>
      </c>
    </row>
    <row r="47" spans="1:10" x14ac:dyDescent="0.25">
      <c r="A47" s="1" t="s">
        <v>517</v>
      </c>
      <c r="B47" s="28">
        <v>480</v>
      </c>
      <c r="C47" s="1" t="s">
        <v>28</v>
      </c>
      <c r="D47" s="1" t="s">
        <v>476</v>
      </c>
      <c r="E47" s="1" t="s">
        <v>498</v>
      </c>
      <c r="F47" s="1" t="s">
        <v>468</v>
      </c>
      <c r="G47" s="1">
        <v>250</v>
      </c>
      <c r="H47" s="1">
        <v>112</v>
      </c>
      <c r="I47" s="1"/>
      <c r="J47" s="1" t="s">
        <v>471</v>
      </c>
    </row>
    <row r="48" spans="1:10" x14ac:dyDescent="0.25">
      <c r="A48" s="1" t="s">
        <v>493</v>
      </c>
      <c r="B48" s="28">
        <v>300</v>
      </c>
      <c r="C48" s="1" t="s">
        <v>476</v>
      </c>
      <c r="D48" s="1" t="s">
        <v>27</v>
      </c>
      <c r="E48" s="1" t="s">
        <v>474</v>
      </c>
      <c r="F48" s="1" t="s">
        <v>171</v>
      </c>
      <c r="G48" s="1">
        <v>150</v>
      </c>
      <c r="H48" s="1">
        <v>67</v>
      </c>
      <c r="I48" s="1"/>
      <c r="J48" s="1" t="s">
        <v>648</v>
      </c>
    </row>
    <row r="49" spans="1:10" x14ac:dyDescent="0.25">
      <c r="A49" s="1" t="s">
        <v>567</v>
      </c>
      <c r="B49" s="28">
        <v>260</v>
      </c>
      <c r="C49" s="1" t="s">
        <v>568</v>
      </c>
      <c r="D49" s="1" t="s">
        <v>476</v>
      </c>
      <c r="E49" s="1" t="s">
        <v>498</v>
      </c>
      <c r="F49" s="1" t="s">
        <v>171</v>
      </c>
      <c r="G49" s="1">
        <v>175</v>
      </c>
      <c r="H49" s="1">
        <v>78</v>
      </c>
      <c r="I49" s="1"/>
      <c r="J49" s="1" t="s">
        <v>471</v>
      </c>
    </row>
    <row r="50" spans="1:10" x14ac:dyDescent="0.25">
      <c r="A50" s="1" t="s">
        <v>585</v>
      </c>
      <c r="B50" s="28">
        <v>250</v>
      </c>
      <c r="C50" s="1" t="s">
        <v>24</v>
      </c>
      <c r="D50" s="1" t="s">
        <v>476</v>
      </c>
      <c r="E50" s="1" t="s">
        <v>498</v>
      </c>
      <c r="F50" s="1" t="s">
        <v>171</v>
      </c>
      <c r="G50" s="1">
        <v>150</v>
      </c>
      <c r="H50" s="1">
        <v>67</v>
      </c>
      <c r="I50" s="1"/>
      <c r="J50" s="1" t="s">
        <v>471</v>
      </c>
    </row>
    <row r="51" spans="1:10" x14ac:dyDescent="0.25">
      <c r="A51" s="1" t="s">
        <v>574</v>
      </c>
      <c r="B51" s="28">
        <v>385</v>
      </c>
      <c r="C51" s="1" t="s">
        <v>43</v>
      </c>
      <c r="D51" s="1" t="s">
        <v>476</v>
      </c>
      <c r="E51" s="1" t="s">
        <v>470</v>
      </c>
      <c r="F51" s="1" t="s">
        <v>498</v>
      </c>
      <c r="G51" s="1">
        <v>225</v>
      </c>
      <c r="H51" s="1">
        <v>101</v>
      </c>
      <c r="I51" s="1"/>
      <c r="J51" s="1" t="s">
        <v>471</v>
      </c>
    </row>
    <row r="52" spans="1:10" x14ac:dyDescent="0.25">
      <c r="A52" s="1" t="s">
        <v>541</v>
      </c>
      <c r="B52" s="28">
        <v>300</v>
      </c>
      <c r="C52" s="1" t="s">
        <v>43</v>
      </c>
      <c r="D52" s="1" t="s">
        <v>470</v>
      </c>
      <c r="E52" s="1" t="s">
        <v>171</v>
      </c>
      <c r="F52" s="1" t="s">
        <v>171</v>
      </c>
      <c r="G52" s="1">
        <v>200</v>
      </c>
      <c r="H52" s="1">
        <v>90</v>
      </c>
      <c r="I52" s="1" t="s">
        <v>542</v>
      </c>
      <c r="J52" s="1" t="s">
        <v>543</v>
      </c>
    </row>
    <row r="53" spans="1:10" x14ac:dyDescent="0.25">
      <c r="A53" s="1" t="s">
        <v>575</v>
      </c>
      <c r="B53" s="28">
        <v>300</v>
      </c>
      <c r="C53" s="1" t="s">
        <v>484</v>
      </c>
      <c r="D53" s="1" t="s">
        <v>473</v>
      </c>
      <c r="E53" s="1" t="s">
        <v>23</v>
      </c>
      <c r="F53" s="1" t="s">
        <v>171</v>
      </c>
      <c r="G53" s="1">
        <v>200</v>
      </c>
      <c r="H53" s="1">
        <v>90</v>
      </c>
      <c r="I53" s="1"/>
      <c r="J53" s="1" t="s">
        <v>471</v>
      </c>
    </row>
    <row r="54" spans="1:10" x14ac:dyDescent="0.25">
      <c r="A54" s="1" t="s">
        <v>531</v>
      </c>
      <c r="B54" s="28">
        <v>400</v>
      </c>
      <c r="C54" s="1" t="s">
        <v>25</v>
      </c>
      <c r="D54" s="1" t="s">
        <v>23</v>
      </c>
      <c r="E54" s="1" t="s">
        <v>171</v>
      </c>
      <c r="F54" s="1" t="s">
        <v>171</v>
      </c>
      <c r="G54" s="1">
        <v>240</v>
      </c>
      <c r="H54" s="1">
        <v>108</v>
      </c>
      <c r="I54" s="1" t="s">
        <v>532</v>
      </c>
      <c r="J54" s="1" t="s">
        <v>665</v>
      </c>
    </row>
    <row r="55" spans="1:10" x14ac:dyDescent="0.25">
      <c r="A55" s="1" t="s">
        <v>518</v>
      </c>
      <c r="B55" s="28">
        <v>400</v>
      </c>
      <c r="C55" s="1" t="s">
        <v>17</v>
      </c>
      <c r="D55" s="1" t="s">
        <v>476</v>
      </c>
      <c r="E55" s="1" t="s">
        <v>498</v>
      </c>
      <c r="F55" s="1" t="s">
        <v>171</v>
      </c>
      <c r="G55" s="1">
        <v>215</v>
      </c>
      <c r="H55" s="1">
        <v>96</v>
      </c>
      <c r="I55" s="1"/>
      <c r="J55" s="1" t="s">
        <v>662</v>
      </c>
    </row>
    <row r="56" spans="1:10" x14ac:dyDescent="0.25">
      <c r="A56" s="1" t="s">
        <v>535</v>
      </c>
      <c r="B56" s="28">
        <v>260</v>
      </c>
      <c r="C56" s="1" t="s">
        <v>470</v>
      </c>
      <c r="D56" s="1" t="s">
        <v>498</v>
      </c>
      <c r="E56" s="1" t="s">
        <v>530</v>
      </c>
      <c r="F56" s="1" t="s">
        <v>171</v>
      </c>
      <c r="G56" s="1">
        <v>115</v>
      </c>
      <c r="H56" s="1">
        <v>51</v>
      </c>
      <c r="I56" s="1"/>
      <c r="J56" s="1" t="s">
        <v>666</v>
      </c>
    </row>
    <row r="57" spans="1:10" x14ac:dyDescent="0.25">
      <c r="A57" s="1" t="s">
        <v>572</v>
      </c>
      <c r="B57" s="28">
        <v>270</v>
      </c>
      <c r="C57" s="1" t="s">
        <v>573</v>
      </c>
      <c r="D57" s="1" t="s">
        <v>171</v>
      </c>
      <c r="E57" s="1" t="s">
        <v>171</v>
      </c>
      <c r="F57" s="1" t="s">
        <v>171</v>
      </c>
      <c r="G57" s="1">
        <v>175</v>
      </c>
      <c r="H57" s="1">
        <v>78</v>
      </c>
      <c r="I57" s="1"/>
      <c r="J57" s="1" t="s">
        <v>471</v>
      </c>
    </row>
    <row r="58" spans="1:10" x14ac:dyDescent="0.25">
      <c r="A58" s="1" t="s">
        <v>561</v>
      </c>
      <c r="B58" s="28">
        <v>100</v>
      </c>
      <c r="C58" s="1" t="s">
        <v>140</v>
      </c>
      <c r="D58" s="1" t="s">
        <v>128</v>
      </c>
      <c r="E58" s="1" t="s">
        <v>171</v>
      </c>
      <c r="F58" s="1" t="s">
        <v>171</v>
      </c>
      <c r="G58" s="1">
        <v>125</v>
      </c>
      <c r="H58" s="1">
        <v>56</v>
      </c>
      <c r="I58" s="1" t="s">
        <v>667</v>
      </c>
      <c r="J58" s="1" t="s">
        <v>668</v>
      </c>
    </row>
    <row r="59" spans="1:10" x14ac:dyDescent="0.25">
      <c r="A59" s="1" t="s">
        <v>472</v>
      </c>
      <c r="B59" s="28">
        <v>110</v>
      </c>
      <c r="C59" s="1" t="s">
        <v>113</v>
      </c>
      <c r="D59" s="1" t="s">
        <v>114</v>
      </c>
      <c r="E59" s="1" t="s">
        <v>473</v>
      </c>
      <c r="F59" s="1" t="s">
        <v>171</v>
      </c>
      <c r="G59" s="1">
        <v>113</v>
      </c>
      <c r="H59" s="1">
        <v>50</v>
      </c>
      <c r="I59" s="1"/>
      <c r="J59" s="1" t="s">
        <v>665</v>
      </c>
    </row>
    <row r="60" spans="1:10" x14ac:dyDescent="0.25">
      <c r="A60" s="1" t="s">
        <v>503</v>
      </c>
      <c r="B60" s="28">
        <v>300</v>
      </c>
      <c r="C60" s="1" t="s">
        <v>64</v>
      </c>
      <c r="D60" s="1" t="s">
        <v>504</v>
      </c>
      <c r="E60" s="1" t="s">
        <v>11</v>
      </c>
      <c r="F60" s="1" t="s">
        <v>171</v>
      </c>
      <c r="G60" s="1">
        <v>125</v>
      </c>
      <c r="H60" s="1">
        <v>56</v>
      </c>
      <c r="I60" s="1"/>
      <c r="J60" s="1" t="s">
        <v>651</v>
      </c>
    </row>
    <row r="61" spans="1:10" x14ac:dyDescent="0.25">
      <c r="A61" s="1" t="s">
        <v>526</v>
      </c>
      <c r="B61" s="28">
        <v>75</v>
      </c>
      <c r="C61" s="1" t="s">
        <v>44</v>
      </c>
      <c r="D61" s="1" t="s">
        <v>171</v>
      </c>
      <c r="E61" s="1" t="s">
        <v>171</v>
      </c>
      <c r="F61" s="1" t="s">
        <v>171</v>
      </c>
      <c r="G61" s="1">
        <v>75</v>
      </c>
      <c r="H61" s="1">
        <v>33</v>
      </c>
      <c r="I61" s="1" t="s">
        <v>527</v>
      </c>
      <c r="J61" s="1" t="s">
        <v>656</v>
      </c>
    </row>
    <row r="62" spans="1:10" x14ac:dyDescent="0.25">
      <c r="A62" s="1" t="s">
        <v>521</v>
      </c>
      <c r="B62" s="28">
        <v>120</v>
      </c>
      <c r="C62" s="1" t="s">
        <v>476</v>
      </c>
      <c r="D62" s="1" t="s">
        <v>27</v>
      </c>
      <c r="E62" s="1" t="s">
        <v>171</v>
      </c>
      <c r="F62" s="1" t="s">
        <v>171</v>
      </c>
      <c r="G62" s="1">
        <v>75</v>
      </c>
      <c r="H62" s="1">
        <v>33</v>
      </c>
      <c r="I62" s="1"/>
      <c r="J62" s="1" t="s">
        <v>655</v>
      </c>
    </row>
    <row r="63" spans="1:10" x14ac:dyDescent="0.25">
      <c r="A63" s="1" t="s">
        <v>524</v>
      </c>
      <c r="B63" s="28">
        <v>175</v>
      </c>
      <c r="C63" s="1" t="s">
        <v>77</v>
      </c>
      <c r="D63" s="1" t="s">
        <v>510</v>
      </c>
      <c r="E63" s="1" t="s">
        <v>171</v>
      </c>
      <c r="F63" s="1" t="s">
        <v>171</v>
      </c>
      <c r="G63" s="1">
        <v>115</v>
      </c>
      <c r="H63" s="1">
        <v>51</v>
      </c>
      <c r="I63" s="1" t="s">
        <v>525</v>
      </c>
      <c r="J63" s="1" t="s">
        <v>657</v>
      </c>
    </row>
    <row r="64" spans="1:10" x14ac:dyDescent="0.25">
      <c r="A64" s="1" t="s">
        <v>570</v>
      </c>
      <c r="B64" s="28">
        <v>335</v>
      </c>
      <c r="C64" s="1" t="s">
        <v>571</v>
      </c>
      <c r="D64" s="1" t="s">
        <v>118</v>
      </c>
      <c r="E64" s="1" t="s">
        <v>11</v>
      </c>
      <c r="F64" s="1" t="s">
        <v>484</v>
      </c>
      <c r="G64" s="1">
        <v>200</v>
      </c>
      <c r="H64" s="1">
        <v>90</v>
      </c>
      <c r="I64" s="1"/>
      <c r="J64" s="1" t="s">
        <v>471</v>
      </c>
    </row>
    <row r="65" spans="1:10" x14ac:dyDescent="0.25">
      <c r="A65" s="1" t="s">
        <v>486</v>
      </c>
      <c r="B65" s="28">
        <v>225</v>
      </c>
      <c r="C65" s="1" t="s">
        <v>476</v>
      </c>
      <c r="D65" s="1" t="s">
        <v>487</v>
      </c>
      <c r="E65" s="1" t="s">
        <v>150</v>
      </c>
      <c r="F65" s="1" t="s">
        <v>171</v>
      </c>
      <c r="G65" s="1">
        <v>100</v>
      </c>
      <c r="H65" s="1">
        <v>45</v>
      </c>
      <c r="I65" s="1"/>
      <c r="J65" s="1" t="s">
        <v>664</v>
      </c>
    </row>
    <row r="66" spans="1:10" x14ac:dyDescent="0.25">
      <c r="A66" s="1" t="s">
        <v>549</v>
      </c>
      <c r="B66" s="28">
        <v>165</v>
      </c>
      <c r="C66" s="1" t="s">
        <v>512</v>
      </c>
      <c r="D66" s="1" t="s">
        <v>36</v>
      </c>
      <c r="E66" s="1" t="s">
        <v>545</v>
      </c>
      <c r="F66" s="1" t="s">
        <v>171</v>
      </c>
      <c r="G66" s="1">
        <v>170</v>
      </c>
      <c r="H66" s="1">
        <v>76</v>
      </c>
      <c r="I66" s="1" t="s">
        <v>550</v>
      </c>
      <c r="J66" s="1" t="s">
        <v>649</v>
      </c>
    </row>
    <row r="67" spans="1:10" x14ac:dyDescent="0.25">
      <c r="A67" s="1" t="s">
        <v>544</v>
      </c>
      <c r="B67" s="28">
        <v>220</v>
      </c>
      <c r="C67" s="1" t="s">
        <v>33</v>
      </c>
      <c r="D67" s="1" t="s">
        <v>36</v>
      </c>
      <c r="E67" s="1" t="s">
        <v>545</v>
      </c>
      <c r="F67" s="1" t="s">
        <v>171</v>
      </c>
      <c r="G67" s="1">
        <v>160</v>
      </c>
      <c r="H67" s="1">
        <v>72</v>
      </c>
      <c r="I67" s="1" t="s">
        <v>546</v>
      </c>
      <c r="J67" s="1" t="s">
        <v>652</v>
      </c>
    </row>
    <row r="68" spans="1:10" x14ac:dyDescent="0.25">
      <c r="A68" s="1" t="s">
        <v>553</v>
      </c>
      <c r="B68" s="28">
        <v>180</v>
      </c>
      <c r="C68" s="1" t="s">
        <v>512</v>
      </c>
      <c r="D68" s="1" t="s">
        <v>140</v>
      </c>
      <c r="E68" s="1" t="s">
        <v>34</v>
      </c>
      <c r="F68" s="1" t="s">
        <v>171</v>
      </c>
      <c r="G68" s="1">
        <v>125</v>
      </c>
      <c r="H68" s="1">
        <v>56</v>
      </c>
      <c r="I68" s="1" t="s">
        <v>554</v>
      </c>
      <c r="J68" s="1" t="s">
        <v>669</v>
      </c>
    </row>
    <row r="69" spans="1:10" x14ac:dyDescent="0.25">
      <c r="A69" s="1" t="s">
        <v>670</v>
      </c>
      <c r="B69" s="28">
        <v>250</v>
      </c>
      <c r="C69" s="1" t="s">
        <v>118</v>
      </c>
      <c r="D69" s="1" t="s">
        <v>671</v>
      </c>
      <c r="E69" s="1" t="s">
        <v>143</v>
      </c>
      <c r="F69" s="1" t="s">
        <v>171</v>
      </c>
      <c r="G69" s="1">
        <v>175</v>
      </c>
      <c r="H69" s="1">
        <v>78</v>
      </c>
      <c r="I69" s="1" t="s">
        <v>672</v>
      </c>
      <c r="J69" s="1" t="s">
        <v>673</v>
      </c>
    </row>
    <row r="70" spans="1:10" x14ac:dyDescent="0.25">
      <c r="A70" s="1" t="s">
        <v>490</v>
      </c>
      <c r="B70" s="28">
        <v>50</v>
      </c>
      <c r="C70" s="1" t="s">
        <v>31</v>
      </c>
      <c r="D70" s="1" t="s">
        <v>171</v>
      </c>
      <c r="E70" s="1" t="s">
        <v>171</v>
      </c>
      <c r="F70" s="1" t="s">
        <v>171</v>
      </c>
      <c r="G70" s="1">
        <v>50</v>
      </c>
      <c r="H70" s="1">
        <v>22</v>
      </c>
      <c r="I70" s="1"/>
      <c r="J70" s="1" t="s">
        <v>648</v>
      </c>
    </row>
    <row r="71" spans="1:10" x14ac:dyDescent="0.25">
      <c r="A71" s="1" t="s">
        <v>513</v>
      </c>
      <c r="B71" s="28">
        <v>100</v>
      </c>
      <c r="C71" s="1" t="s">
        <v>63</v>
      </c>
      <c r="D71" s="1" t="s">
        <v>514</v>
      </c>
      <c r="E71" s="1" t="s">
        <v>171</v>
      </c>
      <c r="F71" s="1" t="s">
        <v>171</v>
      </c>
      <c r="G71" s="1">
        <v>100</v>
      </c>
      <c r="H71" s="1">
        <v>45</v>
      </c>
      <c r="I71" s="1" t="s">
        <v>515</v>
      </c>
      <c r="J71" s="1" t="s">
        <v>471</v>
      </c>
    </row>
    <row r="72" spans="1:10" x14ac:dyDescent="0.25">
      <c r="A72" s="1" t="s">
        <v>478</v>
      </c>
      <c r="B72" s="28">
        <v>120</v>
      </c>
      <c r="C72" s="1" t="s">
        <v>27</v>
      </c>
      <c r="D72" s="1" t="s">
        <v>35</v>
      </c>
      <c r="E72" s="1" t="s">
        <v>171</v>
      </c>
      <c r="F72" s="1" t="s">
        <v>171</v>
      </c>
      <c r="G72" s="1">
        <v>165</v>
      </c>
      <c r="H72" s="1">
        <v>74</v>
      </c>
      <c r="I72" s="1"/>
      <c r="J72" s="1" t="s">
        <v>663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A46"/>
  <sheetViews>
    <sheetView zoomScaleNormal="100" workbookViewId="0">
      <pane xSplit="1" ySplit="3" topLeftCell="E4" activePane="bottomRight" state="frozen"/>
      <selection pane="topRight" activeCell="B1" sqref="B1"/>
      <selection pane="bottomLeft" activeCell="A2" sqref="A2"/>
      <selection pane="bottomRight" activeCell="J2" sqref="J1:J2"/>
    </sheetView>
  </sheetViews>
  <sheetFormatPr defaultRowHeight="15" x14ac:dyDescent="0.25"/>
  <cols>
    <col min="1" max="1" width="15.140625" style="3" bestFit="1" customWidth="1"/>
    <col min="2" max="2" width="6.5703125" style="3" bestFit="1" customWidth="1"/>
    <col min="3" max="3" width="11.42578125" style="3" bestFit="1" customWidth="1"/>
    <col min="4" max="4" width="14.85546875" style="3" bestFit="1" customWidth="1"/>
    <col min="5" max="5" width="10.7109375" style="3" bestFit="1" customWidth="1"/>
    <col min="6" max="6" width="10.5703125" style="3" bestFit="1" customWidth="1"/>
    <col min="7" max="7" width="6.7109375" style="3" bestFit="1" customWidth="1"/>
    <col min="8" max="8" width="8" style="3" bestFit="1" customWidth="1"/>
    <col min="9" max="9" width="14.85546875" style="3" bestFit="1" customWidth="1"/>
    <col min="10" max="10" width="17" style="4" bestFit="1" customWidth="1"/>
    <col min="11" max="11" width="6.42578125" style="5" bestFit="1" customWidth="1"/>
    <col min="12" max="12" width="19.140625" style="7" customWidth="1"/>
    <col min="13" max="13" width="7.28515625" style="4" bestFit="1" customWidth="1"/>
    <col min="14" max="14" width="11.5703125" style="4" bestFit="1" customWidth="1"/>
    <col min="15" max="15" width="10.28515625" style="4" bestFit="1" customWidth="1"/>
    <col min="16" max="16" width="7.28515625" style="4" bestFit="1" customWidth="1"/>
    <col min="17" max="17" width="12.85546875" style="3" bestFit="1" customWidth="1"/>
    <col min="18" max="18" width="16" style="3" bestFit="1" customWidth="1"/>
    <col min="19" max="19" width="23.85546875" style="3" bestFit="1" customWidth="1"/>
    <col min="20" max="20" width="2" style="2" bestFit="1" customWidth="1"/>
    <col min="21" max="22" width="3" style="2" bestFit="1" customWidth="1"/>
    <col min="23" max="23" width="8.85546875" style="3"/>
  </cols>
  <sheetData>
    <row r="1" spans="1:22" x14ac:dyDescent="0.25">
      <c r="D1" s="1">
        <v>1</v>
      </c>
      <c r="E1" s="1">
        <v>1</v>
      </c>
      <c r="F1" s="1">
        <v>2</v>
      </c>
      <c r="G1" s="1">
        <v>3</v>
      </c>
      <c r="J1" s="19" t="s">
        <v>743</v>
      </c>
      <c r="L1" s="20" t="s">
        <v>743</v>
      </c>
    </row>
    <row r="2" spans="1:22" x14ac:dyDescent="0.25">
      <c r="D2" s="1" t="s">
        <v>631</v>
      </c>
      <c r="E2" s="1" t="s">
        <v>630</v>
      </c>
      <c r="F2" s="1" t="s">
        <v>628</v>
      </c>
      <c r="G2" s="1" t="s">
        <v>629</v>
      </c>
      <c r="J2" s="19" t="s">
        <v>745</v>
      </c>
      <c r="L2" s="20" t="s">
        <v>742</v>
      </c>
    </row>
    <row r="3" spans="1:22" x14ac:dyDescent="0.25">
      <c r="A3" s="1" t="s">
        <v>1</v>
      </c>
      <c r="B3" s="1" t="s">
        <v>381</v>
      </c>
      <c r="C3" s="1" t="s">
        <v>51</v>
      </c>
      <c r="D3" s="28" t="s">
        <v>2</v>
      </c>
      <c r="E3" s="28" t="s">
        <v>164</v>
      </c>
      <c r="F3" s="28" t="s">
        <v>462</v>
      </c>
      <c r="G3" s="28" t="s">
        <v>162</v>
      </c>
      <c r="H3" s="28" t="s">
        <v>3</v>
      </c>
      <c r="I3" s="28" t="s">
        <v>369</v>
      </c>
      <c r="J3" s="28" t="s">
        <v>371</v>
      </c>
      <c r="K3" s="10" t="s">
        <v>632</v>
      </c>
      <c r="L3" s="20" t="s">
        <v>261</v>
      </c>
      <c r="M3" s="1" t="s">
        <v>4</v>
      </c>
      <c r="N3" s="1" t="s">
        <v>160</v>
      </c>
      <c r="O3" s="1" t="s">
        <v>370</v>
      </c>
      <c r="P3" s="1" t="s">
        <v>210</v>
      </c>
      <c r="Q3" s="1" t="s">
        <v>211</v>
      </c>
      <c r="R3" s="1" t="s">
        <v>6</v>
      </c>
      <c r="S3" s="1" t="s">
        <v>14</v>
      </c>
    </row>
    <row r="4" spans="1:22" x14ac:dyDescent="0.25">
      <c r="A4" s="1" t="s">
        <v>37</v>
      </c>
      <c r="B4" s="21" t="s">
        <v>460</v>
      </c>
      <c r="C4" s="12" t="s">
        <v>32</v>
      </c>
      <c r="D4" s="28">
        <v>70</v>
      </c>
      <c r="E4" s="28">
        <v>150</v>
      </c>
      <c r="F4" s="28">
        <f ca="1">IF((INDIRECT(ADDRESS(ROW()-(ROW()-1), COLUMN(J1))))="N",50+(2*E4),ROUND(1.4*(50+(2*E4)),0))</f>
        <v>350</v>
      </c>
      <c r="G4" s="29">
        <f ca="1">IF(B4="Veg",IF((INDIRECT(ADDRESS(ROW()-(ROW()-1),COLUMN(J1))))="N",ROUND(E4*2.25,0),ROUND(1.4*ROUND(E4*2.25,0),0)),IF((INDIRECT(ADDRESS(ROW()-(ROW()-1),COLUMN(J1))))="N",ROUND(E4*3,0),ROUND(1.4*ROUND(E4*3,0),0)))</f>
        <v>338</v>
      </c>
      <c r="H4" s="28">
        <f t="shared" ref="H4:H37" ca="1" si="0">IFERROR((P4*(INDIRECT(ADDRESS(ROW(),COLUMN(H4)-T4))))-D4, "-")</f>
        <v>80</v>
      </c>
      <c r="I4" s="28">
        <f t="shared" ref="I4:I37" ca="1" si="1">IFERROR(IF(Q4 = "No", ROUNDDOWN(27/M4,0)*H4, ((INDIRECT(ADDRESS(ROW(),COLUMN(I4)-(T4+1))))*P4*O4)-D4), "-")</f>
        <v>240</v>
      </c>
      <c r="J4" s="28">
        <f t="shared" ref="J4:J37" ca="1" si="2">IFERROR(I4/28,"-")</f>
        <v>8.5714285714285712</v>
      </c>
      <c r="K4" s="10">
        <f t="shared" ref="K4:K37" ca="1" si="3">IFERROR(I4/D4, "-")</f>
        <v>3.4285714285714284</v>
      </c>
      <c r="L4" s="1" t="str">
        <f t="shared" ref="L4:L37" ca="1" si="4">IFERROR(IF(Q4 = "No", IF(AND(V4*H4-150&lt;I4,U4*H4-100)&lt;I4=TRUE,"No Speed-Gro", IF(V4*H4-150&lt;U4*H4-100,"Speed-Gro","Deluxe Speed-Gro")), IF(AND(V4*H4-150&lt;I4,U4*H4-100&lt;I4) = TRUE, "No Speed-Gro", IF(V4*H4-150&lt;U4*H4-100,"Speed-Gro","Deluxe Speed-Gro"))), "-")</f>
        <v>Deluxe Speed-Gro</v>
      </c>
      <c r="M4" s="1">
        <f>IF(L1="N",7,7-(ROUND(7/10,0)))</f>
        <v>7</v>
      </c>
      <c r="N4" s="1">
        <f>M4</f>
        <v>7</v>
      </c>
      <c r="O4" s="1">
        <f t="shared" ref="O4:O37" si="5">1+(ROUNDDOWN((27-M4)/N4,0))</f>
        <v>3</v>
      </c>
      <c r="P4" s="1">
        <v>1</v>
      </c>
      <c r="Q4" s="11" t="s">
        <v>161</v>
      </c>
      <c r="R4" s="1" t="s">
        <v>19</v>
      </c>
      <c r="S4" s="1"/>
      <c r="T4" s="2">
        <f>IF(D1 = 3, 1, IF(D1 = 2, 2, IF(D1 = 3, 1, 3)))</f>
        <v>3</v>
      </c>
      <c r="U4" s="2">
        <f>IF(Q4 = "Yes", (1+(ROUNDDOWN((27-(ROUNDDOWN(M4*0.9,0)))/N4,0))), (ROUNDDOWN(27/ROUNDDOWN(M4*0.9,0),0)))</f>
        <v>4</v>
      </c>
      <c r="V4" s="2">
        <f>IF(Q4 = "Yes", (1+(ROUNDDOWN((27-(ROUNDDOWN(M4*0.75,0)))/N4,0))), (ROUNDDOWN(27/ROUNDDOWN(M4*0.75,0),0)))</f>
        <v>5</v>
      </c>
    </row>
    <row r="5" spans="1:22" x14ac:dyDescent="0.25">
      <c r="A5" s="1" t="s">
        <v>39</v>
      </c>
      <c r="B5" s="21" t="s">
        <v>460</v>
      </c>
      <c r="C5" s="12" t="s">
        <v>32</v>
      </c>
      <c r="D5" s="28">
        <v>30</v>
      </c>
      <c r="E5" s="28">
        <v>160</v>
      </c>
      <c r="F5" s="28">
        <f ca="1">IF((INDIRECT(ADDRESS(ROW()-(ROW()-1), COLUMN(J2))))="N",50+(2*E5),ROUND(1.4*(50+(2*E5)),0))</f>
        <v>370</v>
      </c>
      <c r="G5" s="28">
        <f ca="1">IF(B5="Veg",IF((INDIRECT(ADDRESS(ROW()-(ROW()-1),COLUMN(J2))))="N",ROUND(E5*2.25,0),ROUND(1.4*ROUND(E5*2.25,0),0)),IF((INDIRECT(ADDRESS(ROW()-(ROW()-1),COLUMN(J2))))="N",ROUND(E5*3,0),ROUND(1.4*ROUND(E5*3,0),0)))</f>
        <v>360</v>
      </c>
      <c r="H5" s="28">
        <f t="shared" ca="1" si="0"/>
        <v>130</v>
      </c>
      <c r="I5" s="28">
        <f t="shared" ca="1" si="1"/>
        <v>390</v>
      </c>
      <c r="J5" s="28">
        <f t="shared" ca="1" si="2"/>
        <v>13.928571428571429</v>
      </c>
      <c r="K5" s="10">
        <f t="shared" ca="1" si="3"/>
        <v>13</v>
      </c>
      <c r="L5" s="1" t="str">
        <f t="shared" ca="1" si="4"/>
        <v>Deluxe Speed-Gro</v>
      </c>
      <c r="M5" s="1">
        <f>IF(L1="N",8,8-(ROUND(8/10,0)))</f>
        <v>8</v>
      </c>
      <c r="N5" s="1">
        <f>M5</f>
        <v>8</v>
      </c>
      <c r="O5" s="1">
        <f t="shared" si="5"/>
        <v>3</v>
      </c>
      <c r="P5" s="1">
        <v>1</v>
      </c>
      <c r="Q5" s="11" t="s">
        <v>161</v>
      </c>
      <c r="R5" s="1" t="s">
        <v>19</v>
      </c>
      <c r="S5" s="1"/>
      <c r="T5" s="2">
        <f>IF(D1 = 3, 1, IF(D1 = 2, 2, IF(D1 = 3, 1, 3)))</f>
        <v>3</v>
      </c>
      <c r="U5" s="2">
        <f t="shared" ref="U5:U37" si="6">IF(Q5 = "Yes", (1+(ROUNDDOWN((27-(ROUNDDOWN(M5*0.9,0)))/N5,0))), (ROUNDDOWN(27/ROUNDDOWN(M5*0.9,0),0)))</f>
        <v>3</v>
      </c>
      <c r="V5" s="2">
        <f t="shared" ref="V5:V37" si="7">IF(Q5 = "Yes", (1+(ROUNDDOWN((27-(ROUNDDOWN(M5*0.75,0)))/N5,0))), (ROUNDDOWN(27/ROUNDDOWN(M5*0.75,0),0)))</f>
        <v>4</v>
      </c>
    </row>
    <row r="6" spans="1:22" x14ac:dyDescent="0.25">
      <c r="A6" s="1" t="s">
        <v>35</v>
      </c>
      <c r="B6" s="21" t="s">
        <v>460</v>
      </c>
      <c r="C6" s="12" t="s">
        <v>32</v>
      </c>
      <c r="D6" s="28">
        <v>20</v>
      </c>
      <c r="E6" s="28">
        <v>100</v>
      </c>
      <c r="F6" s="28">
        <f ca="1">IF((INDIRECT(ADDRESS(ROW()-(ROW()-1), COLUMN(J3))))="N",50+(2*E6),ROUND(1.4*(50+(2*E6)),0))</f>
        <v>250</v>
      </c>
      <c r="G6" s="28">
        <f ca="1">IF(B6="Veg",IF((INDIRECT(ADDRESS(ROW()-(ROW()-1),COLUMN(J3))))="N",ROUND(E6*2.25,0),ROUND(1.4*ROUND(E6*2.25,0),0)),IF((INDIRECT(ADDRESS(ROW()-(ROW()-1),COLUMN(J3))))="N",ROUND(E6*3,0),ROUND(1.4*ROUND(E6*3,0),0)))</f>
        <v>225</v>
      </c>
      <c r="H6" s="28">
        <f t="shared" ca="1" si="0"/>
        <v>80</v>
      </c>
      <c r="I6" s="28">
        <f t="shared" ca="1" si="1"/>
        <v>320</v>
      </c>
      <c r="J6" s="28">
        <f t="shared" ca="1" si="2"/>
        <v>11.428571428571429</v>
      </c>
      <c r="K6" s="10">
        <f t="shared" ca="1" si="3"/>
        <v>16</v>
      </c>
      <c r="L6" s="1" t="str">
        <f t="shared" ca="1" si="4"/>
        <v>Deluxe Speed-Gro</v>
      </c>
      <c r="M6" s="1">
        <f>IF(L1="N",6,6-(ROUND(6/10,0)))</f>
        <v>6</v>
      </c>
      <c r="N6" s="1">
        <f>M6</f>
        <v>6</v>
      </c>
      <c r="O6" s="1">
        <f t="shared" si="5"/>
        <v>4</v>
      </c>
      <c r="P6" s="1">
        <v>1</v>
      </c>
      <c r="Q6" s="11" t="s">
        <v>161</v>
      </c>
      <c r="R6" s="1" t="s">
        <v>18</v>
      </c>
      <c r="S6" s="1"/>
      <c r="T6" s="2">
        <f>IF(D1 = 3, 1, IF(D1 = 2, 2, IF(D1 = 3, 1, 3)))</f>
        <v>3</v>
      </c>
      <c r="U6" s="2">
        <f t="shared" si="6"/>
        <v>5</v>
      </c>
      <c r="V6" s="2">
        <f t="shared" si="7"/>
        <v>6</v>
      </c>
    </row>
    <row r="7" spans="1:22" x14ac:dyDescent="0.25">
      <c r="A7" s="1" t="s">
        <v>12</v>
      </c>
      <c r="B7" s="22" t="s">
        <v>461</v>
      </c>
      <c r="C7" s="23" t="s">
        <v>0</v>
      </c>
      <c r="D7" s="28">
        <v>30</v>
      </c>
      <c r="E7" s="28">
        <v>50</v>
      </c>
      <c r="F7" s="28" t="s">
        <v>171</v>
      </c>
      <c r="G7" s="28" t="s">
        <v>171</v>
      </c>
      <c r="H7" s="28">
        <f t="shared" ca="1" si="0"/>
        <v>20</v>
      </c>
      <c r="I7" s="28">
        <f t="shared" ca="1" si="1"/>
        <v>60</v>
      </c>
      <c r="J7" s="28">
        <f t="shared" ca="1" si="2"/>
        <v>2.1428571428571428</v>
      </c>
      <c r="K7" s="10">
        <f t="shared" ca="1" si="3"/>
        <v>2</v>
      </c>
      <c r="L7" s="1" t="str">
        <f t="shared" ca="1" si="4"/>
        <v>Speed-Gro</v>
      </c>
      <c r="M7" s="1">
        <f>IF(L1="N",7,7-(ROUND(7/10,0)))</f>
        <v>7</v>
      </c>
      <c r="N7" s="1">
        <f>M7</f>
        <v>7</v>
      </c>
      <c r="O7" s="1">
        <f t="shared" si="5"/>
        <v>3</v>
      </c>
      <c r="P7" s="1">
        <v>1</v>
      </c>
      <c r="Q7" s="11" t="s">
        <v>161</v>
      </c>
      <c r="R7" s="1" t="s">
        <v>19</v>
      </c>
      <c r="S7" s="1"/>
      <c r="T7" s="2">
        <f>IF(D1 = 3, 1, IF(D1 = 2, 2, IF(D1 = 3, 1, 3)))</f>
        <v>3</v>
      </c>
      <c r="U7" s="2">
        <f t="shared" si="6"/>
        <v>4</v>
      </c>
      <c r="V7" s="2">
        <f t="shared" si="7"/>
        <v>5</v>
      </c>
    </row>
    <row r="8" spans="1:22" x14ac:dyDescent="0.25">
      <c r="A8" s="1" t="s">
        <v>29</v>
      </c>
      <c r="B8" s="11" t="s">
        <v>191</v>
      </c>
      <c r="C8" s="11" t="s">
        <v>21</v>
      </c>
      <c r="D8" s="28">
        <v>80</v>
      </c>
      <c r="E8" s="28">
        <v>80</v>
      </c>
      <c r="F8" s="28">
        <f t="shared" ref="F8:F13" ca="1" si="8">IF((INDIRECT(ADDRESS(ROW()-(ROW()-1), COLUMN(J5))))="N",50+(2*E8),ROUND(1.4*(50+(2*E8)),0))</f>
        <v>210</v>
      </c>
      <c r="G8" s="28">
        <f t="shared" ref="G8:G13" ca="1" si="9">IF(B8="Veg",IF((INDIRECT(ADDRESS(ROW()-(ROW()-1),COLUMN(J5))))="N",ROUND(E8*2.25,0),ROUND(1.4*ROUND(E8*2.25,0),0)),IF((INDIRECT(ADDRESS(ROW()-(ROW()-1),COLUMN(J5))))="N",ROUND(E8*3,0),ROUND(1.4*ROUND(E8*3,0),0)))</f>
        <v>240</v>
      </c>
      <c r="H8" s="28">
        <f t="shared" ca="1" si="0"/>
        <v>160</v>
      </c>
      <c r="I8" s="28">
        <f t="shared" ca="1" si="1"/>
        <v>880</v>
      </c>
      <c r="J8" s="28">
        <f t="shared" ca="1" si="2"/>
        <v>31.428571428571427</v>
      </c>
      <c r="K8" s="10">
        <f t="shared" ca="1" si="3"/>
        <v>11</v>
      </c>
      <c r="L8" s="1" t="str">
        <f t="shared" ca="1" si="4"/>
        <v>No Speed-Gro</v>
      </c>
      <c r="M8" s="1">
        <v>13</v>
      </c>
      <c r="N8" s="1">
        <v>4</v>
      </c>
      <c r="O8" s="1">
        <f t="shared" si="5"/>
        <v>4</v>
      </c>
      <c r="P8" s="1">
        <v>3</v>
      </c>
      <c r="Q8" s="23" t="s">
        <v>212</v>
      </c>
      <c r="R8" s="1" t="s">
        <v>19</v>
      </c>
      <c r="S8" s="1"/>
      <c r="T8" s="2">
        <f>IF(D1 = 3, 1, IF(D1 = 2, 2, IF(D1 = 3, 1, 3)))</f>
        <v>3</v>
      </c>
      <c r="U8" s="2">
        <f t="shared" si="6"/>
        <v>5</v>
      </c>
      <c r="V8" s="2">
        <f t="shared" si="7"/>
        <v>5</v>
      </c>
    </row>
    <row r="9" spans="1:22" x14ac:dyDescent="0.25">
      <c r="A9" s="1" t="s">
        <v>33</v>
      </c>
      <c r="B9" s="21" t="s">
        <v>460</v>
      </c>
      <c r="C9" s="12" t="s">
        <v>32</v>
      </c>
      <c r="D9" s="28">
        <v>50</v>
      </c>
      <c r="E9" s="28">
        <v>80</v>
      </c>
      <c r="F9" s="28">
        <f t="shared" ca="1" si="8"/>
        <v>210</v>
      </c>
      <c r="G9" s="28">
        <f t="shared" ca="1" si="9"/>
        <v>180</v>
      </c>
      <c r="H9" s="28">
        <f t="shared" ca="1" si="0"/>
        <v>30</v>
      </c>
      <c r="I9" s="28">
        <f t="shared" ca="1" si="1"/>
        <v>180</v>
      </c>
      <c r="J9" s="28">
        <f t="shared" ca="1" si="2"/>
        <v>6.4285714285714288</v>
      </c>
      <c r="K9" s="10">
        <f t="shared" ca="1" si="3"/>
        <v>3.6</v>
      </c>
      <c r="L9" s="1" t="str">
        <f t="shared" ca="1" si="4"/>
        <v>Speed-Gro</v>
      </c>
      <c r="M9" s="1">
        <f>IF(Q9="N",4,4-(ROUND(4/10,0)))</f>
        <v>4</v>
      </c>
      <c r="N9" s="1">
        <f>M9</f>
        <v>4</v>
      </c>
      <c r="O9" s="1">
        <f t="shared" si="5"/>
        <v>6</v>
      </c>
      <c r="P9" s="1">
        <v>1</v>
      </c>
      <c r="Q9" s="11" t="s">
        <v>161</v>
      </c>
      <c r="R9" s="1" t="s">
        <v>19</v>
      </c>
      <c r="S9" s="1"/>
      <c r="T9" s="2">
        <f>IF(D1 = 3, 1, IF(D1 = 2, 2, IF(D1 = 3, 1, 3)))</f>
        <v>3</v>
      </c>
      <c r="U9" s="2">
        <f t="shared" si="6"/>
        <v>9</v>
      </c>
      <c r="V9" s="2">
        <f t="shared" si="7"/>
        <v>9</v>
      </c>
    </row>
    <row r="10" spans="1:22" x14ac:dyDescent="0.25">
      <c r="A10" s="1" t="s">
        <v>16</v>
      </c>
      <c r="B10" s="21" t="s">
        <v>460</v>
      </c>
      <c r="C10" s="23" t="s">
        <v>0</v>
      </c>
      <c r="D10" s="28">
        <v>80</v>
      </c>
      <c r="E10" s="28">
        <v>175</v>
      </c>
      <c r="F10" s="28">
        <f t="shared" ca="1" si="8"/>
        <v>400</v>
      </c>
      <c r="G10" s="28">
        <f t="shared" ca="1" si="9"/>
        <v>394</v>
      </c>
      <c r="H10" s="28">
        <f t="shared" ca="1" si="0"/>
        <v>95</v>
      </c>
      <c r="I10" s="28">
        <f t="shared" ca="1" si="1"/>
        <v>190</v>
      </c>
      <c r="J10" s="28">
        <f t="shared" ca="1" si="2"/>
        <v>6.7857142857142856</v>
      </c>
      <c r="K10" s="10">
        <f t="shared" ca="1" si="3"/>
        <v>2.375</v>
      </c>
      <c r="L10" s="1" t="str">
        <f t="shared" ca="1" si="4"/>
        <v>Deluxe Speed-Gro</v>
      </c>
      <c r="M10" s="1">
        <f>IF(L1="N",12,12-(ROUND(12/10,0)))</f>
        <v>12</v>
      </c>
      <c r="N10" s="1">
        <f>M10</f>
        <v>12</v>
      </c>
      <c r="O10" s="1">
        <f t="shared" si="5"/>
        <v>2</v>
      </c>
      <c r="P10" s="1">
        <v>1</v>
      </c>
      <c r="Q10" s="11" t="s">
        <v>161</v>
      </c>
      <c r="R10" s="1" t="s">
        <v>19</v>
      </c>
      <c r="S10" s="1"/>
      <c r="T10" s="2">
        <f>IF(D1 = 3, 1, IF(D1 = 2, 2, IF(D1 = 3, 1, 3)))</f>
        <v>3</v>
      </c>
      <c r="U10" s="2">
        <f t="shared" si="6"/>
        <v>2</v>
      </c>
      <c r="V10" s="2">
        <f t="shared" si="7"/>
        <v>3</v>
      </c>
    </row>
    <row r="11" spans="1:22" x14ac:dyDescent="0.25">
      <c r="A11" s="1" t="s">
        <v>31</v>
      </c>
      <c r="B11" s="21" t="s">
        <v>460</v>
      </c>
      <c r="C11" s="1" t="s">
        <v>627</v>
      </c>
      <c r="D11" s="28">
        <v>150</v>
      </c>
      <c r="E11" s="28">
        <v>50</v>
      </c>
      <c r="F11" s="28">
        <f t="shared" ca="1" si="8"/>
        <v>150</v>
      </c>
      <c r="G11" s="37">
        <f t="shared" ca="1" si="9"/>
        <v>113</v>
      </c>
      <c r="H11" s="28">
        <f t="shared" ca="1" si="0"/>
        <v>-100</v>
      </c>
      <c r="I11" s="28">
        <f t="shared" ca="1" si="1"/>
        <v>50</v>
      </c>
      <c r="J11" s="28">
        <f t="shared" ca="1" si="2"/>
        <v>1.7857142857142858</v>
      </c>
      <c r="K11" s="10">
        <f t="shared" ca="1" si="3"/>
        <v>0.33333333333333331</v>
      </c>
      <c r="L11" s="1" t="str">
        <f t="shared" ca="1" si="4"/>
        <v>No Speed-Gro</v>
      </c>
      <c r="M11" s="1">
        <v>14</v>
      </c>
      <c r="N11" s="1">
        <v>4</v>
      </c>
      <c r="O11" s="1">
        <f t="shared" si="5"/>
        <v>4</v>
      </c>
      <c r="P11" s="1">
        <v>1</v>
      </c>
      <c r="Q11" s="23" t="s">
        <v>212</v>
      </c>
      <c r="R11" s="1" t="s">
        <v>19</v>
      </c>
      <c r="S11" s="1" t="s">
        <v>372</v>
      </c>
      <c r="T11" s="2">
        <f>IF(D1 = 3, 1, IF(D1 = 2, 2, IF(D1 = 3, 1, 3)))</f>
        <v>3</v>
      </c>
      <c r="U11" s="2">
        <f t="shared" si="6"/>
        <v>4</v>
      </c>
      <c r="V11" s="2">
        <f t="shared" si="7"/>
        <v>5</v>
      </c>
    </row>
    <row r="12" spans="1:22" x14ac:dyDescent="0.25">
      <c r="A12" s="1" t="s">
        <v>36</v>
      </c>
      <c r="B12" s="11" t="s">
        <v>191</v>
      </c>
      <c r="C12" s="12" t="s">
        <v>32</v>
      </c>
      <c r="D12" s="28">
        <v>240</v>
      </c>
      <c r="E12" s="28">
        <v>75</v>
      </c>
      <c r="F12" s="28">
        <f t="shared" ca="1" si="8"/>
        <v>200</v>
      </c>
      <c r="G12" s="28">
        <f t="shared" ca="1" si="9"/>
        <v>225</v>
      </c>
      <c r="H12" s="28">
        <f t="shared" ca="1" si="0"/>
        <v>-90</v>
      </c>
      <c r="I12" s="28">
        <f t="shared" ca="1" si="1"/>
        <v>510</v>
      </c>
      <c r="J12" s="28">
        <f t="shared" ca="1" si="2"/>
        <v>18.214285714285715</v>
      </c>
      <c r="K12" s="10">
        <f t="shared" ca="1" si="3"/>
        <v>2.125</v>
      </c>
      <c r="L12" s="1" t="str">
        <f t="shared" ca="1" si="4"/>
        <v>No Speed-Gro</v>
      </c>
      <c r="M12" s="1">
        <v>7</v>
      </c>
      <c r="N12" s="1">
        <v>5</v>
      </c>
      <c r="O12" s="1">
        <f t="shared" si="5"/>
        <v>5</v>
      </c>
      <c r="P12" s="1">
        <v>2</v>
      </c>
      <c r="Q12" s="23" t="s">
        <v>212</v>
      </c>
      <c r="R12" s="1" t="s">
        <v>19</v>
      </c>
      <c r="S12" s="1"/>
      <c r="T12" s="2">
        <f>IF(D1 = 3, 1, IF(D1 = 2, 2, IF(D1 = 3, 1, 3)))</f>
        <v>3</v>
      </c>
      <c r="U12" s="2">
        <f t="shared" si="6"/>
        <v>5</v>
      </c>
      <c r="V12" s="2">
        <f t="shared" si="7"/>
        <v>5</v>
      </c>
    </row>
    <row r="13" spans="1:22" x14ac:dyDescent="0.25">
      <c r="A13" s="1" t="s">
        <v>34</v>
      </c>
      <c r="B13" s="21" t="s">
        <v>460</v>
      </c>
      <c r="C13" s="12" t="s">
        <v>32</v>
      </c>
      <c r="D13" s="28">
        <v>20</v>
      </c>
      <c r="E13" s="28">
        <v>60</v>
      </c>
      <c r="F13" s="28">
        <f t="shared" ca="1" si="8"/>
        <v>170</v>
      </c>
      <c r="G13" s="28">
        <f t="shared" ca="1" si="9"/>
        <v>135</v>
      </c>
      <c r="H13" s="28">
        <f t="shared" ca="1" si="0"/>
        <v>40</v>
      </c>
      <c r="I13" s="28">
        <f t="shared" ca="1" si="1"/>
        <v>280</v>
      </c>
      <c r="J13" s="28">
        <f t="shared" ca="1" si="2"/>
        <v>10</v>
      </c>
      <c r="K13" s="10">
        <f t="shared" ca="1" si="3"/>
        <v>14</v>
      </c>
      <c r="L13" s="1" t="str">
        <f t="shared" ca="1" si="4"/>
        <v>No Speed-Gro</v>
      </c>
      <c r="M13" s="1">
        <f>IF(Q12="N",5,5-(ROUND(5/10,0)))</f>
        <v>4</v>
      </c>
      <c r="N13" s="1">
        <v>5</v>
      </c>
      <c r="O13" s="1">
        <f t="shared" si="5"/>
        <v>5</v>
      </c>
      <c r="P13" s="1">
        <v>1</v>
      </c>
      <c r="Q13" s="23" t="s">
        <v>212</v>
      </c>
      <c r="R13" s="1" t="s">
        <v>19</v>
      </c>
      <c r="S13" s="1"/>
      <c r="T13" s="2">
        <f>IF(D1 = 3, 1, IF(D1 = 2, 2, IF(D1 = 3, 1, 3)))</f>
        <v>3</v>
      </c>
      <c r="U13" s="2">
        <f t="shared" si="6"/>
        <v>5</v>
      </c>
      <c r="V13" s="2">
        <f t="shared" si="7"/>
        <v>5</v>
      </c>
    </row>
    <row r="14" spans="1:22" x14ac:dyDescent="0.25">
      <c r="A14" s="1" t="s">
        <v>42</v>
      </c>
      <c r="B14" s="24" t="s">
        <v>461</v>
      </c>
      <c r="C14" s="12" t="s">
        <v>32</v>
      </c>
      <c r="D14" s="28">
        <v>200</v>
      </c>
      <c r="E14" s="28">
        <v>290</v>
      </c>
      <c r="F14" s="28" t="s">
        <v>171</v>
      </c>
      <c r="G14" s="28" t="s">
        <v>171</v>
      </c>
      <c r="H14" s="28">
        <f t="shared" ca="1" si="0"/>
        <v>90</v>
      </c>
      <c r="I14" s="28">
        <f t="shared" ca="1" si="1"/>
        <v>180</v>
      </c>
      <c r="J14" s="28">
        <f t="shared" ca="1" si="2"/>
        <v>6.4285714285714288</v>
      </c>
      <c r="K14" s="10">
        <f t="shared" ca="1" si="3"/>
        <v>0.9</v>
      </c>
      <c r="L14" s="1" t="str">
        <f t="shared" ca="1" si="4"/>
        <v>Deluxe Speed-Gro</v>
      </c>
      <c r="M14" s="1">
        <f>IF(L1="N",12,12-(ROUND(12/10,0)))</f>
        <v>12</v>
      </c>
      <c r="N14" s="1">
        <f>M14</f>
        <v>12</v>
      </c>
      <c r="O14" s="1">
        <f t="shared" si="5"/>
        <v>2</v>
      </c>
      <c r="P14" s="1">
        <v>1</v>
      </c>
      <c r="Q14" s="11" t="s">
        <v>161</v>
      </c>
      <c r="R14" s="1" t="s">
        <v>19</v>
      </c>
      <c r="S14" s="1"/>
      <c r="T14" s="2">
        <f>IF(D1 = 3, 1, IF(D1 = 2, 2, IF(D1 = 3, 1, 3)))</f>
        <v>3</v>
      </c>
      <c r="U14" s="2">
        <f t="shared" si="6"/>
        <v>2</v>
      </c>
      <c r="V14" s="2">
        <f t="shared" si="7"/>
        <v>3</v>
      </c>
    </row>
    <row r="15" spans="1:22" x14ac:dyDescent="0.25">
      <c r="A15" s="1" t="s">
        <v>8</v>
      </c>
      <c r="B15" s="21" t="s">
        <v>460</v>
      </c>
      <c r="C15" s="23" t="s">
        <v>0</v>
      </c>
      <c r="D15" s="28">
        <v>40</v>
      </c>
      <c r="E15" s="28">
        <v>60</v>
      </c>
      <c r="F15" s="28">
        <f t="shared" ref="F15:F22" ca="1" si="10">IF((INDIRECT(ADDRESS(ROW()-(ROW()-1), COLUMN(J12))))="N",50+(2*E15),ROUND(1.4*(50+(2*E15)),0))</f>
        <v>170</v>
      </c>
      <c r="G15" s="28">
        <f t="shared" ref="G15:G22" ca="1" si="11">IF(B15="Veg",IF((INDIRECT(ADDRESS(ROW()-(ROW()-1),COLUMN(J12))))="N",ROUND(E15*2.25,0),ROUND(1.4*ROUND(E15*2.25,0),0)),IF((INDIRECT(ADDRESS(ROW()-(ROW()-1),COLUMN(J12))))="N",ROUND(E15*3,0),ROUND(1.4*ROUND(E15*3,0),0)))</f>
        <v>135</v>
      </c>
      <c r="H15" s="28">
        <f t="shared" ca="1" si="0"/>
        <v>20</v>
      </c>
      <c r="I15" s="28">
        <f t="shared" ca="1" si="1"/>
        <v>120</v>
      </c>
      <c r="J15" s="28">
        <f t="shared" ca="1" si="2"/>
        <v>4.2857142857142856</v>
      </c>
      <c r="K15" s="10">
        <f t="shared" ca="1" si="3"/>
        <v>3</v>
      </c>
      <c r="L15" s="1" t="str">
        <f t="shared" ca="1" si="4"/>
        <v>Speed-Gro</v>
      </c>
      <c r="M15" s="1">
        <f>IF(L1="N",4,4-(ROUND(4/10,0)))</f>
        <v>4</v>
      </c>
      <c r="N15" s="1">
        <f>M15</f>
        <v>4</v>
      </c>
      <c r="O15" s="1">
        <f t="shared" si="5"/>
        <v>6</v>
      </c>
      <c r="P15" s="1">
        <v>1</v>
      </c>
      <c r="Q15" s="11" t="s">
        <v>161</v>
      </c>
      <c r="R15" s="1" t="s">
        <v>19</v>
      </c>
      <c r="S15" s="1"/>
      <c r="T15" s="2">
        <f>IF(D1 = 3, 1, IF(D1 = 2, 2, IF(D1 = 3, 1, 3)))</f>
        <v>3</v>
      </c>
      <c r="U15" s="2">
        <f t="shared" si="6"/>
        <v>9</v>
      </c>
      <c r="V15" s="2">
        <f t="shared" si="7"/>
        <v>9</v>
      </c>
    </row>
    <row r="16" spans="1:22" x14ac:dyDescent="0.25">
      <c r="A16" s="1" t="s">
        <v>41</v>
      </c>
      <c r="B16" s="11" t="s">
        <v>191</v>
      </c>
      <c r="C16" s="12" t="s">
        <v>32</v>
      </c>
      <c r="D16" s="28">
        <v>60</v>
      </c>
      <c r="E16" s="28">
        <v>80</v>
      </c>
      <c r="F16" s="28">
        <f t="shared" ca="1" si="10"/>
        <v>210</v>
      </c>
      <c r="G16" s="28">
        <f t="shared" ca="1" si="11"/>
        <v>240</v>
      </c>
      <c r="H16" s="28">
        <f t="shared" ca="1" si="0"/>
        <v>20</v>
      </c>
      <c r="I16" s="28">
        <f t="shared" ca="1" si="1"/>
        <v>500</v>
      </c>
      <c r="J16" s="28">
        <f t="shared" ca="1" si="2"/>
        <v>17.857142857142858</v>
      </c>
      <c r="K16" s="10">
        <f t="shared" ca="1" si="3"/>
        <v>8.3333333333333339</v>
      </c>
      <c r="L16" s="1" t="str">
        <f t="shared" ca="1" si="4"/>
        <v>No Speed-Gro</v>
      </c>
      <c r="M16" s="1">
        <f>IF(Q16="N",10,10-(ROUND(10/10,0)))</f>
        <v>9</v>
      </c>
      <c r="N16" s="1">
        <v>3</v>
      </c>
      <c r="O16" s="1">
        <f t="shared" si="5"/>
        <v>7</v>
      </c>
      <c r="P16" s="1">
        <v>1</v>
      </c>
      <c r="Q16" s="23" t="s">
        <v>212</v>
      </c>
      <c r="R16" s="1" t="s">
        <v>19</v>
      </c>
      <c r="S16" s="1"/>
      <c r="T16" s="2">
        <f>IF(D1 = 3, 1, IF(D1 = 2, 2, IF(D1 = 3, 1, 3)))</f>
        <v>3</v>
      </c>
      <c r="U16" s="2">
        <f t="shared" si="6"/>
        <v>7</v>
      </c>
      <c r="V16" s="2">
        <f t="shared" si="7"/>
        <v>8</v>
      </c>
    </row>
    <row r="17" spans="1:22" x14ac:dyDescent="0.25">
      <c r="A17" s="1" t="s">
        <v>15</v>
      </c>
      <c r="B17" s="21" t="s">
        <v>460</v>
      </c>
      <c r="C17" s="23" t="s">
        <v>0</v>
      </c>
      <c r="D17" s="28">
        <v>60</v>
      </c>
      <c r="E17" s="28">
        <v>40</v>
      </c>
      <c r="F17" s="28">
        <f t="shared" ca="1" si="10"/>
        <v>130</v>
      </c>
      <c r="G17" s="28">
        <f t="shared" ca="1" si="11"/>
        <v>90</v>
      </c>
      <c r="H17" s="28">
        <f t="shared" ca="1" si="0"/>
        <v>-20</v>
      </c>
      <c r="I17" s="28">
        <f t="shared" ca="1" si="1"/>
        <v>180</v>
      </c>
      <c r="J17" s="28">
        <f t="shared" ca="1" si="2"/>
        <v>6.4285714285714288</v>
      </c>
      <c r="K17" s="10">
        <f t="shared" ca="1" si="3"/>
        <v>3</v>
      </c>
      <c r="L17" s="1" t="str">
        <f t="shared" ca="1" si="4"/>
        <v>No Speed-Gro</v>
      </c>
      <c r="M17" s="1">
        <f>IF(L1="N",10,10-(ROUND(10/10,0)))</f>
        <v>10</v>
      </c>
      <c r="N17" s="1">
        <v>3</v>
      </c>
      <c r="O17" s="1">
        <f t="shared" si="5"/>
        <v>6</v>
      </c>
      <c r="P17" s="1">
        <v>1</v>
      </c>
      <c r="Q17" s="23" t="s">
        <v>212</v>
      </c>
      <c r="R17" s="1" t="s">
        <v>19</v>
      </c>
      <c r="S17" s="1" t="s">
        <v>374</v>
      </c>
      <c r="T17" s="2">
        <f>IF(D1 = 3, 1, IF(D1 = 2, 2, IF(D1 = 3, 1, 3)))</f>
        <v>3</v>
      </c>
      <c r="U17" s="2">
        <f t="shared" si="6"/>
        <v>7</v>
      </c>
      <c r="V17" s="2">
        <f t="shared" si="7"/>
        <v>7</v>
      </c>
    </row>
    <row r="18" spans="1:22" x14ac:dyDescent="0.25">
      <c r="A18" s="1" t="s">
        <v>26</v>
      </c>
      <c r="B18" s="21" t="s">
        <v>460</v>
      </c>
      <c r="C18" s="11" t="s">
        <v>21</v>
      </c>
      <c r="D18" s="28">
        <v>60</v>
      </c>
      <c r="E18" s="28">
        <v>25</v>
      </c>
      <c r="F18" s="28">
        <f t="shared" ca="1" si="10"/>
        <v>100</v>
      </c>
      <c r="G18" s="37">
        <f t="shared" ca="1" si="11"/>
        <v>56</v>
      </c>
      <c r="H18" s="28">
        <f t="shared" ca="1" si="0"/>
        <v>-35</v>
      </c>
      <c r="I18" s="28">
        <f t="shared" ca="1" si="1"/>
        <v>365</v>
      </c>
      <c r="J18" s="28">
        <f t="shared" ca="1" si="2"/>
        <v>13.035714285714286</v>
      </c>
      <c r="K18" s="10">
        <f t="shared" ca="1" si="3"/>
        <v>6.083333333333333</v>
      </c>
      <c r="L18" s="1" t="str">
        <f t="shared" ca="1" si="4"/>
        <v>No Speed-Gro</v>
      </c>
      <c r="M18" s="1">
        <f>IF(L1="N",11,11-(ROUND(11/10,0)))</f>
        <v>11</v>
      </c>
      <c r="N18" s="1">
        <v>1</v>
      </c>
      <c r="O18" s="1">
        <f t="shared" si="5"/>
        <v>17</v>
      </c>
      <c r="P18" s="1">
        <v>1</v>
      </c>
      <c r="Q18" s="23" t="s">
        <v>212</v>
      </c>
      <c r="R18" s="1" t="s">
        <v>19</v>
      </c>
      <c r="S18" s="1"/>
      <c r="T18" s="2">
        <f>IF(D1 = 3, 1, IF(D1 = 2, 2, IF(D1 = 3, 1, 3)))</f>
        <v>3</v>
      </c>
      <c r="U18" s="2">
        <f t="shared" si="6"/>
        <v>19</v>
      </c>
      <c r="V18" s="2">
        <f t="shared" si="7"/>
        <v>20</v>
      </c>
    </row>
    <row r="19" spans="1:22" x14ac:dyDescent="0.25">
      <c r="A19" s="1" t="s">
        <v>11</v>
      </c>
      <c r="B19" s="21" t="s">
        <v>460</v>
      </c>
      <c r="C19" s="23" t="s">
        <v>0</v>
      </c>
      <c r="D19" s="28">
        <v>70</v>
      </c>
      <c r="E19" s="28">
        <v>110</v>
      </c>
      <c r="F19" s="28">
        <f t="shared" ca="1" si="10"/>
        <v>270</v>
      </c>
      <c r="G19" s="28">
        <f t="shared" ca="1" si="11"/>
        <v>248</v>
      </c>
      <c r="H19" s="28">
        <f t="shared" ca="1" si="0"/>
        <v>40</v>
      </c>
      <c r="I19" s="28">
        <f t="shared" ca="1" si="1"/>
        <v>200</v>
      </c>
      <c r="J19" s="28">
        <f t="shared" ca="1" si="2"/>
        <v>7.1428571428571432</v>
      </c>
      <c r="K19" s="10">
        <f t="shared" ca="1" si="3"/>
        <v>2.8571428571428572</v>
      </c>
      <c r="L19" s="1" t="str">
        <f t="shared" ca="1" si="4"/>
        <v>Deluxe Speed-Gro</v>
      </c>
      <c r="M19" s="1">
        <f>IF(Q19="N",6,6-(ROUND(6/10,0)))</f>
        <v>5</v>
      </c>
      <c r="N19" s="1">
        <f>M19</f>
        <v>5</v>
      </c>
      <c r="O19" s="1">
        <f t="shared" si="5"/>
        <v>5</v>
      </c>
      <c r="P19" s="1">
        <v>1</v>
      </c>
      <c r="Q19" s="11" t="s">
        <v>161</v>
      </c>
      <c r="R19" s="1" t="s">
        <v>19</v>
      </c>
      <c r="S19" s="1"/>
      <c r="T19" s="2">
        <f>IF(D1 = 3, 1, IF(D1 = 2, 2, IF(D1 = 3, 1, 3)))</f>
        <v>3</v>
      </c>
      <c r="U19" s="2">
        <f t="shared" si="6"/>
        <v>6</v>
      </c>
      <c r="V19" s="2">
        <f t="shared" si="7"/>
        <v>9</v>
      </c>
    </row>
    <row r="20" spans="1:22" x14ac:dyDescent="0.25">
      <c r="A20" s="1" t="s">
        <v>28</v>
      </c>
      <c r="B20" s="11" t="s">
        <v>191</v>
      </c>
      <c r="C20" s="11" t="s">
        <v>21</v>
      </c>
      <c r="D20" s="28">
        <v>80</v>
      </c>
      <c r="E20" s="28">
        <v>250</v>
      </c>
      <c r="F20" s="28">
        <f t="shared" ca="1" si="10"/>
        <v>550</v>
      </c>
      <c r="G20" s="28">
        <f t="shared" ca="1" si="11"/>
        <v>750</v>
      </c>
      <c r="H20" s="28">
        <f t="shared" ca="1" si="0"/>
        <v>170</v>
      </c>
      <c r="I20" s="28">
        <f t="shared" ca="1" si="1"/>
        <v>340</v>
      </c>
      <c r="J20" s="28">
        <f t="shared" ca="1" si="2"/>
        <v>12.142857142857142</v>
      </c>
      <c r="K20" s="10">
        <f t="shared" ca="1" si="3"/>
        <v>4.25</v>
      </c>
      <c r="L20" s="1" t="str">
        <f t="shared" ca="1" si="4"/>
        <v>Deluxe Speed-Gro</v>
      </c>
      <c r="M20" s="1">
        <f>IF(L1="N",12,12-(ROUND(12/10,0)))</f>
        <v>12</v>
      </c>
      <c r="N20" s="1">
        <f>M20</f>
        <v>12</v>
      </c>
      <c r="O20" s="1">
        <f t="shared" si="5"/>
        <v>2</v>
      </c>
      <c r="P20" s="1">
        <v>1</v>
      </c>
      <c r="Q20" s="11" t="s">
        <v>161</v>
      </c>
      <c r="R20" s="1" t="s">
        <v>19</v>
      </c>
      <c r="S20" s="1"/>
      <c r="T20" s="2">
        <f>IF(D1 = 3, 1, IF(D1 = 2, 2, IF(D1 = 3, 1, 3)))</f>
        <v>3</v>
      </c>
      <c r="U20" s="2">
        <f t="shared" si="6"/>
        <v>2</v>
      </c>
      <c r="V20" s="2">
        <f t="shared" si="7"/>
        <v>3</v>
      </c>
    </row>
    <row r="21" spans="1:22" x14ac:dyDescent="0.25">
      <c r="A21" s="1" t="s">
        <v>7</v>
      </c>
      <c r="B21" s="21" t="s">
        <v>460</v>
      </c>
      <c r="C21" s="23" t="s">
        <v>0</v>
      </c>
      <c r="D21" s="28">
        <v>20</v>
      </c>
      <c r="E21" s="28">
        <v>35</v>
      </c>
      <c r="F21" s="28">
        <f t="shared" ca="1" si="10"/>
        <v>120</v>
      </c>
      <c r="G21" s="28">
        <f t="shared" ca="1" si="11"/>
        <v>79</v>
      </c>
      <c r="H21" s="28">
        <f t="shared" ca="1" si="0"/>
        <v>15</v>
      </c>
      <c r="I21" s="28">
        <f t="shared" ca="1" si="1"/>
        <v>90</v>
      </c>
      <c r="J21" s="28">
        <f t="shared" ca="1" si="2"/>
        <v>3.2142857142857144</v>
      </c>
      <c r="K21" s="10">
        <f t="shared" ca="1" si="3"/>
        <v>4.5</v>
      </c>
      <c r="L21" s="1" t="str">
        <f t="shared" ca="1" si="4"/>
        <v>Speed-Gro</v>
      </c>
      <c r="M21" s="1">
        <f>IF(Q21="N",4,4-(ROUND(4/10,0)))</f>
        <v>4</v>
      </c>
      <c r="N21" s="1">
        <f>M21</f>
        <v>4</v>
      </c>
      <c r="O21" s="1">
        <f t="shared" si="5"/>
        <v>6</v>
      </c>
      <c r="P21" s="1">
        <v>1</v>
      </c>
      <c r="Q21" s="11" t="s">
        <v>161</v>
      </c>
      <c r="R21" s="1" t="s">
        <v>19</v>
      </c>
      <c r="S21" s="1"/>
      <c r="T21" s="2">
        <f>IF(D1 = 3, 1, IF(D1 = 2, 2, IF(D1 = 3, 1, 3)))</f>
        <v>3</v>
      </c>
      <c r="U21" s="2">
        <f t="shared" si="6"/>
        <v>9</v>
      </c>
      <c r="V21" s="2">
        <f t="shared" si="7"/>
        <v>9</v>
      </c>
    </row>
    <row r="22" spans="1:22" x14ac:dyDescent="0.25">
      <c r="A22" s="1" t="s">
        <v>145</v>
      </c>
      <c r="B22" s="11" t="s">
        <v>191</v>
      </c>
      <c r="C22" s="11" t="s">
        <v>21</v>
      </c>
      <c r="D22" s="28">
        <v>40</v>
      </c>
      <c r="E22" s="28">
        <v>40</v>
      </c>
      <c r="F22" s="28">
        <f t="shared" ca="1" si="10"/>
        <v>130</v>
      </c>
      <c r="G22" s="28">
        <f t="shared" ca="1" si="11"/>
        <v>120</v>
      </c>
      <c r="H22" s="28">
        <f t="shared" ca="1" si="0"/>
        <v>0</v>
      </c>
      <c r="I22" s="28">
        <f t="shared" ca="1" si="1"/>
        <v>280</v>
      </c>
      <c r="J22" s="28">
        <f t="shared" ca="1" si="2"/>
        <v>10</v>
      </c>
      <c r="K22" s="10">
        <f t="shared" ca="1" si="3"/>
        <v>7</v>
      </c>
      <c r="L22" s="1" t="str">
        <f t="shared" ca="1" si="4"/>
        <v>No Speed-Gro</v>
      </c>
      <c r="M22" s="1">
        <f>IF(L1="N",5,5-(ROUND(5/10,0)))</f>
        <v>5</v>
      </c>
      <c r="N22" s="1">
        <v>3</v>
      </c>
      <c r="O22" s="1">
        <f t="shared" si="5"/>
        <v>8</v>
      </c>
      <c r="P22" s="1">
        <v>1</v>
      </c>
      <c r="Q22" s="23" t="s">
        <v>212</v>
      </c>
      <c r="R22" s="1" t="s">
        <v>19</v>
      </c>
      <c r="S22" s="1"/>
      <c r="T22" s="2">
        <f>IF(D1 = 3, 1, IF(D1 = 2, 2, IF(D1 = 3, 1, 3)))</f>
        <v>3</v>
      </c>
      <c r="U22" s="2">
        <f t="shared" si="6"/>
        <v>8</v>
      </c>
      <c r="V22" s="2">
        <f t="shared" si="7"/>
        <v>9</v>
      </c>
    </row>
    <row r="23" spans="1:22" x14ac:dyDescent="0.25">
      <c r="A23" s="1" t="s">
        <v>24</v>
      </c>
      <c r="B23" s="22" t="s">
        <v>461</v>
      </c>
      <c r="C23" s="11" t="s">
        <v>21</v>
      </c>
      <c r="D23" s="28">
        <v>100</v>
      </c>
      <c r="E23" s="28">
        <v>140</v>
      </c>
      <c r="F23" s="28" t="s">
        <v>171</v>
      </c>
      <c r="G23" s="28" t="s">
        <v>171</v>
      </c>
      <c r="H23" s="28">
        <f t="shared" ca="1" si="0"/>
        <v>40</v>
      </c>
      <c r="I23" s="28">
        <f t="shared" ca="1" si="1"/>
        <v>120</v>
      </c>
      <c r="J23" s="28">
        <f t="shared" ca="1" si="2"/>
        <v>4.2857142857142856</v>
      </c>
      <c r="K23" s="10">
        <f t="shared" ca="1" si="3"/>
        <v>1.2</v>
      </c>
      <c r="L23" s="1" t="str">
        <f t="shared" ca="1" si="4"/>
        <v>Speed-Gro</v>
      </c>
      <c r="M23" s="1">
        <f>IF(L1="N",7,7-(ROUND(7/10,0)))</f>
        <v>7</v>
      </c>
      <c r="N23" s="1">
        <f t="shared" ref="N23:N30" si="12">M23</f>
        <v>7</v>
      </c>
      <c r="O23" s="1">
        <f t="shared" si="5"/>
        <v>3</v>
      </c>
      <c r="P23" s="1">
        <v>1</v>
      </c>
      <c r="Q23" s="11" t="s">
        <v>161</v>
      </c>
      <c r="R23" s="1" t="s">
        <v>19</v>
      </c>
      <c r="S23" s="1"/>
      <c r="T23" s="2">
        <f>IF(D1 = 3, 1, IF(D1 = 2, 2, IF(D1 = 3, 1, 3)))</f>
        <v>3</v>
      </c>
      <c r="U23" s="2">
        <f t="shared" si="6"/>
        <v>4</v>
      </c>
      <c r="V23" s="2">
        <f t="shared" si="7"/>
        <v>5</v>
      </c>
    </row>
    <row r="24" spans="1:22" x14ac:dyDescent="0.25">
      <c r="A24" s="1" t="s">
        <v>9</v>
      </c>
      <c r="B24" s="21" t="s">
        <v>460</v>
      </c>
      <c r="C24" s="23" t="s">
        <v>0</v>
      </c>
      <c r="D24" s="28">
        <v>50</v>
      </c>
      <c r="E24" s="28">
        <v>80</v>
      </c>
      <c r="F24" s="28">
        <f ca="1">IF((INDIRECT(ADDRESS(ROW()-(ROW()-1), COLUMN(J21))))="N",50+(2*E24),ROUND(1.4*(50+(2*E24)),0))</f>
        <v>210</v>
      </c>
      <c r="G24" s="28">
        <f ca="1">IF(B24="Veg",IF((INDIRECT(ADDRESS(ROW()-(ROW()-1),COLUMN(J21))))="N",ROUND(E24*2.25,0),ROUND(1.4*ROUND(E24*2.25,0),0)),IF((INDIRECT(ADDRESS(ROW()-(ROW()-1),COLUMN(J21))))="N",ROUND(E24*3,0),ROUND(1.4*ROUND(E24*3,0),0)))</f>
        <v>180</v>
      </c>
      <c r="H24" s="28">
        <f t="shared" ca="1" si="0"/>
        <v>50</v>
      </c>
      <c r="I24" s="28">
        <f t="shared" ca="1" si="1"/>
        <v>250</v>
      </c>
      <c r="J24" s="28">
        <f t="shared" ca="1" si="2"/>
        <v>8.9285714285714288</v>
      </c>
      <c r="K24" s="10">
        <f t="shared" ca="1" si="3"/>
        <v>5</v>
      </c>
      <c r="L24" s="1" t="str">
        <f t="shared" ca="1" si="4"/>
        <v>Deluxe Speed-Gro</v>
      </c>
      <c r="M24" s="1">
        <f>IF(Q24="N",6,6-(ROUND(6/10,0)))</f>
        <v>5</v>
      </c>
      <c r="N24" s="1">
        <f t="shared" si="12"/>
        <v>5</v>
      </c>
      <c r="O24" s="1">
        <f t="shared" si="5"/>
        <v>5</v>
      </c>
      <c r="P24" s="1">
        <v>1.25</v>
      </c>
      <c r="Q24" s="11" t="s">
        <v>161</v>
      </c>
      <c r="R24" s="1" t="s">
        <v>19</v>
      </c>
      <c r="S24" s="1" t="s">
        <v>373</v>
      </c>
      <c r="T24" s="2">
        <f>IF(D1 = 3, 1, IF(D1 = 2, 2, IF(D1 = 3, 1, 3)))</f>
        <v>3</v>
      </c>
      <c r="U24" s="2">
        <f t="shared" si="6"/>
        <v>6</v>
      </c>
      <c r="V24" s="2">
        <f t="shared" si="7"/>
        <v>9</v>
      </c>
    </row>
    <row r="25" spans="1:22" x14ac:dyDescent="0.25">
      <c r="A25" s="1" t="s">
        <v>43</v>
      </c>
      <c r="B25" s="21" t="s">
        <v>460</v>
      </c>
      <c r="C25" s="12" t="s">
        <v>32</v>
      </c>
      <c r="D25" s="28">
        <v>100</v>
      </c>
      <c r="E25" s="28">
        <v>320</v>
      </c>
      <c r="F25" s="28">
        <f ca="1">IF((INDIRECT(ADDRESS(ROW()-(ROW()-1), COLUMN(J22))))="N",50+(2*E25),ROUND(1.4*(50+(2*E25)),0))</f>
        <v>690</v>
      </c>
      <c r="G25" s="28">
        <f ca="1">IF(B25="Veg",IF((INDIRECT(ADDRESS(ROW()-(ROW()-1),COLUMN(J22))))="N",ROUND(E25*2.25,0),ROUND(1.4*ROUND(E25*2.25,0),0)),IF((INDIRECT(ADDRESS(ROW()-(ROW()-1),COLUMN(J22))))="N",ROUND(E25*3,0),ROUND(1.4*ROUND(E25*3,0),0)))</f>
        <v>720</v>
      </c>
      <c r="H25" s="28">
        <f t="shared" ca="1" si="0"/>
        <v>220</v>
      </c>
      <c r="I25" s="28">
        <f t="shared" ca="1" si="1"/>
        <v>440</v>
      </c>
      <c r="J25" s="28">
        <f t="shared" ca="1" si="2"/>
        <v>15.714285714285714</v>
      </c>
      <c r="K25" s="10">
        <f t="shared" ca="1" si="3"/>
        <v>4.4000000000000004</v>
      </c>
      <c r="L25" s="1" t="str">
        <f t="shared" ca="1" si="4"/>
        <v>Deluxe Speed-Gro</v>
      </c>
      <c r="M25" s="1">
        <f>IF(Q25="N",13,13-(ROUND(13/10,0)))</f>
        <v>12</v>
      </c>
      <c r="N25" s="1">
        <f t="shared" si="12"/>
        <v>12</v>
      </c>
      <c r="O25" s="1">
        <f t="shared" si="5"/>
        <v>2</v>
      </c>
      <c r="P25" s="1">
        <v>1</v>
      </c>
      <c r="Q25" s="11" t="s">
        <v>161</v>
      </c>
      <c r="R25" s="1" t="s">
        <v>19</v>
      </c>
      <c r="S25" s="1"/>
      <c r="T25" s="2">
        <f>IF(D1 = 3, 1, IF(D1 = 2, 2, IF(D1 = 3, 1, 3)))</f>
        <v>3</v>
      </c>
      <c r="U25" s="2">
        <f t="shared" si="6"/>
        <v>2</v>
      </c>
      <c r="V25" s="2">
        <f t="shared" si="7"/>
        <v>3</v>
      </c>
    </row>
    <row r="26" spans="1:22" x14ac:dyDescent="0.25">
      <c r="A26" s="1" t="s">
        <v>23</v>
      </c>
      <c r="B26" s="21" t="s">
        <v>460</v>
      </c>
      <c r="C26" s="11" t="s">
        <v>21</v>
      </c>
      <c r="D26" s="28">
        <v>40</v>
      </c>
      <c r="E26" s="28">
        <v>90</v>
      </c>
      <c r="F26" s="28">
        <f ca="1">IF((INDIRECT(ADDRESS(ROW()-(ROW()-1), COLUMN(J23))))="N",50+(2*E26),ROUND(1.4*(50+(2*E26)),0))</f>
        <v>230</v>
      </c>
      <c r="G26" s="28">
        <f ca="1">IF(B26="Veg",IF((INDIRECT(ADDRESS(ROW()-(ROW()-1),COLUMN(J23))))="N",ROUND(E26*2.25,0),ROUND(1.4*ROUND(E26*2.25,0),0)),IF((INDIRECT(ADDRESS(ROW()-(ROW()-1),COLUMN(J23))))="N",ROUND(E26*3,0),ROUND(1.4*ROUND(E26*3,0),0)))</f>
        <v>203</v>
      </c>
      <c r="H26" s="28">
        <f t="shared" ca="1" si="0"/>
        <v>50</v>
      </c>
      <c r="I26" s="28">
        <f t="shared" ca="1" si="1"/>
        <v>200</v>
      </c>
      <c r="J26" s="28">
        <f t="shared" ca="1" si="2"/>
        <v>7.1428571428571432</v>
      </c>
      <c r="K26" s="10">
        <f t="shared" ca="1" si="3"/>
        <v>5</v>
      </c>
      <c r="L26" s="1" t="str">
        <f t="shared" ca="1" si="4"/>
        <v>Deluxe Speed-Gro</v>
      </c>
      <c r="M26" s="1">
        <f>IF(L1="N",6,6-(ROUND(6/10,0)))</f>
        <v>6</v>
      </c>
      <c r="N26" s="1">
        <f t="shared" si="12"/>
        <v>6</v>
      </c>
      <c r="O26" s="1">
        <f t="shared" si="5"/>
        <v>4</v>
      </c>
      <c r="P26" s="1">
        <v>1</v>
      </c>
      <c r="Q26" s="11" t="s">
        <v>161</v>
      </c>
      <c r="R26" s="1" t="s">
        <v>19</v>
      </c>
      <c r="S26" s="1"/>
      <c r="T26" s="2">
        <f>IF(D1 = 3, 1, IF(D1 = 2, 2, IF(D1 = 3, 1, 3)))</f>
        <v>3</v>
      </c>
      <c r="U26" s="2">
        <f t="shared" si="6"/>
        <v>5</v>
      </c>
      <c r="V26" s="2">
        <f t="shared" si="7"/>
        <v>6</v>
      </c>
    </row>
    <row r="27" spans="1:22" x14ac:dyDescent="0.25">
      <c r="A27" s="1" t="s">
        <v>25</v>
      </c>
      <c r="B27" s="21" t="s">
        <v>460</v>
      </c>
      <c r="C27" s="11" t="s">
        <v>21</v>
      </c>
      <c r="D27" s="28">
        <v>100</v>
      </c>
      <c r="E27" s="28">
        <v>260</v>
      </c>
      <c r="F27" s="28">
        <f ca="1">IF((INDIRECT(ADDRESS(ROW()-(ROW()-1), COLUMN(J24))))="N",50+(2*E27),ROUND(1.4*(50+(2*E27)),0))</f>
        <v>570</v>
      </c>
      <c r="G27" s="28">
        <f ca="1">IF(B27="Veg",IF((INDIRECT(ADDRESS(ROW()-(ROW()-1),COLUMN(J24))))="N",ROUND(E27*2.25,0),ROUND(1.4*ROUND(E27*2.25,0),0)),IF((INDIRECT(ADDRESS(ROW()-(ROW()-1),COLUMN(J24))))="N",ROUND(E27*3,0),ROUND(1.4*ROUND(E27*3,0),0)))</f>
        <v>585</v>
      </c>
      <c r="H27" s="28">
        <f t="shared" ca="1" si="0"/>
        <v>160</v>
      </c>
      <c r="I27" s="28">
        <f t="shared" ca="1" si="1"/>
        <v>480</v>
      </c>
      <c r="J27" s="28">
        <f t="shared" ca="1" si="2"/>
        <v>17.142857142857142</v>
      </c>
      <c r="K27" s="10">
        <f t="shared" ca="1" si="3"/>
        <v>4.8</v>
      </c>
      <c r="L27" s="1" t="str">
        <f t="shared" ca="1" si="4"/>
        <v>Deluxe Speed-Gro</v>
      </c>
      <c r="M27" s="1">
        <f>IF(L1="N",9,9-(ROUND(9/10,0)))</f>
        <v>9</v>
      </c>
      <c r="N27" s="1">
        <f t="shared" si="12"/>
        <v>9</v>
      </c>
      <c r="O27" s="1">
        <f t="shared" si="5"/>
        <v>3</v>
      </c>
      <c r="P27" s="1">
        <v>1</v>
      </c>
      <c r="Q27" s="11" t="s">
        <v>161</v>
      </c>
      <c r="R27" s="1" t="s">
        <v>19</v>
      </c>
      <c r="S27" s="1"/>
      <c r="T27" s="2">
        <f>IF(D1 = 3, 1, IF(D1 = 2, 2, IF(D1 = 3, 1, 3)))</f>
        <v>3</v>
      </c>
      <c r="U27" s="2">
        <f t="shared" si="6"/>
        <v>3</v>
      </c>
      <c r="V27" s="2">
        <f t="shared" si="7"/>
        <v>4</v>
      </c>
    </row>
    <row r="28" spans="1:22" x14ac:dyDescent="0.25">
      <c r="A28" s="1" t="s">
        <v>17</v>
      </c>
      <c r="B28" s="21" t="s">
        <v>460</v>
      </c>
      <c r="C28" s="23" t="s">
        <v>0</v>
      </c>
      <c r="D28" s="28">
        <v>100</v>
      </c>
      <c r="E28" s="28">
        <v>220</v>
      </c>
      <c r="F28" s="28">
        <f ca="1">IF((INDIRECT(ADDRESS(ROW()-(ROW()-1), COLUMN(J25))))="N",50+(2*E28),ROUND(1.4*(50+(2*E28)),0))</f>
        <v>490</v>
      </c>
      <c r="G28" s="28">
        <f ca="1">IF(B28="Veg",IF((INDIRECT(ADDRESS(ROW()-(ROW()-1),COLUMN(J25))))="N",ROUND(E28*2.25,0),ROUND(1.4*ROUND(E28*2.25,0),0)),IF((INDIRECT(ADDRESS(ROW()-(ROW()-1),COLUMN(J25))))="N",ROUND(E28*3,0),ROUND(1.4*ROUND(E28*3,0),0)))</f>
        <v>495</v>
      </c>
      <c r="H28" s="28">
        <f t="shared" ca="1" si="0"/>
        <v>120</v>
      </c>
      <c r="I28" s="28">
        <f t="shared" ca="1" si="1"/>
        <v>240</v>
      </c>
      <c r="J28" s="28">
        <f t="shared" ca="1" si="2"/>
        <v>8.5714285714285712</v>
      </c>
      <c r="K28" s="10">
        <f t="shared" ca="1" si="3"/>
        <v>2.4</v>
      </c>
      <c r="L28" s="1" t="str">
        <f t="shared" ca="1" si="4"/>
        <v>Deluxe Speed-Gro</v>
      </c>
      <c r="M28" s="1">
        <f>IF(Q28="N",13,13-(ROUND(13/10,0)))</f>
        <v>12</v>
      </c>
      <c r="N28" s="1">
        <f t="shared" si="12"/>
        <v>12</v>
      </c>
      <c r="O28" s="1">
        <f t="shared" si="5"/>
        <v>2</v>
      </c>
      <c r="P28" s="1">
        <v>1</v>
      </c>
      <c r="Q28" s="11" t="s">
        <v>161</v>
      </c>
      <c r="R28" s="1" t="s">
        <v>18</v>
      </c>
      <c r="S28" s="1"/>
      <c r="T28" s="2">
        <f>IF(D1 = 3, 1, IF(D1 = 2, 2, IF(D1 = 3, 1, 3)))</f>
        <v>3</v>
      </c>
      <c r="U28" s="2">
        <f t="shared" si="6"/>
        <v>2</v>
      </c>
      <c r="V28" s="2">
        <f t="shared" si="7"/>
        <v>3</v>
      </c>
    </row>
    <row r="29" spans="1:22" x14ac:dyDescent="0.25">
      <c r="A29" s="1" t="s">
        <v>144</v>
      </c>
      <c r="B29" s="22" t="s">
        <v>461</v>
      </c>
      <c r="C29" s="11" t="s">
        <v>21</v>
      </c>
      <c r="D29" s="28">
        <v>50</v>
      </c>
      <c r="E29" s="28">
        <v>90</v>
      </c>
      <c r="F29" s="28" t="s">
        <v>171</v>
      </c>
      <c r="G29" s="28" t="s">
        <v>171</v>
      </c>
      <c r="H29" s="28">
        <f t="shared" ca="1" si="0"/>
        <v>40</v>
      </c>
      <c r="I29" s="28">
        <f t="shared" ca="1" si="1"/>
        <v>120</v>
      </c>
      <c r="J29" s="28">
        <f t="shared" ca="1" si="2"/>
        <v>4.2857142857142856</v>
      </c>
      <c r="K29" s="10">
        <f t="shared" ca="1" si="3"/>
        <v>2.4</v>
      </c>
      <c r="L29" s="1" t="str">
        <f t="shared" ca="1" si="4"/>
        <v>Speed-Gro</v>
      </c>
      <c r="M29" s="1">
        <f>IF(L1="N",8,8-(ROUND(8/10,0)))</f>
        <v>8</v>
      </c>
      <c r="N29" s="1">
        <f t="shared" si="12"/>
        <v>8</v>
      </c>
      <c r="O29" s="1">
        <f t="shared" si="5"/>
        <v>3</v>
      </c>
      <c r="P29" s="1">
        <v>1</v>
      </c>
      <c r="Q29" s="11" t="s">
        <v>161</v>
      </c>
      <c r="R29" s="1" t="s">
        <v>19</v>
      </c>
      <c r="S29" s="1"/>
      <c r="T29" s="2">
        <f>IF(D1 = 3, 1, IF(D1 = 2, 2, IF(D1 = 3, 1, 3)))</f>
        <v>3</v>
      </c>
      <c r="U29" s="2">
        <f t="shared" si="6"/>
        <v>3</v>
      </c>
      <c r="V29" s="2">
        <f t="shared" si="7"/>
        <v>4</v>
      </c>
    </row>
    <row r="30" spans="1:22" x14ac:dyDescent="0.25">
      <c r="A30" s="1" t="s">
        <v>30</v>
      </c>
      <c r="B30" s="11" t="s">
        <v>191</v>
      </c>
      <c r="C30" s="11" t="s">
        <v>21</v>
      </c>
      <c r="D30" s="28">
        <v>400</v>
      </c>
      <c r="E30" s="28">
        <v>800</v>
      </c>
      <c r="F30" s="28">
        <f ca="1">IF((INDIRECT(ADDRESS(ROW()-(ROW()-1), COLUMN(J27))))="N",50+(2*E30),ROUND(1.4*(50+(2*E30)),0))</f>
        <v>1650</v>
      </c>
      <c r="G30" s="28">
        <f ca="1">IF(B30="Veg",IF((INDIRECT(ADDRESS(ROW()-(ROW()-1),COLUMN(J27))))="N",ROUND(E30*2.25,0),ROUND(1.4*ROUND(E30*2.25,0),0)),IF((INDIRECT(ADDRESS(ROW()-(ROW()-1),COLUMN(J27))))="N",ROUND(E30*3,0),ROUND(1.4*ROUND(E30*3,0),0)))</f>
        <v>2400</v>
      </c>
      <c r="H30" s="28">
        <f t="shared" ca="1" si="0"/>
        <v>400</v>
      </c>
      <c r="I30" s="28">
        <f t="shared" ca="1" si="1"/>
        <v>800</v>
      </c>
      <c r="J30" s="28">
        <f t="shared" ca="1" si="2"/>
        <v>28.571428571428573</v>
      </c>
      <c r="K30" s="10">
        <f t="shared" ca="1" si="3"/>
        <v>2</v>
      </c>
      <c r="L30" s="1" t="str">
        <f t="shared" ca="1" si="4"/>
        <v>Deluxe Speed-Gro</v>
      </c>
      <c r="M30" s="1">
        <f>IF(L1="N",13,13-(ROUND(13/10,0)))</f>
        <v>13</v>
      </c>
      <c r="N30" s="1">
        <f t="shared" si="12"/>
        <v>13</v>
      </c>
      <c r="O30" s="1">
        <f t="shared" si="5"/>
        <v>2</v>
      </c>
      <c r="P30" s="1">
        <v>1</v>
      </c>
      <c r="Q30" s="11" t="s">
        <v>161</v>
      </c>
      <c r="R30" s="1" t="s">
        <v>18</v>
      </c>
      <c r="S30" s="1"/>
      <c r="T30" s="2">
        <f>IF(D1 = 3, 1, IF(D1 = 2, 2, IF(D1 = 3, 1, 3)))</f>
        <v>3</v>
      </c>
      <c r="U30" s="2">
        <f t="shared" si="6"/>
        <v>2</v>
      </c>
      <c r="V30" s="2">
        <f t="shared" si="7"/>
        <v>3</v>
      </c>
    </row>
    <row r="31" spans="1:22" x14ac:dyDescent="0.25">
      <c r="A31" s="1" t="s">
        <v>13</v>
      </c>
      <c r="B31" s="11" t="s">
        <v>191</v>
      </c>
      <c r="C31" s="23" t="s">
        <v>0</v>
      </c>
      <c r="D31" s="28">
        <v>100</v>
      </c>
      <c r="E31" s="28">
        <v>120</v>
      </c>
      <c r="F31" s="28">
        <f ca="1">IF((INDIRECT(ADDRESS(ROW()-(ROW()-1), COLUMN(J28))))="N",50+(2*E31),ROUND(1.4*(50+(2*E31)),0))</f>
        <v>290</v>
      </c>
      <c r="G31" s="28">
        <f ca="1">IF(B31="Veg",IF((INDIRECT(ADDRESS(ROW()-(ROW()-1),COLUMN(J28))))="N",ROUND(E31*2.25,0),ROUND(1.4*ROUND(E31*2.25,0),0)),IF((INDIRECT(ADDRESS(ROW()-(ROW()-1),COLUMN(J28))))="N",ROUND(E31*3,0),ROUND(1.4*ROUND(E31*3,0),0)))</f>
        <v>360</v>
      </c>
      <c r="H31" s="28">
        <f t="shared" ca="1" si="0"/>
        <v>20</v>
      </c>
      <c r="I31" s="28">
        <f t="shared" ca="1" si="1"/>
        <v>620</v>
      </c>
      <c r="J31" s="28">
        <f t="shared" ca="1" si="2"/>
        <v>22.142857142857142</v>
      </c>
      <c r="K31" s="10">
        <f t="shared" ca="1" si="3"/>
        <v>6.2</v>
      </c>
      <c r="L31" s="1" t="str">
        <f t="shared" ca="1" si="4"/>
        <v>No Speed-Gro</v>
      </c>
      <c r="M31" s="1">
        <f>IF(Q31="N",8,8-(ROUND(8/10,0)))</f>
        <v>7</v>
      </c>
      <c r="N31" s="1">
        <v>4</v>
      </c>
      <c r="O31" s="1">
        <f t="shared" si="5"/>
        <v>6</v>
      </c>
      <c r="P31" s="1">
        <v>1</v>
      </c>
      <c r="Q31" s="23" t="s">
        <v>212</v>
      </c>
      <c r="R31" s="1" t="s">
        <v>20</v>
      </c>
      <c r="S31" s="1"/>
      <c r="T31" s="2">
        <f>IF(D1 = 3, 1, IF(D1 = 2, 2, IF(D1 = 3, 1, 3)))</f>
        <v>3</v>
      </c>
      <c r="U31" s="2">
        <f t="shared" si="6"/>
        <v>6</v>
      </c>
      <c r="V31" s="2">
        <f t="shared" si="7"/>
        <v>6</v>
      </c>
    </row>
    <row r="32" spans="1:22" x14ac:dyDescent="0.25">
      <c r="A32" s="1" t="s">
        <v>38</v>
      </c>
      <c r="B32" s="1" t="s">
        <v>109</v>
      </c>
      <c r="C32" s="12" t="s">
        <v>32</v>
      </c>
      <c r="D32" s="28">
        <v>50</v>
      </c>
      <c r="E32" s="28">
        <v>80</v>
      </c>
      <c r="F32" s="28" t="s">
        <v>171</v>
      </c>
      <c r="G32" s="28" t="s">
        <v>171</v>
      </c>
      <c r="H32" s="28">
        <f t="shared" ca="1" si="0"/>
        <v>30</v>
      </c>
      <c r="I32" s="28">
        <f t="shared" ca="1" si="1"/>
        <v>90</v>
      </c>
      <c r="J32" s="28">
        <f t="shared" ca="1" si="2"/>
        <v>3.2142857142857144</v>
      </c>
      <c r="K32" s="10">
        <f t="shared" ca="1" si="3"/>
        <v>1.8</v>
      </c>
      <c r="L32" s="1" t="str">
        <f t="shared" ca="1" si="4"/>
        <v>Speed-Gro</v>
      </c>
      <c r="M32" s="1">
        <f>IF(L1="N",8,8-(ROUND(8/10,0)))</f>
        <v>8</v>
      </c>
      <c r="N32" s="1">
        <v>8</v>
      </c>
      <c r="O32" s="1">
        <f t="shared" si="5"/>
        <v>3</v>
      </c>
      <c r="P32" s="1">
        <v>1</v>
      </c>
      <c r="Q32" s="11" t="s">
        <v>161</v>
      </c>
      <c r="R32" s="1" t="s">
        <v>626</v>
      </c>
      <c r="S32" s="1"/>
      <c r="T32" s="2">
        <f>IF(D1 = 3, 1, IF(D1 = 2, 2, IF(D1 = 3, 1, 3)))</f>
        <v>3</v>
      </c>
      <c r="U32" s="2">
        <f t="shared" si="6"/>
        <v>3</v>
      </c>
      <c r="V32" s="2">
        <f t="shared" si="7"/>
        <v>4</v>
      </c>
    </row>
    <row r="33" spans="1:79" x14ac:dyDescent="0.25">
      <c r="A33" s="1" t="s">
        <v>169</v>
      </c>
      <c r="B33" s="1" t="s">
        <v>109</v>
      </c>
      <c r="C33" s="12" t="s">
        <v>32</v>
      </c>
      <c r="D33" s="28">
        <v>1000</v>
      </c>
      <c r="E33" s="28">
        <v>3000</v>
      </c>
      <c r="F33" s="28" t="s">
        <v>171</v>
      </c>
      <c r="G33" s="28" t="s">
        <v>171</v>
      </c>
      <c r="H33" s="28">
        <f t="shared" ca="1" si="0"/>
        <v>2000</v>
      </c>
      <c r="I33" s="28">
        <f t="shared" ca="1" si="1"/>
        <v>2000</v>
      </c>
      <c r="J33" s="28">
        <f t="shared" ca="1" si="2"/>
        <v>71.428571428571431</v>
      </c>
      <c r="K33" s="10">
        <f t="shared" ca="1" si="3"/>
        <v>2</v>
      </c>
      <c r="L33" s="1" t="str">
        <f t="shared" ca="1" si="4"/>
        <v>Speed-Gro</v>
      </c>
      <c r="M33" s="1">
        <f>IF(L1="N",24,24-(ROUND(24/10,0)))</f>
        <v>24</v>
      </c>
      <c r="N33" s="1">
        <f>M33</f>
        <v>24</v>
      </c>
      <c r="O33" s="1">
        <f t="shared" si="5"/>
        <v>1</v>
      </c>
      <c r="P33" s="1">
        <v>1</v>
      </c>
      <c r="Q33" s="11" t="s">
        <v>161</v>
      </c>
      <c r="R33" s="1" t="s">
        <v>170</v>
      </c>
      <c r="S33" s="1"/>
      <c r="T33" s="2">
        <f>IF(D1 = 3, 1, IF(D1 = 2, 2, IF(D1 = 3, 1, 3)))</f>
        <v>3</v>
      </c>
      <c r="U33" s="2">
        <f t="shared" si="6"/>
        <v>1</v>
      </c>
      <c r="V33" s="2">
        <f t="shared" si="7"/>
        <v>1</v>
      </c>
    </row>
    <row r="34" spans="1:79" x14ac:dyDescent="0.25">
      <c r="A34" s="1" t="s">
        <v>27</v>
      </c>
      <c r="B34" s="21" t="s">
        <v>460</v>
      </c>
      <c r="C34" s="11" t="s">
        <v>21</v>
      </c>
      <c r="D34" s="28">
        <v>50</v>
      </c>
      <c r="E34" s="28">
        <v>60</v>
      </c>
      <c r="F34" s="28">
        <f ca="1">IF((INDIRECT(ADDRESS(ROW()-(ROW()-1), COLUMN(J31))))="N",50+(2*E34),ROUND(1.4*(50+(2*E34)),0))</f>
        <v>170</v>
      </c>
      <c r="G34" s="28">
        <f ca="1">IF(B34="Veg",IF((INDIRECT(ADDRESS(ROW()-(ROW()-1),COLUMN(J31))))="N",ROUND(E34*2.25,0),ROUND(1.4*ROUND(E34*2.25,0),0)),IF((INDIRECT(ADDRESS(ROW()-(ROW()-1),COLUMN(J31))))="N",ROUND(E34*3,0),ROUND(1.4*ROUND(E34*3,0),0)))</f>
        <v>135</v>
      </c>
      <c r="H34" s="28">
        <f t="shared" ca="1" si="0"/>
        <v>10</v>
      </c>
      <c r="I34" s="28">
        <f t="shared" ca="1" si="1"/>
        <v>250</v>
      </c>
      <c r="J34" s="28">
        <f t="shared" ca="1" si="2"/>
        <v>8.9285714285714288</v>
      </c>
      <c r="K34" s="10">
        <f t="shared" ca="1" si="3"/>
        <v>5</v>
      </c>
      <c r="L34" s="1" t="str">
        <f t="shared" ca="1" si="4"/>
        <v>No Speed-Gro</v>
      </c>
      <c r="M34" s="1">
        <f>IF(L1="N",11,11-(ROUND(11/10,0)))</f>
        <v>11</v>
      </c>
      <c r="N34" s="1">
        <v>4</v>
      </c>
      <c r="O34" s="1">
        <f t="shared" si="5"/>
        <v>5</v>
      </c>
      <c r="P34" s="1">
        <v>1</v>
      </c>
      <c r="Q34" s="23" t="s">
        <v>212</v>
      </c>
      <c r="R34" s="1" t="s">
        <v>19</v>
      </c>
      <c r="S34" s="1"/>
      <c r="T34" s="2">
        <f>IF(D1 = 3, 1, IF(D1 = 2, 2, IF(D1 = 3, 1, 3)))</f>
        <v>3</v>
      </c>
      <c r="U34" s="2">
        <f t="shared" si="6"/>
        <v>5</v>
      </c>
      <c r="V34" s="2">
        <f t="shared" si="7"/>
        <v>5</v>
      </c>
    </row>
    <row r="35" spans="1:79" x14ac:dyDescent="0.25">
      <c r="A35" s="1" t="s">
        <v>10</v>
      </c>
      <c r="B35" s="22" t="s">
        <v>461</v>
      </c>
      <c r="C35" s="23" t="s">
        <v>0</v>
      </c>
      <c r="D35" s="28">
        <v>20</v>
      </c>
      <c r="E35" s="28">
        <v>30</v>
      </c>
      <c r="F35" s="28" t="s">
        <v>171</v>
      </c>
      <c r="G35" s="28" t="s">
        <v>171</v>
      </c>
      <c r="H35" s="28">
        <f t="shared" ca="1" si="0"/>
        <v>10</v>
      </c>
      <c r="I35" s="28">
        <f t="shared" ca="1" si="1"/>
        <v>40</v>
      </c>
      <c r="J35" s="28">
        <f t="shared" ca="1" si="2"/>
        <v>1.4285714285714286</v>
      </c>
      <c r="K35" s="10">
        <f t="shared" ca="1" si="3"/>
        <v>2</v>
      </c>
      <c r="L35" s="1" t="str">
        <f t="shared" ca="1" si="4"/>
        <v>Speed-Gro</v>
      </c>
      <c r="M35" s="1">
        <f>IF(L1="N",6,6-(ROUND(6/10,0)))</f>
        <v>6</v>
      </c>
      <c r="N35" s="1">
        <f>M35</f>
        <v>6</v>
      </c>
      <c r="O35" s="1">
        <f t="shared" si="5"/>
        <v>4</v>
      </c>
      <c r="P35" s="1">
        <v>1</v>
      </c>
      <c r="Q35" s="11" t="s">
        <v>161</v>
      </c>
      <c r="R35" s="1" t="s">
        <v>19</v>
      </c>
      <c r="S35" s="1"/>
      <c r="T35" s="2">
        <f>IF(D1 = 3, 1, IF(D1 = 2, 2, IF(D1 = 3, 1, 3)))</f>
        <v>3</v>
      </c>
      <c r="U35" s="2">
        <f t="shared" si="6"/>
        <v>5</v>
      </c>
      <c r="V35" s="2">
        <f t="shared" si="7"/>
        <v>6</v>
      </c>
    </row>
    <row r="36" spans="1:79" x14ac:dyDescent="0.25">
      <c r="A36" s="1" t="s">
        <v>22</v>
      </c>
      <c r="B36" s="21" t="s">
        <v>460</v>
      </c>
      <c r="C36" s="1" t="s">
        <v>627</v>
      </c>
      <c r="D36" s="28">
        <v>10</v>
      </c>
      <c r="E36" s="28">
        <v>25</v>
      </c>
      <c r="F36" s="28">
        <f ca="1">IF((INDIRECT(ADDRESS(ROW()-(ROW()-1), COLUMN(J33))))="N",50+(2*E36),ROUND(1.4*(50+(2*E36)),0))</f>
        <v>100</v>
      </c>
      <c r="G36" s="28">
        <f ca="1">IF(B36="Veg",IF((INDIRECT(ADDRESS(ROW()-(ROW()-1),COLUMN(J33))))="N",ROUND(E36*2.25,0),ROUND(1.4*ROUND(E36*2.25,0),0)),IF((INDIRECT(ADDRESS(ROW()-(ROW()-1),COLUMN(J33))))="N",ROUND(E36*3,0),ROUND(1.4*ROUND(E36*3,0),0)))</f>
        <v>56</v>
      </c>
      <c r="H36" s="28">
        <f t="shared" ca="1" si="0"/>
        <v>15</v>
      </c>
      <c r="I36" s="28">
        <f t="shared" ca="1" si="1"/>
        <v>90</v>
      </c>
      <c r="J36" s="28">
        <f t="shared" ca="1" si="2"/>
        <v>3.2142857142857144</v>
      </c>
      <c r="K36" s="10">
        <f t="shared" ca="1" si="3"/>
        <v>9</v>
      </c>
      <c r="L36" s="1" t="str">
        <f t="shared" ca="1" si="4"/>
        <v>Speed-Gro</v>
      </c>
      <c r="M36" s="1">
        <f>IF(L1="N",4,4-(ROUND(4/10,0)))</f>
        <v>4</v>
      </c>
      <c r="N36" s="1">
        <f>M36</f>
        <v>4</v>
      </c>
      <c r="O36" s="1">
        <f t="shared" si="5"/>
        <v>6</v>
      </c>
      <c r="P36" s="1">
        <v>1</v>
      </c>
      <c r="Q36" s="11" t="s">
        <v>161</v>
      </c>
      <c r="R36" s="1" t="s">
        <v>19</v>
      </c>
      <c r="S36" s="1"/>
      <c r="T36" s="2">
        <f>IF(D1 = 3, 1, IF(D1 = 2, 2, IF(D1 = 3, 1, 3)))</f>
        <v>3</v>
      </c>
      <c r="U36" s="2">
        <f t="shared" si="6"/>
        <v>9</v>
      </c>
      <c r="V36" s="2">
        <f t="shared" si="7"/>
        <v>9</v>
      </c>
    </row>
    <row r="37" spans="1:79" x14ac:dyDescent="0.25">
      <c r="A37" s="1" t="s">
        <v>40</v>
      </c>
      <c r="B37" s="21" t="s">
        <v>460</v>
      </c>
      <c r="C37" s="12" t="s">
        <v>32</v>
      </c>
      <c r="D37" s="28">
        <v>60</v>
      </c>
      <c r="E37" s="28">
        <v>160</v>
      </c>
      <c r="F37" s="28">
        <f ca="1">IF((INDIRECT(ADDRESS(ROW()-(ROW()-1), COLUMN(J34))))="N",50+(2*E37),ROUND(1.4*(50+(2*E37)),0))</f>
        <v>370</v>
      </c>
      <c r="G37" s="28">
        <f ca="1">IF(B37="Veg",IF((INDIRECT(ADDRESS(ROW()-(ROW()-1),COLUMN(J34))))="N",ROUND(E37*2.25,0),ROUND(1.4*ROUND(E37*2.25,0),0)),IF((INDIRECT(ADDRESS(ROW()-(ROW()-1),COLUMN(J34))))="N",ROUND(E37*3,0),ROUND(1.4*ROUND(E37*3,0),0)))</f>
        <v>360</v>
      </c>
      <c r="H37" s="28">
        <f t="shared" ca="1" si="0"/>
        <v>100</v>
      </c>
      <c r="I37" s="28">
        <f t="shared" ca="1" si="1"/>
        <v>300</v>
      </c>
      <c r="J37" s="28">
        <f t="shared" ca="1" si="2"/>
        <v>10.714285714285714</v>
      </c>
      <c r="K37" s="10">
        <f t="shared" ca="1" si="3"/>
        <v>5</v>
      </c>
      <c r="L37" s="1" t="str">
        <f t="shared" ca="1" si="4"/>
        <v>Deluxe Speed-Gro</v>
      </c>
      <c r="M37" s="1">
        <f>IF(Q37="N",10,10-(ROUND(10/10,0)))</f>
        <v>9</v>
      </c>
      <c r="N37" s="1">
        <f>M37</f>
        <v>9</v>
      </c>
      <c r="O37" s="1">
        <f t="shared" si="5"/>
        <v>3</v>
      </c>
      <c r="P37" s="1">
        <v>1</v>
      </c>
      <c r="Q37" s="11" t="s">
        <v>161</v>
      </c>
      <c r="R37" s="1" t="s">
        <v>19</v>
      </c>
      <c r="S37" s="1"/>
      <c r="T37" s="2">
        <f>IF(D1 = 3, 1, IF(D1 = 2, 2, IF(D1 = 3, 1, 3)))</f>
        <v>3</v>
      </c>
      <c r="U37" s="2">
        <f t="shared" si="6"/>
        <v>3</v>
      </c>
      <c r="V37" s="2">
        <f t="shared" si="7"/>
        <v>4</v>
      </c>
    </row>
    <row r="38" spans="1:79" s="3" customFormat="1" x14ac:dyDescent="0.25">
      <c r="J38" s="4"/>
      <c r="K38" s="5"/>
      <c r="L38" s="7"/>
      <c r="M38" s="4"/>
      <c r="N38" s="4"/>
      <c r="O38" s="4"/>
      <c r="P38" s="4"/>
      <c r="T38" s="2"/>
      <c r="U38" s="2"/>
      <c r="V38" s="2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</row>
    <row r="46" spans="1:79" x14ac:dyDescent="0.25">
      <c r="D46" s="8"/>
    </row>
  </sheetData>
  <pageMargins left="0.7" right="0.7" top="0.75" bottom="0.75" header="0.3" footer="0.3"/>
  <pageSetup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2" sqref="K2"/>
    </sheetView>
  </sheetViews>
  <sheetFormatPr defaultRowHeight="15" x14ac:dyDescent="0.25"/>
  <cols>
    <col min="1" max="1" width="16.140625" style="3" bestFit="1" customWidth="1"/>
    <col min="2" max="2" width="9.28515625" style="3" bestFit="1" customWidth="1"/>
    <col min="3" max="3" width="14.7109375" style="3" bestFit="1" customWidth="1"/>
    <col min="4" max="4" width="10.7109375" style="3" bestFit="1" customWidth="1"/>
    <col min="5" max="5" width="10.42578125" style="3" bestFit="1" customWidth="1"/>
    <col min="6" max="6" width="6.28515625" style="3" bestFit="1" customWidth="1"/>
    <col min="7" max="7" width="9.85546875" style="3" bestFit="1" customWidth="1"/>
    <col min="8" max="8" width="14.7109375" style="3" bestFit="1" customWidth="1"/>
    <col min="9" max="11" width="14.140625" style="3" bestFit="1" customWidth="1"/>
    <col min="12" max="12" width="7.28515625" style="3" bestFit="1" customWidth="1"/>
    <col min="13" max="13" width="13.5703125" style="3" bestFit="1" customWidth="1"/>
    <col min="14" max="14" width="2" style="2" bestFit="1" customWidth="1"/>
    <col min="15" max="15" width="8.85546875" style="3" customWidth="1"/>
    <col min="16" max="21" width="8.85546875" style="3"/>
  </cols>
  <sheetData>
    <row r="1" spans="1:14" x14ac:dyDescent="0.25">
      <c r="C1" s="13">
        <v>1</v>
      </c>
      <c r="D1" s="14">
        <v>1</v>
      </c>
      <c r="E1" s="14">
        <v>2</v>
      </c>
      <c r="F1" s="15">
        <v>3</v>
      </c>
      <c r="H1" s="39" t="s">
        <v>743</v>
      </c>
      <c r="J1" s="4"/>
      <c r="K1" s="41" t="s">
        <v>743</v>
      </c>
    </row>
    <row r="2" spans="1:14" x14ac:dyDescent="0.25">
      <c r="C2" s="16" t="s">
        <v>631</v>
      </c>
      <c r="D2" s="17" t="s">
        <v>630</v>
      </c>
      <c r="E2" s="17" t="s">
        <v>628</v>
      </c>
      <c r="F2" s="18" t="s">
        <v>629</v>
      </c>
      <c r="H2" s="39" t="s">
        <v>746</v>
      </c>
      <c r="J2" s="4"/>
      <c r="K2" s="41" t="s">
        <v>745</v>
      </c>
      <c r="N2" s="2">
        <f>IF(C1 = 3, 1, IF(C1 = 2, 2, IF(C1 = 3, 1, 3)))</f>
        <v>3</v>
      </c>
    </row>
    <row r="3" spans="1:14" x14ac:dyDescent="0.25">
      <c r="A3" s="1" t="s">
        <v>1</v>
      </c>
      <c r="B3" s="1" t="s">
        <v>51</v>
      </c>
      <c r="C3" s="1" t="s">
        <v>2</v>
      </c>
      <c r="D3" s="1" t="s">
        <v>164</v>
      </c>
      <c r="E3" s="1" t="s">
        <v>462</v>
      </c>
      <c r="F3" s="1" t="s">
        <v>162</v>
      </c>
      <c r="G3" s="1" t="s">
        <v>5</v>
      </c>
      <c r="H3" s="1" t="s">
        <v>369</v>
      </c>
      <c r="I3" s="1" t="s">
        <v>622</v>
      </c>
      <c r="J3" s="1" t="s">
        <v>623</v>
      </c>
      <c r="K3" s="1" t="s">
        <v>624</v>
      </c>
      <c r="L3" s="1" t="s">
        <v>4</v>
      </c>
      <c r="M3" s="1" t="s">
        <v>625</v>
      </c>
      <c r="N3" s="2">
        <f>IF(C1 = 3, 1, IF(C1 = 2, 2, IF(C1 = 3, 1, 3)))</f>
        <v>3</v>
      </c>
    </row>
    <row r="4" spans="1:14" x14ac:dyDescent="0.25">
      <c r="A4" s="1" t="s">
        <v>678</v>
      </c>
      <c r="B4" s="9" t="s">
        <v>0</v>
      </c>
      <c r="C4" s="28">
        <v>3400</v>
      </c>
      <c r="D4" s="28">
        <f ca="1">IF((INDIRECT(ADDRESS(ROW()-(ROW()-1),COLUMN(H1))))="N",80,80*1.1)</f>
        <v>80</v>
      </c>
      <c r="E4" s="29">
        <f ca="1">IF(INDIRECT(ADDRESS(ROW()-(ROW()-1),COLUMN(H1)))="N",IF(INDIRECT(ADDRESS(ROW()-(ROW()-1),COLUMN(K1)))="N",50+(2*D4),(50+(2*D4))*1.4),IF(INDIRECT(ADDRESS(ROW()-(ROW()-1),COLUMN(K1)))="N",50+(2*(D4/1.1)),(50+(2*(D4/1.1)))*1.4))</f>
        <v>210</v>
      </c>
      <c r="F4" s="29">
        <f ca="1">IF(INDIRECT(ADDRESS(ROW()-(ROW()-1),COLUMN(H1)))="N",IF(INDIRECT(ADDRESS(ROW()-(ROW()-1),COLUMN(K1)))="N",(3*D4),(3*D4)*1.4),IF(INDIRECT(ADDRESS(ROW()-(ROW()-1),COLUMN(K1)))="N",3*(D4/1.1),(3*(D4/1.1)*1.4)))</f>
        <v>240</v>
      </c>
      <c r="G4" s="28">
        <f t="shared" ref="G4:G9" ca="1" si="0">(INDIRECT(ADDRESS(ROW(), COLUMN()-(N2))))</f>
        <v>80</v>
      </c>
      <c r="H4" s="28">
        <f ca="1">(INDIRECT(ADDRESS(ROW(), COLUMN(G4))))*28</f>
        <v>2240</v>
      </c>
      <c r="I4" s="10">
        <f ca="1">(INDIRECT(ADDRESS(ROW(), COLUMN(H4))))/(INDIRECT(ADDRESS(ROW(), COLUMN(C4))))</f>
        <v>0.6588235294117647</v>
      </c>
      <c r="J4" s="10">
        <f t="shared" ref="J4:J9" ca="1" si="1">((INDIRECT(ADDRESS(ROW(), COLUMN(H4))))*2)/((INDIRECT(ADDRESS(ROW(), COLUMN(C4)))))</f>
        <v>1.3176470588235294</v>
      </c>
      <c r="K4" s="10">
        <f t="shared" ref="K4:K9" ca="1" si="2">((INDIRECT(ADDRESS(ROW(), COLUMN(H4))))*3)/((INDIRECT(ADDRESS(ROW(), COLUMN(C4)))))</f>
        <v>1.9764705882352942</v>
      </c>
      <c r="L4" s="1">
        <v>28</v>
      </c>
      <c r="M4" s="1" t="s">
        <v>19</v>
      </c>
      <c r="N4" s="2">
        <f>IF(C1 = 3, 1, IF(C1 = 2, 2, IF(C1 = 3, 1, 3)))</f>
        <v>3</v>
      </c>
    </row>
    <row r="5" spans="1:14" x14ac:dyDescent="0.25">
      <c r="A5" s="1" t="s">
        <v>679</v>
      </c>
      <c r="B5" s="9" t="s">
        <v>0</v>
      </c>
      <c r="C5" s="28">
        <v>2000</v>
      </c>
      <c r="D5" s="28">
        <f ca="1">IF((INDIRECT(ADDRESS(ROW()-(ROW()-1),COLUMN(H1))))="N",50,50*1.1)</f>
        <v>50</v>
      </c>
      <c r="E5" s="29">
        <f ca="1">IF(INDIRECT(ADDRESS(ROW()-(ROW()-1),COLUMN(H2)))="N",IF(INDIRECT(ADDRESS(ROW()-(ROW()-1),COLUMN(K2)))="N",50+(2*D5),(50+(2*D5))*1.4),IF(INDIRECT(ADDRESS(ROW()-(ROW()-1),COLUMN(K2)))="N",50+(2*(D5/1.1)),(50+(2*(D5/1.1)))*1.4))</f>
        <v>150</v>
      </c>
      <c r="F5" s="29">
        <f t="shared" ref="F5:F9" ca="1" si="3">IF(INDIRECT(ADDRESS(ROW()-(ROW()-1),COLUMN(H2)))="N",IF(INDIRECT(ADDRESS(ROW()-(ROW()-1),COLUMN(K2)))="N",(3*D5),(3*D5)*1.4),IF(INDIRECT(ADDRESS(ROW()-(ROW()-1),COLUMN(K2)))="N",3*(D5/1.1),(3*(D5/1.1)*1.4)))</f>
        <v>150</v>
      </c>
      <c r="G5" s="28">
        <f t="shared" ca="1" si="0"/>
        <v>50</v>
      </c>
      <c r="H5" s="28">
        <f t="shared" ref="H5:H9" ca="1" si="4">(INDIRECT(ADDRESS(ROW(), COLUMN(G5))))*28</f>
        <v>1400</v>
      </c>
      <c r="I5" s="10">
        <f t="shared" ref="I5:I9" ca="1" si="5">(INDIRECT(ADDRESS(ROW(), COLUMN(H5))))/(INDIRECT(ADDRESS(ROW(), COLUMN(C5))))</f>
        <v>0.7</v>
      </c>
      <c r="J5" s="10">
        <f t="shared" ca="1" si="1"/>
        <v>1.4</v>
      </c>
      <c r="K5" s="10">
        <f t="shared" ca="1" si="2"/>
        <v>2.1</v>
      </c>
      <c r="L5" s="1">
        <v>28</v>
      </c>
      <c r="M5" s="1" t="s">
        <v>19</v>
      </c>
      <c r="N5" s="2">
        <f>IF(C1 = 3, 1, IF(C1 = 2, 2, IF(C1 = 3, 1, 3)))</f>
        <v>3</v>
      </c>
    </row>
    <row r="6" spans="1:14" x14ac:dyDescent="0.25">
      <c r="A6" s="1" t="s">
        <v>680</v>
      </c>
      <c r="B6" s="11" t="s">
        <v>21</v>
      </c>
      <c r="C6" s="28">
        <v>4000</v>
      </c>
      <c r="D6" s="28">
        <f ca="1">IF((INDIRECT(ADDRESS(ROW()-(ROW()-1),COLUMN(H1))))="N",100,100*1.1)</f>
        <v>100</v>
      </c>
      <c r="E6" s="29">
        <f t="shared" ref="E6:E9" ca="1" si="6">IF(INDIRECT(ADDRESS(ROW()-(ROW()-1),COLUMN(H3)))="N",IF(INDIRECT(ADDRESS(ROW()-(ROW()-1),COLUMN(K3)))="N",50+(2*D6),(50+(2*D6))*1.4),IF(INDIRECT(ADDRESS(ROW()-(ROW()-1),COLUMN(K3)))="N",50+(2*(D6/1.1)),(50+(2*(D6/1.1)))*1.4))</f>
        <v>250</v>
      </c>
      <c r="F6" s="29">
        <f t="shared" ca="1" si="3"/>
        <v>300</v>
      </c>
      <c r="G6" s="28">
        <f t="shared" ca="1" si="0"/>
        <v>100</v>
      </c>
      <c r="H6" s="28">
        <f t="shared" ca="1" si="4"/>
        <v>2800</v>
      </c>
      <c r="I6" s="10">
        <f t="shared" ca="1" si="5"/>
        <v>0.7</v>
      </c>
      <c r="J6" s="10">
        <f t="shared" ca="1" si="1"/>
        <v>1.4</v>
      </c>
      <c r="K6" s="10">
        <f t="shared" ca="1" si="2"/>
        <v>2.1</v>
      </c>
      <c r="L6" s="1">
        <v>28</v>
      </c>
      <c r="M6" s="1" t="s">
        <v>19</v>
      </c>
      <c r="N6" s="2">
        <f>IF(C1 = 3, 1, IF(C1 = 2, 2, IF(C1 = 3, 1, 3)))</f>
        <v>3</v>
      </c>
    </row>
    <row r="7" spans="1:14" x14ac:dyDescent="0.25">
      <c r="A7" s="1" t="s">
        <v>681</v>
      </c>
      <c r="B7" s="11" t="s">
        <v>21</v>
      </c>
      <c r="C7" s="28">
        <v>6000</v>
      </c>
      <c r="D7" s="28">
        <f ca="1">IF((INDIRECT(ADDRESS(ROW()-(ROW()-1),COLUMN(H1))))="N",140,140*1.1)</f>
        <v>140</v>
      </c>
      <c r="E7" s="29">
        <f t="shared" ca="1" si="6"/>
        <v>330</v>
      </c>
      <c r="F7" s="29">
        <f t="shared" ca="1" si="3"/>
        <v>420</v>
      </c>
      <c r="G7" s="28">
        <f t="shared" ca="1" si="0"/>
        <v>140</v>
      </c>
      <c r="H7" s="28">
        <f t="shared" ca="1" si="4"/>
        <v>3920</v>
      </c>
      <c r="I7" s="10">
        <f t="shared" ca="1" si="5"/>
        <v>0.65333333333333332</v>
      </c>
      <c r="J7" s="10">
        <f t="shared" ca="1" si="1"/>
        <v>1.3066666666666666</v>
      </c>
      <c r="K7" s="10">
        <f t="shared" ca="1" si="2"/>
        <v>1.96</v>
      </c>
      <c r="L7" s="1">
        <v>28</v>
      </c>
      <c r="M7" s="1" t="s">
        <v>19</v>
      </c>
      <c r="N7" s="2">
        <f>IF(C1 = 3, 1, IF(C1 = 2, 2, IF(C1 = 3, 1, 3)))</f>
        <v>3</v>
      </c>
    </row>
    <row r="8" spans="1:14" x14ac:dyDescent="0.25">
      <c r="A8" s="1" t="s">
        <v>682</v>
      </c>
      <c r="B8" s="12" t="s">
        <v>32</v>
      </c>
      <c r="C8" s="28">
        <v>4000</v>
      </c>
      <c r="D8" s="28">
        <f ca="1">IF((INDIRECT(ADDRESS(ROW()-(ROW()-1),COLUMN(H1))))="N",100,100*1.1)</f>
        <v>100</v>
      </c>
      <c r="E8" s="29">
        <f t="shared" ca="1" si="6"/>
        <v>250</v>
      </c>
      <c r="F8" s="29">
        <f t="shared" ca="1" si="3"/>
        <v>300</v>
      </c>
      <c r="G8" s="28">
        <f t="shared" ca="1" si="0"/>
        <v>100</v>
      </c>
      <c r="H8" s="28">
        <f t="shared" ca="1" si="4"/>
        <v>2800</v>
      </c>
      <c r="I8" s="10">
        <f t="shared" ca="1" si="5"/>
        <v>0.7</v>
      </c>
      <c r="J8" s="10">
        <f t="shared" ca="1" si="1"/>
        <v>1.4</v>
      </c>
      <c r="K8" s="10">
        <f t="shared" ca="1" si="2"/>
        <v>2.1</v>
      </c>
      <c r="L8" s="1">
        <v>28</v>
      </c>
      <c r="M8" s="1" t="s">
        <v>19</v>
      </c>
    </row>
    <row r="9" spans="1:14" x14ac:dyDescent="0.25">
      <c r="A9" s="1" t="s">
        <v>683</v>
      </c>
      <c r="B9" s="12" t="s">
        <v>32</v>
      </c>
      <c r="C9" s="28">
        <v>6000</v>
      </c>
      <c r="D9" s="28">
        <f ca="1">IF((INDIRECT(ADDRESS(ROW()-(ROW()-1),COLUMN(H1))))="N",140,140*1.1)</f>
        <v>140</v>
      </c>
      <c r="E9" s="29">
        <f t="shared" ca="1" si="6"/>
        <v>330</v>
      </c>
      <c r="F9" s="29">
        <f t="shared" ca="1" si="3"/>
        <v>420</v>
      </c>
      <c r="G9" s="28">
        <f t="shared" ca="1" si="0"/>
        <v>140</v>
      </c>
      <c r="H9" s="28">
        <f t="shared" ca="1" si="4"/>
        <v>3920</v>
      </c>
      <c r="I9" s="10">
        <f t="shared" ca="1" si="5"/>
        <v>0.65333333333333332</v>
      </c>
      <c r="J9" s="10">
        <f t="shared" ca="1" si="1"/>
        <v>1.3066666666666666</v>
      </c>
      <c r="K9" s="10">
        <f t="shared" ca="1" si="2"/>
        <v>1.96</v>
      </c>
      <c r="L9" s="1">
        <v>28</v>
      </c>
      <c r="M9" s="1" t="s">
        <v>19</v>
      </c>
    </row>
    <row r="10" spans="1:14" s="3" customFormat="1" x14ac:dyDescent="0.25">
      <c r="N10" s="2"/>
    </row>
  </sheetData>
  <pageMargins left="0.7" right="0.7" top="0.75" bottom="0.75" header="0.3" footer="0.3"/>
  <pageSetup orientation="portrait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2" sqref="D2"/>
    </sheetView>
  </sheetViews>
  <sheetFormatPr defaultRowHeight="15" x14ac:dyDescent="0.25"/>
  <cols>
    <col min="1" max="1" width="11.42578125" style="3" bestFit="1" customWidth="1"/>
    <col min="2" max="2" width="14.7109375" style="3" bestFit="1" customWidth="1"/>
    <col min="3" max="3" width="11" style="3" bestFit="1" customWidth="1"/>
    <col min="4" max="4" width="14" style="3" customWidth="1"/>
    <col min="5" max="5" width="9.140625" style="3" bestFit="1" customWidth="1"/>
    <col min="6" max="6" width="9.85546875" style="3" bestFit="1" customWidth="1"/>
    <col min="7" max="7" width="14.7109375" style="3" bestFit="1" customWidth="1"/>
    <col min="8" max="8" width="6.42578125" style="3" bestFit="1" customWidth="1"/>
    <col min="9" max="9" width="7.28515625" style="3" bestFit="1" customWidth="1"/>
    <col min="10" max="10" width="13.7109375" style="3" customWidth="1"/>
    <col min="11" max="11" width="2" style="3" bestFit="1" customWidth="1"/>
    <col min="12" max="17" width="8.85546875" style="3" customWidth="1"/>
    <col min="18" max="22" width="8.85546875" style="3"/>
  </cols>
  <sheetData>
    <row r="1" spans="1:17" x14ac:dyDescent="0.25">
      <c r="B1" s="40">
        <v>1</v>
      </c>
      <c r="C1" s="40">
        <v>1</v>
      </c>
      <c r="D1" s="40">
        <v>2</v>
      </c>
      <c r="G1" s="39" t="s">
        <v>743</v>
      </c>
      <c r="I1" s="4"/>
      <c r="J1" s="41" t="s">
        <v>743</v>
      </c>
      <c r="K1" s="4"/>
      <c r="L1" s="4"/>
      <c r="M1" s="4"/>
      <c r="Q1" s="2"/>
    </row>
    <row r="2" spans="1:17" x14ac:dyDescent="0.25">
      <c r="B2" s="40" t="s">
        <v>631</v>
      </c>
      <c r="C2" s="40" t="s">
        <v>630</v>
      </c>
      <c r="D2" s="40" t="s">
        <v>838</v>
      </c>
      <c r="G2" s="39" t="s">
        <v>744</v>
      </c>
      <c r="I2" s="4"/>
      <c r="J2" s="41" t="s">
        <v>745</v>
      </c>
      <c r="K2" s="4"/>
      <c r="L2" s="4"/>
      <c r="M2" s="4"/>
      <c r="Q2" s="2"/>
    </row>
    <row r="3" spans="1:17" x14ac:dyDescent="0.25">
      <c r="A3" s="1" t="s">
        <v>633</v>
      </c>
      <c r="B3" s="1" t="s">
        <v>381</v>
      </c>
      <c r="C3" s="1" t="s">
        <v>634</v>
      </c>
      <c r="D3" s="1" t="s">
        <v>636</v>
      </c>
      <c r="E3" s="1" t="s">
        <v>637</v>
      </c>
      <c r="F3" s="1" t="s">
        <v>5</v>
      </c>
      <c r="G3" s="1" t="s">
        <v>369</v>
      </c>
      <c r="H3" s="10" t="s">
        <v>632</v>
      </c>
      <c r="I3" s="1" t="s">
        <v>210</v>
      </c>
      <c r="J3" s="1" t="s">
        <v>6</v>
      </c>
      <c r="K3" s="2"/>
    </row>
    <row r="4" spans="1:17" x14ac:dyDescent="0.25">
      <c r="A4" s="1" t="s">
        <v>635</v>
      </c>
      <c r="B4" s="21" t="s">
        <v>208</v>
      </c>
      <c r="C4" s="28">
        <v>800</v>
      </c>
      <c r="D4" s="28">
        <f ca="1">IF((INDIRECT(ADDRESS(ROW()-(ROW()-1),COLUMN(G1))))="N",95,95*1.2)</f>
        <v>95</v>
      </c>
      <c r="E4" s="28">
        <f ca="1">IF((INDIRECT(ADDRESS(ROW()-(ROW()-1),COLUMN(G1))))="N",IF((INDIRECT(ADDRESS(ROW()-(ROW()-1),COLUMN(J1))))="N",285,285*1.4),IF((INDIRECT(ADDRESS(ROW()-(ROW()-1),COLUMN(J1))))="N",(285*1.2),"ERROR"))</f>
        <v>285</v>
      </c>
      <c r="F4" s="28">
        <f t="shared" ref="F4:F12" ca="1" si="0">IFERROR((I4*(INDIRECT(ADDRESS(ROW(),COLUMN()-(INDIRECT(ADDRESS(ROW(),COLUMN(K4)))))))), "-")</f>
        <v>95</v>
      </c>
      <c r="G4" s="28">
        <f ca="1">IFERROR(F4*28, "-")</f>
        <v>2660</v>
      </c>
      <c r="H4" s="25">
        <f t="shared" ref="H4:H12" ca="1" si="1">IFERROR(G4/C4, "-")</f>
        <v>3.3250000000000002</v>
      </c>
      <c r="I4" s="1">
        <v>1</v>
      </c>
      <c r="J4" s="1" t="s">
        <v>19</v>
      </c>
      <c r="K4" s="2">
        <f>IF(B1 = 2, 1, 2)</f>
        <v>2</v>
      </c>
    </row>
    <row r="5" spans="1:17" x14ac:dyDescent="0.25">
      <c r="A5" s="1" t="s">
        <v>638</v>
      </c>
      <c r="B5" s="21" t="s">
        <v>208</v>
      </c>
      <c r="C5" s="28">
        <v>5000</v>
      </c>
      <c r="D5" s="28">
        <f ca="1">IF((INDIRECT(ADDRESS(ROW()-(ROW()-1),COLUMN(G2))))="N",65,65*1.2)</f>
        <v>65</v>
      </c>
      <c r="E5" s="28">
        <f ca="1">IF((INDIRECT(ADDRESS(ROW()-(ROW()-1),COLUMN(G2))))="N",IF((INDIRECT(ADDRESS(ROW()-(ROW()-1),COLUMN(J2))))="N",285,285*1.4),IF((INDIRECT(ADDRESS(ROW()-(ROW()-1),COLUMN(J2))))="N",(285*1.2),"ERROR"))</f>
        <v>285</v>
      </c>
      <c r="F5" s="28">
        <f t="shared" ca="1" si="0"/>
        <v>65</v>
      </c>
      <c r="G5" s="28">
        <f t="shared" ref="G5:G12" ca="1" si="2">IFERROR(F5*28, "-")</f>
        <v>1820</v>
      </c>
      <c r="H5" s="25">
        <f t="shared" ca="1" si="1"/>
        <v>0.36399999999999999</v>
      </c>
      <c r="I5" s="1">
        <v>1</v>
      </c>
      <c r="J5" s="1" t="s">
        <v>19</v>
      </c>
      <c r="K5" s="2">
        <f>IF(B1 = 2, 1, 2)</f>
        <v>2</v>
      </c>
    </row>
    <row r="6" spans="1:17" x14ac:dyDescent="0.25">
      <c r="A6" s="1" t="s">
        <v>639</v>
      </c>
      <c r="B6" s="21" t="s">
        <v>146</v>
      </c>
      <c r="C6" s="28">
        <v>4000</v>
      </c>
      <c r="D6" s="28">
        <f ca="1">IF((INDIRECT(ADDRESS(ROW()-(ROW()-1),COLUMN(G3))))="N",95,95*1.2)</f>
        <v>95</v>
      </c>
      <c r="E6" s="28">
        <f ca="1">IF((INDIRECT(ADDRESS(ROW()-(ROW()-1),COLUMN(G3))))="N",IF((INDIRECT(ADDRESS(ROW()-(ROW()-1),COLUMN(J3))))="N",375,375*1.4),IF((INDIRECT(ADDRESS(ROW()-(ROW()-1),COLUMN(J3))))="N",(375*1.2),"ERROR"))</f>
        <v>375</v>
      </c>
      <c r="F6" s="28">
        <f t="shared" ca="1" si="0"/>
        <v>47.5</v>
      </c>
      <c r="G6" s="28">
        <f t="shared" ca="1" si="2"/>
        <v>1330</v>
      </c>
      <c r="H6" s="25">
        <f t="shared" ca="1" si="1"/>
        <v>0.33250000000000002</v>
      </c>
      <c r="I6" s="1">
        <v>0.5</v>
      </c>
      <c r="J6" s="1" t="s">
        <v>18</v>
      </c>
      <c r="K6" s="2">
        <f>IF(B1 = 2, 1, 2)</f>
        <v>2</v>
      </c>
    </row>
    <row r="7" spans="1:17" x14ac:dyDescent="0.25">
      <c r="A7" s="1" t="s">
        <v>640</v>
      </c>
      <c r="B7" s="21" t="s">
        <v>206</v>
      </c>
      <c r="C7" s="28">
        <v>8000</v>
      </c>
      <c r="D7" s="28">
        <f ca="1">IF((INDIRECT(ADDRESS(ROW()-(ROW()-1),COLUMN(G4))))="N",340,340*1.2)</f>
        <v>340</v>
      </c>
      <c r="E7" s="28">
        <f ca="1">IF((INDIRECT(ADDRESS(ROW()-(ROW()-1),COLUMN(G4))))="N",IF((INDIRECT(ADDRESS(ROW()-(ROW()-1),COLUMN(J4))))="N",470,470*1.4),IF((INDIRECT(ADDRESS(ROW()-(ROW()-1),COLUMN(J4))))="N",(470*1.2),"ERROR"))</f>
        <v>470</v>
      </c>
      <c r="F7" s="28">
        <f t="shared" ca="1" si="0"/>
        <v>112.2</v>
      </c>
      <c r="G7" s="28">
        <f t="shared" ca="1" si="2"/>
        <v>3141.6</v>
      </c>
      <c r="H7" s="25">
        <f t="shared" ca="1" si="1"/>
        <v>0.39269999999999999</v>
      </c>
      <c r="I7" s="1">
        <v>0.33</v>
      </c>
      <c r="J7" s="1" t="s">
        <v>19</v>
      </c>
      <c r="K7" s="2">
        <f>IF(B1 = 2, 1, 2)</f>
        <v>2</v>
      </c>
    </row>
    <row r="8" spans="1:17" x14ac:dyDescent="0.25">
      <c r="A8" s="1" t="s">
        <v>641</v>
      </c>
      <c r="B8" s="11" t="s">
        <v>146</v>
      </c>
      <c r="C8" s="28" t="s">
        <v>171</v>
      </c>
      <c r="D8" s="28">
        <f ca="1">IF((INDIRECT(ADDRESS(ROW()-(ROW()-1),COLUMN(G5))))="N",350,350*1.2)</f>
        <v>350</v>
      </c>
      <c r="E8" s="28" t="s">
        <v>171</v>
      </c>
      <c r="F8" s="28">
        <f t="shared" ca="1" si="0"/>
        <v>49.000000000000007</v>
      </c>
      <c r="G8" s="28">
        <f t="shared" ca="1" si="2"/>
        <v>1372.0000000000002</v>
      </c>
      <c r="H8" s="25" t="str">
        <f t="shared" ca="1" si="1"/>
        <v>-</v>
      </c>
      <c r="I8" s="1">
        <v>0.14000000000000001</v>
      </c>
      <c r="J8" s="1" t="s">
        <v>19</v>
      </c>
      <c r="K8" s="2">
        <f>IF(B1 = 2, 1, 2)</f>
        <v>2</v>
      </c>
    </row>
    <row r="9" spans="1:17" x14ac:dyDescent="0.25">
      <c r="A9" s="1" t="s">
        <v>642</v>
      </c>
      <c r="B9" s="21" t="s">
        <v>207</v>
      </c>
      <c r="C9" s="28">
        <v>1500</v>
      </c>
      <c r="D9" s="28">
        <f ca="1">IF((INDIRECT(ADDRESS(ROW()-(ROW()-1),COLUMN(G6))))="N",190,190*1.2)</f>
        <v>190</v>
      </c>
      <c r="E9" s="28">
        <f ca="1">IF((INDIRECT(ADDRESS(ROW()-(ROW()-1),COLUMN(G6))))="N",IF((INDIRECT(ADDRESS(ROW()-(ROW()-1),COLUMN(J6))))="N",200,200*1.4),IF((INDIRECT(ADDRESS(ROW()-(ROW()-1),COLUMN(J6))))="N",(200*1.2),"ERROR"))</f>
        <v>200</v>
      </c>
      <c r="F9" s="28">
        <f t="shared" ca="1" si="0"/>
        <v>190</v>
      </c>
      <c r="G9" s="28">
        <f t="shared" ca="1" si="2"/>
        <v>5320</v>
      </c>
      <c r="H9" s="25">
        <f t="shared" ca="1" si="1"/>
        <v>3.5466666666666669</v>
      </c>
      <c r="I9" s="1">
        <v>1</v>
      </c>
      <c r="J9" s="1" t="s">
        <v>19</v>
      </c>
      <c r="K9" s="2">
        <f>IF(B1 = 2, 1, 2)</f>
        <v>2</v>
      </c>
    </row>
    <row r="10" spans="1:17" x14ac:dyDescent="0.25">
      <c r="A10" s="1" t="s">
        <v>643</v>
      </c>
      <c r="B10" s="24" t="s">
        <v>204</v>
      </c>
      <c r="C10" s="28">
        <v>4000</v>
      </c>
      <c r="D10" s="28">
        <f ca="1">IF((INDIRECT(ADDRESS(ROW()-(ROW()-1),COLUMN(G7))))="N",345,345*1.2)</f>
        <v>345</v>
      </c>
      <c r="E10" s="28">
        <f ca="1">IF((INDIRECT(ADDRESS(ROW()-(ROW()-1),COLUMN(G7))))="N",IF((INDIRECT(ADDRESS(ROW()-(ROW()-1),COLUMN(J7))))="N",375,375*1.4),IF((INDIRECT(ADDRESS(ROW()-(ROW()-1),COLUMN(J7))))="N",(375*1.2),"ERROR"))</f>
        <v>375</v>
      </c>
      <c r="F10" s="28">
        <f t="shared" ca="1" si="0"/>
        <v>172.5</v>
      </c>
      <c r="G10" s="28">
        <f t="shared" ca="1" si="2"/>
        <v>4830</v>
      </c>
      <c r="H10" s="25">
        <f t="shared" ca="1" si="1"/>
        <v>1.2075</v>
      </c>
      <c r="I10" s="1">
        <v>0.5</v>
      </c>
      <c r="J10" s="1" t="s">
        <v>19</v>
      </c>
      <c r="K10" s="2">
        <f>IF(B1 = 2, 1, 2)</f>
        <v>2</v>
      </c>
    </row>
    <row r="11" spans="1:17" x14ac:dyDescent="0.25">
      <c r="A11" s="1" t="s">
        <v>644</v>
      </c>
      <c r="B11" s="11" t="s">
        <v>205</v>
      </c>
      <c r="C11" s="28">
        <v>8000</v>
      </c>
      <c r="D11" s="28">
        <f ca="1">IF((INDIRECT(ADDRESS(ROW()-(ROW()-1),COLUMN(G8))))="N",340,340*1.2)</f>
        <v>340</v>
      </c>
      <c r="E11" s="28">
        <f ca="1">IF((INDIRECT(ADDRESS(ROW()-(ROW()-1),COLUMN(G8))))="N",IF((INDIRECT(ADDRESS(ROW()-(ROW()-1),COLUMN(J8))))="N",470,470*1.4),IF((INDIRECT(ADDRESS(ROW()-(ROW()-1),COLUMN(J8))))="N",(470*1.2),"ERROR"))</f>
        <v>470</v>
      </c>
      <c r="F11" s="28">
        <f t="shared" ca="1" si="0"/>
        <v>112.2</v>
      </c>
      <c r="G11" s="28">
        <f t="shared" ca="1" si="2"/>
        <v>3141.6</v>
      </c>
      <c r="H11" s="25">
        <f t="shared" ca="1" si="1"/>
        <v>0.39269999999999999</v>
      </c>
      <c r="I11" s="1">
        <v>0.33</v>
      </c>
      <c r="J11" s="1" t="s">
        <v>19</v>
      </c>
      <c r="K11" s="2">
        <f>IF(B1 = 2, 1, 2)</f>
        <v>2</v>
      </c>
    </row>
    <row r="12" spans="1:17" x14ac:dyDescent="0.25">
      <c r="A12" s="1" t="s">
        <v>645</v>
      </c>
      <c r="B12" s="21" t="s">
        <v>205</v>
      </c>
      <c r="C12" s="28">
        <v>16000</v>
      </c>
      <c r="D12" s="28">
        <f ca="1">IF((INDIRECT(ADDRESS(ROW()-(ROW()-1),COLUMN(G9))))="N",625,625*1.2)</f>
        <v>625</v>
      </c>
      <c r="E12" s="28">
        <f ca="1">IF((INDIRECT(ADDRESS(ROW()-(ROW()-1),COLUMN(G9))))="N",IF((INDIRECT(ADDRESS(ROW()-(ROW()-1),COLUMN(J9))))="N",1065,1064*1.4),IF((INDIRECT(ADDRESS(ROW()-(ROW()-1),COLUMN(J9))))="N",(1065*1.2),"ERROR"))</f>
        <v>1065</v>
      </c>
      <c r="F12" s="28">
        <f t="shared" ca="1" si="0"/>
        <v>625</v>
      </c>
      <c r="G12" s="28">
        <f t="shared" ca="1" si="2"/>
        <v>17500</v>
      </c>
      <c r="H12" s="25">
        <f t="shared" ca="1" si="1"/>
        <v>1.09375</v>
      </c>
      <c r="I12" s="1">
        <v>1</v>
      </c>
      <c r="J12" s="1" t="s">
        <v>19</v>
      </c>
      <c r="K12" s="2">
        <f>IF(B1 = 2, 1, 2)</f>
        <v>2</v>
      </c>
    </row>
    <row r="13" spans="1:17" s="3" customFormat="1" ht="60" x14ac:dyDescent="0.25">
      <c r="A13" s="26" t="s">
        <v>646</v>
      </c>
    </row>
    <row r="14" spans="1:17" s="3" customFormat="1" x14ac:dyDescent="0.25">
      <c r="A14" s="6"/>
    </row>
    <row r="15" spans="1:17" x14ac:dyDescent="0.25">
      <c r="A15" s="6"/>
    </row>
    <row r="16" spans="1:17" x14ac:dyDescent="0.25">
      <c r="A16" s="6"/>
    </row>
  </sheetData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:H35"/>
  <sheetViews>
    <sheetView workbookViewId="0">
      <selection activeCell="E20" sqref="E20"/>
    </sheetView>
  </sheetViews>
  <sheetFormatPr defaultColWidth="8.85546875" defaultRowHeight="15" x14ac:dyDescent="0.25"/>
  <cols>
    <col min="1" max="1" width="20" style="3" customWidth="1"/>
    <col min="2" max="2" width="12.140625" style="3" customWidth="1"/>
    <col min="3" max="4" width="11.140625" style="3" customWidth="1"/>
    <col min="5" max="5" width="16" style="3" customWidth="1"/>
    <col min="6" max="6" width="13.7109375" style="3" customWidth="1"/>
    <col min="7" max="16384" width="8.85546875" style="3"/>
  </cols>
  <sheetData>
    <row r="1" spans="1:8" x14ac:dyDescent="0.25">
      <c r="A1" s="1" t="s">
        <v>1</v>
      </c>
      <c r="B1" s="1" t="s">
        <v>164</v>
      </c>
      <c r="C1" s="1" t="s">
        <v>462</v>
      </c>
      <c r="D1" s="1" t="s">
        <v>162</v>
      </c>
      <c r="E1" s="1" t="s">
        <v>45</v>
      </c>
      <c r="F1" s="1" t="s">
        <v>218</v>
      </c>
      <c r="G1" s="1" t="s">
        <v>51</v>
      </c>
      <c r="H1" s="1" t="s">
        <v>14</v>
      </c>
    </row>
    <row r="2" spans="1:8" x14ac:dyDescent="0.25">
      <c r="A2" s="1" t="s">
        <v>110</v>
      </c>
      <c r="B2" s="28">
        <v>50</v>
      </c>
      <c r="C2" s="28" t="s">
        <v>171</v>
      </c>
      <c r="D2" s="28" t="s">
        <v>171</v>
      </c>
      <c r="E2" s="1" t="s">
        <v>111</v>
      </c>
      <c r="F2" s="1" t="s">
        <v>171</v>
      </c>
      <c r="G2" s="9" t="s">
        <v>0</v>
      </c>
      <c r="H2" s="1"/>
    </row>
    <row r="3" spans="1:8" x14ac:dyDescent="0.25">
      <c r="A3" s="1" t="s">
        <v>112</v>
      </c>
      <c r="B3" s="28">
        <v>30</v>
      </c>
      <c r="C3" s="28" t="s">
        <v>171</v>
      </c>
      <c r="D3" s="28" t="s">
        <v>171</v>
      </c>
      <c r="E3" s="1" t="s">
        <v>111</v>
      </c>
      <c r="F3" s="1" t="s">
        <v>171</v>
      </c>
      <c r="G3" s="9" t="s">
        <v>0</v>
      </c>
      <c r="H3" s="1"/>
    </row>
    <row r="4" spans="1:8" x14ac:dyDescent="0.25">
      <c r="A4" s="1" t="s">
        <v>113</v>
      </c>
      <c r="B4" s="28">
        <v>60</v>
      </c>
      <c r="C4" s="28" t="s">
        <v>171</v>
      </c>
      <c r="D4" s="28" t="s">
        <v>171</v>
      </c>
      <c r="E4" s="1" t="s">
        <v>111</v>
      </c>
      <c r="F4" s="1" t="s">
        <v>171</v>
      </c>
      <c r="G4" s="9" t="s">
        <v>0</v>
      </c>
      <c r="H4" s="1"/>
    </row>
    <row r="5" spans="1:8" x14ac:dyDescent="0.25">
      <c r="A5" s="1" t="s">
        <v>114</v>
      </c>
      <c r="B5" s="28">
        <v>40</v>
      </c>
      <c r="C5" s="28" t="s">
        <v>171</v>
      </c>
      <c r="D5" s="28" t="s">
        <v>171</v>
      </c>
      <c r="E5" s="1" t="s">
        <v>111</v>
      </c>
      <c r="F5" s="1" t="s">
        <v>171</v>
      </c>
      <c r="G5" s="9" t="s">
        <v>0</v>
      </c>
      <c r="H5" s="1"/>
    </row>
    <row r="6" spans="1:8" x14ac:dyDescent="0.25">
      <c r="A6" s="1" t="s">
        <v>115</v>
      </c>
      <c r="B6" s="28">
        <v>8</v>
      </c>
      <c r="C6" s="28" t="s">
        <v>171</v>
      </c>
      <c r="D6" s="28" t="s">
        <v>171</v>
      </c>
      <c r="E6" s="1" t="s">
        <v>111</v>
      </c>
      <c r="F6" s="1" t="s">
        <v>171</v>
      </c>
      <c r="G6" s="9" t="s">
        <v>0</v>
      </c>
      <c r="H6" s="1"/>
    </row>
    <row r="7" spans="1:8" x14ac:dyDescent="0.25">
      <c r="A7" s="1" t="s">
        <v>116</v>
      </c>
      <c r="B7" s="28">
        <v>150</v>
      </c>
      <c r="C7" s="28" t="s">
        <v>171</v>
      </c>
      <c r="D7" s="28" t="s">
        <v>171</v>
      </c>
      <c r="E7" s="1" t="s">
        <v>117</v>
      </c>
      <c r="F7" s="1" t="s">
        <v>171</v>
      </c>
      <c r="G7" s="9" t="s">
        <v>0</v>
      </c>
      <c r="H7" s="1"/>
    </row>
    <row r="8" spans="1:8" x14ac:dyDescent="0.25">
      <c r="A8" s="1" t="s">
        <v>118</v>
      </c>
      <c r="B8" s="28">
        <v>40</v>
      </c>
      <c r="C8" s="28" t="s">
        <v>171</v>
      </c>
      <c r="D8" s="28" t="s">
        <v>171</v>
      </c>
      <c r="E8" s="1" t="s">
        <v>117</v>
      </c>
      <c r="F8" s="1" t="s">
        <v>171</v>
      </c>
      <c r="G8" s="9" t="s">
        <v>0</v>
      </c>
      <c r="H8" s="1"/>
    </row>
    <row r="9" spans="1:8" x14ac:dyDescent="0.25">
      <c r="A9" s="1" t="s">
        <v>119</v>
      </c>
      <c r="B9" s="28">
        <v>5</v>
      </c>
      <c r="C9" s="28">
        <f>50+(2*B9)</f>
        <v>60</v>
      </c>
      <c r="D9" s="28">
        <f>3*B9</f>
        <v>15</v>
      </c>
      <c r="E9" s="1" t="s">
        <v>120</v>
      </c>
      <c r="F9" s="1" t="s">
        <v>171</v>
      </c>
      <c r="G9" s="9" t="s">
        <v>0</v>
      </c>
      <c r="H9" s="1"/>
    </row>
    <row r="10" spans="1:8" x14ac:dyDescent="0.25">
      <c r="A10" s="1" t="s">
        <v>121</v>
      </c>
      <c r="B10" s="28">
        <v>80</v>
      </c>
      <c r="C10" s="28" t="s">
        <v>171</v>
      </c>
      <c r="D10" s="28" t="s">
        <v>171</v>
      </c>
      <c r="E10" s="1" t="s">
        <v>111</v>
      </c>
      <c r="F10" s="1" t="s">
        <v>171</v>
      </c>
      <c r="G10" s="11" t="s">
        <v>21</v>
      </c>
      <c r="H10" s="1"/>
    </row>
    <row r="11" spans="1:8" x14ac:dyDescent="0.25">
      <c r="A11" s="1" t="s">
        <v>41</v>
      </c>
      <c r="B11" s="28">
        <v>80</v>
      </c>
      <c r="C11" s="28">
        <f>50+(2*B11)</f>
        <v>210</v>
      </c>
      <c r="D11" s="28">
        <f>3*B11</f>
        <v>240</v>
      </c>
      <c r="E11" s="1" t="s">
        <v>111</v>
      </c>
      <c r="F11" s="1" t="s">
        <v>171</v>
      </c>
      <c r="G11" s="11" t="s">
        <v>21</v>
      </c>
      <c r="H11" s="1"/>
    </row>
    <row r="12" spans="1:8" x14ac:dyDescent="0.25">
      <c r="A12" s="1" t="s">
        <v>122</v>
      </c>
      <c r="B12" s="28">
        <v>50</v>
      </c>
      <c r="C12" s="28" t="s">
        <v>171</v>
      </c>
      <c r="D12" s="28" t="s">
        <v>171</v>
      </c>
      <c r="E12" s="1" t="s">
        <v>111</v>
      </c>
      <c r="F12" s="1" t="s">
        <v>171</v>
      </c>
      <c r="G12" s="11" t="s">
        <v>21</v>
      </c>
      <c r="H12" s="1"/>
    </row>
    <row r="13" spans="1:8" x14ac:dyDescent="0.25">
      <c r="A13" s="1" t="s">
        <v>123</v>
      </c>
      <c r="B13" s="28">
        <v>75</v>
      </c>
      <c r="C13" s="28" t="s">
        <v>171</v>
      </c>
      <c r="D13" s="28" t="s">
        <v>171</v>
      </c>
      <c r="E13" s="1" t="s">
        <v>117</v>
      </c>
      <c r="F13" s="27" t="s">
        <v>171</v>
      </c>
      <c r="G13" s="11" t="s">
        <v>21</v>
      </c>
      <c r="H13" s="1"/>
    </row>
    <row r="14" spans="1:8" x14ac:dyDescent="0.25">
      <c r="A14" s="1" t="s">
        <v>158</v>
      </c>
      <c r="B14" s="28">
        <v>98</v>
      </c>
      <c r="C14" s="28" t="s">
        <v>171</v>
      </c>
      <c r="D14" s="28" t="s">
        <v>171</v>
      </c>
      <c r="E14" s="1" t="s">
        <v>117</v>
      </c>
      <c r="F14" s="1" t="s">
        <v>171</v>
      </c>
      <c r="G14" s="11" t="s">
        <v>21</v>
      </c>
      <c r="H14" s="1"/>
    </row>
    <row r="15" spans="1:8" x14ac:dyDescent="0.25">
      <c r="A15" s="1" t="s">
        <v>124</v>
      </c>
      <c r="B15" s="28">
        <v>80</v>
      </c>
      <c r="C15" s="28" t="s">
        <v>171</v>
      </c>
      <c r="D15" s="28" t="s">
        <v>171</v>
      </c>
      <c r="E15" s="1" t="s">
        <v>111</v>
      </c>
      <c r="F15" s="1" t="s">
        <v>171</v>
      </c>
      <c r="G15" s="12" t="s">
        <v>32</v>
      </c>
      <c r="H15" s="1"/>
    </row>
    <row r="16" spans="1:8" x14ac:dyDescent="0.25">
      <c r="A16" s="1" t="s">
        <v>125</v>
      </c>
      <c r="B16" s="28">
        <v>90</v>
      </c>
      <c r="C16" s="28" t="s">
        <v>171</v>
      </c>
      <c r="D16" s="28" t="s">
        <v>171</v>
      </c>
      <c r="E16" s="1" t="s">
        <v>111</v>
      </c>
      <c r="F16" s="1" t="s">
        <v>171</v>
      </c>
      <c r="G16" s="12" t="s">
        <v>32</v>
      </c>
      <c r="H16" s="1"/>
    </row>
    <row r="17" spans="1:8" x14ac:dyDescent="0.25">
      <c r="A17" s="1" t="s">
        <v>126</v>
      </c>
      <c r="B17" s="28">
        <v>20</v>
      </c>
      <c r="C17" s="28">
        <f>50+(2*B17)</f>
        <v>90</v>
      </c>
      <c r="D17" s="28">
        <f>3*B17</f>
        <v>60</v>
      </c>
      <c r="E17" s="1" t="s">
        <v>111</v>
      </c>
      <c r="F17" s="1" t="s">
        <v>171</v>
      </c>
      <c r="G17" s="12" t="s">
        <v>32</v>
      </c>
      <c r="H17" s="1" t="s">
        <v>602</v>
      </c>
    </row>
    <row r="18" spans="1:8" x14ac:dyDescent="0.25">
      <c r="A18" s="1" t="s">
        <v>127</v>
      </c>
      <c r="B18" s="28">
        <v>160</v>
      </c>
      <c r="C18" s="28" t="s">
        <v>171</v>
      </c>
      <c r="D18" s="28" t="s">
        <v>171</v>
      </c>
      <c r="E18" s="1" t="s">
        <v>117</v>
      </c>
      <c r="F18" s="1" t="s">
        <v>171</v>
      </c>
      <c r="G18" s="12" t="s">
        <v>32</v>
      </c>
      <c r="H18" s="1"/>
    </row>
    <row r="19" spans="1:8" x14ac:dyDescent="0.25">
      <c r="A19" s="1" t="s">
        <v>118</v>
      </c>
      <c r="B19" s="28">
        <v>40</v>
      </c>
      <c r="C19" s="28" t="s">
        <v>171</v>
      </c>
      <c r="D19" s="28" t="s">
        <v>171</v>
      </c>
      <c r="E19" s="1" t="s">
        <v>111</v>
      </c>
      <c r="F19" s="1" t="s">
        <v>171</v>
      </c>
      <c r="G19" s="12" t="s">
        <v>32</v>
      </c>
      <c r="H19" s="1"/>
    </row>
    <row r="20" spans="1:8" x14ac:dyDescent="0.25">
      <c r="A20" s="1" t="s">
        <v>128</v>
      </c>
      <c r="B20" s="28">
        <v>70</v>
      </c>
      <c r="C20" s="28" t="s">
        <v>171</v>
      </c>
      <c r="D20" s="28" t="s">
        <v>171</v>
      </c>
      <c r="E20" s="1" t="s">
        <v>111</v>
      </c>
      <c r="F20" s="1" t="s">
        <v>117</v>
      </c>
      <c r="G20" s="22" t="s">
        <v>54</v>
      </c>
      <c r="H20" s="1"/>
    </row>
    <row r="21" spans="1:8" x14ac:dyDescent="0.25">
      <c r="A21" s="1" t="s">
        <v>129</v>
      </c>
      <c r="B21" s="28">
        <v>150</v>
      </c>
      <c r="C21" s="28">
        <f>50+(2*B21)</f>
        <v>350</v>
      </c>
      <c r="D21" s="28">
        <f>3*B21</f>
        <v>450</v>
      </c>
      <c r="E21" s="1" t="s">
        <v>111</v>
      </c>
      <c r="F21" s="1" t="s">
        <v>171</v>
      </c>
      <c r="G21" s="22" t="s">
        <v>54</v>
      </c>
      <c r="H21" s="1"/>
    </row>
    <row r="22" spans="1:8" x14ac:dyDescent="0.25">
      <c r="A22" s="1" t="s">
        <v>130</v>
      </c>
      <c r="B22" s="28">
        <v>100</v>
      </c>
      <c r="C22" s="28" t="s">
        <v>171</v>
      </c>
      <c r="D22" s="28" t="s">
        <v>171</v>
      </c>
      <c r="E22" s="1" t="s">
        <v>111</v>
      </c>
      <c r="F22" s="1" t="s">
        <v>171</v>
      </c>
      <c r="G22" s="22" t="s">
        <v>54</v>
      </c>
      <c r="H22" s="1"/>
    </row>
    <row r="23" spans="1:8" x14ac:dyDescent="0.25">
      <c r="A23" s="1" t="s">
        <v>131</v>
      </c>
      <c r="B23" s="28">
        <v>60</v>
      </c>
      <c r="C23" s="28" t="s">
        <v>171</v>
      </c>
      <c r="D23" s="28" t="s">
        <v>171</v>
      </c>
      <c r="E23" s="1" t="s">
        <v>111</v>
      </c>
      <c r="F23" s="1" t="s">
        <v>171</v>
      </c>
      <c r="G23" s="22" t="s">
        <v>54</v>
      </c>
      <c r="H23" s="1"/>
    </row>
    <row r="24" spans="1:8" x14ac:dyDescent="0.25">
      <c r="A24" s="1" t="s">
        <v>132</v>
      </c>
      <c r="B24" s="28">
        <v>120</v>
      </c>
      <c r="C24" s="28" t="s">
        <v>171</v>
      </c>
      <c r="D24" s="28" t="s">
        <v>171</v>
      </c>
      <c r="E24" s="1" t="s">
        <v>133</v>
      </c>
      <c r="F24" s="1" t="s">
        <v>171</v>
      </c>
      <c r="G24" s="1" t="s">
        <v>67</v>
      </c>
      <c r="H24" s="1"/>
    </row>
    <row r="25" spans="1:8" x14ac:dyDescent="0.25">
      <c r="A25" s="1" t="s">
        <v>134</v>
      </c>
      <c r="B25" s="28">
        <v>80</v>
      </c>
      <c r="C25" s="28" t="s">
        <v>171</v>
      </c>
      <c r="D25" s="28" t="s">
        <v>171</v>
      </c>
      <c r="E25" s="1" t="s">
        <v>133</v>
      </c>
      <c r="F25" s="1" t="s">
        <v>171</v>
      </c>
      <c r="G25" s="1" t="s">
        <v>67</v>
      </c>
      <c r="H25" s="1"/>
    </row>
    <row r="26" spans="1:8" x14ac:dyDescent="0.25">
      <c r="A26" s="1" t="s">
        <v>135</v>
      </c>
      <c r="B26" s="28">
        <v>160</v>
      </c>
      <c r="C26" s="28" t="s">
        <v>171</v>
      </c>
      <c r="D26" s="28" t="s">
        <v>171</v>
      </c>
      <c r="E26" s="1" t="s">
        <v>133</v>
      </c>
      <c r="F26" s="27" t="s">
        <v>171</v>
      </c>
      <c r="G26" s="1" t="s">
        <v>67</v>
      </c>
      <c r="H26" s="1"/>
    </row>
    <row r="27" spans="1:8" x14ac:dyDescent="0.25">
      <c r="A27" s="1" t="s">
        <v>136</v>
      </c>
      <c r="B27" s="28">
        <v>300</v>
      </c>
      <c r="C27" s="28" t="s">
        <v>171</v>
      </c>
      <c r="D27" s="28" t="s">
        <v>171</v>
      </c>
      <c r="E27" s="1" t="s">
        <v>133</v>
      </c>
      <c r="F27" s="1" t="s">
        <v>171</v>
      </c>
      <c r="G27" s="1" t="s">
        <v>67</v>
      </c>
      <c r="H27" s="1"/>
    </row>
    <row r="28" spans="1:8" x14ac:dyDescent="0.25">
      <c r="A28" s="1" t="s">
        <v>137</v>
      </c>
      <c r="B28" s="28">
        <v>50</v>
      </c>
      <c r="C28" s="28" t="s">
        <v>171</v>
      </c>
      <c r="D28" s="28" t="s">
        <v>171</v>
      </c>
      <c r="E28" s="1" t="s">
        <v>133</v>
      </c>
      <c r="F28" s="1" t="s">
        <v>171</v>
      </c>
      <c r="G28" s="1" t="s">
        <v>67</v>
      </c>
      <c r="H28" s="1"/>
    </row>
    <row r="29" spans="1:8" x14ac:dyDescent="0.25">
      <c r="A29" s="1" t="s">
        <v>138</v>
      </c>
      <c r="B29" s="28">
        <v>30</v>
      </c>
      <c r="C29" s="28" t="s">
        <v>171</v>
      </c>
      <c r="D29" s="28" t="s">
        <v>171</v>
      </c>
      <c r="E29" s="1" t="s">
        <v>133</v>
      </c>
      <c r="F29" s="1" t="s">
        <v>171</v>
      </c>
      <c r="G29" s="1" t="s">
        <v>67</v>
      </c>
      <c r="H29" s="1"/>
    </row>
    <row r="30" spans="1:8" x14ac:dyDescent="0.25">
      <c r="A30" s="1" t="s">
        <v>157</v>
      </c>
      <c r="B30" s="28">
        <v>40</v>
      </c>
      <c r="C30" s="28" t="s">
        <v>171</v>
      </c>
      <c r="D30" s="28" t="s">
        <v>171</v>
      </c>
      <c r="E30" s="1" t="s">
        <v>133</v>
      </c>
      <c r="F30" s="1" t="s">
        <v>171</v>
      </c>
      <c r="G30" s="1" t="s">
        <v>67</v>
      </c>
      <c r="H30" s="1"/>
    </row>
    <row r="31" spans="1:8" x14ac:dyDescent="0.25">
      <c r="A31" s="1" t="s">
        <v>123</v>
      </c>
      <c r="B31" s="28">
        <v>75</v>
      </c>
      <c r="C31" s="28" t="s">
        <v>171</v>
      </c>
      <c r="D31" s="28" t="s">
        <v>171</v>
      </c>
      <c r="E31" s="1" t="s">
        <v>84</v>
      </c>
      <c r="F31" s="1" t="s">
        <v>171</v>
      </c>
      <c r="G31" s="1" t="s">
        <v>67</v>
      </c>
      <c r="H31" s="1"/>
    </row>
    <row r="32" spans="1:8" x14ac:dyDescent="0.25">
      <c r="A32" s="1" t="s">
        <v>139</v>
      </c>
      <c r="B32" s="28">
        <v>250</v>
      </c>
      <c r="C32" s="28" t="s">
        <v>171</v>
      </c>
      <c r="D32" s="28" t="s">
        <v>171</v>
      </c>
      <c r="E32" s="1" t="s">
        <v>84</v>
      </c>
      <c r="F32" s="1" t="s">
        <v>171</v>
      </c>
      <c r="G32" s="1" t="s">
        <v>67</v>
      </c>
      <c r="H32" s="1"/>
    </row>
    <row r="33" spans="1:8" x14ac:dyDescent="0.25">
      <c r="A33" s="1" t="s">
        <v>140</v>
      </c>
      <c r="B33" s="28">
        <v>25</v>
      </c>
      <c r="C33" s="28" t="s">
        <v>171</v>
      </c>
      <c r="D33" s="28" t="s">
        <v>171</v>
      </c>
      <c r="E33" s="1" t="s">
        <v>84</v>
      </c>
      <c r="F33" s="1" t="s">
        <v>171</v>
      </c>
      <c r="G33" s="1" t="s">
        <v>67</v>
      </c>
      <c r="H33" s="1"/>
    </row>
    <row r="34" spans="1:8" x14ac:dyDescent="0.25">
      <c r="A34" s="1" t="s">
        <v>141</v>
      </c>
      <c r="B34" s="28">
        <v>75</v>
      </c>
      <c r="C34" s="28" t="s">
        <v>171</v>
      </c>
      <c r="D34" s="28" t="s">
        <v>171</v>
      </c>
      <c r="E34" s="1" t="s">
        <v>142</v>
      </c>
      <c r="F34" s="1" t="s">
        <v>171</v>
      </c>
      <c r="G34" s="1" t="s">
        <v>67</v>
      </c>
      <c r="H34" s="1"/>
    </row>
    <row r="35" spans="1:8" x14ac:dyDescent="0.25">
      <c r="A35" s="1" t="s">
        <v>143</v>
      </c>
      <c r="B35" s="28">
        <v>100</v>
      </c>
      <c r="C35" s="28" t="s">
        <v>171</v>
      </c>
      <c r="D35" s="28" t="s">
        <v>171</v>
      </c>
      <c r="E35" s="1" t="s">
        <v>142</v>
      </c>
      <c r="F35" s="1" t="s">
        <v>171</v>
      </c>
      <c r="G35" s="1" t="s">
        <v>67</v>
      </c>
      <c r="H35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I4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0" sqref="E10"/>
    </sheetView>
  </sheetViews>
  <sheetFormatPr defaultColWidth="8.85546875" defaultRowHeight="15" x14ac:dyDescent="0.25"/>
  <cols>
    <col min="1" max="1" width="15" style="3" bestFit="1" customWidth="1"/>
    <col min="2" max="2" width="10.7109375" style="3" bestFit="1" customWidth="1"/>
    <col min="3" max="3" width="9.28515625" style="3" bestFit="1" customWidth="1"/>
    <col min="4" max="4" width="12.85546875" style="3" bestFit="1" customWidth="1"/>
    <col min="5" max="5" width="12.42578125" style="3" bestFit="1" customWidth="1"/>
    <col min="6" max="6" width="10.42578125" style="3" bestFit="1" customWidth="1"/>
    <col min="7" max="7" width="33.7109375" style="3" bestFit="1" customWidth="1"/>
    <col min="8" max="8" width="34.140625" style="3" bestFit="1" customWidth="1"/>
    <col min="9" max="9" width="10.7109375" style="3" bestFit="1" customWidth="1"/>
    <col min="10" max="10" width="8.85546875" style="3" customWidth="1"/>
    <col min="11" max="16384" width="8.85546875" style="3"/>
  </cols>
  <sheetData>
    <row r="1" spans="1:9" x14ac:dyDescent="0.25">
      <c r="A1" s="1" t="s">
        <v>44</v>
      </c>
      <c r="B1" s="1" t="s">
        <v>164</v>
      </c>
      <c r="C1" s="1" t="s">
        <v>51</v>
      </c>
      <c r="D1" s="1" t="s">
        <v>52</v>
      </c>
      <c r="E1" s="1" t="s">
        <v>70</v>
      </c>
      <c r="F1" s="1" t="s">
        <v>66</v>
      </c>
      <c r="G1" s="1" t="s">
        <v>49</v>
      </c>
      <c r="H1" s="1" t="s">
        <v>45</v>
      </c>
      <c r="I1" s="1" t="s">
        <v>604</v>
      </c>
    </row>
    <row r="2" spans="1:9" x14ac:dyDescent="0.25">
      <c r="A2" s="1" t="s">
        <v>56</v>
      </c>
      <c r="B2" s="28">
        <v>45</v>
      </c>
      <c r="C2" s="1" t="s">
        <v>50</v>
      </c>
      <c r="D2" s="1" t="s">
        <v>171</v>
      </c>
      <c r="E2" s="1" t="s">
        <v>171</v>
      </c>
      <c r="F2" s="1" t="s">
        <v>67</v>
      </c>
      <c r="G2" s="1" t="s">
        <v>603</v>
      </c>
      <c r="H2" s="1" t="s">
        <v>57</v>
      </c>
      <c r="I2" s="1">
        <v>35</v>
      </c>
    </row>
    <row r="3" spans="1:9" x14ac:dyDescent="0.25">
      <c r="A3" s="1" t="s">
        <v>96</v>
      </c>
      <c r="B3" s="28">
        <v>75</v>
      </c>
      <c r="C3" s="1" t="s">
        <v>50</v>
      </c>
      <c r="D3" s="1" t="s">
        <v>171</v>
      </c>
      <c r="E3" s="1" t="s">
        <v>171</v>
      </c>
      <c r="F3" s="1" t="s">
        <v>67</v>
      </c>
      <c r="G3" s="1" t="s">
        <v>603</v>
      </c>
      <c r="H3" s="1" t="s">
        <v>60</v>
      </c>
      <c r="I3" s="1">
        <v>46</v>
      </c>
    </row>
    <row r="4" spans="1:9" x14ac:dyDescent="0.25">
      <c r="A4" s="1" t="s">
        <v>69</v>
      </c>
      <c r="B4" s="28">
        <v>30</v>
      </c>
      <c r="C4" s="1" t="s">
        <v>50</v>
      </c>
      <c r="D4" s="1" t="s">
        <v>171</v>
      </c>
      <c r="E4" s="1" t="s">
        <v>171</v>
      </c>
      <c r="F4" s="1" t="s">
        <v>67</v>
      </c>
      <c r="G4" s="1" t="s">
        <v>617</v>
      </c>
      <c r="H4" s="1" t="s">
        <v>597</v>
      </c>
      <c r="I4" s="1">
        <v>15</v>
      </c>
    </row>
    <row r="5" spans="1:9" x14ac:dyDescent="0.25">
      <c r="A5" s="1" t="s">
        <v>105</v>
      </c>
      <c r="B5" s="28">
        <v>50</v>
      </c>
      <c r="C5" s="1" t="s">
        <v>50</v>
      </c>
      <c r="D5" s="1" t="s">
        <v>171</v>
      </c>
      <c r="E5" s="1" t="s">
        <v>171</v>
      </c>
      <c r="F5" s="1" t="s">
        <v>67</v>
      </c>
      <c r="G5" s="1" t="s">
        <v>617</v>
      </c>
      <c r="H5" s="1" t="s">
        <v>62</v>
      </c>
      <c r="I5" s="1">
        <v>35</v>
      </c>
    </row>
    <row r="6" spans="1:9" x14ac:dyDescent="0.25">
      <c r="A6" s="1" t="s">
        <v>83</v>
      </c>
      <c r="B6" s="28">
        <v>45</v>
      </c>
      <c r="C6" s="1" t="s">
        <v>50</v>
      </c>
      <c r="D6" s="1" t="s">
        <v>171</v>
      </c>
      <c r="E6" s="1" t="s">
        <v>171</v>
      </c>
      <c r="F6" s="1" t="s">
        <v>67</v>
      </c>
      <c r="G6" s="1" t="s">
        <v>617</v>
      </c>
      <c r="H6" s="1" t="s">
        <v>203</v>
      </c>
      <c r="I6" s="1">
        <v>50</v>
      </c>
    </row>
    <row r="7" spans="1:9" x14ac:dyDescent="0.25">
      <c r="A7" s="1" t="s">
        <v>88</v>
      </c>
      <c r="B7" s="28">
        <v>500</v>
      </c>
      <c r="C7" s="1" t="s">
        <v>50</v>
      </c>
      <c r="D7" s="1" t="s">
        <v>171</v>
      </c>
      <c r="E7" s="1" t="s">
        <v>171</v>
      </c>
      <c r="F7" s="1" t="s">
        <v>67</v>
      </c>
      <c r="G7" s="1" t="s">
        <v>617</v>
      </c>
      <c r="H7" s="1" t="s">
        <v>198</v>
      </c>
      <c r="I7" s="1">
        <v>85</v>
      </c>
    </row>
    <row r="8" spans="1:9" x14ac:dyDescent="0.25">
      <c r="A8" s="1" t="s">
        <v>59</v>
      </c>
      <c r="B8" s="28">
        <v>100</v>
      </c>
      <c r="C8" s="1" t="s">
        <v>50</v>
      </c>
      <c r="D8" s="1" t="s">
        <v>171</v>
      </c>
      <c r="E8" s="1" t="s">
        <v>171</v>
      </c>
      <c r="F8" s="1" t="s">
        <v>67</v>
      </c>
      <c r="G8" s="1" t="s">
        <v>605</v>
      </c>
      <c r="H8" s="1" t="s">
        <v>60</v>
      </c>
      <c r="I8" s="1">
        <v>50</v>
      </c>
    </row>
    <row r="9" spans="1:9" x14ac:dyDescent="0.25">
      <c r="A9" s="1" t="s">
        <v>90</v>
      </c>
      <c r="B9" s="28">
        <v>700</v>
      </c>
      <c r="C9" s="1" t="s">
        <v>50</v>
      </c>
      <c r="D9" s="1" t="s">
        <v>171</v>
      </c>
      <c r="E9" s="1" t="s">
        <v>171</v>
      </c>
      <c r="F9" s="1" t="s">
        <v>67</v>
      </c>
      <c r="G9" s="1" t="s">
        <v>617</v>
      </c>
      <c r="H9" s="1" t="s">
        <v>89</v>
      </c>
      <c r="I9" s="1">
        <v>90</v>
      </c>
    </row>
    <row r="10" spans="1:9" x14ac:dyDescent="0.25">
      <c r="A10" s="1" t="s">
        <v>107</v>
      </c>
      <c r="B10" s="28">
        <v>1000</v>
      </c>
      <c r="C10" s="1" t="s">
        <v>50</v>
      </c>
      <c r="D10" s="1" t="s">
        <v>171</v>
      </c>
      <c r="E10" s="1" t="s">
        <v>171</v>
      </c>
      <c r="F10" s="1" t="s">
        <v>67</v>
      </c>
      <c r="G10" s="1" t="s">
        <v>617</v>
      </c>
      <c r="H10" s="1" t="s">
        <v>108</v>
      </c>
      <c r="I10" s="1">
        <v>80</v>
      </c>
    </row>
    <row r="11" spans="1:9" x14ac:dyDescent="0.25">
      <c r="A11" s="1" t="s">
        <v>92</v>
      </c>
      <c r="B11" s="28">
        <v>75</v>
      </c>
      <c r="C11" s="1" t="s">
        <v>50</v>
      </c>
      <c r="D11" s="1" t="s">
        <v>171</v>
      </c>
      <c r="E11" s="1" t="s">
        <v>171</v>
      </c>
      <c r="F11" s="1" t="s">
        <v>67</v>
      </c>
      <c r="G11" s="1" t="s">
        <v>606</v>
      </c>
      <c r="H11" s="1" t="s">
        <v>142</v>
      </c>
      <c r="I11" s="1">
        <v>65</v>
      </c>
    </row>
    <row r="12" spans="1:9" x14ac:dyDescent="0.25">
      <c r="A12" s="1" t="s">
        <v>55</v>
      </c>
      <c r="B12" s="28">
        <v>40</v>
      </c>
      <c r="C12" s="1" t="s">
        <v>50</v>
      </c>
      <c r="D12" s="1" t="s">
        <v>171</v>
      </c>
      <c r="E12" s="1" t="s">
        <v>171</v>
      </c>
      <c r="F12" s="1" t="s">
        <v>67</v>
      </c>
      <c r="G12" s="1" t="s">
        <v>605</v>
      </c>
      <c r="H12" s="1" t="s">
        <v>47</v>
      </c>
      <c r="I12" s="1">
        <v>30</v>
      </c>
    </row>
    <row r="13" spans="1:9" x14ac:dyDescent="0.25">
      <c r="A13" s="1" t="s">
        <v>93</v>
      </c>
      <c r="B13" s="28">
        <v>150</v>
      </c>
      <c r="C13" s="1" t="s">
        <v>50</v>
      </c>
      <c r="D13" s="1" t="s">
        <v>171</v>
      </c>
      <c r="E13" s="1" t="s">
        <v>171</v>
      </c>
      <c r="F13" s="1" t="s">
        <v>67</v>
      </c>
      <c r="G13" s="1" t="s">
        <v>606</v>
      </c>
      <c r="H13" s="1" t="s">
        <v>142</v>
      </c>
      <c r="I13" s="1">
        <v>90</v>
      </c>
    </row>
    <row r="14" spans="1:9" x14ac:dyDescent="0.25">
      <c r="A14" s="1" t="s">
        <v>61</v>
      </c>
      <c r="B14" s="28">
        <v>50</v>
      </c>
      <c r="C14" s="1" t="s">
        <v>50</v>
      </c>
      <c r="D14" s="1" t="s">
        <v>171</v>
      </c>
      <c r="E14" s="1" t="s">
        <v>171</v>
      </c>
      <c r="F14" s="1" t="s">
        <v>67</v>
      </c>
      <c r="G14" s="1" t="s">
        <v>617</v>
      </c>
      <c r="H14" s="1" t="s">
        <v>62</v>
      </c>
      <c r="I14" s="1">
        <v>28</v>
      </c>
    </row>
    <row r="15" spans="1:9" x14ac:dyDescent="0.25">
      <c r="A15" s="1" t="s">
        <v>85</v>
      </c>
      <c r="B15" s="28">
        <v>300</v>
      </c>
      <c r="C15" s="1" t="s">
        <v>50</v>
      </c>
      <c r="D15" s="1" t="s">
        <v>171</v>
      </c>
      <c r="E15" s="1" t="s">
        <v>171</v>
      </c>
      <c r="F15" s="1" t="s">
        <v>67</v>
      </c>
      <c r="G15" s="1" t="s">
        <v>617</v>
      </c>
      <c r="H15" s="1" t="s">
        <v>201</v>
      </c>
      <c r="I15" s="1">
        <v>65</v>
      </c>
    </row>
    <row r="16" spans="1:9" x14ac:dyDescent="0.25">
      <c r="A16" s="1" t="s">
        <v>87</v>
      </c>
      <c r="B16" s="28">
        <v>900</v>
      </c>
      <c r="C16" s="1" t="s">
        <v>32</v>
      </c>
      <c r="D16" s="1" t="s">
        <v>171</v>
      </c>
      <c r="E16" s="1" t="s">
        <v>171</v>
      </c>
      <c r="F16" s="1" t="s">
        <v>67</v>
      </c>
      <c r="G16" s="1" t="s">
        <v>617</v>
      </c>
      <c r="H16" s="1" t="s">
        <v>193</v>
      </c>
      <c r="I16" s="1">
        <v>85</v>
      </c>
    </row>
    <row r="17" spans="1:9" x14ac:dyDescent="0.25">
      <c r="A17" s="1" t="s">
        <v>64</v>
      </c>
      <c r="B17" s="28">
        <v>75</v>
      </c>
      <c r="C17" s="1" t="s">
        <v>32</v>
      </c>
      <c r="D17" s="1" t="s">
        <v>171</v>
      </c>
      <c r="E17" s="1" t="s">
        <v>171</v>
      </c>
      <c r="F17" s="1" t="s">
        <v>67</v>
      </c>
      <c r="G17" s="1" t="s">
        <v>605</v>
      </c>
      <c r="H17" s="1" t="s">
        <v>57</v>
      </c>
      <c r="I17" s="1">
        <v>50</v>
      </c>
    </row>
    <row r="18" spans="1:9" x14ac:dyDescent="0.25">
      <c r="A18" s="1" t="s">
        <v>99</v>
      </c>
      <c r="B18" s="28">
        <v>75</v>
      </c>
      <c r="C18" s="1" t="s">
        <v>32</v>
      </c>
      <c r="D18" s="1" t="s">
        <v>54</v>
      </c>
      <c r="E18" s="1" t="s">
        <v>171</v>
      </c>
      <c r="F18" s="1" t="s">
        <v>67</v>
      </c>
      <c r="G18" s="1" t="s">
        <v>607</v>
      </c>
      <c r="H18" s="1" t="s">
        <v>47</v>
      </c>
      <c r="I18" s="1">
        <v>60</v>
      </c>
    </row>
    <row r="19" spans="1:9" x14ac:dyDescent="0.25">
      <c r="A19" s="1" t="s">
        <v>101</v>
      </c>
      <c r="B19" s="28">
        <v>120</v>
      </c>
      <c r="C19" s="1" t="s">
        <v>32</v>
      </c>
      <c r="D19" s="1" t="s">
        <v>54</v>
      </c>
      <c r="E19" s="1" t="s">
        <v>171</v>
      </c>
      <c r="F19" s="1" t="s">
        <v>67</v>
      </c>
      <c r="G19" s="1" t="s">
        <v>617</v>
      </c>
      <c r="H19" s="1" t="s">
        <v>62</v>
      </c>
      <c r="I19" s="1">
        <v>85</v>
      </c>
    </row>
    <row r="20" spans="1:9" x14ac:dyDescent="0.25">
      <c r="A20" s="1" t="s">
        <v>81</v>
      </c>
      <c r="B20" s="28">
        <v>75</v>
      </c>
      <c r="C20" s="1" t="s">
        <v>32</v>
      </c>
      <c r="D20" s="1" t="s">
        <v>54</v>
      </c>
      <c r="E20" s="1" t="s">
        <v>171</v>
      </c>
      <c r="F20" s="1" t="s">
        <v>67</v>
      </c>
      <c r="G20" s="1" t="s">
        <v>605</v>
      </c>
      <c r="H20" s="1" t="s">
        <v>47</v>
      </c>
      <c r="I20" s="1">
        <v>40</v>
      </c>
    </row>
    <row r="21" spans="1:9" x14ac:dyDescent="0.25">
      <c r="A21" s="1" t="s">
        <v>95</v>
      </c>
      <c r="B21" s="28">
        <v>150</v>
      </c>
      <c r="C21" s="1" t="s">
        <v>32</v>
      </c>
      <c r="D21" s="1" t="s">
        <v>54</v>
      </c>
      <c r="E21" s="1" t="s">
        <v>171</v>
      </c>
      <c r="F21" s="1" t="s">
        <v>67</v>
      </c>
      <c r="G21" s="1" t="s">
        <v>605</v>
      </c>
      <c r="H21" s="1" t="s">
        <v>62</v>
      </c>
      <c r="I21" s="1">
        <v>60</v>
      </c>
    </row>
    <row r="22" spans="1:9" x14ac:dyDescent="0.25">
      <c r="A22" s="1" t="s">
        <v>65</v>
      </c>
      <c r="B22" s="28">
        <v>105</v>
      </c>
      <c r="C22" s="1" t="s">
        <v>32</v>
      </c>
      <c r="D22" s="1" t="s">
        <v>54</v>
      </c>
      <c r="E22" s="1" t="s">
        <v>171</v>
      </c>
      <c r="F22" s="1" t="s">
        <v>194</v>
      </c>
      <c r="G22" s="1" t="s">
        <v>608</v>
      </c>
      <c r="H22" s="1" t="s">
        <v>202</v>
      </c>
      <c r="I22" s="1">
        <v>45</v>
      </c>
    </row>
    <row r="23" spans="1:9" x14ac:dyDescent="0.25">
      <c r="A23" s="1" t="s">
        <v>91</v>
      </c>
      <c r="B23" s="28">
        <v>11250</v>
      </c>
      <c r="C23" s="1" t="s">
        <v>0</v>
      </c>
      <c r="D23" s="1" t="s">
        <v>171</v>
      </c>
      <c r="E23" s="1" t="s">
        <v>171</v>
      </c>
      <c r="F23" s="1" t="s">
        <v>197</v>
      </c>
      <c r="G23" s="1" t="s">
        <v>606</v>
      </c>
      <c r="H23" s="1" t="s">
        <v>199</v>
      </c>
      <c r="I23" s="1">
        <v>110</v>
      </c>
    </row>
    <row r="24" spans="1:9" x14ac:dyDescent="0.25">
      <c r="A24" s="1" t="s">
        <v>48</v>
      </c>
      <c r="B24" s="28">
        <v>30</v>
      </c>
      <c r="C24" s="1" t="s">
        <v>0</v>
      </c>
      <c r="D24" s="1" t="s">
        <v>32</v>
      </c>
      <c r="E24" s="1" t="s">
        <v>171</v>
      </c>
      <c r="F24" s="1" t="s">
        <v>67</v>
      </c>
      <c r="G24" s="1" t="s">
        <v>617</v>
      </c>
      <c r="H24" s="1" t="s">
        <v>47</v>
      </c>
      <c r="I24" s="1">
        <v>30</v>
      </c>
    </row>
    <row r="25" spans="1:9" x14ac:dyDescent="0.25">
      <c r="A25" s="1" t="s">
        <v>77</v>
      </c>
      <c r="B25" s="28">
        <v>85</v>
      </c>
      <c r="C25" s="1" t="s">
        <v>0</v>
      </c>
      <c r="D25" s="1" t="s">
        <v>32</v>
      </c>
      <c r="E25" s="1" t="s">
        <v>171</v>
      </c>
      <c r="F25" s="1" t="s">
        <v>197</v>
      </c>
      <c r="G25" s="1" t="s">
        <v>58</v>
      </c>
      <c r="H25" s="1" t="s">
        <v>47</v>
      </c>
      <c r="I25" s="1">
        <v>70</v>
      </c>
    </row>
    <row r="26" spans="1:9" x14ac:dyDescent="0.25">
      <c r="A26" s="1" t="s">
        <v>71</v>
      </c>
      <c r="B26" s="28">
        <v>200</v>
      </c>
      <c r="C26" s="1" t="s">
        <v>601</v>
      </c>
      <c r="D26" s="1" t="s">
        <v>32</v>
      </c>
      <c r="E26" s="1" t="s">
        <v>54</v>
      </c>
      <c r="F26" s="1" t="s">
        <v>194</v>
      </c>
      <c r="G26" s="1" t="s">
        <v>609</v>
      </c>
      <c r="H26" s="1" t="s">
        <v>195</v>
      </c>
      <c r="I26" s="1">
        <v>75</v>
      </c>
    </row>
    <row r="27" spans="1:9" x14ac:dyDescent="0.25">
      <c r="A27" s="1" t="s">
        <v>73</v>
      </c>
      <c r="B27" s="28">
        <v>30</v>
      </c>
      <c r="C27" s="1" t="s">
        <v>601</v>
      </c>
      <c r="D27" s="1" t="s">
        <v>21</v>
      </c>
      <c r="E27" s="1" t="s">
        <v>171</v>
      </c>
      <c r="F27" s="1" t="s">
        <v>74</v>
      </c>
      <c r="G27" s="1" t="s">
        <v>605</v>
      </c>
      <c r="H27" s="1" t="s">
        <v>57</v>
      </c>
      <c r="I27" s="1">
        <v>30</v>
      </c>
    </row>
    <row r="28" spans="1:9" x14ac:dyDescent="0.25">
      <c r="A28" s="1" t="s">
        <v>103</v>
      </c>
      <c r="B28" s="28">
        <v>75</v>
      </c>
      <c r="C28" s="1" t="s">
        <v>601</v>
      </c>
      <c r="D28" s="1" t="s">
        <v>21</v>
      </c>
      <c r="E28" s="1" t="s">
        <v>32</v>
      </c>
      <c r="F28" s="1" t="s">
        <v>67</v>
      </c>
      <c r="G28" s="1" t="s">
        <v>617</v>
      </c>
      <c r="H28" s="1" t="s">
        <v>104</v>
      </c>
      <c r="I28" s="1">
        <v>50</v>
      </c>
    </row>
    <row r="29" spans="1:9" x14ac:dyDescent="0.25">
      <c r="A29" s="1" t="s">
        <v>102</v>
      </c>
      <c r="B29" s="28">
        <v>80</v>
      </c>
      <c r="C29" s="1" t="s">
        <v>601</v>
      </c>
      <c r="D29" s="1" t="s">
        <v>21</v>
      </c>
      <c r="E29" s="1" t="s">
        <v>54</v>
      </c>
      <c r="F29" s="1" t="s">
        <v>67</v>
      </c>
      <c r="G29" s="1" t="s">
        <v>610</v>
      </c>
      <c r="H29" s="1" t="s">
        <v>47</v>
      </c>
      <c r="I29" s="1">
        <v>50</v>
      </c>
    </row>
    <row r="30" spans="1:9" x14ac:dyDescent="0.25">
      <c r="A30" s="1" t="s">
        <v>76</v>
      </c>
      <c r="B30" s="28">
        <v>30</v>
      </c>
      <c r="C30" s="1" t="s">
        <v>601</v>
      </c>
      <c r="D30" s="1" t="s">
        <v>54</v>
      </c>
      <c r="E30" s="1" t="s">
        <v>171</v>
      </c>
      <c r="F30" s="1" t="s">
        <v>67</v>
      </c>
      <c r="G30" s="1" t="s">
        <v>617</v>
      </c>
      <c r="H30" s="1" t="s">
        <v>47</v>
      </c>
      <c r="I30" s="1">
        <v>25</v>
      </c>
    </row>
    <row r="31" spans="1:9" x14ac:dyDescent="0.25">
      <c r="A31" s="1" t="s">
        <v>86</v>
      </c>
      <c r="B31" s="28">
        <v>1500</v>
      </c>
      <c r="C31" s="1" t="s">
        <v>600</v>
      </c>
      <c r="D31" s="1" t="s">
        <v>171</v>
      </c>
      <c r="E31" s="1" t="s">
        <v>171</v>
      </c>
      <c r="F31" s="1" t="s">
        <v>67</v>
      </c>
      <c r="G31" s="1" t="s">
        <v>611</v>
      </c>
      <c r="H31" s="1" t="s">
        <v>196</v>
      </c>
      <c r="I31" s="1">
        <v>95</v>
      </c>
    </row>
    <row r="32" spans="1:9" x14ac:dyDescent="0.25">
      <c r="A32" s="1" t="s">
        <v>98</v>
      </c>
      <c r="B32" s="28">
        <v>100</v>
      </c>
      <c r="C32" s="1" t="s">
        <v>600</v>
      </c>
      <c r="D32" s="1" t="s">
        <v>171</v>
      </c>
      <c r="E32" s="1" t="s">
        <v>171</v>
      </c>
      <c r="F32" s="1" t="s">
        <v>67</v>
      </c>
      <c r="G32" s="1" t="s">
        <v>605</v>
      </c>
      <c r="H32" s="1" t="s">
        <v>57</v>
      </c>
      <c r="I32" s="1">
        <v>78</v>
      </c>
    </row>
    <row r="33" spans="1:9" x14ac:dyDescent="0.25">
      <c r="A33" s="1" t="s">
        <v>78</v>
      </c>
      <c r="B33" s="28">
        <v>150</v>
      </c>
      <c r="C33" s="1" t="s">
        <v>600</v>
      </c>
      <c r="D33" s="1" t="s">
        <v>171</v>
      </c>
      <c r="E33" s="1" t="s">
        <v>171</v>
      </c>
      <c r="F33" s="1" t="s">
        <v>67</v>
      </c>
      <c r="G33" s="1" t="s">
        <v>612</v>
      </c>
      <c r="H33" s="1" t="s">
        <v>47</v>
      </c>
      <c r="I33" s="1">
        <v>95</v>
      </c>
    </row>
    <row r="34" spans="1:9" x14ac:dyDescent="0.25">
      <c r="A34" s="1" t="s">
        <v>46</v>
      </c>
      <c r="B34" s="28">
        <v>200</v>
      </c>
      <c r="C34" s="1" t="s">
        <v>600</v>
      </c>
      <c r="D34" s="1" t="s">
        <v>171</v>
      </c>
      <c r="E34" s="1" t="s">
        <v>171</v>
      </c>
      <c r="F34" s="1" t="s">
        <v>74</v>
      </c>
      <c r="G34" s="1" t="s">
        <v>613</v>
      </c>
      <c r="H34" s="1" t="s">
        <v>47</v>
      </c>
      <c r="I34" s="1">
        <v>80</v>
      </c>
    </row>
    <row r="35" spans="1:9" x14ac:dyDescent="0.25">
      <c r="A35" s="1" t="s">
        <v>63</v>
      </c>
      <c r="B35" s="28">
        <v>65</v>
      </c>
      <c r="C35" s="1" t="s">
        <v>600</v>
      </c>
      <c r="D35" s="1" t="s">
        <v>171</v>
      </c>
      <c r="E35" s="1" t="s">
        <v>171</v>
      </c>
      <c r="F35" s="1" t="s">
        <v>74</v>
      </c>
      <c r="G35" s="1" t="s">
        <v>605</v>
      </c>
      <c r="H35" s="1" t="s">
        <v>200</v>
      </c>
      <c r="I35" s="1">
        <v>45</v>
      </c>
    </row>
    <row r="36" spans="1:9" x14ac:dyDescent="0.25">
      <c r="A36" s="1" t="s">
        <v>100</v>
      </c>
      <c r="B36" s="28">
        <v>60</v>
      </c>
      <c r="C36" s="1" t="s">
        <v>600</v>
      </c>
      <c r="D36" s="1" t="s">
        <v>599</v>
      </c>
      <c r="E36" s="1" t="s">
        <v>171</v>
      </c>
      <c r="F36" s="1" t="s">
        <v>197</v>
      </c>
      <c r="G36" s="1" t="s">
        <v>614</v>
      </c>
      <c r="H36" s="1" t="s">
        <v>57</v>
      </c>
      <c r="I36" s="1">
        <v>45</v>
      </c>
    </row>
    <row r="37" spans="1:9" x14ac:dyDescent="0.25">
      <c r="A37" s="1" t="s">
        <v>82</v>
      </c>
      <c r="B37" s="28">
        <v>250</v>
      </c>
      <c r="C37" s="1" t="s">
        <v>600</v>
      </c>
      <c r="D37" s="1" t="s">
        <v>599</v>
      </c>
      <c r="E37" s="1" t="s">
        <v>171</v>
      </c>
      <c r="F37" s="1" t="s">
        <v>67</v>
      </c>
      <c r="G37" s="1" t="s">
        <v>603</v>
      </c>
      <c r="H37" s="1" t="s">
        <v>47</v>
      </c>
      <c r="I37" s="1">
        <v>80</v>
      </c>
    </row>
    <row r="38" spans="1:9" x14ac:dyDescent="0.25">
      <c r="A38" s="1" t="s">
        <v>97</v>
      </c>
      <c r="B38" s="28">
        <v>75</v>
      </c>
      <c r="C38" s="1" t="s">
        <v>600</v>
      </c>
      <c r="D38" s="1" t="s">
        <v>599</v>
      </c>
      <c r="E38" s="1" t="s">
        <v>171</v>
      </c>
      <c r="F38" s="1" t="s">
        <v>67</v>
      </c>
      <c r="G38" s="1" t="s">
        <v>615</v>
      </c>
      <c r="H38" s="1" t="s">
        <v>47</v>
      </c>
      <c r="I38" s="1">
        <v>50</v>
      </c>
    </row>
    <row r="39" spans="1:9" x14ac:dyDescent="0.25">
      <c r="A39" s="1" t="s">
        <v>79</v>
      </c>
      <c r="B39" s="28">
        <v>50</v>
      </c>
      <c r="C39" s="1" t="s">
        <v>600</v>
      </c>
      <c r="D39" s="1" t="s">
        <v>599</v>
      </c>
      <c r="E39" s="1" t="s">
        <v>598</v>
      </c>
      <c r="F39" s="1" t="s">
        <v>194</v>
      </c>
      <c r="G39" s="1" t="s">
        <v>605</v>
      </c>
      <c r="H39" s="1" t="s">
        <v>47</v>
      </c>
      <c r="I39" s="1">
        <v>40</v>
      </c>
    </row>
    <row r="40" spans="1:9" x14ac:dyDescent="0.25">
      <c r="A40" s="1" t="s">
        <v>72</v>
      </c>
      <c r="B40" s="28">
        <v>100</v>
      </c>
      <c r="C40" s="1" t="s">
        <v>600</v>
      </c>
      <c r="D40" s="1" t="s">
        <v>598</v>
      </c>
      <c r="E40" s="1" t="s">
        <v>171</v>
      </c>
      <c r="F40" s="1" t="s">
        <v>67</v>
      </c>
      <c r="G40" s="1" t="s">
        <v>617</v>
      </c>
      <c r="H40" s="1" t="s">
        <v>62</v>
      </c>
      <c r="I40" s="1">
        <v>60</v>
      </c>
    </row>
    <row r="41" spans="1:9" x14ac:dyDescent="0.25">
      <c r="A41" s="1" t="s">
        <v>75</v>
      </c>
      <c r="B41" s="28">
        <v>75</v>
      </c>
      <c r="C41" s="1" t="s">
        <v>600</v>
      </c>
      <c r="D41" s="1" t="s">
        <v>598</v>
      </c>
      <c r="E41" s="1" t="s">
        <v>171</v>
      </c>
      <c r="F41" s="1" t="s">
        <v>67</v>
      </c>
      <c r="G41" s="1" t="s">
        <v>605</v>
      </c>
      <c r="H41" s="1" t="s">
        <v>47</v>
      </c>
      <c r="I41" s="1">
        <v>55</v>
      </c>
    </row>
    <row r="42" spans="1:9" x14ac:dyDescent="0.25">
      <c r="A42" s="1" t="s">
        <v>94</v>
      </c>
      <c r="B42" s="28">
        <v>200</v>
      </c>
      <c r="C42" s="1" t="s">
        <v>600</v>
      </c>
      <c r="D42" s="1" t="s">
        <v>598</v>
      </c>
      <c r="E42" s="1" t="s">
        <v>171</v>
      </c>
      <c r="F42" s="1" t="s">
        <v>67</v>
      </c>
      <c r="G42" s="1" t="s">
        <v>605</v>
      </c>
      <c r="H42" s="1" t="s">
        <v>616</v>
      </c>
      <c r="I42" s="1">
        <v>78</v>
      </c>
    </row>
    <row r="43" spans="1:9" x14ac:dyDescent="0.25">
      <c r="A43" s="1" t="s">
        <v>53</v>
      </c>
      <c r="B43" s="28">
        <v>100</v>
      </c>
      <c r="C43" s="1" t="s">
        <v>600</v>
      </c>
      <c r="D43" s="1" t="s">
        <v>598</v>
      </c>
      <c r="E43" s="1" t="s">
        <v>171</v>
      </c>
      <c r="F43" s="1" t="s">
        <v>67</v>
      </c>
      <c r="G43" s="1" t="s">
        <v>605</v>
      </c>
      <c r="H43" s="1" t="s">
        <v>47</v>
      </c>
      <c r="I43" s="1">
        <v>70</v>
      </c>
    </row>
    <row r="44" spans="1:9" x14ac:dyDescent="0.25">
      <c r="A44" s="1" t="s">
        <v>106</v>
      </c>
      <c r="B44" s="28">
        <v>1000</v>
      </c>
      <c r="C44" s="1" t="s">
        <v>598</v>
      </c>
      <c r="D44" s="1" t="s">
        <v>171</v>
      </c>
      <c r="E44" s="1" t="s">
        <v>171</v>
      </c>
      <c r="F44" s="1" t="s">
        <v>74</v>
      </c>
      <c r="G44" s="1" t="s">
        <v>606</v>
      </c>
      <c r="H44" s="1" t="s">
        <v>368</v>
      </c>
      <c r="I44" s="1">
        <v>100</v>
      </c>
    </row>
    <row r="45" spans="1:9" x14ac:dyDescent="0.25">
      <c r="A45" s="1" t="s">
        <v>68</v>
      </c>
      <c r="B45" s="28">
        <v>55</v>
      </c>
      <c r="C45" s="1" t="s">
        <v>54</v>
      </c>
      <c r="D45" s="1" t="s">
        <v>171</v>
      </c>
      <c r="E45" s="1" t="s">
        <v>171</v>
      </c>
      <c r="F45" s="1" t="s">
        <v>67</v>
      </c>
      <c r="G45" s="1" t="s">
        <v>617</v>
      </c>
      <c r="H45" s="1" t="s">
        <v>62</v>
      </c>
      <c r="I45" s="1">
        <v>35</v>
      </c>
    </row>
    <row r="46" spans="1:9" x14ac:dyDescent="0.25">
      <c r="A46" s="1" t="s">
        <v>80</v>
      </c>
      <c r="B46" s="28">
        <v>80</v>
      </c>
      <c r="C46" s="1" t="s">
        <v>54</v>
      </c>
      <c r="D46" s="1" t="s">
        <v>171</v>
      </c>
      <c r="E46" s="1" t="s">
        <v>171</v>
      </c>
      <c r="F46" s="1" t="s">
        <v>67</v>
      </c>
      <c r="G46" s="1" t="s">
        <v>603</v>
      </c>
      <c r="H46" s="1" t="s">
        <v>47</v>
      </c>
      <c r="I46" s="1">
        <v>75</v>
      </c>
    </row>
  </sheetData>
  <sortState xmlns:xlrd2="http://schemas.microsoft.com/office/spreadsheetml/2017/richdata2" ref="A2:J46">
    <sortCondition ref="C2:C46"/>
    <sortCondition ref="D2:D46"/>
    <sortCondition ref="E2:E46"/>
  </sortState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H68"/>
  <sheetViews>
    <sheetView workbookViewId="0">
      <pane xSplit="1" ySplit="1" topLeftCell="B46" activePane="bottomRight" state="frozen"/>
      <selection pane="topRight" activeCell="B1" sqref="B1"/>
      <selection pane="bottomLeft" activeCell="A2" sqref="A2"/>
      <selection pane="bottomRight" activeCell="H62" sqref="H62"/>
    </sheetView>
  </sheetViews>
  <sheetFormatPr defaultColWidth="8.85546875" defaultRowHeight="15" x14ac:dyDescent="0.25"/>
  <cols>
    <col min="1" max="1" width="13.5703125" style="3" bestFit="1" customWidth="1"/>
    <col min="2" max="2" width="15.7109375" style="3" customWidth="1"/>
    <col min="3" max="3" width="10.7109375" style="3" bestFit="1" customWidth="1"/>
    <col min="4" max="4" width="15.7109375" style="3" bestFit="1" customWidth="1"/>
    <col min="5" max="5" width="21.28515625" style="3" customWidth="1"/>
    <col min="6" max="6" width="19.5703125" style="3" customWidth="1"/>
    <col min="7" max="7" width="14.7109375" style="3" customWidth="1"/>
    <col min="8" max="8" width="18.5703125" style="3" customWidth="1"/>
    <col min="9" max="9" width="8.85546875" style="3" customWidth="1"/>
    <col min="10" max="16384" width="8.85546875" style="3"/>
  </cols>
  <sheetData>
    <row r="1" spans="1:8" x14ac:dyDescent="0.25">
      <c r="A1" s="1" t="s">
        <v>163</v>
      </c>
      <c r="B1" s="1" t="s">
        <v>381</v>
      </c>
      <c r="C1" s="1" t="s">
        <v>164</v>
      </c>
      <c r="D1" s="1" t="s">
        <v>45</v>
      </c>
      <c r="E1" s="1" t="s">
        <v>218</v>
      </c>
      <c r="F1" s="1" t="s">
        <v>851</v>
      </c>
      <c r="G1" s="1" t="s">
        <v>386</v>
      </c>
      <c r="H1" s="1" t="s">
        <v>387</v>
      </c>
    </row>
    <row r="2" spans="1:8" x14ac:dyDescent="0.25">
      <c r="A2" s="1" t="s">
        <v>413</v>
      </c>
      <c r="B2" s="1" t="s">
        <v>839</v>
      </c>
      <c r="C2" s="28">
        <v>50</v>
      </c>
      <c r="D2" s="1" t="s">
        <v>413</v>
      </c>
      <c r="E2" s="1" t="s">
        <v>171</v>
      </c>
      <c r="F2" s="1" t="s">
        <v>171</v>
      </c>
      <c r="G2" s="82" t="s">
        <v>850</v>
      </c>
      <c r="H2" s="1" t="s">
        <v>212</v>
      </c>
    </row>
    <row r="3" spans="1:8" x14ac:dyDescent="0.25">
      <c r="A3" s="1" t="s">
        <v>410</v>
      </c>
      <c r="B3" s="1" t="s">
        <v>839</v>
      </c>
      <c r="C3" s="28">
        <v>100</v>
      </c>
      <c r="D3" s="1" t="s">
        <v>411</v>
      </c>
      <c r="E3" s="1" t="s">
        <v>171</v>
      </c>
      <c r="F3" s="1" t="s">
        <v>171</v>
      </c>
      <c r="G3" s="1" t="s">
        <v>394</v>
      </c>
      <c r="H3" s="1" t="s">
        <v>212</v>
      </c>
    </row>
    <row r="4" spans="1:8" x14ac:dyDescent="0.25">
      <c r="A4" s="1" t="s">
        <v>412</v>
      </c>
      <c r="B4" s="1" t="s">
        <v>839</v>
      </c>
      <c r="C4" s="28">
        <v>75</v>
      </c>
      <c r="D4" s="1" t="s">
        <v>412</v>
      </c>
      <c r="E4" s="1" t="s">
        <v>171</v>
      </c>
      <c r="F4" s="1" t="s">
        <v>171</v>
      </c>
      <c r="G4" s="1" t="s">
        <v>388</v>
      </c>
      <c r="H4" s="1" t="s">
        <v>212</v>
      </c>
    </row>
    <row r="5" spans="1:8" x14ac:dyDescent="0.25">
      <c r="A5" s="1" t="s">
        <v>375</v>
      </c>
      <c r="B5" s="1" t="s">
        <v>839</v>
      </c>
      <c r="C5" s="28">
        <v>25</v>
      </c>
      <c r="D5" s="1" t="s">
        <v>375</v>
      </c>
      <c r="E5" s="1" t="s">
        <v>171</v>
      </c>
      <c r="F5" s="1" t="s">
        <v>171</v>
      </c>
      <c r="G5" s="1" t="s">
        <v>400</v>
      </c>
      <c r="H5" s="1" t="s">
        <v>161</v>
      </c>
    </row>
    <row r="6" spans="1:8" x14ac:dyDescent="0.25">
      <c r="A6" s="1" t="s">
        <v>398</v>
      </c>
      <c r="B6" s="1" t="s">
        <v>391</v>
      </c>
      <c r="C6" s="28">
        <v>100</v>
      </c>
      <c r="D6" s="1" t="s">
        <v>399</v>
      </c>
      <c r="E6" s="1" t="s">
        <v>393</v>
      </c>
      <c r="F6" s="1" t="s">
        <v>389</v>
      </c>
      <c r="G6" s="1" t="s">
        <v>400</v>
      </c>
      <c r="H6" s="1" t="s">
        <v>212</v>
      </c>
    </row>
    <row r="7" spans="1:8" x14ac:dyDescent="0.25">
      <c r="A7" s="1" t="s">
        <v>377</v>
      </c>
      <c r="B7" s="1" t="s">
        <v>391</v>
      </c>
      <c r="C7" s="28">
        <v>180</v>
      </c>
      <c r="D7" s="1" t="s">
        <v>395</v>
      </c>
      <c r="E7" s="1" t="s">
        <v>396</v>
      </c>
      <c r="F7" s="1" t="s">
        <v>389</v>
      </c>
      <c r="G7" s="1" t="s">
        <v>400</v>
      </c>
      <c r="H7" s="1" t="s">
        <v>212</v>
      </c>
    </row>
    <row r="8" spans="1:8" x14ac:dyDescent="0.25">
      <c r="A8" s="1" t="s">
        <v>405</v>
      </c>
      <c r="B8" s="1" t="s">
        <v>391</v>
      </c>
      <c r="C8" s="28">
        <v>750</v>
      </c>
      <c r="D8" s="1" t="s">
        <v>406</v>
      </c>
      <c r="E8" s="1" t="s">
        <v>393</v>
      </c>
      <c r="F8" s="1" t="s">
        <v>389</v>
      </c>
      <c r="G8" s="1" t="s">
        <v>400</v>
      </c>
      <c r="H8" s="1" t="s">
        <v>212</v>
      </c>
    </row>
    <row r="9" spans="1:8" x14ac:dyDescent="0.25">
      <c r="A9" s="1" t="s">
        <v>376</v>
      </c>
      <c r="B9" s="1" t="s">
        <v>391</v>
      </c>
      <c r="C9" s="28">
        <v>250</v>
      </c>
      <c r="D9" s="1" t="s">
        <v>392</v>
      </c>
      <c r="E9" s="1" t="s">
        <v>393</v>
      </c>
      <c r="F9" s="1" t="s">
        <v>389</v>
      </c>
      <c r="G9" s="1" t="s">
        <v>400</v>
      </c>
      <c r="H9" s="1" t="s">
        <v>161</v>
      </c>
    </row>
    <row r="10" spans="1:8" x14ac:dyDescent="0.25">
      <c r="A10" s="1" t="s">
        <v>403</v>
      </c>
      <c r="B10" s="1" t="s">
        <v>391</v>
      </c>
      <c r="C10" s="28">
        <v>200</v>
      </c>
      <c r="D10" s="1" t="s">
        <v>404</v>
      </c>
      <c r="E10" s="1" t="s">
        <v>393</v>
      </c>
      <c r="F10" s="1" t="s">
        <v>389</v>
      </c>
      <c r="G10" s="1" t="s">
        <v>400</v>
      </c>
      <c r="H10" s="1" t="s">
        <v>212</v>
      </c>
    </row>
    <row r="11" spans="1:8" x14ac:dyDescent="0.25">
      <c r="A11" s="1" t="s">
        <v>407</v>
      </c>
      <c r="B11" s="1" t="s">
        <v>391</v>
      </c>
      <c r="C11" s="28">
        <v>2000</v>
      </c>
      <c r="D11" s="1" t="s">
        <v>408</v>
      </c>
      <c r="E11" s="1" t="s">
        <v>409</v>
      </c>
      <c r="F11" s="1" t="s">
        <v>389</v>
      </c>
      <c r="G11" s="1" t="s">
        <v>859</v>
      </c>
      <c r="H11" s="1" t="s">
        <v>161</v>
      </c>
    </row>
    <row r="12" spans="1:8" x14ac:dyDescent="0.25">
      <c r="A12" s="1" t="s">
        <v>378</v>
      </c>
      <c r="B12" s="1" t="s">
        <v>391</v>
      </c>
      <c r="C12" s="28">
        <v>250</v>
      </c>
      <c r="D12" s="1" t="s">
        <v>397</v>
      </c>
      <c r="E12" s="1" t="s">
        <v>393</v>
      </c>
      <c r="F12" s="1" t="s">
        <v>389</v>
      </c>
      <c r="G12" s="1" t="s">
        <v>400</v>
      </c>
      <c r="H12" s="1" t="s">
        <v>212</v>
      </c>
    </row>
    <row r="13" spans="1:8" x14ac:dyDescent="0.25">
      <c r="A13" s="1" t="s">
        <v>401</v>
      </c>
      <c r="B13" s="1" t="s">
        <v>391</v>
      </c>
      <c r="C13" s="28">
        <v>80</v>
      </c>
      <c r="D13" s="1" t="s">
        <v>402</v>
      </c>
      <c r="E13" s="1" t="s">
        <v>393</v>
      </c>
      <c r="F13" s="1" t="s">
        <v>389</v>
      </c>
      <c r="G13" s="1" t="s">
        <v>400</v>
      </c>
      <c r="H13" s="1" t="s">
        <v>212</v>
      </c>
    </row>
    <row r="14" spans="1:8" x14ac:dyDescent="0.25">
      <c r="A14" s="1" t="s">
        <v>383</v>
      </c>
      <c r="B14" s="1" t="s">
        <v>382</v>
      </c>
      <c r="C14" s="28" t="s">
        <v>171</v>
      </c>
      <c r="D14" s="1" t="s">
        <v>389</v>
      </c>
      <c r="E14" s="1" t="s">
        <v>849</v>
      </c>
      <c r="F14" s="1" t="s">
        <v>845</v>
      </c>
      <c r="G14" s="1" t="s">
        <v>388</v>
      </c>
      <c r="H14" s="1" t="s">
        <v>161</v>
      </c>
    </row>
    <row r="15" spans="1:8" x14ac:dyDescent="0.25">
      <c r="A15" s="1" t="s">
        <v>382</v>
      </c>
      <c r="B15" s="1" t="s">
        <v>382</v>
      </c>
      <c r="C15" s="28" t="s">
        <v>171</v>
      </c>
      <c r="D15" s="1" t="s">
        <v>843</v>
      </c>
      <c r="E15" s="1" t="s">
        <v>844</v>
      </c>
      <c r="F15" s="1" t="s">
        <v>845</v>
      </c>
      <c r="G15" s="82" t="s">
        <v>850</v>
      </c>
      <c r="H15" s="1" t="s">
        <v>161</v>
      </c>
    </row>
    <row r="16" spans="1:8" x14ac:dyDescent="0.25">
      <c r="A16" s="1" t="s">
        <v>384</v>
      </c>
      <c r="B16" s="1" t="s">
        <v>382</v>
      </c>
      <c r="C16" s="28" t="s">
        <v>171</v>
      </c>
      <c r="D16" s="1" t="s">
        <v>389</v>
      </c>
      <c r="E16" s="1" t="s">
        <v>845</v>
      </c>
      <c r="F16" s="1" t="s">
        <v>171</v>
      </c>
      <c r="G16" s="1" t="s">
        <v>390</v>
      </c>
      <c r="H16" s="1" t="s">
        <v>161</v>
      </c>
    </row>
    <row r="17" spans="1:8" x14ac:dyDescent="0.25">
      <c r="A17" s="1" t="s">
        <v>385</v>
      </c>
      <c r="B17" s="1" t="s">
        <v>382</v>
      </c>
      <c r="C17" s="28" t="s">
        <v>171</v>
      </c>
      <c r="D17" s="1" t="s">
        <v>848</v>
      </c>
      <c r="E17" s="1" t="s">
        <v>846</v>
      </c>
      <c r="F17" s="1" t="s">
        <v>847</v>
      </c>
      <c r="G17" s="1" t="s">
        <v>400</v>
      </c>
      <c r="H17" s="1" t="s">
        <v>212</v>
      </c>
    </row>
    <row r="18" spans="1:8" x14ac:dyDescent="0.25">
      <c r="A18" s="1" t="s">
        <v>417</v>
      </c>
      <c r="B18" s="1" t="s">
        <v>840</v>
      </c>
      <c r="C18" s="28">
        <v>125</v>
      </c>
      <c r="D18" s="1" t="s">
        <v>383</v>
      </c>
      <c r="E18" s="1" t="s">
        <v>385</v>
      </c>
      <c r="F18" s="1" t="s">
        <v>171</v>
      </c>
      <c r="G18" s="1" t="s">
        <v>171</v>
      </c>
      <c r="H18" s="1" t="s">
        <v>161</v>
      </c>
    </row>
    <row r="19" spans="1:8" x14ac:dyDescent="0.25">
      <c r="A19" s="1" t="s">
        <v>414</v>
      </c>
      <c r="B19" s="1" t="s">
        <v>840</v>
      </c>
      <c r="C19" s="28">
        <v>150</v>
      </c>
      <c r="D19" s="1" t="s">
        <v>382</v>
      </c>
      <c r="E19" s="1" t="s">
        <v>385</v>
      </c>
      <c r="F19" s="1" t="s">
        <v>171</v>
      </c>
      <c r="G19" s="1" t="s">
        <v>171</v>
      </c>
      <c r="H19" s="1" t="s">
        <v>161</v>
      </c>
    </row>
    <row r="20" spans="1:8" x14ac:dyDescent="0.25">
      <c r="A20" s="1" t="s">
        <v>416</v>
      </c>
      <c r="B20" s="1" t="s">
        <v>840</v>
      </c>
      <c r="C20" s="28">
        <v>50</v>
      </c>
      <c r="D20" s="1" t="s">
        <v>384</v>
      </c>
      <c r="E20" s="1" t="s">
        <v>385</v>
      </c>
      <c r="F20" s="1" t="s">
        <v>171</v>
      </c>
      <c r="G20" s="1" t="s">
        <v>171</v>
      </c>
      <c r="H20" s="1" t="s">
        <v>161</v>
      </c>
    </row>
    <row r="21" spans="1:8" x14ac:dyDescent="0.25">
      <c r="A21" s="1" t="s">
        <v>446</v>
      </c>
      <c r="B21" s="1" t="s">
        <v>840</v>
      </c>
      <c r="C21" s="28">
        <v>175</v>
      </c>
      <c r="D21" s="1" t="s">
        <v>384</v>
      </c>
      <c r="E21" s="1" t="s">
        <v>385</v>
      </c>
      <c r="F21" s="1" t="s">
        <v>171</v>
      </c>
      <c r="G21" s="1" t="s">
        <v>171</v>
      </c>
      <c r="H21" s="1" t="s">
        <v>161</v>
      </c>
    </row>
    <row r="22" spans="1:8" x14ac:dyDescent="0.25">
      <c r="A22" s="1" t="s">
        <v>415</v>
      </c>
      <c r="B22" s="1" t="s">
        <v>840</v>
      </c>
      <c r="C22" s="28">
        <v>300</v>
      </c>
      <c r="D22" s="1" t="s">
        <v>384</v>
      </c>
      <c r="E22" s="1" t="s">
        <v>385</v>
      </c>
      <c r="F22" s="1" t="s">
        <v>841</v>
      </c>
      <c r="G22" s="1" t="s">
        <v>171</v>
      </c>
      <c r="H22" s="1" t="s">
        <v>161</v>
      </c>
    </row>
    <row r="23" spans="1:8" x14ac:dyDescent="0.25">
      <c r="A23" s="1" t="s">
        <v>418</v>
      </c>
      <c r="B23" s="1" t="s">
        <v>840</v>
      </c>
      <c r="C23" s="28">
        <v>75</v>
      </c>
      <c r="D23" s="1" t="s">
        <v>382</v>
      </c>
      <c r="E23" s="1" t="s">
        <v>385</v>
      </c>
      <c r="F23" s="1" t="s">
        <v>171</v>
      </c>
      <c r="G23" s="1" t="s">
        <v>171</v>
      </c>
      <c r="H23" s="1" t="s">
        <v>161</v>
      </c>
    </row>
    <row r="24" spans="1:8" x14ac:dyDescent="0.25">
      <c r="A24" s="1" t="s">
        <v>442</v>
      </c>
      <c r="B24" s="1" t="s">
        <v>840</v>
      </c>
      <c r="C24" s="28">
        <v>125</v>
      </c>
      <c r="D24" s="1" t="s">
        <v>382</v>
      </c>
      <c r="E24" s="1" t="s">
        <v>385</v>
      </c>
      <c r="F24" s="1" t="s">
        <v>171</v>
      </c>
      <c r="G24" s="1" t="s">
        <v>171</v>
      </c>
      <c r="H24" s="1" t="s">
        <v>161</v>
      </c>
    </row>
    <row r="25" spans="1:8" x14ac:dyDescent="0.25">
      <c r="A25" s="1" t="s">
        <v>419</v>
      </c>
      <c r="B25" s="1" t="s">
        <v>840</v>
      </c>
      <c r="C25" s="28">
        <v>300</v>
      </c>
      <c r="D25" s="1" t="s">
        <v>384</v>
      </c>
      <c r="E25" s="1" t="s">
        <v>385</v>
      </c>
      <c r="F25" s="1" t="s">
        <v>171</v>
      </c>
      <c r="G25" s="1" t="s">
        <v>171</v>
      </c>
      <c r="H25" s="1" t="s">
        <v>161</v>
      </c>
    </row>
    <row r="26" spans="1:8" x14ac:dyDescent="0.25">
      <c r="A26" s="1" t="s">
        <v>420</v>
      </c>
      <c r="B26" s="1" t="s">
        <v>840</v>
      </c>
      <c r="C26" s="28">
        <v>100</v>
      </c>
      <c r="D26" s="1" t="s">
        <v>383</v>
      </c>
      <c r="E26" s="1" t="s">
        <v>385</v>
      </c>
      <c r="F26" s="1" t="s">
        <v>171</v>
      </c>
      <c r="G26" s="1" t="s">
        <v>171</v>
      </c>
      <c r="H26" s="1" t="s">
        <v>161</v>
      </c>
    </row>
    <row r="27" spans="1:8" x14ac:dyDescent="0.25">
      <c r="A27" s="1" t="s">
        <v>453</v>
      </c>
      <c r="B27" s="1" t="s">
        <v>840</v>
      </c>
      <c r="C27" s="28">
        <v>250</v>
      </c>
      <c r="D27" s="1" t="s">
        <v>383</v>
      </c>
      <c r="E27" s="1" t="s">
        <v>385</v>
      </c>
      <c r="F27" s="1" t="s">
        <v>171</v>
      </c>
      <c r="G27" s="1" t="s">
        <v>171</v>
      </c>
      <c r="H27" s="1" t="s">
        <v>161</v>
      </c>
    </row>
    <row r="28" spans="1:8" x14ac:dyDescent="0.25">
      <c r="A28" s="1" t="s">
        <v>441</v>
      </c>
      <c r="B28" s="1" t="s">
        <v>840</v>
      </c>
      <c r="C28" s="28">
        <v>350</v>
      </c>
      <c r="D28" s="1" t="s">
        <v>384</v>
      </c>
      <c r="E28" s="1" t="s">
        <v>385</v>
      </c>
      <c r="F28" s="1" t="s">
        <v>171</v>
      </c>
      <c r="G28" s="1" t="s">
        <v>171</v>
      </c>
      <c r="H28" s="1" t="s">
        <v>161</v>
      </c>
    </row>
    <row r="29" spans="1:8" x14ac:dyDescent="0.25">
      <c r="A29" s="1" t="s">
        <v>421</v>
      </c>
      <c r="B29" s="1" t="s">
        <v>840</v>
      </c>
      <c r="C29" s="28">
        <v>200</v>
      </c>
      <c r="D29" s="1" t="s">
        <v>383</v>
      </c>
      <c r="E29" s="1" t="s">
        <v>385</v>
      </c>
      <c r="F29" s="1" t="s">
        <v>171</v>
      </c>
      <c r="G29" s="1" t="s">
        <v>171</v>
      </c>
      <c r="H29" s="1" t="s">
        <v>161</v>
      </c>
    </row>
    <row r="30" spans="1:8" x14ac:dyDescent="0.25">
      <c r="A30" s="1" t="s">
        <v>422</v>
      </c>
      <c r="B30" s="1" t="s">
        <v>840</v>
      </c>
      <c r="C30" s="28">
        <v>150</v>
      </c>
      <c r="D30" s="1" t="s">
        <v>383</v>
      </c>
      <c r="E30" s="1" t="s">
        <v>385</v>
      </c>
      <c r="F30" s="1" t="s">
        <v>171</v>
      </c>
      <c r="G30" s="1" t="s">
        <v>171</v>
      </c>
      <c r="H30" s="1" t="s">
        <v>161</v>
      </c>
    </row>
    <row r="31" spans="1:8" x14ac:dyDescent="0.25">
      <c r="A31" s="1" t="s">
        <v>437</v>
      </c>
      <c r="B31" s="1" t="s">
        <v>840</v>
      </c>
      <c r="C31" s="28">
        <v>200</v>
      </c>
      <c r="D31" s="1" t="s">
        <v>383</v>
      </c>
      <c r="E31" s="1" t="s">
        <v>385</v>
      </c>
      <c r="F31" s="1" t="s">
        <v>171</v>
      </c>
      <c r="G31" s="1" t="s">
        <v>171</v>
      </c>
      <c r="H31" s="1" t="s">
        <v>161</v>
      </c>
    </row>
    <row r="32" spans="1:8" x14ac:dyDescent="0.25">
      <c r="A32" s="1" t="s">
        <v>445</v>
      </c>
      <c r="B32" s="1" t="s">
        <v>840</v>
      </c>
      <c r="C32" s="28">
        <v>75</v>
      </c>
      <c r="D32" s="1" t="s">
        <v>382</v>
      </c>
      <c r="E32" s="1" t="s">
        <v>385</v>
      </c>
      <c r="F32" s="1" t="s">
        <v>171</v>
      </c>
      <c r="G32" s="1" t="s">
        <v>171</v>
      </c>
      <c r="H32" s="1" t="s">
        <v>161</v>
      </c>
    </row>
    <row r="33" spans="1:8" x14ac:dyDescent="0.25">
      <c r="A33" s="1" t="s">
        <v>423</v>
      </c>
      <c r="B33" s="1" t="s">
        <v>840</v>
      </c>
      <c r="C33" s="28">
        <v>450</v>
      </c>
      <c r="D33" s="1" t="s">
        <v>384</v>
      </c>
      <c r="E33" s="1" t="s">
        <v>385</v>
      </c>
      <c r="F33" s="1" t="s">
        <v>171</v>
      </c>
      <c r="G33" s="1" t="s">
        <v>171</v>
      </c>
      <c r="H33" s="1" t="s">
        <v>161</v>
      </c>
    </row>
    <row r="34" spans="1:8" x14ac:dyDescent="0.25">
      <c r="A34" s="1" t="s">
        <v>449</v>
      </c>
      <c r="B34" s="1" t="s">
        <v>840</v>
      </c>
      <c r="C34" s="28">
        <v>150</v>
      </c>
      <c r="D34" s="1" t="s">
        <v>383</v>
      </c>
      <c r="E34" s="1" t="s">
        <v>385</v>
      </c>
      <c r="F34" s="1" t="s">
        <v>171</v>
      </c>
      <c r="G34" s="1" t="s">
        <v>171</v>
      </c>
      <c r="H34" s="1" t="s">
        <v>161</v>
      </c>
    </row>
    <row r="35" spans="1:8" x14ac:dyDescent="0.25">
      <c r="A35" s="1" t="s">
        <v>425</v>
      </c>
      <c r="B35" s="1" t="s">
        <v>840</v>
      </c>
      <c r="C35" s="28">
        <v>115</v>
      </c>
      <c r="D35" s="1" t="s">
        <v>382</v>
      </c>
      <c r="E35" s="1" t="s">
        <v>385</v>
      </c>
      <c r="F35" s="1" t="s">
        <v>171</v>
      </c>
      <c r="G35" s="1" t="s">
        <v>171</v>
      </c>
      <c r="H35" s="1" t="s">
        <v>161</v>
      </c>
    </row>
    <row r="36" spans="1:8" x14ac:dyDescent="0.25">
      <c r="A36" s="1" t="s">
        <v>424</v>
      </c>
      <c r="B36" s="1" t="s">
        <v>840</v>
      </c>
      <c r="C36" s="28">
        <v>150</v>
      </c>
      <c r="D36" s="1" t="s">
        <v>382</v>
      </c>
      <c r="E36" s="1" t="s">
        <v>385</v>
      </c>
      <c r="F36" s="1" t="s">
        <v>171</v>
      </c>
      <c r="G36" s="1" t="s">
        <v>171</v>
      </c>
      <c r="H36" s="1" t="s">
        <v>161</v>
      </c>
    </row>
    <row r="37" spans="1:8" x14ac:dyDescent="0.25">
      <c r="A37" s="1" t="s">
        <v>439</v>
      </c>
      <c r="B37" s="1" t="s">
        <v>840</v>
      </c>
      <c r="C37" s="28">
        <v>150</v>
      </c>
      <c r="D37" s="1" t="s">
        <v>384</v>
      </c>
      <c r="E37" s="1" t="s">
        <v>385</v>
      </c>
      <c r="F37" s="1" t="s">
        <v>171</v>
      </c>
      <c r="G37" s="1" t="s">
        <v>171</v>
      </c>
      <c r="H37" s="1" t="s">
        <v>161</v>
      </c>
    </row>
    <row r="38" spans="1:8" x14ac:dyDescent="0.25">
      <c r="A38" s="1" t="s">
        <v>426</v>
      </c>
      <c r="B38" s="1" t="s">
        <v>840</v>
      </c>
      <c r="C38" s="28">
        <v>250</v>
      </c>
      <c r="D38" s="1" t="s">
        <v>383</v>
      </c>
      <c r="E38" s="1" t="s">
        <v>385</v>
      </c>
      <c r="F38" s="1" t="s">
        <v>171</v>
      </c>
      <c r="G38" s="1" t="s">
        <v>171</v>
      </c>
      <c r="H38" s="1" t="s">
        <v>161</v>
      </c>
    </row>
    <row r="39" spans="1:8" x14ac:dyDescent="0.25">
      <c r="A39" s="1" t="s">
        <v>430</v>
      </c>
      <c r="B39" s="1" t="s">
        <v>840</v>
      </c>
      <c r="C39" s="28">
        <v>200</v>
      </c>
      <c r="D39" s="1" t="s">
        <v>384</v>
      </c>
      <c r="E39" s="1" t="s">
        <v>385</v>
      </c>
      <c r="F39" s="1" t="s">
        <v>171</v>
      </c>
      <c r="G39" s="1" t="s">
        <v>171</v>
      </c>
      <c r="H39" s="1" t="s">
        <v>161</v>
      </c>
    </row>
    <row r="40" spans="1:8" x14ac:dyDescent="0.25">
      <c r="A40" s="1" t="s">
        <v>447</v>
      </c>
      <c r="B40" s="1" t="s">
        <v>840</v>
      </c>
      <c r="C40" s="28">
        <v>15</v>
      </c>
      <c r="D40" s="1" t="s">
        <v>382</v>
      </c>
      <c r="E40" s="1" t="s">
        <v>385</v>
      </c>
      <c r="F40" s="1" t="s">
        <v>171</v>
      </c>
      <c r="G40" s="1" t="s">
        <v>171</v>
      </c>
      <c r="H40" s="1" t="s">
        <v>161</v>
      </c>
    </row>
    <row r="41" spans="1:8" x14ac:dyDescent="0.25">
      <c r="A41" s="1" t="s">
        <v>427</v>
      </c>
      <c r="B41" s="1" t="s">
        <v>840</v>
      </c>
      <c r="C41" s="28">
        <v>200</v>
      </c>
      <c r="D41" s="1" t="s">
        <v>383</v>
      </c>
      <c r="E41" s="1" t="s">
        <v>385</v>
      </c>
      <c r="F41" s="1" t="s">
        <v>171</v>
      </c>
      <c r="G41" s="1" t="s">
        <v>171</v>
      </c>
      <c r="H41" s="1" t="s">
        <v>161</v>
      </c>
    </row>
    <row r="42" spans="1:8" x14ac:dyDescent="0.25">
      <c r="A42" s="1" t="s">
        <v>428</v>
      </c>
      <c r="B42" s="1" t="s">
        <v>840</v>
      </c>
      <c r="C42" s="28">
        <v>100</v>
      </c>
      <c r="D42" s="1" t="s">
        <v>382</v>
      </c>
      <c r="E42" s="1" t="s">
        <v>385</v>
      </c>
      <c r="F42" s="1" t="s">
        <v>171</v>
      </c>
      <c r="G42" s="1" t="s">
        <v>171</v>
      </c>
      <c r="H42" s="1" t="s">
        <v>161</v>
      </c>
    </row>
    <row r="43" spans="1:8" x14ac:dyDescent="0.25">
      <c r="A43" s="1" t="s">
        <v>443</v>
      </c>
      <c r="B43" s="1" t="s">
        <v>840</v>
      </c>
      <c r="C43" s="28">
        <v>110</v>
      </c>
      <c r="D43" s="1" t="s">
        <v>383</v>
      </c>
      <c r="E43" s="1" t="s">
        <v>385</v>
      </c>
      <c r="F43" s="1" t="s">
        <v>171</v>
      </c>
      <c r="G43" s="1" t="s">
        <v>171</v>
      </c>
      <c r="H43" s="1" t="s">
        <v>161</v>
      </c>
    </row>
    <row r="44" spans="1:8" x14ac:dyDescent="0.25">
      <c r="A44" s="1" t="s">
        <v>450</v>
      </c>
      <c r="B44" s="1" t="s">
        <v>840</v>
      </c>
      <c r="C44" s="28">
        <v>25</v>
      </c>
      <c r="D44" s="1" t="s">
        <v>382</v>
      </c>
      <c r="E44" s="1" t="s">
        <v>385</v>
      </c>
      <c r="F44" s="1" t="s">
        <v>171</v>
      </c>
      <c r="G44" s="1" t="s">
        <v>171</v>
      </c>
      <c r="H44" s="1" t="s">
        <v>161</v>
      </c>
    </row>
    <row r="45" spans="1:8" x14ac:dyDescent="0.25">
      <c r="A45" s="1" t="s">
        <v>431</v>
      </c>
      <c r="B45" s="1" t="s">
        <v>840</v>
      </c>
      <c r="C45" s="28">
        <v>80</v>
      </c>
      <c r="D45" s="1" t="s">
        <v>382</v>
      </c>
      <c r="E45" s="1" t="s">
        <v>385</v>
      </c>
      <c r="F45" s="1" t="s">
        <v>171</v>
      </c>
      <c r="G45" s="1" t="s">
        <v>171</v>
      </c>
      <c r="H45" s="1" t="s">
        <v>161</v>
      </c>
    </row>
    <row r="46" spans="1:8" x14ac:dyDescent="0.25">
      <c r="A46" s="1" t="s">
        <v>429</v>
      </c>
      <c r="B46" s="1" t="s">
        <v>840</v>
      </c>
      <c r="C46" s="28">
        <v>400</v>
      </c>
      <c r="D46" s="1" t="s">
        <v>384</v>
      </c>
      <c r="E46" s="1" t="s">
        <v>385</v>
      </c>
      <c r="F46" s="1" t="s">
        <v>841</v>
      </c>
      <c r="G46" s="1" t="s">
        <v>171</v>
      </c>
      <c r="H46" s="1" t="s">
        <v>161</v>
      </c>
    </row>
    <row r="47" spans="1:8" x14ac:dyDescent="0.25">
      <c r="A47" s="1" t="s">
        <v>451</v>
      </c>
      <c r="B47" s="1" t="s">
        <v>840</v>
      </c>
      <c r="C47" s="28">
        <v>200</v>
      </c>
      <c r="D47" s="1" t="s">
        <v>384</v>
      </c>
      <c r="E47" s="1" t="s">
        <v>385</v>
      </c>
      <c r="F47" s="1" t="s">
        <v>171</v>
      </c>
      <c r="G47" s="1" t="s">
        <v>171</v>
      </c>
      <c r="H47" s="1" t="s">
        <v>161</v>
      </c>
    </row>
    <row r="48" spans="1:8" x14ac:dyDescent="0.25">
      <c r="A48" s="1" t="s">
        <v>436</v>
      </c>
      <c r="B48" s="1" t="s">
        <v>840</v>
      </c>
      <c r="C48" s="28">
        <v>220</v>
      </c>
      <c r="D48" s="1" t="s">
        <v>383</v>
      </c>
      <c r="E48" s="1" t="s">
        <v>385</v>
      </c>
      <c r="F48" s="1" t="s">
        <v>171</v>
      </c>
      <c r="G48" s="1" t="s">
        <v>171</v>
      </c>
      <c r="H48" s="1" t="s">
        <v>161</v>
      </c>
    </row>
    <row r="49" spans="1:8" x14ac:dyDescent="0.25">
      <c r="A49" s="1" t="s">
        <v>440</v>
      </c>
      <c r="B49" s="1" t="s">
        <v>840</v>
      </c>
      <c r="C49" s="28">
        <v>150</v>
      </c>
      <c r="D49" s="1" t="s">
        <v>383</v>
      </c>
      <c r="E49" s="1" t="s">
        <v>385</v>
      </c>
      <c r="F49" s="1" t="s">
        <v>171</v>
      </c>
      <c r="G49" s="1" t="s">
        <v>171</v>
      </c>
      <c r="H49" s="1" t="s">
        <v>161</v>
      </c>
    </row>
    <row r="50" spans="1:8" x14ac:dyDescent="0.25">
      <c r="A50" s="1" t="s">
        <v>432</v>
      </c>
      <c r="B50" s="1" t="s">
        <v>840</v>
      </c>
      <c r="C50" s="28">
        <v>80</v>
      </c>
      <c r="D50" s="1" t="s">
        <v>382</v>
      </c>
      <c r="E50" s="1" t="s">
        <v>385</v>
      </c>
      <c r="F50" s="1" t="s">
        <v>171</v>
      </c>
      <c r="G50" s="1" t="s">
        <v>171</v>
      </c>
      <c r="H50" s="1" t="s">
        <v>161</v>
      </c>
    </row>
    <row r="51" spans="1:8" x14ac:dyDescent="0.25">
      <c r="A51" s="1" t="s">
        <v>433</v>
      </c>
      <c r="B51" s="1" t="s">
        <v>840</v>
      </c>
      <c r="C51" s="28">
        <v>120</v>
      </c>
      <c r="D51" s="1" t="s">
        <v>382</v>
      </c>
      <c r="E51" s="1" t="s">
        <v>385</v>
      </c>
      <c r="F51" s="1" t="s">
        <v>842</v>
      </c>
      <c r="G51" s="1" t="s">
        <v>171</v>
      </c>
      <c r="H51" s="1" t="s">
        <v>161</v>
      </c>
    </row>
    <row r="52" spans="1:8" x14ac:dyDescent="0.25">
      <c r="A52" s="1" t="s">
        <v>435</v>
      </c>
      <c r="B52" s="1" t="s">
        <v>840</v>
      </c>
      <c r="C52" s="28">
        <v>120</v>
      </c>
      <c r="D52" s="1" t="s">
        <v>383</v>
      </c>
      <c r="E52" s="1" t="s">
        <v>385</v>
      </c>
      <c r="F52" s="1" t="s">
        <v>171</v>
      </c>
      <c r="G52" s="1" t="s">
        <v>171</v>
      </c>
      <c r="H52" s="1" t="s">
        <v>161</v>
      </c>
    </row>
    <row r="53" spans="1:8" x14ac:dyDescent="0.25">
      <c r="A53" s="1" t="s">
        <v>444</v>
      </c>
      <c r="B53" s="1" t="s">
        <v>840</v>
      </c>
      <c r="C53" s="28">
        <v>60</v>
      </c>
      <c r="D53" s="1" t="s">
        <v>382</v>
      </c>
      <c r="E53" s="1" t="s">
        <v>385</v>
      </c>
      <c r="F53" s="1" t="s">
        <v>171</v>
      </c>
      <c r="G53" s="1" t="s">
        <v>171</v>
      </c>
      <c r="H53" s="1" t="s">
        <v>161</v>
      </c>
    </row>
    <row r="54" spans="1:8" x14ac:dyDescent="0.25">
      <c r="A54" s="1" t="s">
        <v>452</v>
      </c>
      <c r="B54" s="1" t="s">
        <v>840</v>
      </c>
      <c r="C54" s="28">
        <v>85</v>
      </c>
      <c r="D54" s="1" t="s">
        <v>382</v>
      </c>
      <c r="E54" s="1" t="s">
        <v>385</v>
      </c>
      <c r="F54" s="1" t="s">
        <v>171</v>
      </c>
      <c r="G54" s="1" t="s">
        <v>171</v>
      </c>
      <c r="H54" s="1" t="s">
        <v>161</v>
      </c>
    </row>
    <row r="55" spans="1:8" x14ac:dyDescent="0.25">
      <c r="A55" s="1" t="s">
        <v>448</v>
      </c>
      <c r="B55" s="1" t="s">
        <v>840</v>
      </c>
      <c r="C55" s="28">
        <v>120</v>
      </c>
      <c r="D55" s="1" t="s">
        <v>383</v>
      </c>
      <c r="E55" s="1" t="s">
        <v>385</v>
      </c>
      <c r="F55" s="1" t="s">
        <v>171</v>
      </c>
      <c r="G55" s="1" t="s">
        <v>171</v>
      </c>
      <c r="H55" s="1" t="s">
        <v>161</v>
      </c>
    </row>
    <row r="56" spans="1:8" x14ac:dyDescent="0.25">
      <c r="A56" s="1" t="s">
        <v>454</v>
      </c>
      <c r="B56" s="1" t="s">
        <v>840</v>
      </c>
      <c r="C56" s="28">
        <v>500</v>
      </c>
      <c r="D56" s="1" t="s">
        <v>384</v>
      </c>
      <c r="E56" s="1" t="s">
        <v>385</v>
      </c>
      <c r="F56" s="1" t="s">
        <v>171</v>
      </c>
      <c r="G56" s="1" t="s">
        <v>171</v>
      </c>
      <c r="H56" s="1" t="s">
        <v>161</v>
      </c>
    </row>
    <row r="57" spans="1:8" x14ac:dyDescent="0.25">
      <c r="A57" s="1" t="s">
        <v>434</v>
      </c>
      <c r="B57" s="1" t="s">
        <v>840</v>
      </c>
      <c r="C57" s="28">
        <v>100</v>
      </c>
      <c r="D57" s="1" t="s">
        <v>382</v>
      </c>
      <c r="E57" s="1" t="s">
        <v>385</v>
      </c>
      <c r="F57" s="1" t="s">
        <v>171</v>
      </c>
      <c r="G57" s="1" t="s">
        <v>171</v>
      </c>
      <c r="H57" s="1" t="s">
        <v>161</v>
      </c>
    </row>
    <row r="58" spans="1:8" x14ac:dyDescent="0.25">
      <c r="A58" s="1" t="s">
        <v>438</v>
      </c>
      <c r="B58" s="1" t="s">
        <v>840</v>
      </c>
      <c r="C58" s="28">
        <v>275</v>
      </c>
      <c r="D58" s="1" t="s">
        <v>384</v>
      </c>
      <c r="E58" s="1" t="s">
        <v>385</v>
      </c>
      <c r="F58" s="1" t="s">
        <v>171</v>
      </c>
      <c r="G58" s="1" t="s">
        <v>171</v>
      </c>
      <c r="H58" s="1" t="s">
        <v>161</v>
      </c>
    </row>
    <row r="59" spans="1:8" x14ac:dyDescent="0.25">
      <c r="A59" s="1" t="s">
        <v>456</v>
      </c>
      <c r="B59" s="1" t="s">
        <v>455</v>
      </c>
      <c r="C59" s="28">
        <v>15</v>
      </c>
      <c r="D59" s="1" t="s">
        <v>365</v>
      </c>
      <c r="E59" s="1" t="s">
        <v>852</v>
      </c>
      <c r="F59" s="1" t="s">
        <v>389</v>
      </c>
      <c r="G59" s="1" t="s">
        <v>854</v>
      </c>
      <c r="H59" s="1" t="s">
        <v>212</v>
      </c>
    </row>
    <row r="60" spans="1:8" x14ac:dyDescent="0.25">
      <c r="A60" s="1" t="s">
        <v>457</v>
      </c>
      <c r="B60" s="1" t="s">
        <v>455</v>
      </c>
      <c r="C60" s="28">
        <v>5</v>
      </c>
      <c r="D60" s="1" t="s">
        <v>365</v>
      </c>
      <c r="E60" s="1" t="s">
        <v>852</v>
      </c>
      <c r="F60" s="1" t="s">
        <v>389</v>
      </c>
      <c r="G60" s="1" t="s">
        <v>400</v>
      </c>
      <c r="H60" s="1" t="s">
        <v>212</v>
      </c>
    </row>
    <row r="61" spans="1:8" x14ac:dyDescent="0.25">
      <c r="A61" s="1" t="s">
        <v>379</v>
      </c>
      <c r="B61" s="1" t="s">
        <v>455</v>
      </c>
      <c r="C61" s="28">
        <v>25</v>
      </c>
      <c r="D61" s="1" t="s">
        <v>365</v>
      </c>
      <c r="E61" s="1" t="s">
        <v>853</v>
      </c>
      <c r="F61" s="1" t="s">
        <v>389</v>
      </c>
      <c r="G61" s="1" t="s">
        <v>394</v>
      </c>
      <c r="H61" s="1" t="s">
        <v>212</v>
      </c>
    </row>
    <row r="62" spans="1:8" x14ac:dyDescent="0.25">
      <c r="A62" s="1" t="s">
        <v>459</v>
      </c>
      <c r="B62" s="1" t="s">
        <v>455</v>
      </c>
      <c r="C62" s="28">
        <v>100</v>
      </c>
      <c r="D62" s="1" t="s">
        <v>856</v>
      </c>
      <c r="E62" s="1" t="s">
        <v>858</v>
      </c>
      <c r="F62" s="1" t="s">
        <v>857</v>
      </c>
      <c r="G62" s="1" t="s">
        <v>859</v>
      </c>
      <c r="H62" s="1" t="s">
        <v>212</v>
      </c>
    </row>
    <row r="63" spans="1:8" x14ac:dyDescent="0.25">
      <c r="A63" s="1" t="s">
        <v>458</v>
      </c>
      <c r="B63" s="1" t="s">
        <v>455</v>
      </c>
      <c r="C63" s="28">
        <v>10</v>
      </c>
      <c r="D63" s="1" t="s">
        <v>365</v>
      </c>
      <c r="E63" s="1" t="s">
        <v>852</v>
      </c>
      <c r="F63" s="1" t="s">
        <v>389</v>
      </c>
      <c r="G63" s="1" t="s">
        <v>855</v>
      </c>
      <c r="H63" s="1" t="s">
        <v>212</v>
      </c>
    </row>
    <row r="64" spans="1:8" x14ac:dyDescent="0.25">
      <c r="C64" s="83"/>
    </row>
    <row r="65" spans="1:8" x14ac:dyDescent="0.25">
      <c r="C65" s="83"/>
    </row>
    <row r="66" spans="1:8" x14ac:dyDescent="0.25">
      <c r="C66" s="83"/>
    </row>
    <row r="67" spans="1:8" x14ac:dyDescent="0.25">
      <c r="C67" s="83"/>
    </row>
    <row r="68" spans="1:8" x14ac:dyDescent="0.25">
      <c r="A68" s="84"/>
      <c r="B68" s="84"/>
      <c r="C68" s="85"/>
      <c r="D68" s="84"/>
      <c r="E68" s="84"/>
      <c r="F68" s="84"/>
      <c r="G68" s="84"/>
      <c r="H68" s="84"/>
    </row>
  </sheetData>
  <sortState xmlns:xlrd2="http://schemas.microsoft.com/office/spreadsheetml/2017/richdata2" ref="B3:L69">
    <sortCondition ref="B3:B69"/>
    <sortCondition ref="C3:C69"/>
  </sortState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BA35"/>
  <sheetViews>
    <sheetView workbookViewId="0">
      <selection activeCell="E25" sqref="E25"/>
    </sheetView>
  </sheetViews>
  <sheetFormatPr defaultColWidth="8.85546875" defaultRowHeight="15" x14ac:dyDescent="0.25"/>
  <cols>
    <col min="1" max="1" width="15.42578125" style="34" bestFit="1" customWidth="1"/>
    <col min="2" max="2" width="18.140625" style="34" customWidth="1"/>
    <col min="3" max="3" width="20.5703125" style="35" bestFit="1" customWidth="1"/>
    <col min="4" max="4" width="9.7109375" style="35" customWidth="1"/>
    <col min="5" max="5" width="24.42578125" style="35" customWidth="1"/>
    <col min="6" max="6" width="10.7109375" style="34" customWidth="1"/>
    <col min="7" max="11" width="8.85546875" style="34" customWidth="1"/>
    <col min="12" max="16384" width="8.85546875" style="34"/>
  </cols>
  <sheetData>
    <row r="1" spans="1:7" x14ac:dyDescent="0.25">
      <c r="C1" s="19" t="s">
        <v>743</v>
      </c>
    </row>
    <row r="2" spans="1:7" x14ac:dyDescent="0.25">
      <c r="C2" s="19" t="s">
        <v>745</v>
      </c>
    </row>
    <row r="3" spans="1:7" x14ac:dyDescent="0.25">
      <c r="A3" s="42" t="s">
        <v>163</v>
      </c>
      <c r="B3" s="42" t="s">
        <v>621</v>
      </c>
      <c r="C3" s="43" t="s">
        <v>165</v>
      </c>
      <c r="D3" s="44" t="s">
        <v>49</v>
      </c>
      <c r="E3" s="45" t="s">
        <v>164</v>
      </c>
    </row>
    <row r="4" spans="1:7" x14ac:dyDescent="0.25">
      <c r="A4" s="47" t="s">
        <v>166</v>
      </c>
      <c r="B4" s="54" t="s">
        <v>162</v>
      </c>
      <c r="C4" s="48" t="s">
        <v>22</v>
      </c>
      <c r="D4" s="54" t="s">
        <v>759</v>
      </c>
      <c r="E4" s="68">
        <f ca="1">IF((INDIRECT(ADDRESS(ROW()-(ROW()-1),COLUMN(C1))))="N",200,200*1.4)</f>
        <v>200</v>
      </c>
    </row>
    <row r="5" spans="1:7" x14ac:dyDescent="0.25">
      <c r="A5" s="50" t="s">
        <v>167</v>
      </c>
      <c r="B5" s="55" t="s">
        <v>162</v>
      </c>
      <c r="C5" s="46" t="s">
        <v>26</v>
      </c>
      <c r="D5" s="55" t="s">
        <v>760</v>
      </c>
      <c r="E5" s="69">
        <f ca="1">IF((INDIRECT(ADDRESS(ROW()-(ROW()-1),COLUMN(C1))))="N",300,300*1.4)</f>
        <v>300</v>
      </c>
      <c r="F5" s="60" t="s">
        <v>747</v>
      </c>
      <c r="G5" s="60" t="s">
        <v>748</v>
      </c>
    </row>
    <row r="6" spans="1:7" x14ac:dyDescent="0.25">
      <c r="A6" s="50" t="s">
        <v>213</v>
      </c>
      <c r="B6" s="55" t="s">
        <v>162</v>
      </c>
      <c r="C6" s="46" t="s">
        <v>168</v>
      </c>
      <c r="D6" s="55" t="s">
        <v>761</v>
      </c>
      <c r="E6" s="69" t="str">
        <f ca="1">IF((INDIRECT(ADDRESS(ROW()-(ROW()-1),COLUMN(C1))))="N","2.25 * Vegetable Value","2.25 * Vegetable Value * 1.4")</f>
        <v>2.25 * Vegetable Value</v>
      </c>
      <c r="F6" s="63"/>
      <c r="G6" s="63" t="str">
        <f ca="1">IF(F6="","-",IF((INDIRECT(ADDRESS(ROW()-(ROW()-1),COLUMN(C1))))="N",F6*2.25,F6*2.25*1.4))</f>
        <v>-</v>
      </c>
    </row>
    <row r="7" spans="1:7" x14ac:dyDescent="0.25">
      <c r="A7" s="50" t="s">
        <v>209</v>
      </c>
      <c r="B7" s="55" t="s">
        <v>162</v>
      </c>
      <c r="C7" s="46" t="s">
        <v>191</v>
      </c>
      <c r="D7" s="55" t="s">
        <v>768</v>
      </c>
      <c r="E7" s="69" t="str">
        <f ca="1">IF((INDIRECT(ADDRESS(ROW()-(ROW()-1),COLUMN(C1))))="N","3.00 * Fruit Value","3.00 * Fruit Value * 1.4")</f>
        <v>3.00 * Fruit Value</v>
      </c>
      <c r="F7" s="64"/>
      <c r="G7" s="64" t="str">
        <f ca="1">IF(F7="","-",IF((INDIRECT(ADDRESS(ROW()-(ROW()-1),COLUMN(C2))))="N", F7*3, F7*3*1.4))</f>
        <v>-</v>
      </c>
    </row>
    <row r="8" spans="1:7" x14ac:dyDescent="0.25">
      <c r="A8" s="50" t="s">
        <v>762</v>
      </c>
      <c r="B8" s="55" t="s">
        <v>162</v>
      </c>
      <c r="C8" s="46" t="s">
        <v>763</v>
      </c>
      <c r="D8" s="59" t="s">
        <v>766</v>
      </c>
      <c r="E8" s="69">
        <v>200</v>
      </c>
      <c r="F8" s="67"/>
      <c r="G8" s="67"/>
    </row>
    <row r="9" spans="1:7" x14ac:dyDescent="0.25">
      <c r="A9" s="51" t="s">
        <v>764</v>
      </c>
      <c r="B9" s="56" t="s">
        <v>162</v>
      </c>
      <c r="C9" s="52" t="s">
        <v>765</v>
      </c>
      <c r="D9" s="58" t="s">
        <v>767</v>
      </c>
      <c r="E9" s="70">
        <v>150</v>
      </c>
      <c r="F9" s="67"/>
      <c r="G9" s="67"/>
    </row>
    <row r="10" spans="1:7" x14ac:dyDescent="0.25">
      <c r="A10" s="50" t="s">
        <v>178</v>
      </c>
      <c r="B10" s="55" t="s">
        <v>177</v>
      </c>
      <c r="C10" s="46" t="s">
        <v>179</v>
      </c>
      <c r="D10" s="55" t="s">
        <v>185</v>
      </c>
      <c r="E10" s="69">
        <f ca="1">IF((INDIRECT(ADDRESS(ROW()-(ROW()-1),COLUMN(C1))))="N",100,100*1.4)</f>
        <v>100</v>
      </c>
    </row>
    <row r="11" spans="1:7" x14ac:dyDescent="0.25">
      <c r="A11" s="50" t="s">
        <v>156</v>
      </c>
      <c r="B11" s="55" t="s">
        <v>177</v>
      </c>
      <c r="C11" s="33" t="s">
        <v>180</v>
      </c>
      <c r="D11" s="59" t="s">
        <v>185</v>
      </c>
      <c r="E11" s="69">
        <f ca="1">IF((INDIRECT(ADDRESS(ROW()-(ROW()-1),COLUMN(C1))))="N",200,200*1.4)</f>
        <v>200</v>
      </c>
    </row>
    <row r="12" spans="1:7" x14ac:dyDescent="0.25">
      <c r="A12" s="47" t="s">
        <v>182</v>
      </c>
      <c r="B12" s="54" t="s">
        <v>749</v>
      </c>
      <c r="C12" s="48" t="s">
        <v>183</v>
      </c>
      <c r="D12" s="54" t="s">
        <v>185</v>
      </c>
      <c r="E12" s="68">
        <f ca="1">IF((INDIRECT(ADDRESS(ROW()-(ROW()-1),COLUMN(C1))))="N",100,100*1.4)</f>
        <v>100</v>
      </c>
    </row>
    <row r="13" spans="1:7" x14ac:dyDescent="0.25">
      <c r="A13" s="50" t="s">
        <v>184</v>
      </c>
      <c r="B13" s="55" t="s">
        <v>749</v>
      </c>
      <c r="C13" s="33" t="s">
        <v>153</v>
      </c>
      <c r="D13" s="59" t="s">
        <v>185</v>
      </c>
      <c r="E13" s="69">
        <f ca="1">IF((INDIRECT(ADDRESS(ROW()-(ROW()-1),COLUMN(C1))))="N",200,200*1.4)</f>
        <v>200</v>
      </c>
    </row>
    <row r="14" spans="1:7" x14ac:dyDescent="0.25">
      <c r="A14" s="51" t="s">
        <v>769</v>
      </c>
      <c r="B14" s="56" t="s">
        <v>749</v>
      </c>
      <c r="C14" s="57" t="s">
        <v>770</v>
      </c>
      <c r="D14" s="58" t="s">
        <v>185</v>
      </c>
      <c r="E14" s="70">
        <v>275</v>
      </c>
    </row>
    <row r="15" spans="1:7" x14ac:dyDescent="0.25">
      <c r="A15" s="50" t="s">
        <v>154</v>
      </c>
      <c r="B15" s="55" t="s">
        <v>187</v>
      </c>
      <c r="C15" s="46" t="s">
        <v>159</v>
      </c>
      <c r="D15" s="55" t="s">
        <v>751</v>
      </c>
      <c r="E15" s="69">
        <f ca="1">IF((INDIRECT(ADDRESS(ROW()-(ROW()-1),COLUMN(C1))))="N",850,850*1.4)</f>
        <v>850</v>
      </c>
    </row>
    <row r="16" spans="1:7" x14ac:dyDescent="0.25">
      <c r="A16" s="50" t="s">
        <v>380</v>
      </c>
      <c r="B16" s="55" t="s">
        <v>187</v>
      </c>
      <c r="C16" s="33" t="s">
        <v>31</v>
      </c>
      <c r="D16" s="55" t="s">
        <v>750</v>
      </c>
      <c r="E16" s="69">
        <f ca="1">IF((INDIRECT(ADDRESS(ROW()-(ROW()-1),COLUMN(C1))))="N",100,100*1.4)</f>
        <v>100</v>
      </c>
    </row>
    <row r="17" spans="1:53" x14ac:dyDescent="0.25">
      <c r="A17" s="50" t="s">
        <v>380</v>
      </c>
      <c r="B17" s="55" t="s">
        <v>187</v>
      </c>
      <c r="C17" s="33" t="s">
        <v>752</v>
      </c>
      <c r="D17" s="55" t="s">
        <v>754</v>
      </c>
      <c r="E17" s="69">
        <f t="shared" ref="E17:E18" ca="1" si="0">IF((INDIRECT(ADDRESS(ROW()-(ROW()-1),COLUMN(C2))))="N",100,100*1.4)</f>
        <v>100</v>
      </c>
    </row>
    <row r="18" spans="1:53" x14ac:dyDescent="0.25">
      <c r="A18" s="51" t="s">
        <v>380</v>
      </c>
      <c r="B18" s="56" t="s">
        <v>187</v>
      </c>
      <c r="C18" s="57" t="s">
        <v>38</v>
      </c>
      <c r="D18" s="56" t="s">
        <v>753</v>
      </c>
      <c r="E18" s="70">
        <f t="shared" ca="1" si="0"/>
        <v>100</v>
      </c>
    </row>
    <row r="19" spans="1:53" x14ac:dyDescent="0.25">
      <c r="A19" s="55" t="s">
        <v>149</v>
      </c>
      <c r="B19" s="55" t="s">
        <v>771</v>
      </c>
      <c r="C19" s="33" t="s">
        <v>188</v>
      </c>
      <c r="D19" s="59" t="s">
        <v>618</v>
      </c>
      <c r="E19" s="71">
        <f ca="1">IF((INDIRECT(ADDRESS(ROW()-(ROW()-1),COLUMN(C1))))="N",200,200*1.4)</f>
        <v>200</v>
      </c>
    </row>
    <row r="20" spans="1:53" x14ac:dyDescent="0.25">
      <c r="A20" s="55" t="s">
        <v>150</v>
      </c>
      <c r="B20" s="55" t="s">
        <v>771</v>
      </c>
      <c r="C20" s="46" t="s">
        <v>189</v>
      </c>
      <c r="D20" s="55" t="s">
        <v>619</v>
      </c>
      <c r="E20" s="71">
        <f ca="1">IF((INDIRECT(ADDRESS(ROW()-(ROW()-1),COLUMN(C1))))="N",150,150*1.4)</f>
        <v>150</v>
      </c>
    </row>
    <row r="21" spans="1:53" x14ac:dyDescent="0.25">
      <c r="A21" s="55" t="s">
        <v>151</v>
      </c>
      <c r="B21" s="55" t="s">
        <v>771</v>
      </c>
      <c r="C21" s="33" t="s">
        <v>190</v>
      </c>
      <c r="D21" s="59" t="s">
        <v>620</v>
      </c>
      <c r="E21" s="71">
        <f ca="1">IF((INDIRECT(ADDRESS(ROW()-(ROW()-1),COLUMN(C1))))="N",100,100*1.4)</f>
        <v>100</v>
      </c>
    </row>
    <row r="22" spans="1:53" x14ac:dyDescent="0.25">
      <c r="A22" s="47" t="s">
        <v>173</v>
      </c>
      <c r="B22" s="54" t="s">
        <v>172</v>
      </c>
      <c r="C22" s="61" t="s">
        <v>171</v>
      </c>
      <c r="D22" s="54" t="s">
        <v>757</v>
      </c>
      <c r="E22" s="68">
        <f ca="1">IF((INDIRECT(ADDRESS(ROW()-(ROW()-1),COLUMN(C2))))="N",100,100*1.4)</f>
        <v>100</v>
      </c>
    </row>
    <row r="23" spans="1:53" s="36" customFormat="1" x14ac:dyDescent="0.25">
      <c r="A23" s="50" t="s">
        <v>214</v>
      </c>
      <c r="B23" s="55" t="s">
        <v>172</v>
      </c>
      <c r="C23" s="33" t="s">
        <v>10</v>
      </c>
      <c r="D23" s="55" t="s">
        <v>757</v>
      </c>
      <c r="E23" s="69">
        <f ca="1">IF((INDIRECT(ADDRESS(ROW()-(ROW()-1),COLUMN(C1))))="N",160,160*1.4)</f>
        <v>160</v>
      </c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</row>
    <row r="24" spans="1:53" x14ac:dyDescent="0.25">
      <c r="A24" s="50" t="s">
        <v>215</v>
      </c>
      <c r="B24" s="55" t="s">
        <v>172</v>
      </c>
      <c r="C24" s="33" t="s">
        <v>12</v>
      </c>
      <c r="D24" s="59" t="s">
        <v>757</v>
      </c>
      <c r="E24" s="69">
        <f ca="1">IF((INDIRECT(ADDRESS(ROW()-(ROW()-1),COLUMN(C1))))="N",200,200*1.4)</f>
        <v>200</v>
      </c>
    </row>
    <row r="25" spans="1:53" x14ac:dyDescent="0.25">
      <c r="A25" s="50" t="s">
        <v>174</v>
      </c>
      <c r="B25" s="55" t="s">
        <v>172</v>
      </c>
      <c r="C25" s="33" t="s">
        <v>758</v>
      </c>
      <c r="D25" s="59" t="s">
        <v>757</v>
      </c>
      <c r="E25" s="69">
        <f ca="1">IF((INDIRECT(ADDRESS(ROW()-(ROW()-1),COLUMN(C1))))="N",380,380*1.4)</f>
        <v>380</v>
      </c>
    </row>
    <row r="26" spans="1:53" x14ac:dyDescent="0.25">
      <c r="A26" s="50" t="s">
        <v>175</v>
      </c>
      <c r="B26" s="55" t="s">
        <v>172</v>
      </c>
      <c r="C26" s="33" t="s">
        <v>24</v>
      </c>
      <c r="D26" s="59" t="s">
        <v>757</v>
      </c>
      <c r="E26" s="69">
        <f ca="1">IF((INDIRECT(ADDRESS(ROW()-(ROW()-1),COLUMN(C2))))="N",380,380*1.4)</f>
        <v>380</v>
      </c>
    </row>
    <row r="27" spans="1:53" x14ac:dyDescent="0.25">
      <c r="A27" s="51" t="s">
        <v>176</v>
      </c>
      <c r="B27" s="56" t="s">
        <v>172</v>
      </c>
      <c r="C27" s="57" t="s">
        <v>42</v>
      </c>
      <c r="D27" s="58" t="s">
        <v>757</v>
      </c>
      <c r="E27" s="70">
        <f ca="1">IF((INDIRECT(ADDRESS(ROW()-(ROW()-1),COLUMN(C1))))="N",680,680*1.4)</f>
        <v>680</v>
      </c>
    </row>
    <row r="28" spans="1:53" x14ac:dyDescent="0.25">
      <c r="A28" s="54" t="s">
        <v>155</v>
      </c>
      <c r="B28" s="60" t="s">
        <v>186</v>
      </c>
      <c r="C28" s="61" t="s">
        <v>152</v>
      </c>
      <c r="D28" s="62" t="s">
        <v>756</v>
      </c>
      <c r="E28" s="49">
        <f ca="1">IF((INDIRECT(ADDRESS(ROW()-(ROW()-1),COLUMN(C1))))="N",375,375*1.4)</f>
        <v>375</v>
      </c>
      <c r="F28" s="54" t="s">
        <v>747</v>
      </c>
      <c r="G28" s="60" t="s">
        <v>748</v>
      </c>
    </row>
    <row r="29" spans="1:53" x14ac:dyDescent="0.25">
      <c r="A29" s="47" t="s">
        <v>216</v>
      </c>
      <c r="B29" s="54" t="s">
        <v>192</v>
      </c>
      <c r="C29" s="61" t="s">
        <v>168</v>
      </c>
      <c r="D29" s="62" t="s">
        <v>755</v>
      </c>
      <c r="E29" s="49" t="str">
        <f ca="1">IF((INDIRECT(ADDRESS(ROW()-(ROW()-1),COLUMN(C1))))="N","50g + 2 * Veg Val","50g + 2 * Veg Val * 1.4")</f>
        <v>50g + 2 * Veg Val</v>
      </c>
      <c r="F29" s="65"/>
      <c r="G29" s="63" t="str">
        <f ca="1">IF(F29="","-",IF((INDIRECT(ADDRESS(ROW()-(ROW()-1),COLUMN(C2))))="N", 50+F29*2, (50+F29*2)*1.4))</f>
        <v>-</v>
      </c>
    </row>
    <row r="30" spans="1:53" s="36" customFormat="1" x14ac:dyDescent="0.25">
      <c r="A30" s="51" t="s">
        <v>217</v>
      </c>
      <c r="B30" s="56" t="s">
        <v>192</v>
      </c>
      <c r="C30" s="57" t="s">
        <v>191</v>
      </c>
      <c r="D30" s="58" t="s">
        <v>755</v>
      </c>
      <c r="E30" s="53" t="str">
        <f ca="1">IF((INDIRECT(ADDRESS(ROW()-(ROW()-1),COLUMN(C2))))="N","50g + 2 * Fruit Val","50g + 2 * Fruit Val * 1.4")</f>
        <v>50g + 2 * Fruit Val</v>
      </c>
      <c r="F30" s="66"/>
      <c r="G30" s="64" t="str">
        <f ca="1">IF(F30="","-",IF((INDIRECT(ADDRESS(ROW()-(ROW()-1),COLUMN(C3))))="N", 50+F30*2, (50+F30*2)*1.4))</f>
        <v>-</v>
      </c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</row>
    <row r="35" spans="1:53" s="36" customFormat="1" x14ac:dyDescent="0.25">
      <c r="A35" s="34"/>
      <c r="B35" s="34"/>
      <c r="C35" s="35"/>
      <c r="D35" s="35"/>
      <c r="E35" s="35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</row>
  </sheetData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0"/>
  <dimension ref="A1:V232"/>
  <sheetViews>
    <sheetView workbookViewId="0">
      <selection activeCell="A97" sqref="A97:XFD232"/>
    </sheetView>
  </sheetViews>
  <sheetFormatPr defaultColWidth="8.85546875" defaultRowHeight="15" x14ac:dyDescent="0.25"/>
  <cols>
    <col min="1" max="1" width="20.85546875" style="30" customWidth="1"/>
    <col min="2" max="2" width="16.85546875" style="30" customWidth="1"/>
    <col min="3" max="3" width="20.5703125" style="30" customWidth="1"/>
    <col min="4" max="4" width="15.7109375" style="30" customWidth="1"/>
    <col min="5" max="5" width="14.28515625" style="30" bestFit="1" customWidth="1"/>
    <col min="6" max="6" width="13.85546875" style="30" customWidth="1"/>
    <col min="7" max="7" width="22.7109375" style="30" bestFit="1" customWidth="1"/>
    <col min="8" max="8" width="16.140625" style="78" bestFit="1" customWidth="1"/>
    <col min="9" max="9" width="13.7109375" style="78" bestFit="1" customWidth="1"/>
    <col min="10" max="10" width="15.7109375" style="78" bestFit="1" customWidth="1"/>
    <col min="11" max="11" width="14.28515625" style="78" bestFit="1" customWidth="1"/>
    <col min="12" max="12" width="12.85546875" style="78" bestFit="1" customWidth="1"/>
    <col min="13" max="13" width="19" style="78" bestFit="1" customWidth="1"/>
    <col min="14" max="22" width="8.85546875" style="78"/>
    <col min="23" max="16384" width="8.85546875" style="30"/>
  </cols>
  <sheetData>
    <row r="1" spans="1:7" x14ac:dyDescent="0.25">
      <c r="A1" t="s">
        <v>163</v>
      </c>
      <c r="B1" t="s">
        <v>381</v>
      </c>
      <c r="C1" t="s">
        <v>165</v>
      </c>
      <c r="D1" t="s">
        <v>835</v>
      </c>
      <c r="E1" t="s">
        <v>836</v>
      </c>
      <c r="F1" t="s">
        <v>837</v>
      </c>
      <c r="G1" t="s">
        <v>674</v>
      </c>
    </row>
    <row r="2" spans="1:7" x14ac:dyDescent="0.25">
      <c r="A2" s="31" t="s">
        <v>685</v>
      </c>
      <c r="B2" s="31" t="s">
        <v>684</v>
      </c>
      <c r="C2" s="31" t="s">
        <v>689</v>
      </c>
      <c r="D2" s="31" t="s">
        <v>353</v>
      </c>
      <c r="E2" s="31" t="s">
        <v>171</v>
      </c>
      <c r="F2" s="31"/>
      <c r="G2" s="31" t="s">
        <v>686</v>
      </c>
    </row>
    <row r="3" spans="1:7" x14ac:dyDescent="0.25">
      <c r="A3" s="31" t="s">
        <v>690</v>
      </c>
      <c r="B3" s="31" t="s">
        <v>684</v>
      </c>
      <c r="C3" s="31" t="s">
        <v>691</v>
      </c>
      <c r="D3" s="31" t="s">
        <v>353</v>
      </c>
      <c r="E3" s="31" t="s">
        <v>171</v>
      </c>
      <c r="F3" s="31"/>
      <c r="G3" s="31" t="s">
        <v>687</v>
      </c>
    </row>
    <row r="4" spans="1:7" x14ac:dyDescent="0.25">
      <c r="A4" s="31" t="s">
        <v>286</v>
      </c>
      <c r="B4" s="31" t="s">
        <v>684</v>
      </c>
      <c r="C4" s="31" t="s">
        <v>692</v>
      </c>
      <c r="D4" s="31" t="s">
        <v>693</v>
      </c>
      <c r="E4" s="31" t="s">
        <v>694</v>
      </c>
      <c r="F4" s="31"/>
      <c r="G4" s="31" t="s">
        <v>688</v>
      </c>
    </row>
    <row r="5" spans="1:7" x14ac:dyDescent="0.25">
      <c r="A5" s="31" t="s">
        <v>225</v>
      </c>
      <c r="B5" s="31" t="s">
        <v>238</v>
      </c>
      <c r="C5" s="31" t="s">
        <v>226</v>
      </c>
      <c r="D5" s="31" t="s">
        <v>171</v>
      </c>
      <c r="E5" s="31" t="s">
        <v>171</v>
      </c>
      <c r="F5" s="31" t="s">
        <v>171</v>
      </c>
      <c r="G5" s="31" t="s">
        <v>695</v>
      </c>
    </row>
    <row r="6" spans="1:7" x14ac:dyDescent="0.25">
      <c r="A6" s="31" t="s">
        <v>227</v>
      </c>
      <c r="B6" s="31" t="s">
        <v>238</v>
      </c>
      <c r="C6" s="31" t="s">
        <v>228</v>
      </c>
      <c r="D6" s="31" t="s">
        <v>171</v>
      </c>
      <c r="E6" s="31" t="s">
        <v>171</v>
      </c>
      <c r="F6" s="31" t="s">
        <v>171</v>
      </c>
      <c r="G6" s="31" t="s">
        <v>695</v>
      </c>
    </row>
    <row r="7" spans="1:7" x14ac:dyDescent="0.25">
      <c r="A7" s="31" t="s">
        <v>229</v>
      </c>
      <c r="B7" s="31" t="s">
        <v>238</v>
      </c>
      <c r="C7" s="31" t="s">
        <v>230</v>
      </c>
      <c r="D7" s="31" t="s">
        <v>171</v>
      </c>
      <c r="E7" s="31" t="s">
        <v>171</v>
      </c>
      <c r="F7" s="31" t="s">
        <v>171</v>
      </c>
      <c r="G7" s="31" t="s">
        <v>231</v>
      </c>
    </row>
    <row r="8" spans="1:7" x14ac:dyDescent="0.25">
      <c r="A8" s="31" t="s">
        <v>232</v>
      </c>
      <c r="B8" s="31" t="s">
        <v>238</v>
      </c>
      <c r="C8" s="31" t="s">
        <v>233</v>
      </c>
      <c r="D8" s="31" t="s">
        <v>171</v>
      </c>
      <c r="E8" s="31" t="s">
        <v>171</v>
      </c>
      <c r="F8" s="31" t="s">
        <v>171</v>
      </c>
      <c r="G8" s="31" t="s">
        <v>234</v>
      </c>
    </row>
    <row r="9" spans="1:7" x14ac:dyDescent="0.25">
      <c r="A9" s="31" t="s">
        <v>235</v>
      </c>
      <c r="B9" s="31" t="s">
        <v>238</v>
      </c>
      <c r="C9" s="31" t="s">
        <v>236</v>
      </c>
      <c r="D9" s="31" t="s">
        <v>171</v>
      </c>
      <c r="E9" s="31" t="s">
        <v>171</v>
      </c>
      <c r="F9" s="31" t="s">
        <v>171</v>
      </c>
      <c r="G9" s="31" t="s">
        <v>237</v>
      </c>
    </row>
    <row r="10" spans="1:7" x14ac:dyDescent="0.25">
      <c r="A10" s="31" t="s">
        <v>697</v>
      </c>
      <c r="B10" s="31" t="s">
        <v>696</v>
      </c>
      <c r="C10" s="31" t="s">
        <v>242</v>
      </c>
      <c r="D10" s="31" t="s">
        <v>699</v>
      </c>
      <c r="E10" s="31" t="s">
        <v>171</v>
      </c>
      <c r="F10" s="31" t="s">
        <v>171</v>
      </c>
      <c r="G10" s="31" t="s">
        <v>231</v>
      </c>
    </row>
    <row r="11" spans="1:7" x14ac:dyDescent="0.25">
      <c r="A11" s="31" t="s">
        <v>220</v>
      </c>
      <c r="B11" s="31" t="s">
        <v>696</v>
      </c>
      <c r="C11" s="31" t="s">
        <v>699</v>
      </c>
      <c r="D11" s="31" t="s">
        <v>700</v>
      </c>
      <c r="E11" s="31" t="s">
        <v>171</v>
      </c>
      <c r="F11" s="31" t="s">
        <v>171</v>
      </c>
      <c r="G11" s="31" t="s">
        <v>237</v>
      </c>
    </row>
    <row r="12" spans="1:7" x14ac:dyDescent="0.25">
      <c r="A12" s="31" t="s">
        <v>698</v>
      </c>
      <c r="B12" s="31" t="s">
        <v>696</v>
      </c>
      <c r="C12" s="31" t="s">
        <v>700</v>
      </c>
      <c r="D12" s="31" t="s">
        <v>701</v>
      </c>
      <c r="E12" s="31" t="s">
        <v>364</v>
      </c>
      <c r="F12" s="31" t="s">
        <v>171</v>
      </c>
      <c r="G12" s="31" t="s">
        <v>259</v>
      </c>
    </row>
    <row r="13" spans="1:7" x14ac:dyDescent="0.25">
      <c r="A13" s="31" t="s">
        <v>181</v>
      </c>
      <c r="B13" s="31" t="s">
        <v>702</v>
      </c>
      <c r="C13" s="31" t="s">
        <v>239</v>
      </c>
      <c r="D13" s="31" t="s">
        <v>240</v>
      </c>
      <c r="E13" s="31" t="s">
        <v>241</v>
      </c>
      <c r="F13" s="31" t="s">
        <v>242</v>
      </c>
      <c r="G13" s="31" t="s">
        <v>231</v>
      </c>
    </row>
    <row r="14" spans="1:7" x14ac:dyDescent="0.25">
      <c r="A14" s="31" t="s">
        <v>172</v>
      </c>
      <c r="B14" s="31" t="s">
        <v>702</v>
      </c>
      <c r="C14" s="31" t="s">
        <v>243</v>
      </c>
      <c r="D14" s="31" t="s">
        <v>244</v>
      </c>
      <c r="E14" s="31" t="s">
        <v>233</v>
      </c>
      <c r="F14" s="31" t="s">
        <v>171</v>
      </c>
      <c r="G14" s="31" t="s">
        <v>245</v>
      </c>
    </row>
    <row r="15" spans="1:7" x14ac:dyDescent="0.25">
      <c r="A15" s="31" t="s">
        <v>192</v>
      </c>
      <c r="B15" s="31" t="s">
        <v>702</v>
      </c>
      <c r="C15" s="31" t="s">
        <v>246</v>
      </c>
      <c r="D15" s="31" t="s">
        <v>247</v>
      </c>
      <c r="E15" s="31" t="s">
        <v>244</v>
      </c>
      <c r="F15" s="31" t="s">
        <v>171</v>
      </c>
      <c r="G15" s="31" t="s">
        <v>234</v>
      </c>
    </row>
    <row r="16" spans="1:7" x14ac:dyDescent="0.25">
      <c r="A16" s="31" t="s">
        <v>177</v>
      </c>
      <c r="B16" s="31" t="s">
        <v>702</v>
      </c>
      <c r="C16" s="31" t="s">
        <v>248</v>
      </c>
      <c r="D16" s="31" t="s">
        <v>249</v>
      </c>
      <c r="E16" s="31" t="s">
        <v>147</v>
      </c>
      <c r="F16" s="31" t="s">
        <v>242</v>
      </c>
      <c r="G16" s="31" t="s">
        <v>237</v>
      </c>
    </row>
    <row r="17" spans="1:7" x14ac:dyDescent="0.25">
      <c r="A17" s="31" t="s">
        <v>186</v>
      </c>
      <c r="B17" s="31" t="s">
        <v>702</v>
      </c>
      <c r="C17" s="31" t="s">
        <v>250</v>
      </c>
      <c r="D17" s="31" t="s">
        <v>251</v>
      </c>
      <c r="E17" s="31" t="s">
        <v>252</v>
      </c>
      <c r="F17" s="31" t="s">
        <v>171</v>
      </c>
      <c r="G17" s="31" t="s">
        <v>253</v>
      </c>
    </row>
    <row r="18" spans="1:7" x14ac:dyDescent="0.25">
      <c r="A18" s="31" t="s">
        <v>162</v>
      </c>
      <c r="B18" s="31" t="s">
        <v>702</v>
      </c>
      <c r="C18" s="31" t="s">
        <v>254</v>
      </c>
      <c r="D18" s="31" t="s">
        <v>242</v>
      </c>
      <c r="E18" s="31" t="s">
        <v>233</v>
      </c>
      <c r="F18" s="31" t="s">
        <v>171</v>
      </c>
      <c r="G18" s="31" t="s">
        <v>255</v>
      </c>
    </row>
    <row r="19" spans="1:7" x14ac:dyDescent="0.25">
      <c r="A19" s="31" t="s">
        <v>187</v>
      </c>
      <c r="B19" s="31" t="s">
        <v>702</v>
      </c>
      <c r="C19" s="31" t="s">
        <v>256</v>
      </c>
      <c r="D19" s="31" t="s">
        <v>257</v>
      </c>
      <c r="E19" s="31" t="s">
        <v>258</v>
      </c>
      <c r="F19" s="31" t="s">
        <v>171</v>
      </c>
      <c r="G19" s="31" t="s">
        <v>259</v>
      </c>
    </row>
    <row r="20" spans="1:7" x14ac:dyDescent="0.25">
      <c r="A20" s="31" t="s">
        <v>703</v>
      </c>
      <c r="B20" s="31" t="s">
        <v>702</v>
      </c>
      <c r="C20" s="31" t="s">
        <v>358</v>
      </c>
      <c r="D20" s="31" t="s">
        <v>260</v>
      </c>
      <c r="E20" s="31" t="s">
        <v>236</v>
      </c>
      <c r="F20" s="31" t="s">
        <v>171</v>
      </c>
      <c r="G20" s="31" t="s">
        <v>704</v>
      </c>
    </row>
    <row r="21" spans="1:7" x14ac:dyDescent="0.25">
      <c r="A21" s="31" t="s">
        <v>262</v>
      </c>
      <c r="B21" s="31" t="s">
        <v>261</v>
      </c>
      <c r="C21" s="31" t="s">
        <v>263</v>
      </c>
      <c r="D21" s="31" t="s">
        <v>171</v>
      </c>
      <c r="E21" s="31" t="s">
        <v>171</v>
      </c>
      <c r="F21" s="31" t="s">
        <v>171</v>
      </c>
      <c r="G21" s="31" t="s">
        <v>264</v>
      </c>
    </row>
    <row r="22" spans="1:7" x14ac:dyDescent="0.25">
      <c r="A22" s="31" t="s">
        <v>265</v>
      </c>
      <c r="B22" s="31" t="s">
        <v>261</v>
      </c>
      <c r="C22" s="31" t="s">
        <v>252</v>
      </c>
      <c r="D22" s="31" t="s">
        <v>266</v>
      </c>
      <c r="E22" s="31" t="s">
        <v>171</v>
      </c>
      <c r="F22" s="31" t="s">
        <v>171</v>
      </c>
      <c r="G22" s="31" t="s">
        <v>245</v>
      </c>
    </row>
    <row r="23" spans="1:7" x14ac:dyDescent="0.25">
      <c r="A23" s="31" t="s">
        <v>267</v>
      </c>
      <c r="B23" s="31" t="s">
        <v>261</v>
      </c>
      <c r="C23" s="31" t="s">
        <v>230</v>
      </c>
      <c r="D23" s="31" t="s">
        <v>171</v>
      </c>
      <c r="E23" s="31" t="s">
        <v>171</v>
      </c>
      <c r="F23" s="31" t="s">
        <v>171</v>
      </c>
      <c r="G23" s="31" t="s">
        <v>234</v>
      </c>
    </row>
    <row r="24" spans="1:7" x14ac:dyDescent="0.25">
      <c r="A24" s="31" t="s">
        <v>268</v>
      </c>
      <c r="B24" s="31" t="s">
        <v>261</v>
      </c>
      <c r="C24" s="31" t="s">
        <v>269</v>
      </c>
      <c r="D24" s="31" t="s">
        <v>270</v>
      </c>
      <c r="E24" s="31" t="s">
        <v>171</v>
      </c>
      <c r="F24" s="31" t="s">
        <v>171</v>
      </c>
      <c r="G24" s="31" t="s">
        <v>253</v>
      </c>
    </row>
    <row r="25" spans="1:7" x14ac:dyDescent="0.25">
      <c r="A25" s="31" t="s">
        <v>271</v>
      </c>
      <c r="B25" s="31" t="s">
        <v>261</v>
      </c>
      <c r="C25" s="31" t="s">
        <v>272</v>
      </c>
      <c r="D25" s="31" t="s">
        <v>705</v>
      </c>
      <c r="E25" s="31" t="s">
        <v>171</v>
      </c>
      <c r="F25" s="31" t="s">
        <v>171</v>
      </c>
      <c r="G25" s="31" t="s">
        <v>255</v>
      </c>
    </row>
    <row r="26" spans="1:7" x14ac:dyDescent="0.25">
      <c r="A26" s="31" t="s">
        <v>273</v>
      </c>
      <c r="B26" s="31" t="s">
        <v>261</v>
      </c>
      <c r="C26" s="31" t="s">
        <v>263</v>
      </c>
      <c r="D26" s="31" t="s">
        <v>706</v>
      </c>
      <c r="E26" s="31" t="s">
        <v>171</v>
      </c>
      <c r="F26" s="31" t="s">
        <v>171</v>
      </c>
      <c r="G26" s="31" t="s">
        <v>259</v>
      </c>
    </row>
    <row r="27" spans="1:7" x14ac:dyDescent="0.25">
      <c r="A27" s="31" t="s">
        <v>275</v>
      </c>
      <c r="B27" s="31" t="s">
        <v>274</v>
      </c>
      <c r="C27" s="31" t="s">
        <v>276</v>
      </c>
      <c r="D27" s="31" t="s">
        <v>277</v>
      </c>
      <c r="E27" s="31" t="s">
        <v>278</v>
      </c>
      <c r="F27" s="31" t="s">
        <v>279</v>
      </c>
      <c r="G27" s="31" t="s">
        <v>280</v>
      </c>
    </row>
    <row r="28" spans="1:7" x14ac:dyDescent="0.25">
      <c r="A28" s="31" t="s">
        <v>281</v>
      </c>
      <c r="B28" s="31" t="s">
        <v>274</v>
      </c>
      <c r="C28" s="31" t="s">
        <v>282</v>
      </c>
      <c r="D28" s="31" t="s">
        <v>283</v>
      </c>
      <c r="E28" s="31" t="s">
        <v>284</v>
      </c>
      <c r="F28" s="31" t="s">
        <v>171</v>
      </c>
      <c r="G28" s="31" t="s">
        <v>285</v>
      </c>
    </row>
    <row r="29" spans="1:7" x14ac:dyDescent="0.25">
      <c r="A29" s="31" t="s">
        <v>286</v>
      </c>
      <c r="B29" s="31" t="s">
        <v>274</v>
      </c>
      <c r="C29" s="31" t="s">
        <v>287</v>
      </c>
      <c r="D29" s="31" t="s">
        <v>288</v>
      </c>
      <c r="E29" s="31" t="s">
        <v>289</v>
      </c>
      <c r="F29" s="31" t="s">
        <v>290</v>
      </c>
      <c r="G29" s="31" t="s">
        <v>291</v>
      </c>
    </row>
    <row r="30" spans="1:7" x14ac:dyDescent="0.25">
      <c r="A30" s="31" t="s">
        <v>292</v>
      </c>
      <c r="B30" s="31" t="s">
        <v>274</v>
      </c>
      <c r="C30" s="31" t="s">
        <v>293</v>
      </c>
      <c r="D30" s="31" t="s">
        <v>294</v>
      </c>
      <c r="E30" s="31" t="s">
        <v>295</v>
      </c>
      <c r="F30" s="31" t="s">
        <v>296</v>
      </c>
      <c r="G30" s="31" t="s">
        <v>297</v>
      </c>
    </row>
    <row r="31" spans="1:7" x14ac:dyDescent="0.25">
      <c r="A31" s="31" t="s">
        <v>298</v>
      </c>
      <c r="B31" s="31" t="s">
        <v>274</v>
      </c>
      <c r="C31" s="31" t="s">
        <v>299</v>
      </c>
      <c r="D31" s="31" t="s">
        <v>171</v>
      </c>
      <c r="E31" s="31" t="s">
        <v>171</v>
      </c>
      <c r="F31" s="31" t="s">
        <v>171</v>
      </c>
      <c r="G31" s="31" t="s">
        <v>300</v>
      </c>
    </row>
    <row r="32" spans="1:7" x14ac:dyDescent="0.25">
      <c r="A32" s="31" t="s">
        <v>675</v>
      </c>
      <c r="B32" s="31" t="s">
        <v>707</v>
      </c>
      <c r="C32" s="31" t="s">
        <v>307</v>
      </c>
      <c r="D32" s="31" t="s">
        <v>171</v>
      </c>
      <c r="E32" s="31" t="s">
        <v>171</v>
      </c>
      <c r="F32" s="31" t="s">
        <v>171</v>
      </c>
      <c r="G32" s="31" t="s">
        <v>677</v>
      </c>
    </row>
    <row r="33" spans="1:7" x14ac:dyDescent="0.25">
      <c r="A33" s="31" t="s">
        <v>710</v>
      </c>
      <c r="B33" s="31" t="s">
        <v>707</v>
      </c>
      <c r="C33" s="31" t="s">
        <v>307</v>
      </c>
      <c r="D33" s="31" t="s">
        <v>718</v>
      </c>
      <c r="E33" s="31" t="s">
        <v>171</v>
      </c>
      <c r="F33" s="31" t="s">
        <v>171</v>
      </c>
      <c r="G33" s="31" t="s">
        <v>677</v>
      </c>
    </row>
    <row r="34" spans="1:7" x14ac:dyDescent="0.25">
      <c r="A34" s="31" t="s">
        <v>711</v>
      </c>
      <c r="B34" s="31" t="s">
        <v>707</v>
      </c>
      <c r="C34" s="31" t="s">
        <v>307</v>
      </c>
      <c r="D34" s="31" t="s">
        <v>171</v>
      </c>
      <c r="E34" s="31" t="s">
        <v>171</v>
      </c>
      <c r="F34" s="31" t="s">
        <v>171</v>
      </c>
      <c r="G34" s="31" t="s">
        <v>708</v>
      </c>
    </row>
    <row r="35" spans="1:7" x14ac:dyDescent="0.25">
      <c r="A35" s="31" t="s">
        <v>712</v>
      </c>
      <c r="B35" s="31" t="s">
        <v>707</v>
      </c>
      <c r="C35" s="31" t="s">
        <v>359</v>
      </c>
      <c r="D35" s="31" t="s">
        <v>171</v>
      </c>
      <c r="E35" s="31" t="s">
        <v>171</v>
      </c>
      <c r="F35" s="31" t="s">
        <v>171</v>
      </c>
      <c r="G35" s="31" t="s">
        <v>709</v>
      </c>
    </row>
    <row r="36" spans="1:7" x14ac:dyDescent="0.25">
      <c r="A36" s="31" t="s">
        <v>676</v>
      </c>
      <c r="B36" s="31" t="s">
        <v>707</v>
      </c>
      <c r="C36" s="31" t="s">
        <v>719</v>
      </c>
      <c r="D36" s="31" t="s">
        <v>171</v>
      </c>
      <c r="E36" s="31" t="s">
        <v>171</v>
      </c>
      <c r="F36" s="31" t="s">
        <v>171</v>
      </c>
      <c r="G36" s="31" t="s">
        <v>677</v>
      </c>
    </row>
    <row r="37" spans="1:7" x14ac:dyDescent="0.25">
      <c r="A37" s="31" t="s">
        <v>713</v>
      </c>
      <c r="B37" s="31" t="s">
        <v>707</v>
      </c>
      <c r="C37" s="31" t="s">
        <v>307</v>
      </c>
      <c r="D37" s="31" t="s">
        <v>171</v>
      </c>
      <c r="E37" s="31" t="s">
        <v>171</v>
      </c>
      <c r="F37" s="31" t="s">
        <v>171</v>
      </c>
      <c r="G37" s="31" t="s">
        <v>695</v>
      </c>
    </row>
    <row r="38" spans="1:7" x14ac:dyDescent="0.25">
      <c r="A38" s="31" t="s">
        <v>714</v>
      </c>
      <c r="B38" s="31" t="s">
        <v>707</v>
      </c>
      <c r="C38" s="31" t="s">
        <v>719</v>
      </c>
      <c r="D38" s="31" t="s">
        <v>171</v>
      </c>
      <c r="E38" s="31" t="s">
        <v>171</v>
      </c>
      <c r="F38" s="31" t="s">
        <v>171</v>
      </c>
      <c r="G38" s="31" t="s">
        <v>695</v>
      </c>
    </row>
    <row r="39" spans="1:7" x14ac:dyDescent="0.25">
      <c r="A39" s="31" t="s">
        <v>715</v>
      </c>
      <c r="B39" s="31" t="s">
        <v>707</v>
      </c>
      <c r="C39" s="31" t="s">
        <v>719</v>
      </c>
      <c r="D39" s="31" t="s">
        <v>171</v>
      </c>
      <c r="E39" s="31" t="s">
        <v>171</v>
      </c>
      <c r="F39" s="31" t="s">
        <v>171</v>
      </c>
      <c r="G39" s="31" t="s">
        <v>695</v>
      </c>
    </row>
    <row r="40" spans="1:7" x14ac:dyDescent="0.25">
      <c r="A40" s="31" t="s">
        <v>716</v>
      </c>
      <c r="B40" s="31" t="s">
        <v>707</v>
      </c>
      <c r="C40" s="31" t="s">
        <v>719</v>
      </c>
      <c r="D40" s="31" t="s">
        <v>171</v>
      </c>
      <c r="E40" s="31" t="s">
        <v>171</v>
      </c>
      <c r="F40" s="31" t="s">
        <v>171</v>
      </c>
      <c r="G40" s="31" t="s">
        <v>677</v>
      </c>
    </row>
    <row r="41" spans="1:7" x14ac:dyDescent="0.25">
      <c r="A41" s="31" t="s">
        <v>717</v>
      </c>
      <c r="B41" s="31" t="s">
        <v>707</v>
      </c>
      <c r="C41" s="31" t="s">
        <v>359</v>
      </c>
      <c r="D41" s="31" t="s">
        <v>171</v>
      </c>
      <c r="E41" s="31" t="s">
        <v>171</v>
      </c>
      <c r="F41" s="31" t="s">
        <v>171</v>
      </c>
      <c r="G41" s="31" t="s">
        <v>677</v>
      </c>
    </row>
    <row r="42" spans="1:7" x14ac:dyDescent="0.25">
      <c r="A42" s="31" t="s">
        <v>301</v>
      </c>
      <c r="B42" s="31" t="s">
        <v>337</v>
      </c>
      <c r="C42" s="31" t="s">
        <v>302</v>
      </c>
      <c r="D42" s="31" t="s">
        <v>171</v>
      </c>
      <c r="E42" s="31" t="s">
        <v>171</v>
      </c>
      <c r="F42" s="31" t="s">
        <v>171</v>
      </c>
      <c r="G42" s="31" t="s">
        <v>303</v>
      </c>
    </row>
    <row r="43" spans="1:7" x14ac:dyDescent="0.25">
      <c r="A43" s="31" t="s">
        <v>304</v>
      </c>
      <c r="B43" s="31" t="s">
        <v>337</v>
      </c>
      <c r="C43" s="31" t="s">
        <v>242</v>
      </c>
      <c r="D43" s="31" t="s">
        <v>305</v>
      </c>
      <c r="E43" s="31" t="s">
        <v>171</v>
      </c>
      <c r="F43" s="31" t="s">
        <v>171</v>
      </c>
      <c r="G43" s="31" t="s">
        <v>303</v>
      </c>
    </row>
    <row r="44" spans="1:7" x14ac:dyDescent="0.25">
      <c r="A44" s="31" t="s">
        <v>306</v>
      </c>
      <c r="B44" s="31" t="s">
        <v>337</v>
      </c>
      <c r="C44" s="31" t="s">
        <v>226</v>
      </c>
      <c r="D44" s="31" t="s">
        <v>308</v>
      </c>
      <c r="E44" s="31" t="s">
        <v>309</v>
      </c>
      <c r="F44" s="31" t="s">
        <v>171</v>
      </c>
      <c r="G44" s="31" t="s">
        <v>310</v>
      </c>
    </row>
    <row r="45" spans="1:7" x14ac:dyDescent="0.25">
      <c r="A45" s="31" t="s">
        <v>311</v>
      </c>
      <c r="B45" s="31" t="s">
        <v>337</v>
      </c>
      <c r="C45" s="31" t="s">
        <v>312</v>
      </c>
      <c r="D45" s="31" t="s">
        <v>171</v>
      </c>
      <c r="E45" s="31" t="s">
        <v>171</v>
      </c>
      <c r="F45" s="31" t="s">
        <v>171</v>
      </c>
      <c r="G45" s="31" t="s">
        <v>310</v>
      </c>
    </row>
    <row r="46" spans="1:7" x14ac:dyDescent="0.25">
      <c r="A46" s="31" t="s">
        <v>313</v>
      </c>
      <c r="B46" s="31" t="s">
        <v>337</v>
      </c>
      <c r="C46" s="31" t="s">
        <v>302</v>
      </c>
      <c r="D46" s="31" t="s">
        <v>314</v>
      </c>
      <c r="E46" s="31" t="s">
        <v>171</v>
      </c>
      <c r="F46" s="31" t="s">
        <v>171</v>
      </c>
      <c r="G46" s="31" t="s">
        <v>315</v>
      </c>
    </row>
    <row r="47" spans="1:7" x14ac:dyDescent="0.25">
      <c r="A47" s="31" t="s">
        <v>316</v>
      </c>
      <c r="B47" s="31" t="s">
        <v>337</v>
      </c>
      <c r="C47" s="31" t="s">
        <v>242</v>
      </c>
      <c r="D47" s="31" t="s">
        <v>233</v>
      </c>
      <c r="E47" s="31" t="s">
        <v>258</v>
      </c>
      <c r="F47" s="31" t="s">
        <v>171</v>
      </c>
      <c r="G47" s="31" t="s">
        <v>315</v>
      </c>
    </row>
    <row r="48" spans="1:7" x14ac:dyDescent="0.25">
      <c r="A48" s="31" t="s">
        <v>317</v>
      </c>
      <c r="B48" s="31" t="s">
        <v>337</v>
      </c>
      <c r="C48" s="31" t="s">
        <v>233</v>
      </c>
      <c r="D48" s="31" t="s">
        <v>171</v>
      </c>
      <c r="E48" s="31" t="s">
        <v>171</v>
      </c>
      <c r="F48" s="31" t="s">
        <v>171</v>
      </c>
      <c r="G48" s="31" t="s">
        <v>318</v>
      </c>
    </row>
    <row r="49" spans="1:9" x14ac:dyDescent="0.25">
      <c r="A49" s="31" t="s">
        <v>338</v>
      </c>
      <c r="B49" s="31" t="s">
        <v>337</v>
      </c>
      <c r="C49" s="31" t="s">
        <v>339</v>
      </c>
      <c r="D49" s="31" t="s">
        <v>171</v>
      </c>
      <c r="E49" s="31" t="s">
        <v>171</v>
      </c>
      <c r="F49" s="31" t="s">
        <v>171</v>
      </c>
      <c r="G49" s="31" t="s">
        <v>340</v>
      </c>
    </row>
    <row r="50" spans="1:9" x14ac:dyDescent="0.25">
      <c r="A50" s="31" t="s">
        <v>341</v>
      </c>
      <c r="B50" s="31" t="s">
        <v>337</v>
      </c>
      <c r="C50" s="31" t="s">
        <v>336</v>
      </c>
      <c r="D50" s="31" t="s">
        <v>342</v>
      </c>
      <c r="E50" s="31" t="s">
        <v>343</v>
      </c>
      <c r="F50" s="31" t="s">
        <v>171</v>
      </c>
      <c r="G50" s="31" t="s">
        <v>344</v>
      </c>
    </row>
    <row r="51" spans="1:9" x14ac:dyDescent="0.25">
      <c r="A51" s="31" t="s">
        <v>345</v>
      </c>
      <c r="B51" s="31" t="s">
        <v>337</v>
      </c>
      <c r="C51" s="31" t="s">
        <v>243</v>
      </c>
      <c r="D51" s="31" t="s">
        <v>346</v>
      </c>
      <c r="E51" s="31" t="s">
        <v>171</v>
      </c>
      <c r="F51" s="31" t="s">
        <v>171</v>
      </c>
      <c r="G51" s="31" t="s">
        <v>347</v>
      </c>
    </row>
    <row r="52" spans="1:9" x14ac:dyDescent="0.25">
      <c r="A52" s="31" t="s">
        <v>348</v>
      </c>
      <c r="B52" s="31" t="s">
        <v>337</v>
      </c>
      <c r="C52" s="31" t="s">
        <v>349</v>
      </c>
      <c r="D52" s="31" t="s">
        <v>260</v>
      </c>
      <c r="E52" s="31" t="s">
        <v>171</v>
      </c>
      <c r="F52" s="31" t="s">
        <v>171</v>
      </c>
      <c r="G52" s="31" t="s">
        <v>347</v>
      </c>
    </row>
    <row r="53" spans="1:9" x14ac:dyDescent="0.25">
      <c r="A53" s="31" t="s">
        <v>320</v>
      </c>
      <c r="B53" s="31" t="s">
        <v>319</v>
      </c>
      <c r="C53" s="31" t="s">
        <v>321</v>
      </c>
      <c r="D53" s="31" t="s">
        <v>322</v>
      </c>
      <c r="E53" s="31" t="s">
        <v>323</v>
      </c>
      <c r="F53" s="31" t="s">
        <v>171</v>
      </c>
      <c r="G53" s="31" t="s">
        <v>324</v>
      </c>
      <c r="I53" s="79"/>
    </row>
    <row r="54" spans="1:9" x14ac:dyDescent="0.25">
      <c r="A54" s="31" t="s">
        <v>325</v>
      </c>
      <c r="B54" s="31" t="s">
        <v>319</v>
      </c>
      <c r="C54" s="31" t="s">
        <v>326</v>
      </c>
      <c r="D54" s="31" t="s">
        <v>327</v>
      </c>
      <c r="E54" s="31" t="s">
        <v>328</v>
      </c>
      <c r="F54" s="31" t="s">
        <v>171</v>
      </c>
      <c r="G54" s="31" t="s">
        <v>721</v>
      </c>
      <c r="I54" s="80"/>
    </row>
    <row r="55" spans="1:9" x14ac:dyDescent="0.25">
      <c r="A55" s="31" t="s">
        <v>329</v>
      </c>
      <c r="B55" s="31" t="s">
        <v>319</v>
      </c>
      <c r="C55" s="31" t="s">
        <v>223</v>
      </c>
      <c r="D55" s="31" t="s">
        <v>330</v>
      </c>
      <c r="E55" s="31" t="s">
        <v>331</v>
      </c>
      <c r="F55" s="31" t="s">
        <v>171</v>
      </c>
      <c r="G55" s="31" t="s">
        <v>722</v>
      </c>
      <c r="I55" s="80"/>
    </row>
    <row r="56" spans="1:9" x14ac:dyDescent="0.25">
      <c r="A56" s="31" t="s">
        <v>723</v>
      </c>
      <c r="B56" s="31" t="s">
        <v>319</v>
      </c>
      <c r="C56" s="31" t="s">
        <v>366</v>
      </c>
      <c r="D56" s="31" t="s">
        <v>724</v>
      </c>
      <c r="E56" s="31" t="s">
        <v>725</v>
      </c>
      <c r="F56" s="31" t="s">
        <v>171</v>
      </c>
      <c r="G56" s="31" t="s">
        <v>722</v>
      </c>
      <c r="I56" s="80"/>
    </row>
    <row r="57" spans="1:9" x14ac:dyDescent="0.25">
      <c r="A57" s="31" t="s">
        <v>726</v>
      </c>
      <c r="B57" s="30" t="s">
        <v>729</v>
      </c>
      <c r="C57" s="30" t="s">
        <v>730</v>
      </c>
      <c r="D57" s="30" t="s">
        <v>733</v>
      </c>
      <c r="E57" s="30" t="s">
        <v>734</v>
      </c>
      <c r="F57" s="30" t="s">
        <v>171</v>
      </c>
      <c r="G57" s="30" t="s">
        <v>280</v>
      </c>
      <c r="I57" s="80"/>
    </row>
    <row r="58" spans="1:9" x14ac:dyDescent="0.25">
      <c r="A58" s="31" t="s">
        <v>727</v>
      </c>
      <c r="B58" s="30" t="s">
        <v>729</v>
      </c>
      <c r="C58" s="30" t="s">
        <v>731</v>
      </c>
      <c r="D58" s="30" t="s">
        <v>737</v>
      </c>
      <c r="E58" s="30" t="s">
        <v>739</v>
      </c>
      <c r="F58" s="30" t="s">
        <v>735</v>
      </c>
      <c r="G58" s="30" t="s">
        <v>720</v>
      </c>
      <c r="I58" s="80"/>
    </row>
    <row r="59" spans="1:9" x14ac:dyDescent="0.25">
      <c r="A59" s="31" t="s">
        <v>728</v>
      </c>
      <c r="B59" s="30" t="s">
        <v>729</v>
      </c>
      <c r="C59" s="30" t="s">
        <v>732</v>
      </c>
      <c r="D59" s="30" t="s">
        <v>738</v>
      </c>
      <c r="E59" s="30" t="s">
        <v>171</v>
      </c>
      <c r="F59" s="30" t="s">
        <v>171</v>
      </c>
      <c r="G59" s="30" t="s">
        <v>736</v>
      </c>
      <c r="I59" s="79"/>
    </row>
    <row r="60" spans="1:9" x14ac:dyDescent="0.25">
      <c r="A60" s="30" t="s">
        <v>333</v>
      </c>
      <c r="B60" s="30" t="s">
        <v>332</v>
      </c>
      <c r="C60" s="30" t="s">
        <v>307</v>
      </c>
      <c r="D60" s="30" t="s">
        <v>263</v>
      </c>
      <c r="E60" s="30" t="s">
        <v>171</v>
      </c>
      <c r="F60" s="30" t="s">
        <v>171</v>
      </c>
      <c r="G60" s="30" t="s">
        <v>695</v>
      </c>
      <c r="I60" s="80"/>
    </row>
    <row r="61" spans="1:9" x14ac:dyDescent="0.25">
      <c r="A61" s="30" t="s">
        <v>334</v>
      </c>
      <c r="B61" s="30" t="s">
        <v>332</v>
      </c>
      <c r="C61" s="30" t="s">
        <v>335</v>
      </c>
      <c r="D61" s="30" t="s">
        <v>226</v>
      </c>
      <c r="E61" s="30" t="s">
        <v>336</v>
      </c>
      <c r="F61" s="30" t="s">
        <v>171</v>
      </c>
      <c r="G61" s="30" t="s">
        <v>695</v>
      </c>
    </row>
    <row r="62" spans="1:9" x14ac:dyDescent="0.25">
      <c r="A62" s="30" t="s">
        <v>741</v>
      </c>
      <c r="B62" s="30" t="s">
        <v>332</v>
      </c>
      <c r="C62" s="30" t="s">
        <v>226</v>
      </c>
      <c r="D62" s="30" t="s">
        <v>353</v>
      </c>
      <c r="E62" s="30" t="s">
        <v>772</v>
      </c>
      <c r="F62" s="30" t="s">
        <v>171</v>
      </c>
      <c r="G62" s="30" t="s">
        <v>677</v>
      </c>
    </row>
    <row r="63" spans="1:9" x14ac:dyDescent="0.25">
      <c r="A63" s="30" t="s">
        <v>778</v>
      </c>
      <c r="B63" s="30" t="s">
        <v>332</v>
      </c>
      <c r="C63" s="30" t="s">
        <v>335</v>
      </c>
      <c r="D63" s="30" t="s">
        <v>353</v>
      </c>
      <c r="E63" s="30" t="s">
        <v>772</v>
      </c>
      <c r="F63" s="30" t="s">
        <v>171</v>
      </c>
      <c r="G63" s="30" t="s">
        <v>677</v>
      </c>
    </row>
    <row r="64" spans="1:9" x14ac:dyDescent="0.25">
      <c r="A64" s="30" t="s">
        <v>779</v>
      </c>
      <c r="B64" s="30" t="s">
        <v>332</v>
      </c>
      <c r="C64" s="32" t="s">
        <v>258</v>
      </c>
      <c r="D64" s="30" t="s">
        <v>353</v>
      </c>
      <c r="E64" s="30" t="s">
        <v>772</v>
      </c>
      <c r="F64" s="32" t="s">
        <v>171</v>
      </c>
      <c r="G64" s="30" t="s">
        <v>677</v>
      </c>
    </row>
    <row r="65" spans="1:9" x14ac:dyDescent="0.25">
      <c r="A65" s="30" t="s">
        <v>780</v>
      </c>
      <c r="B65" s="30" t="s">
        <v>332</v>
      </c>
      <c r="C65" s="32" t="s">
        <v>147</v>
      </c>
      <c r="D65" s="30" t="s">
        <v>353</v>
      </c>
      <c r="E65" s="32" t="s">
        <v>171</v>
      </c>
      <c r="F65" s="32" t="s">
        <v>171</v>
      </c>
      <c r="G65" s="30" t="s">
        <v>677</v>
      </c>
    </row>
    <row r="66" spans="1:9" x14ac:dyDescent="0.25">
      <c r="A66" s="30" t="s">
        <v>781</v>
      </c>
      <c r="B66" s="30" t="s">
        <v>332</v>
      </c>
      <c r="C66" s="32" t="s">
        <v>308</v>
      </c>
      <c r="D66" s="30" t="s">
        <v>353</v>
      </c>
      <c r="E66" s="32" t="s">
        <v>171</v>
      </c>
      <c r="F66" s="32" t="s">
        <v>171</v>
      </c>
      <c r="G66" s="30" t="s">
        <v>677</v>
      </c>
    </row>
    <row r="67" spans="1:9" x14ac:dyDescent="0.25">
      <c r="A67" s="30" t="s">
        <v>782</v>
      </c>
      <c r="B67" s="30" t="s">
        <v>332</v>
      </c>
      <c r="C67" s="32" t="s">
        <v>246</v>
      </c>
      <c r="D67" s="32" t="s">
        <v>773</v>
      </c>
      <c r="E67" s="32" t="s">
        <v>353</v>
      </c>
      <c r="F67" s="32" t="s">
        <v>171</v>
      </c>
      <c r="G67" s="30" t="s">
        <v>677</v>
      </c>
    </row>
    <row r="68" spans="1:9" x14ac:dyDescent="0.25">
      <c r="A68" s="30" t="s">
        <v>783</v>
      </c>
      <c r="B68" s="30" t="s">
        <v>332</v>
      </c>
      <c r="C68" s="32" t="s">
        <v>147</v>
      </c>
      <c r="D68" s="32" t="s">
        <v>773</v>
      </c>
      <c r="E68" s="32" t="s">
        <v>353</v>
      </c>
      <c r="F68" s="32" t="s">
        <v>171</v>
      </c>
      <c r="G68" s="30" t="s">
        <v>677</v>
      </c>
    </row>
    <row r="69" spans="1:9" x14ac:dyDescent="0.25">
      <c r="A69" s="30" t="s">
        <v>784</v>
      </c>
      <c r="B69" s="30" t="s">
        <v>332</v>
      </c>
      <c r="C69" s="32" t="s">
        <v>774</v>
      </c>
      <c r="D69" s="32" t="s">
        <v>775</v>
      </c>
      <c r="E69" s="32" t="s">
        <v>367</v>
      </c>
      <c r="F69" s="32" t="s">
        <v>171</v>
      </c>
      <c r="G69" s="30" t="s">
        <v>677</v>
      </c>
    </row>
    <row r="70" spans="1:9" x14ac:dyDescent="0.25">
      <c r="A70" s="30" t="s">
        <v>785</v>
      </c>
      <c r="B70" s="30" t="s">
        <v>332</v>
      </c>
      <c r="C70" s="30" t="s">
        <v>246</v>
      </c>
      <c r="D70" s="30" t="s">
        <v>364</v>
      </c>
      <c r="E70" s="30" t="s">
        <v>171</v>
      </c>
      <c r="F70" s="30" t="s">
        <v>171</v>
      </c>
      <c r="G70" s="30" t="s">
        <v>677</v>
      </c>
    </row>
    <row r="71" spans="1:9" ht="15.75" thickBot="1" x14ac:dyDescent="0.3">
      <c r="A71" s="30" t="s">
        <v>786</v>
      </c>
      <c r="B71" s="30" t="s">
        <v>332</v>
      </c>
      <c r="C71" s="30" t="s">
        <v>233</v>
      </c>
      <c r="D71" s="30" t="s">
        <v>364</v>
      </c>
      <c r="E71" s="30" t="s">
        <v>171</v>
      </c>
      <c r="F71" s="30" t="s">
        <v>171</v>
      </c>
      <c r="G71" s="30" t="s">
        <v>677</v>
      </c>
      <c r="I71" s="81"/>
    </row>
    <row r="72" spans="1:9" x14ac:dyDescent="0.25">
      <c r="A72" s="30" t="s">
        <v>787</v>
      </c>
      <c r="B72" s="30" t="s">
        <v>332</v>
      </c>
      <c r="C72" s="30" t="s">
        <v>776</v>
      </c>
      <c r="D72" s="30" t="s">
        <v>777</v>
      </c>
      <c r="E72" s="30" t="s">
        <v>171</v>
      </c>
      <c r="F72" s="30" t="s">
        <v>171</v>
      </c>
      <c r="G72" s="30" t="s">
        <v>740</v>
      </c>
    </row>
    <row r="73" spans="1:9" x14ac:dyDescent="0.25">
      <c r="A73" s="30" t="s">
        <v>219</v>
      </c>
      <c r="B73" s="30" t="s">
        <v>788</v>
      </c>
      <c r="C73" s="30" t="s">
        <v>358</v>
      </c>
      <c r="D73" s="30" t="s">
        <v>700</v>
      </c>
      <c r="E73" s="30" t="s">
        <v>171</v>
      </c>
      <c r="F73" s="30" t="s">
        <v>171</v>
      </c>
      <c r="G73" s="30" t="s">
        <v>285</v>
      </c>
    </row>
    <row r="74" spans="1:9" x14ac:dyDescent="0.25">
      <c r="A74" s="30" t="s">
        <v>789</v>
      </c>
      <c r="B74" s="30" t="s">
        <v>788</v>
      </c>
      <c r="C74" s="30" t="s">
        <v>148</v>
      </c>
      <c r="D74" s="30" t="s">
        <v>797</v>
      </c>
      <c r="E74" s="30" t="s">
        <v>795</v>
      </c>
      <c r="F74" s="30" t="s">
        <v>364</v>
      </c>
      <c r="G74" s="30" t="s">
        <v>802</v>
      </c>
    </row>
    <row r="75" spans="1:9" x14ac:dyDescent="0.25">
      <c r="A75" s="30" t="s">
        <v>790</v>
      </c>
      <c r="B75" s="30" t="s">
        <v>788</v>
      </c>
      <c r="C75" s="30" t="s">
        <v>794</v>
      </c>
      <c r="D75" s="30" t="s">
        <v>361</v>
      </c>
      <c r="E75" s="30" t="s">
        <v>171</v>
      </c>
      <c r="F75" s="30" t="s">
        <v>171</v>
      </c>
      <c r="G75" s="30" t="s">
        <v>798</v>
      </c>
    </row>
    <row r="76" spans="1:9" x14ac:dyDescent="0.25">
      <c r="A76" s="30" t="s">
        <v>224</v>
      </c>
      <c r="B76" s="30" t="s">
        <v>788</v>
      </c>
      <c r="C76" s="30" t="s">
        <v>233</v>
      </c>
      <c r="D76" s="30" t="s">
        <v>359</v>
      </c>
      <c r="E76" s="30" t="s">
        <v>360</v>
      </c>
      <c r="F76" s="30" t="s">
        <v>171</v>
      </c>
      <c r="G76" s="30" t="s">
        <v>291</v>
      </c>
    </row>
    <row r="77" spans="1:9" x14ac:dyDescent="0.25">
      <c r="A77" s="30" t="s">
        <v>222</v>
      </c>
      <c r="B77" s="30" t="s">
        <v>788</v>
      </c>
      <c r="C77" s="30" t="s">
        <v>349</v>
      </c>
      <c r="D77" s="30" t="s">
        <v>361</v>
      </c>
      <c r="E77" s="30" t="s">
        <v>233</v>
      </c>
      <c r="F77" s="30" t="s">
        <v>171</v>
      </c>
      <c r="G77" s="30" t="s">
        <v>362</v>
      </c>
    </row>
    <row r="78" spans="1:9" x14ac:dyDescent="0.25">
      <c r="A78" s="30" t="s">
        <v>221</v>
      </c>
      <c r="B78" s="30" t="s">
        <v>788</v>
      </c>
      <c r="C78" s="30" t="s">
        <v>349</v>
      </c>
      <c r="D78" s="30" t="s">
        <v>355</v>
      </c>
      <c r="E78" s="30" t="s">
        <v>258</v>
      </c>
      <c r="F78" s="30" t="s">
        <v>171</v>
      </c>
      <c r="G78" s="30" t="s">
        <v>259</v>
      </c>
    </row>
    <row r="79" spans="1:9" x14ac:dyDescent="0.25">
      <c r="A79" s="30" t="s">
        <v>791</v>
      </c>
      <c r="B79" s="30" t="s">
        <v>788</v>
      </c>
      <c r="C79" s="30" t="s">
        <v>795</v>
      </c>
      <c r="D79" s="30" t="s">
        <v>799</v>
      </c>
      <c r="E79" s="30" t="s">
        <v>171</v>
      </c>
      <c r="F79" s="30" t="s">
        <v>171</v>
      </c>
      <c r="G79" s="30" t="s">
        <v>800</v>
      </c>
    </row>
    <row r="80" spans="1:9" x14ac:dyDescent="0.25">
      <c r="A80" s="30" t="s">
        <v>792</v>
      </c>
      <c r="B80" s="30" t="s">
        <v>788</v>
      </c>
      <c r="C80" s="30" t="s">
        <v>327</v>
      </c>
      <c r="D80" s="30" t="s">
        <v>363</v>
      </c>
      <c r="E80" s="30" t="s">
        <v>364</v>
      </c>
      <c r="F80" s="30" t="s">
        <v>171</v>
      </c>
      <c r="G80" s="30" t="s">
        <v>736</v>
      </c>
    </row>
    <row r="81" spans="1:7" x14ac:dyDescent="0.25">
      <c r="A81" s="30" t="s">
        <v>771</v>
      </c>
      <c r="B81" s="30" t="s">
        <v>788</v>
      </c>
      <c r="C81" s="30" t="s">
        <v>243</v>
      </c>
      <c r="D81" s="30" t="s">
        <v>260</v>
      </c>
      <c r="E81" s="30" t="s">
        <v>171</v>
      </c>
      <c r="F81" s="30" t="s">
        <v>171</v>
      </c>
      <c r="G81" s="30" t="s">
        <v>801</v>
      </c>
    </row>
    <row r="82" spans="1:7" x14ac:dyDescent="0.25">
      <c r="A82" s="73" t="s">
        <v>793</v>
      </c>
      <c r="B82" s="30" t="s">
        <v>788</v>
      </c>
      <c r="C82" s="30" t="s">
        <v>796</v>
      </c>
      <c r="D82" s="30" t="s">
        <v>258</v>
      </c>
      <c r="E82" s="30" t="s">
        <v>258</v>
      </c>
      <c r="F82" s="30" t="s">
        <v>803</v>
      </c>
      <c r="G82" s="30" t="s">
        <v>315</v>
      </c>
    </row>
    <row r="83" spans="1:7" x14ac:dyDescent="0.25">
      <c r="A83" s="77" t="s">
        <v>805</v>
      </c>
      <c r="B83" s="74" t="s">
        <v>804</v>
      </c>
      <c r="C83" s="74" t="s">
        <v>239</v>
      </c>
      <c r="D83" s="74" t="s">
        <v>811</v>
      </c>
      <c r="E83" s="74" t="s">
        <v>812</v>
      </c>
      <c r="F83" s="74" t="s">
        <v>813</v>
      </c>
      <c r="G83" s="75" t="s">
        <v>809</v>
      </c>
    </row>
    <row r="84" spans="1:7" x14ac:dyDescent="0.25">
      <c r="A84" s="30" t="s">
        <v>806</v>
      </c>
      <c r="B84" s="30" t="s">
        <v>804</v>
      </c>
      <c r="C84" s="30" t="s">
        <v>361</v>
      </c>
      <c r="D84" s="30" t="s">
        <v>816</v>
      </c>
      <c r="E84" s="76" t="s">
        <v>815</v>
      </c>
      <c r="F84" s="76" t="s">
        <v>814</v>
      </c>
      <c r="G84" s="30" t="s">
        <v>709</v>
      </c>
    </row>
    <row r="85" spans="1:7" x14ac:dyDescent="0.25">
      <c r="A85" s="30" t="s">
        <v>807</v>
      </c>
      <c r="B85" s="30" t="s">
        <v>804</v>
      </c>
      <c r="C85" s="30" t="s">
        <v>226</v>
      </c>
      <c r="D85" s="30" t="s">
        <v>817</v>
      </c>
      <c r="E85" s="30" t="s">
        <v>354</v>
      </c>
      <c r="F85" s="30" t="s">
        <v>171</v>
      </c>
      <c r="G85" s="30" t="s">
        <v>810</v>
      </c>
    </row>
    <row r="86" spans="1:7" x14ac:dyDescent="0.25">
      <c r="A86" s="30" t="s">
        <v>808</v>
      </c>
      <c r="B86" s="30" t="s">
        <v>804</v>
      </c>
      <c r="C86" s="30" t="s">
        <v>335</v>
      </c>
      <c r="D86" s="30" t="s">
        <v>817</v>
      </c>
      <c r="E86" s="30" t="s">
        <v>354</v>
      </c>
      <c r="F86" s="30" t="s">
        <v>171</v>
      </c>
      <c r="G86" s="30" t="s">
        <v>810</v>
      </c>
    </row>
    <row r="87" spans="1:7" x14ac:dyDescent="0.25">
      <c r="A87" s="30" t="s">
        <v>351</v>
      </c>
      <c r="B87" s="72" t="s">
        <v>350</v>
      </c>
      <c r="C87" s="30" t="s">
        <v>246</v>
      </c>
      <c r="D87" s="30" t="s">
        <v>171</v>
      </c>
      <c r="E87" s="30" t="s">
        <v>171</v>
      </c>
      <c r="F87" s="30" t="s">
        <v>171</v>
      </c>
      <c r="G87" s="30" t="s">
        <v>695</v>
      </c>
    </row>
    <row r="88" spans="1:7" x14ac:dyDescent="0.25">
      <c r="A88" s="30" t="s">
        <v>352</v>
      </c>
      <c r="B88" s="72" t="s">
        <v>350</v>
      </c>
      <c r="C88" s="30" t="s">
        <v>246</v>
      </c>
      <c r="D88" s="30" t="s">
        <v>353</v>
      </c>
      <c r="E88" s="30" t="s">
        <v>354</v>
      </c>
      <c r="F88" s="30" t="s">
        <v>171</v>
      </c>
      <c r="G88" s="30" t="s">
        <v>264</v>
      </c>
    </row>
    <row r="89" spans="1:7" x14ac:dyDescent="0.25">
      <c r="A89" s="30" t="s">
        <v>356</v>
      </c>
      <c r="B89" s="72" t="s">
        <v>350</v>
      </c>
      <c r="C89" s="30" t="s">
        <v>148</v>
      </c>
      <c r="D89" s="30" t="s">
        <v>171</v>
      </c>
      <c r="E89" s="30" t="s">
        <v>171</v>
      </c>
      <c r="F89" s="30" t="s">
        <v>171</v>
      </c>
      <c r="G89" s="30" t="s">
        <v>357</v>
      </c>
    </row>
    <row r="90" spans="1:7" x14ac:dyDescent="0.25">
      <c r="A90" s="30" t="s">
        <v>828</v>
      </c>
      <c r="B90" s="72" t="s">
        <v>350</v>
      </c>
      <c r="C90" s="30" t="s">
        <v>233</v>
      </c>
      <c r="D90" s="30" t="s">
        <v>818</v>
      </c>
      <c r="E90" s="30" t="s">
        <v>171</v>
      </c>
      <c r="F90" s="30" t="s">
        <v>171</v>
      </c>
      <c r="G90" s="30" t="s">
        <v>800</v>
      </c>
    </row>
    <row r="91" spans="1:7" x14ac:dyDescent="0.25">
      <c r="A91" s="30" t="s">
        <v>829</v>
      </c>
      <c r="B91" s="72" t="s">
        <v>350</v>
      </c>
      <c r="C91" s="30" t="s">
        <v>819</v>
      </c>
      <c r="D91" s="30" t="s">
        <v>171</v>
      </c>
      <c r="E91" s="30" t="s">
        <v>171</v>
      </c>
      <c r="F91" s="30" t="s">
        <v>171</v>
      </c>
      <c r="G91" s="30" t="s">
        <v>824</v>
      </c>
    </row>
    <row r="92" spans="1:7" x14ac:dyDescent="0.25">
      <c r="A92" s="30" t="s">
        <v>830</v>
      </c>
      <c r="B92" s="72" t="s">
        <v>350</v>
      </c>
      <c r="C92" s="30" t="s">
        <v>302</v>
      </c>
      <c r="D92" s="30" t="s">
        <v>171</v>
      </c>
      <c r="E92" s="30" t="s">
        <v>171</v>
      </c>
      <c r="F92" s="30" t="s">
        <v>171</v>
      </c>
      <c r="G92" s="30" t="s">
        <v>825</v>
      </c>
    </row>
    <row r="93" spans="1:7" x14ac:dyDescent="0.25">
      <c r="A93" s="30" t="s">
        <v>831</v>
      </c>
      <c r="B93" s="72" t="s">
        <v>350</v>
      </c>
      <c r="C93" s="30" t="s">
        <v>236</v>
      </c>
      <c r="D93" s="30" t="s">
        <v>820</v>
      </c>
      <c r="E93" s="30" t="s">
        <v>336</v>
      </c>
      <c r="F93" s="30" t="s">
        <v>171</v>
      </c>
      <c r="G93" s="30" t="s">
        <v>291</v>
      </c>
    </row>
    <row r="94" spans="1:7" x14ac:dyDescent="0.25">
      <c r="A94" s="30" t="s">
        <v>832</v>
      </c>
      <c r="B94" s="72" t="s">
        <v>350</v>
      </c>
      <c r="C94" s="30" t="s">
        <v>236</v>
      </c>
      <c r="D94" s="30" t="s">
        <v>233</v>
      </c>
      <c r="E94" s="30" t="s">
        <v>361</v>
      </c>
      <c r="F94" s="30" t="s">
        <v>171</v>
      </c>
      <c r="G94" s="30" t="s">
        <v>297</v>
      </c>
    </row>
    <row r="95" spans="1:7" x14ac:dyDescent="0.25">
      <c r="A95" s="30" t="s">
        <v>833</v>
      </c>
      <c r="B95" s="72" t="s">
        <v>350</v>
      </c>
      <c r="C95" s="30" t="s">
        <v>236</v>
      </c>
      <c r="D95" s="30" t="s">
        <v>823</v>
      </c>
      <c r="E95" s="30" t="s">
        <v>354</v>
      </c>
      <c r="F95" s="30" t="s">
        <v>171</v>
      </c>
      <c r="G95" s="30" t="s">
        <v>826</v>
      </c>
    </row>
    <row r="96" spans="1:7" x14ac:dyDescent="0.25">
      <c r="A96" s="30" t="s">
        <v>834</v>
      </c>
      <c r="B96" s="72" t="s">
        <v>350</v>
      </c>
      <c r="C96" s="30" t="s">
        <v>236</v>
      </c>
      <c r="D96" s="30" t="s">
        <v>822</v>
      </c>
      <c r="E96" s="30" t="s">
        <v>821</v>
      </c>
      <c r="F96" s="30" t="s">
        <v>171</v>
      </c>
      <c r="G96" s="30" t="s">
        <v>827</v>
      </c>
    </row>
    <row r="97" s="78" customFormat="1" x14ac:dyDescent="0.25"/>
    <row r="98" s="78" customFormat="1" x14ac:dyDescent="0.25"/>
    <row r="99" s="78" customFormat="1" x14ac:dyDescent="0.25"/>
    <row r="100" s="78" customFormat="1" x14ac:dyDescent="0.25"/>
    <row r="101" s="78" customFormat="1" x14ac:dyDescent="0.25"/>
    <row r="102" s="78" customFormat="1" x14ac:dyDescent="0.25"/>
    <row r="103" s="78" customFormat="1" x14ac:dyDescent="0.25"/>
    <row r="104" s="78" customFormat="1" x14ac:dyDescent="0.25"/>
    <row r="105" s="78" customFormat="1" x14ac:dyDescent="0.25"/>
    <row r="106" s="78" customFormat="1" x14ac:dyDescent="0.25"/>
    <row r="107" s="78" customFormat="1" x14ac:dyDescent="0.25"/>
    <row r="108" s="78" customFormat="1" x14ac:dyDescent="0.25"/>
    <row r="109" s="78" customFormat="1" x14ac:dyDescent="0.25"/>
    <row r="110" s="78" customFormat="1" x14ac:dyDescent="0.25"/>
    <row r="111" s="78" customFormat="1" x14ac:dyDescent="0.25"/>
    <row r="112" s="78" customFormat="1" x14ac:dyDescent="0.25"/>
    <row r="113" s="78" customFormat="1" x14ac:dyDescent="0.25"/>
    <row r="114" s="78" customFormat="1" x14ac:dyDescent="0.25"/>
    <row r="115" s="78" customFormat="1" x14ac:dyDescent="0.25"/>
    <row r="116" s="78" customFormat="1" x14ac:dyDescent="0.25"/>
    <row r="117" s="78" customFormat="1" x14ac:dyDescent="0.25"/>
    <row r="118" s="78" customFormat="1" x14ac:dyDescent="0.25"/>
    <row r="119" s="78" customFormat="1" x14ac:dyDescent="0.25"/>
    <row r="120" s="78" customFormat="1" x14ac:dyDescent="0.25"/>
    <row r="121" s="78" customFormat="1" x14ac:dyDescent="0.25"/>
    <row r="122" s="78" customFormat="1" x14ac:dyDescent="0.25"/>
    <row r="123" s="78" customFormat="1" x14ac:dyDescent="0.25"/>
    <row r="124" s="78" customFormat="1" x14ac:dyDescent="0.25"/>
    <row r="125" s="78" customFormat="1" x14ac:dyDescent="0.25"/>
    <row r="126" s="78" customFormat="1" x14ac:dyDescent="0.25"/>
    <row r="127" s="78" customFormat="1" x14ac:dyDescent="0.25"/>
    <row r="128" s="78" customFormat="1" x14ac:dyDescent="0.25"/>
    <row r="129" s="78" customFormat="1" x14ac:dyDescent="0.25"/>
    <row r="130" s="78" customFormat="1" x14ac:dyDescent="0.25"/>
    <row r="131" s="78" customFormat="1" x14ac:dyDescent="0.25"/>
    <row r="132" s="78" customFormat="1" x14ac:dyDescent="0.25"/>
    <row r="133" s="78" customFormat="1" x14ac:dyDescent="0.25"/>
    <row r="134" s="78" customFormat="1" x14ac:dyDescent="0.25"/>
    <row r="135" s="78" customFormat="1" x14ac:dyDescent="0.25"/>
    <row r="136" s="78" customFormat="1" x14ac:dyDescent="0.25"/>
    <row r="137" s="78" customFormat="1" x14ac:dyDescent="0.25"/>
    <row r="138" s="78" customFormat="1" x14ac:dyDescent="0.25"/>
    <row r="139" s="78" customFormat="1" x14ac:dyDescent="0.25"/>
    <row r="140" s="78" customFormat="1" x14ac:dyDescent="0.25"/>
    <row r="141" s="78" customFormat="1" x14ac:dyDescent="0.25"/>
    <row r="142" s="78" customFormat="1" x14ac:dyDescent="0.25"/>
    <row r="143" s="78" customFormat="1" x14ac:dyDescent="0.25"/>
    <row r="144" s="78" customFormat="1" x14ac:dyDescent="0.25"/>
    <row r="145" s="78" customFormat="1" x14ac:dyDescent="0.25"/>
    <row r="146" s="78" customFormat="1" x14ac:dyDescent="0.25"/>
    <row r="147" s="78" customFormat="1" x14ac:dyDescent="0.25"/>
    <row r="148" s="78" customFormat="1" x14ac:dyDescent="0.25"/>
    <row r="149" s="78" customFormat="1" x14ac:dyDescent="0.25"/>
    <row r="150" s="78" customFormat="1" x14ac:dyDescent="0.25"/>
    <row r="151" s="78" customFormat="1" x14ac:dyDescent="0.25"/>
    <row r="152" s="78" customFormat="1" x14ac:dyDescent="0.25"/>
    <row r="153" s="78" customFormat="1" x14ac:dyDescent="0.25"/>
    <row r="154" s="78" customFormat="1" x14ac:dyDescent="0.25"/>
    <row r="155" s="78" customFormat="1" x14ac:dyDescent="0.25"/>
    <row r="156" s="78" customFormat="1" x14ac:dyDescent="0.25"/>
    <row r="157" s="78" customFormat="1" x14ac:dyDescent="0.25"/>
    <row r="158" s="78" customFormat="1" x14ac:dyDescent="0.25"/>
    <row r="159" s="78" customFormat="1" x14ac:dyDescent="0.25"/>
    <row r="160" s="78" customFormat="1" x14ac:dyDescent="0.25"/>
    <row r="161" s="78" customFormat="1" x14ac:dyDescent="0.25"/>
    <row r="162" s="78" customFormat="1" x14ac:dyDescent="0.25"/>
    <row r="163" s="78" customFormat="1" x14ac:dyDescent="0.25"/>
    <row r="164" s="78" customFormat="1" x14ac:dyDescent="0.25"/>
    <row r="165" s="78" customFormat="1" x14ac:dyDescent="0.25"/>
    <row r="166" s="78" customFormat="1" x14ac:dyDescent="0.25"/>
    <row r="167" s="78" customFormat="1" x14ac:dyDescent="0.25"/>
    <row r="168" s="78" customFormat="1" x14ac:dyDescent="0.25"/>
    <row r="169" s="78" customFormat="1" x14ac:dyDescent="0.25"/>
    <row r="170" s="78" customFormat="1" x14ac:dyDescent="0.25"/>
    <row r="171" s="78" customFormat="1" x14ac:dyDescent="0.25"/>
    <row r="172" s="78" customFormat="1" x14ac:dyDescent="0.25"/>
    <row r="173" s="78" customFormat="1" x14ac:dyDescent="0.25"/>
    <row r="174" s="78" customFormat="1" x14ac:dyDescent="0.25"/>
    <row r="175" s="78" customFormat="1" x14ac:dyDescent="0.25"/>
    <row r="176" s="78" customFormat="1" x14ac:dyDescent="0.25"/>
    <row r="177" s="78" customFormat="1" x14ac:dyDescent="0.25"/>
    <row r="178" s="78" customFormat="1" x14ac:dyDescent="0.25"/>
    <row r="179" s="78" customFormat="1" x14ac:dyDescent="0.25"/>
    <row r="180" s="78" customFormat="1" x14ac:dyDescent="0.25"/>
    <row r="181" s="78" customFormat="1" x14ac:dyDescent="0.25"/>
    <row r="182" s="78" customFormat="1" x14ac:dyDescent="0.25"/>
    <row r="183" s="78" customFormat="1" x14ac:dyDescent="0.25"/>
    <row r="184" s="78" customFormat="1" x14ac:dyDescent="0.25"/>
    <row r="185" s="78" customFormat="1" x14ac:dyDescent="0.25"/>
    <row r="186" s="78" customFormat="1" x14ac:dyDescent="0.25"/>
    <row r="187" s="78" customFormat="1" x14ac:dyDescent="0.25"/>
    <row r="188" s="78" customFormat="1" x14ac:dyDescent="0.25"/>
    <row r="189" s="78" customFormat="1" x14ac:dyDescent="0.25"/>
    <row r="190" s="78" customFormat="1" x14ac:dyDescent="0.25"/>
    <row r="191" s="78" customFormat="1" x14ac:dyDescent="0.25"/>
    <row r="192" s="78" customFormat="1" x14ac:dyDescent="0.25"/>
    <row r="193" s="78" customFormat="1" x14ac:dyDescent="0.25"/>
    <row r="194" s="78" customFormat="1" x14ac:dyDescent="0.25"/>
    <row r="195" s="78" customFormat="1" x14ac:dyDescent="0.25"/>
    <row r="196" s="78" customFormat="1" x14ac:dyDescent="0.25"/>
    <row r="197" s="78" customFormat="1" x14ac:dyDescent="0.25"/>
    <row r="198" s="78" customFormat="1" x14ac:dyDescent="0.25"/>
    <row r="199" s="78" customFormat="1" x14ac:dyDescent="0.25"/>
    <row r="200" s="78" customFormat="1" x14ac:dyDescent="0.25"/>
    <row r="201" s="78" customFormat="1" x14ac:dyDescent="0.25"/>
    <row r="202" s="78" customFormat="1" x14ac:dyDescent="0.25"/>
    <row r="203" s="78" customFormat="1" x14ac:dyDescent="0.25"/>
    <row r="204" s="78" customFormat="1" x14ac:dyDescent="0.25"/>
    <row r="205" s="78" customFormat="1" x14ac:dyDescent="0.25"/>
    <row r="206" s="78" customFormat="1" x14ac:dyDescent="0.25"/>
    <row r="207" s="78" customFormat="1" x14ac:dyDescent="0.25"/>
    <row r="208" s="78" customFormat="1" x14ac:dyDescent="0.25"/>
    <row r="209" s="78" customFormat="1" x14ac:dyDescent="0.25"/>
    <row r="210" s="78" customFormat="1" x14ac:dyDescent="0.25"/>
    <row r="211" s="78" customFormat="1" x14ac:dyDescent="0.25"/>
    <row r="212" s="78" customFormat="1" x14ac:dyDescent="0.25"/>
    <row r="213" s="78" customFormat="1" x14ac:dyDescent="0.25"/>
    <row r="214" s="78" customFormat="1" x14ac:dyDescent="0.25"/>
    <row r="215" s="78" customFormat="1" x14ac:dyDescent="0.25"/>
    <row r="216" s="78" customFormat="1" x14ac:dyDescent="0.25"/>
    <row r="217" s="78" customFormat="1" x14ac:dyDescent="0.25"/>
    <row r="218" s="78" customFormat="1" x14ac:dyDescent="0.25"/>
    <row r="219" s="78" customFormat="1" x14ac:dyDescent="0.25"/>
    <row r="220" s="78" customFormat="1" x14ac:dyDescent="0.25"/>
    <row r="221" s="78" customFormat="1" x14ac:dyDescent="0.25"/>
    <row r="222" s="78" customFormat="1" x14ac:dyDescent="0.25"/>
    <row r="223" s="78" customFormat="1" x14ac:dyDescent="0.25"/>
    <row r="224" s="78" customFormat="1" x14ac:dyDescent="0.25"/>
    <row r="225" s="78" customFormat="1" x14ac:dyDescent="0.25"/>
    <row r="226" s="78" customFormat="1" x14ac:dyDescent="0.25"/>
    <row r="227" s="78" customFormat="1" x14ac:dyDescent="0.25"/>
    <row r="228" s="78" customFormat="1" x14ac:dyDescent="0.25"/>
    <row r="229" s="78" customFormat="1" x14ac:dyDescent="0.25"/>
    <row r="230" s="78" customFormat="1" x14ac:dyDescent="0.25"/>
    <row r="231" s="78" customFormat="1" x14ac:dyDescent="0.25"/>
    <row r="232" s="78" customFormat="1" x14ac:dyDescent="0.25"/>
  </sheetData>
  <pageMargins left="0.7" right="0.7" top="0.75" bottom="0.75" header="0.3" footer="0.3"/>
  <pageSetup orientation="portrait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K 7 i I S 2 7 h M 7 + n A A A A + A A A A B I A H A B D b 2 5 m a W c v U G F j a 2 F n Z S 5 4 b W w g o h g A K K A U A A A A A A A A A A A A A A A A A A A A A A A A A A A A h Y 9 B D o I w F E S v Q r q n L Y W I I Z + y c C u J C d G 4 J a V C I x R D i + V u L j y S V 5 B E U X c u Z / I m e f O 4 3 S G b u t a 7 y s G o X q c o w B R 5 U o u + U r p O 0 W h P / h p l H H a l O J e 1 9 G Z Y m 2 Q y K k W N t Z e E E O c c d i H u h 5 o w S g N y z L e F a G R X + k o b W 2 o h 0 W d V / V 8 h D o e X D G c 4 W u E o D h m O W Q B k q S F X + o u w 2 R h T I D 8 l b M b W j o P k U v v 7 A s g S g b x f 8 C d Q S w M E F A A C A A g A K 7 i I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u 4 i E s o i k e 4 D g A A A B E A A A A T A B w A R m 9 y b X V s Y X M v U 2 V j d G l v b j E u b S C i G A A o o B Q A A A A A A A A A A A A A A A A A A A A A A A A A A A A r T k 0 u y c z P U w i G 0 I b W A F B L A Q I t A B Q A A g A I A C u 4 i E t u 4 T O / p w A A A P g A A A A S A A A A A A A A A A A A A A A A A A A A A A B D b 2 5 m a W c v U G F j a 2 F n Z S 5 4 b W x Q S w E C L Q A U A A I A C A A r u I h L D 8 r p q 6 Q A A A D p A A A A E w A A A A A A A A A A A A A A A A D z A A A A W 0 N v b n R l b n R f V H l w Z X N d L n h t b F B L A Q I t A B Q A A g A I A C u 4 i E s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m p m B B 5 u Q D T J + L K 7 y u W g Q 1 A A A A A A I A A A A A A B B m A A A A A Q A A I A A A A N 6 k N A d O z c + L Q V j w L N / e h A J + Y A N F F j J J M J 7 Z a 5 u 9 b 4 d G A A A A A A 6 A A A A A A g A A I A A A A A p h x D T u O O v Q + h h D 6 m G N p 3 o / p 6 H G V w s Z c o U 8 h d C Q 3 B Q i U A A A A I K k I p K V D d O Q 8 S u y R S 6 O f X Y k n Z I 0 V / 2 x q k U 8 y 8 G x Z + e J S i K I f u q G l c E A Q B X P b N T C O L k e F i l 5 1 v e S q 4 + 2 C 1 m y n n J O 8 k C Z X q 8 5 z p w T e + Z B h v j A Q A A A A H 9 O A 9 W H S E + Y d u y J x d g 2 R k 7 1 F T k U C n a z R z n S 4 b E A 9 I M 8 0 j 2 p U 2 z R Q u b R m 0 + R M / s i g c Z + q s G 3 w J b f P 0 T v P T g w o 4 I = < / D a t a M a s h u p > 
</file>

<file path=customXml/itemProps1.xml><?xml version="1.0" encoding="utf-8"?>
<ds:datastoreItem xmlns:ds="http://schemas.openxmlformats.org/officeDocument/2006/customXml" ds:itemID="{838A325F-6D93-43ED-B827-8B50A7EA240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Cooking</vt:lpstr>
      <vt:lpstr>Crops</vt:lpstr>
      <vt:lpstr>Trees</vt:lpstr>
      <vt:lpstr>Animals</vt:lpstr>
      <vt:lpstr>Foraging</vt:lpstr>
      <vt:lpstr>Fish</vt:lpstr>
      <vt:lpstr>Minerals</vt:lpstr>
      <vt:lpstr>Artisan</vt:lpstr>
      <vt:lpstr>Crafting</vt:lpstr>
    </vt:vector>
  </TitlesOfParts>
  <Company>TEAM 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Pri</cp:lastModifiedBy>
  <dcterms:created xsi:type="dcterms:W3CDTF">2016-02-27T21:12:02Z</dcterms:created>
  <dcterms:modified xsi:type="dcterms:W3CDTF">2020-10-13T00:53:51Z</dcterms:modified>
</cp:coreProperties>
</file>